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E1" sheetId="2" r:id="rId2"/>
    <sheet name="A0" sheetId="3" r:id="rId3"/>
    <sheet name="A1" sheetId="4" r:id="rId4"/>
    <sheet name="U0" sheetId="5" r:id="rId5"/>
  </sheets>
  <calcPr calcId="124519" fullCalcOnLoad="1"/>
</workbook>
</file>

<file path=xl/sharedStrings.xml><?xml version="1.0" encoding="utf-8"?>
<sst xmlns="http://schemas.openxmlformats.org/spreadsheetml/2006/main" count="199" uniqueCount="58">
  <si>
    <t>Fine-Structure Energy Levels for  H I</t>
  </si>
  <si>
    <t>S2</t>
  </si>
  <si>
    <t>S11</t>
  </si>
  <si>
    <t>S12</t>
  </si>
  <si>
    <t>S13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</si>
  <si>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</si>
  <si>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</si>
  <si>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</si>
  <si>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</si>
  <si>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</si>
  <si>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</si>
  <si>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</si>
  <si>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</si>
  <si>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</si>
  <si>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</si>
  <si>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</si>
  <si>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1s</t>
  </si>
  <si>
    <t>2S</t>
  </si>
  <si>
    <t>2p</t>
  </si>
  <si>
    <t>2P*</t>
  </si>
  <si>
    <t>2s</t>
  </si>
  <si>
    <t>3p</t>
  </si>
  <si>
    <t>3s</t>
  </si>
  <si>
    <t>3d</t>
  </si>
  <si>
    <t>2D</t>
  </si>
  <si>
    <t>4p</t>
  </si>
  <si>
    <t>4s</t>
  </si>
  <si>
    <t>4d</t>
  </si>
  <si>
    <t>4f</t>
  </si>
  <si>
    <t>2F*</t>
  </si>
  <si>
    <t>5p</t>
  </si>
  <si>
    <t>5s</t>
  </si>
  <si>
    <t>5d</t>
  </si>
  <si>
    <t>5f</t>
  </si>
  <si>
    <t>5g</t>
  </si>
  <si>
    <t>2G</t>
  </si>
  <si>
    <t>LS Energy Terms for  H I</t>
  </si>
  <si>
    <t>A-values for  fine-structure transitions in H I</t>
  </si>
  <si>
    <t>S18</t>
  </si>
  <si>
    <t>S15</t>
  </si>
  <si>
    <t>S20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</si>
  <si>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</si>
  <si>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</si>
  <si>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</si>
  <si>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</si>
  <si>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</si>
  <si>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</si>
  <si>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</si>
  <si>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</si>
  <si>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</si>
  <si>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</si>
  <si>
    <t>A-values for allowed  LS transitions in H I</t>
  </si>
  <si>
    <t>Effective Collision Strengths for LS  transitions in H I</t>
  </si>
  <si>
    <t>S16</t>
  </si>
  <si>
    <t>S17</t>
  </si>
  <si>
    <t>np</t>
  </si>
  <si>
    <t>LogT 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</si>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</sst>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8"/>
  <sheetViews>
    <sheetView tabSelected="1" workbookViewId="0"/>
  </sheetViews>
  <sheetFormatPr defaultRowHeight="15"/>
  <cols>
    <col min="1" max="1" width="2.7109375" customWidth="1"/>
    <col min="2" max="2" width="2.7109375" customWidth="1"/>
    <col min="3" max="3" width="15.7109375" customWidth="1"/>
    <col min="4" max="4" width="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4.7109375" customWidth="1"/>
    <col min="11" max="11" width="13.7109375" customWidth="1"/>
    <col min="12" max="12" width="12.7109375" customWidth="1"/>
    <col min="13" max="13" width="8.7109375" customWidth="1"/>
    <col min="14" max="14" width="11.7109375" customWidth="1"/>
    <col min="15" max="15" width="8.710937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O2" s="2" t="s">
        <v>5</v>
      </c>
    </row>
    <row r="3" spans="1:15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15</v>
      </c>
      <c r="L3" s="2" t="s">
        <v>15</v>
      </c>
      <c r="M3" s="2" t="s">
        <v>15</v>
      </c>
      <c r="N3" s="2" t="s">
        <v>15</v>
      </c>
      <c r="O3" s="2" t="s">
        <v>15</v>
      </c>
    </row>
    <row r="4" spans="1:15">
      <c r="A4" s="3">
        <v>1</v>
      </c>
      <c r="B4" s="3">
        <v>1</v>
      </c>
      <c r="C4" s="3">
        <v>1</v>
      </c>
      <c r="D4" s="3" t="s">
        <v>16</v>
      </c>
      <c r="E4" s="3" t="s">
        <v>17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HYPERLINK("http://141.218.60.56/~jnz1568/getInfo.php?workbook=01_01.xlsx&amp;sheet=E0&amp;row=4&amp;col=10&amp;number=0&amp;sourceID=2","0")</f>
        <v>0</v>
      </c>
      <c r="K4" s="4" t="str">
        <f>HYPERLINK("http://141.218.60.56/~jnz1568/getInfo.php?workbook=01_01.xlsx&amp;sheet=E0&amp;row=4&amp;col=11&amp;number=0&amp;sourceID=11","0")</f>
        <v>0</v>
      </c>
      <c r="L4" s="4" t="str">
        <f>HYPERLINK("http://141.218.60.56/~jnz1568/getInfo.php?workbook=01_01.xlsx&amp;sheet=E0&amp;row=4&amp;col=12&amp;number=0&amp;sourceID=12","0")</f>
        <v>0</v>
      </c>
      <c r="M4" s="4" t="str">
        <f>HYPERLINK("http://141.218.60.56/~jnz1568/getInfo.php?workbook=01_01.xlsx&amp;sheet=E0&amp;row=4&amp;col=13&amp;number=0&amp;sourceID=13","0")</f>
        <v>0</v>
      </c>
      <c r="N4" s="4" t="str">
        <f>HYPERLINK("http://141.218.60.56/~jnz1568/getInfo.php?workbook=01_01.xlsx&amp;sheet=E0&amp;row=4&amp;col=14&amp;number=0&amp;sourceID=14","0")</f>
        <v>0</v>
      </c>
      <c r="O4" s="4" t="str">
        <f>HYPERLINK("http://141.218.60.56/~jnz1568/getInfo.php?workbook=01_01.xlsx&amp;sheet=E0&amp;row=4&amp;col=15&amp;number=0&amp;sourceID=14","0")</f>
        <v>0</v>
      </c>
    </row>
    <row r="5" spans="1:15">
      <c r="A5" s="3">
        <v>1</v>
      </c>
      <c r="B5" s="3">
        <v>1</v>
      </c>
      <c r="C5" s="3">
        <f>+C4+1</f>
        <v>0</v>
      </c>
      <c r="D5" s="3" t="s">
        <v>18</v>
      </c>
      <c r="E5" s="3" t="s">
        <v>19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HYPERLINK("http://141.218.60.56/~jnz1568/getInfo.php?workbook=01_01.xlsx&amp;sheet=E0&amp;row=5&amp;col=10&amp;number=82258.9191133&amp;sourceID=2","82258.9191133")</f>
        <v>82258.9191133</v>
      </c>
      <c r="K5" s="4" t="str">
        <f>HYPERLINK("http://141.218.60.56/~jnz1568/getInfo.php?workbook=01_01.xlsx&amp;sheet=E0&amp;row=5&amp;col=11&amp;number=82259.19141&amp;sourceID=11","82259.19141")</f>
        <v>82259.19141</v>
      </c>
      <c r="L5" s="4" t="str">
        <f>HYPERLINK("http://141.218.60.56/~jnz1568/getInfo.php?workbook=01_01.xlsx&amp;sheet=E0&amp;row=5&amp;col=12&amp;number=82258.9206&amp;sourceID=12","82258.9206")</f>
        <v>82258.9206</v>
      </c>
      <c r="M5" s="4" t="str">
        <f>HYPERLINK("http://141.218.60.56/~jnz1568/getInfo.php?workbook=01_01.xlsx&amp;sheet=E0&amp;row=5&amp;col=13&amp;number=82304&amp;sourceID=13","82304")</f>
        <v>82304</v>
      </c>
      <c r="N5" s="4" t="str">
        <f>HYPERLINK("http://141.218.60.56/~jnz1568/getInfo.php?workbook=01_01.xlsx&amp;sheet=E0&amp;row=5&amp;col=14&amp;number=82258.956&amp;sourceID=14","82258.956")</f>
        <v>82258.956</v>
      </c>
      <c r="O5" s="4" t="str">
        <f>HYPERLINK("http://141.218.60.56/~jnz1568/getInfo.php?workbook=01_01.xlsx&amp;sheet=E0&amp;row=5&amp;col=15&amp;number=82303&amp;sourceID=14","82303")</f>
        <v>82303</v>
      </c>
    </row>
    <row r="6" spans="1:15">
      <c r="A6" s="3">
        <v>1</v>
      </c>
      <c r="B6" s="3">
        <v>1</v>
      </c>
      <c r="C6" s="3">
        <f/>
        <v>0</v>
      </c>
      <c r="D6" s="3" t="s">
        <v>20</v>
      </c>
      <c r="E6" s="3" t="s">
        <v>17</v>
      </c>
      <c r="F6" s="3">
        <v>2</v>
      </c>
      <c r="G6" s="3">
        <v>0</v>
      </c>
      <c r="H6" s="3">
        <v>0</v>
      </c>
      <c r="I6" s="3">
        <v>0.5</v>
      </c>
      <c r="J6" s="4" t="str">
        <f>HYPERLINK("http://141.218.60.56/~jnz1568/getInfo.php?workbook=01_01.xlsx&amp;sheet=E0&amp;row=6&amp;col=10&amp;number=82258.9543993&amp;sourceID=2","82258.9543993")</f>
        <v>82258.9543993</v>
      </c>
      <c r="K6" s="4" t="str">
        <f>HYPERLINK("http://141.218.60.56/~jnz1568/getInfo.php?workbook=01_01.xlsx&amp;sheet=E0&amp;row=6&amp;col=11&amp;number=82259.19141&amp;sourceID=11","82259.19141")</f>
        <v>82259.19141</v>
      </c>
      <c r="L6" s="4" t="str">
        <f>HYPERLINK("http://141.218.60.56/~jnz1568/getInfo.php?workbook=01_01.xlsx&amp;sheet=E0&amp;row=6&amp;col=12&amp;number=82258.9559&amp;sourceID=12","82258.9559")</f>
        <v>82258.9559</v>
      </c>
      <c r="M6" s="4" t="str">
        <f>HYPERLINK("http://141.218.60.56/~jnz1568/getInfo.php?workbook=01_01.xlsx&amp;sheet=E0&amp;row=6&amp;col=13&amp;number=82304&amp;sourceID=13","82304")</f>
        <v>82304</v>
      </c>
      <c r="N6" s="4" t="str">
        <f>HYPERLINK("http://141.218.60.56/~jnz1568/getInfo.php?workbook=01_01.xlsx&amp;sheet=E0&amp;row=6&amp;col=14&amp;number=82258.921&amp;sourceID=14","82258.921")</f>
        <v>82258.921</v>
      </c>
      <c r="O6" s="4" t="str">
        <f>HYPERLINK("http://141.218.60.56/~jnz1568/getInfo.php?workbook=01_01.xlsx&amp;sheet=E0&amp;row=6&amp;col=15&amp;number=82303&amp;sourceID=14","82303")</f>
        <v>82303</v>
      </c>
    </row>
    <row r="7" spans="1:15">
      <c r="A7" s="3">
        <v>1</v>
      </c>
      <c r="B7" s="3">
        <v>1</v>
      </c>
      <c r="C7" s="3">
        <f/>
        <v>0</v>
      </c>
      <c r="D7" s="3" t="s">
        <v>18</v>
      </c>
      <c r="E7" s="3" t="s">
        <v>19</v>
      </c>
      <c r="F7" s="3">
        <v>2</v>
      </c>
      <c r="G7" s="3">
        <v>1</v>
      </c>
      <c r="H7" s="3">
        <v>1</v>
      </c>
      <c r="I7" s="3">
        <v>1.5</v>
      </c>
      <c r="J7" s="4" t="str">
        <f>HYPERLINK("http://141.218.60.56/~jnz1568/getInfo.php?workbook=01_01.xlsx&amp;sheet=E0&amp;row=7&amp;col=10&amp;number=82259.2850014&amp;sourceID=2","82259.2850014")</f>
        <v>82259.2850014</v>
      </c>
      <c r="K7" s="4" t="str">
        <f>HYPERLINK("http://141.218.60.56/~jnz1568/getInfo.php?workbook=01_01.xlsx&amp;sheet=E0&amp;row=7&amp;col=11&amp;number=82259.55646&amp;sourceID=11","82259.55646")</f>
        <v>82259.55646</v>
      </c>
      <c r="L7" s="4" t="str">
        <f>HYPERLINK("http://141.218.60.56/~jnz1568/getInfo.php?workbook=01_01.xlsx&amp;sheet=E0&amp;row=7&amp;col=12&amp;number=82259.2865&amp;sourceID=12","82259.2865")</f>
        <v>82259.2865</v>
      </c>
      <c r="M7" s="4" t="str">
        <f>HYPERLINK("http://141.218.60.56/~jnz1568/getInfo.php?workbook=01_01.xlsx&amp;sheet=E0&amp;row=7&amp;col=13&amp;number=82304&amp;sourceID=13","82304")</f>
        <v>82304</v>
      </c>
      <c r="N7" s="4" t="str">
        <f>HYPERLINK("http://141.218.60.56/~jnz1568/getInfo.php?workbook=01_01.xlsx&amp;sheet=E0&amp;row=7&amp;col=14&amp;number=82259.287&amp;sourceID=14","82259.287")</f>
        <v>82259.287</v>
      </c>
      <c r="O7" s="4" t="str">
        <f>HYPERLINK("http://141.218.60.56/~jnz1568/getInfo.php?workbook=01_01.xlsx&amp;sheet=E0&amp;row=7&amp;col=15&amp;number=82303&amp;sourceID=14","82303")</f>
        <v>82303</v>
      </c>
    </row>
    <row r="8" spans="1:15">
      <c r="A8" s="3">
        <v>1</v>
      </c>
      <c r="B8" s="3">
        <v>1</v>
      </c>
      <c r="C8" s="3">
        <f/>
        <v>0</v>
      </c>
      <c r="D8" s="3" t="s">
        <v>21</v>
      </c>
      <c r="E8" s="3" t="s">
        <v>19</v>
      </c>
      <c r="F8" s="3">
        <v>2</v>
      </c>
      <c r="G8" s="3">
        <v>1</v>
      </c>
      <c r="H8" s="3">
        <v>1</v>
      </c>
      <c r="I8" s="3">
        <v>0.5</v>
      </c>
      <c r="J8" s="4" t="str">
        <f>HYPERLINK("http://141.218.60.56/~jnz1568/getInfo.php?workbook=01_01.xlsx&amp;sheet=E0&amp;row=8&amp;col=10&amp;number=97492.2112&amp;sourceID=2","97492.2112")</f>
        <v>97492.2112</v>
      </c>
      <c r="K8" s="4" t="str">
        <f>HYPERLINK("http://141.218.60.56/~jnz1568/getInfo.php?workbook=01_01.xlsx&amp;sheet=E0&amp;row=8&amp;col=11&amp;number=97492.48317&amp;sourceID=11","97492.48317")</f>
        <v>97492.48317</v>
      </c>
      <c r="L8" s="4" t="str">
        <f>HYPERLINK("http://141.218.60.56/~jnz1568/getInfo.php?workbook=01_01.xlsx&amp;sheet=E0&amp;row=8&amp;col=12&amp;number=97492.213&amp;sourceID=12","97492.213")</f>
        <v>97492.213</v>
      </c>
      <c r="M8" s="4" t="str">
        <f>HYPERLINK("http://141.218.60.56/~jnz1568/getInfo.php?workbook=01_01.xlsx&amp;sheet=E0&amp;row=8&amp;col=13&amp;number=97546&amp;sourceID=13","97546")</f>
        <v>97546</v>
      </c>
      <c r="N8" s="4" t="str">
        <f>HYPERLINK("http://141.218.60.56/~jnz1568/getInfo.php?workbook=01_01.xlsx&amp;sheet=E0&amp;row=8&amp;col=14&amp;number=97492.224&amp;sourceID=14","97492.224")</f>
        <v>97492.224</v>
      </c>
      <c r="O8" s="4" t="str">
        <f>HYPERLINK("http://141.218.60.56/~jnz1568/getInfo.php?workbook=01_01.xlsx&amp;sheet=E0&amp;row=8&amp;col=15&amp;number=97544&amp;sourceID=14","97544")</f>
        <v>97544</v>
      </c>
    </row>
    <row r="9" spans="1:15">
      <c r="A9" s="3">
        <v>1</v>
      </c>
      <c r="B9" s="3">
        <v>1</v>
      </c>
      <c r="C9" s="3">
        <f/>
        <v>0</v>
      </c>
      <c r="D9" s="3" t="s">
        <v>22</v>
      </c>
      <c r="E9" s="3" t="s">
        <v>17</v>
      </c>
      <c r="F9" s="3">
        <v>2</v>
      </c>
      <c r="G9" s="3">
        <v>0</v>
      </c>
      <c r="H9" s="3">
        <v>0</v>
      </c>
      <c r="I9" s="3">
        <v>0.5</v>
      </c>
      <c r="J9" s="4" t="str">
        <f>HYPERLINK("http://141.218.60.56/~jnz1568/getInfo.php?workbook=01_01.xlsx&amp;sheet=E0&amp;row=9&amp;col=10&amp;number=97492.221701&amp;sourceID=2","97492.221701")</f>
        <v>97492.221701</v>
      </c>
      <c r="K9" s="4" t="str">
        <f>HYPERLINK("http://141.218.60.56/~jnz1568/getInfo.php?workbook=01_01.xlsx&amp;sheet=E0&amp;row=9&amp;col=11&amp;number=97492.48317&amp;sourceID=11","97492.48317")</f>
        <v>97492.48317</v>
      </c>
      <c r="L9" s="4" t="str">
        <f>HYPERLINK("http://141.218.60.56/~jnz1568/getInfo.php?workbook=01_01.xlsx&amp;sheet=E0&amp;row=9&amp;col=12&amp;number=97492.2235&amp;sourceID=12","97492.2235")</f>
        <v>97492.2235</v>
      </c>
      <c r="M9" s="4" t="str">
        <f>HYPERLINK("http://141.218.60.56/~jnz1568/getInfo.php?workbook=01_01.xlsx&amp;sheet=E0&amp;row=9&amp;col=13&amp;number=97546&amp;sourceID=13","97546")</f>
        <v>97546</v>
      </c>
      <c r="N9" s="4" t="str">
        <f>HYPERLINK("http://141.218.60.56/~jnz1568/getInfo.php?workbook=01_01.xlsx&amp;sheet=E0&amp;row=9&amp;col=14&amp;number=97492.213&amp;sourceID=14","97492.213")</f>
        <v>97492.213</v>
      </c>
      <c r="O9" s="4" t="str">
        <f>HYPERLINK("http://141.218.60.56/~jnz1568/getInfo.php?workbook=01_01.xlsx&amp;sheet=E0&amp;row=9&amp;col=15&amp;number=97544&amp;sourceID=14","97544")</f>
        <v>97544</v>
      </c>
    </row>
    <row r="10" spans="1:15">
      <c r="A10" s="3">
        <v>1</v>
      </c>
      <c r="B10" s="3">
        <v>1</v>
      </c>
      <c r="C10" s="3">
        <f/>
        <v>0</v>
      </c>
      <c r="D10" s="3" t="s">
        <v>23</v>
      </c>
      <c r="E10" s="3" t="s">
        <v>24</v>
      </c>
      <c r="F10" s="3">
        <v>2</v>
      </c>
      <c r="G10" s="3">
        <v>2</v>
      </c>
      <c r="H10" s="3">
        <v>0</v>
      </c>
      <c r="I10" s="3">
        <v>1.5</v>
      </c>
      <c r="J10" s="4" t="str">
        <f>HYPERLINK("http://141.218.60.56/~jnz1568/getInfo.php?workbook=01_01.xlsx&amp;sheet=E0&amp;row=10&amp;col=10&amp;number=97492.319433&amp;sourceID=2","97492.319433")</f>
        <v>97492.319433</v>
      </c>
      <c r="K10" s="4" t="str">
        <f>HYPERLINK("http://141.218.60.56/~jnz1568/getInfo.php?workbook=01_01.xlsx&amp;sheet=E0&amp;row=10&amp;col=11&amp;number=97492.59133&amp;sourceID=11","97492.59133")</f>
        <v>97492.59133</v>
      </c>
      <c r="L10" s="4" t="str">
        <f>HYPERLINK("http://141.218.60.56/~jnz1568/getInfo.php?workbook=01_01.xlsx&amp;sheet=E0&amp;row=10&amp;col=12&amp;number=97492.3213&amp;sourceID=12","97492.3213")</f>
        <v>97492.3213</v>
      </c>
      <c r="M10" s="4" t="str">
        <f>HYPERLINK("http://141.218.60.56/~jnz1568/getInfo.php?workbook=01_01.xlsx&amp;sheet=E0&amp;row=10&amp;col=13&amp;number=97546&amp;sourceID=13","97546")</f>
        <v>97546</v>
      </c>
      <c r="N10" s="4" t="str">
        <f>HYPERLINK("http://141.218.60.56/~jnz1568/getInfo.php?workbook=01_01.xlsx&amp;sheet=E0&amp;row=10&amp;col=14&amp;number=97492.321&amp;sourceID=14","97492.321")</f>
        <v>97492.321</v>
      </c>
      <c r="O10" s="4" t="str">
        <f>HYPERLINK("http://141.218.60.56/~jnz1568/getInfo.php?workbook=01_01.xlsx&amp;sheet=E0&amp;row=10&amp;col=15&amp;number=97544&amp;sourceID=14","97544")</f>
        <v>97544</v>
      </c>
    </row>
    <row r="11" spans="1:15">
      <c r="A11" s="3">
        <v>1</v>
      </c>
      <c r="B11" s="3">
        <v>1</v>
      </c>
      <c r="C11" s="3">
        <f/>
        <v>0</v>
      </c>
      <c r="D11" s="3" t="s">
        <v>21</v>
      </c>
      <c r="E11" s="3" t="s">
        <v>19</v>
      </c>
      <c r="F11" s="3">
        <v>2</v>
      </c>
      <c r="G11" s="3">
        <v>1</v>
      </c>
      <c r="H11" s="3">
        <v>1</v>
      </c>
      <c r="I11" s="3">
        <v>1.5</v>
      </c>
      <c r="J11" s="4" t="str">
        <f>HYPERLINK("http://141.218.60.56/~jnz1568/getInfo.php?workbook=01_01.xlsx&amp;sheet=E0&amp;row=11&amp;col=10&amp;number=97492.319611&amp;sourceID=2","97492.319611")</f>
        <v>97492.319611</v>
      </c>
      <c r="K11" s="4" t="str">
        <f>HYPERLINK("http://141.218.60.56/~jnz1568/getInfo.php?workbook=01_01.xlsx&amp;sheet=E0&amp;row=11&amp;col=11&amp;number=97492.59133&amp;sourceID=11","97492.59133")</f>
        <v>97492.59133</v>
      </c>
      <c r="L11" s="4" t="str">
        <f>HYPERLINK("http://141.218.60.56/~jnz1568/getInfo.php?workbook=01_01.xlsx&amp;sheet=E0&amp;row=11&amp;col=12&amp;number=97492.3214&amp;sourceID=12","97492.3214")</f>
        <v>97492.3214</v>
      </c>
      <c r="M11" s="4" t="str">
        <f>HYPERLINK("http://141.218.60.56/~jnz1568/getInfo.php?workbook=01_01.xlsx&amp;sheet=E0&amp;row=11&amp;col=13&amp;number=97546&amp;sourceID=13","97546")</f>
        <v>97546</v>
      </c>
      <c r="N11" s="4" t="str">
        <f>HYPERLINK("http://141.218.60.56/~jnz1568/getInfo.php?workbook=01_01.xlsx&amp;sheet=E0&amp;row=11&amp;col=14&amp;number=97492.321&amp;sourceID=14","97492.321")</f>
        <v>97492.321</v>
      </c>
      <c r="O11" s="4" t="str">
        <f>HYPERLINK("http://141.218.60.56/~jnz1568/getInfo.php?workbook=01_01.xlsx&amp;sheet=E0&amp;row=11&amp;col=15&amp;number=97544&amp;sourceID=14","97544")</f>
        <v>97544</v>
      </c>
    </row>
    <row r="12" spans="1:15">
      <c r="A12" s="3">
        <v>1</v>
      </c>
      <c r="B12" s="3">
        <v>1</v>
      </c>
      <c r="C12" s="3">
        <f/>
        <v>0</v>
      </c>
      <c r="D12" s="3" t="s">
        <v>23</v>
      </c>
      <c r="E12" s="3" t="s">
        <v>24</v>
      </c>
      <c r="F12" s="3">
        <v>2</v>
      </c>
      <c r="G12" s="3">
        <v>2</v>
      </c>
      <c r="H12" s="3">
        <v>0</v>
      </c>
      <c r="I12" s="3">
        <v>2.5</v>
      </c>
      <c r="J12" s="4" t="str">
        <f>HYPERLINK("http://141.218.60.56/~jnz1568/getInfo.php?workbook=01_01.xlsx&amp;sheet=E0&amp;row=12&amp;col=10&amp;number=97492.355566&amp;sourceID=2","97492.355566")</f>
        <v>97492.355566</v>
      </c>
      <c r="K12" s="4" t="str">
        <f>HYPERLINK("http://141.218.60.56/~jnz1568/getInfo.php?workbook=01_01.xlsx&amp;sheet=E0&amp;row=12&amp;col=11&amp;number=97492.62738&amp;sourceID=11","97492.62738")</f>
        <v>97492.62738</v>
      </c>
      <c r="L12" s="4" t="str">
        <f>HYPERLINK("http://141.218.60.56/~jnz1568/getInfo.php?workbook=01_01.xlsx&amp;sheet=E0&amp;row=12&amp;col=12&amp;number=97492.3574&amp;sourceID=12","97492.3574")</f>
        <v>97492.3574</v>
      </c>
      <c r="M12" s="4" t="str">
        <f>HYPERLINK("http://141.218.60.56/~jnz1568/getInfo.php?workbook=01_01.xlsx&amp;sheet=E0&amp;row=12&amp;col=13&amp;number=97546&amp;sourceID=13","97546")</f>
        <v>97546</v>
      </c>
      <c r="N12" s="4" t="str">
        <f>HYPERLINK("http://141.218.60.56/~jnz1568/getInfo.php?workbook=01_01.xlsx&amp;sheet=E0&amp;row=12&amp;col=14&amp;number=97492.357&amp;sourceID=14","97492.357")</f>
        <v>97492.357</v>
      </c>
      <c r="O12" s="4" t="str">
        <f>HYPERLINK("http://141.218.60.56/~jnz1568/getInfo.php?workbook=01_01.xlsx&amp;sheet=E0&amp;row=12&amp;col=15&amp;number=97544&amp;sourceID=14","97544")</f>
        <v>97544</v>
      </c>
    </row>
    <row r="13" spans="1:15">
      <c r="A13" s="3">
        <v>1</v>
      </c>
      <c r="B13" s="3">
        <v>1</v>
      </c>
      <c r="C13" s="3">
        <f/>
        <v>0</v>
      </c>
      <c r="D13" s="3" t="s">
        <v>25</v>
      </c>
      <c r="E13" s="3" t="s">
        <v>19</v>
      </c>
      <c r="F13" s="3">
        <v>2</v>
      </c>
      <c r="G13" s="3">
        <v>1</v>
      </c>
      <c r="H13" s="3">
        <v>1</v>
      </c>
      <c r="I13" s="3">
        <v>0.5</v>
      </c>
      <c r="J13" s="4" t="str">
        <f>HYPERLINK("http://141.218.60.56/~jnz1568/getInfo.php?workbook=01_01.xlsx&amp;sheet=E0&amp;row=13&amp;col=10&amp;number=102823.848582&amp;sourceID=2","102823.848582")</f>
        <v>102823.848582</v>
      </c>
      <c r="K13" s="4" t="str">
        <f>HYPERLINK("http://141.218.60.56/~jnz1568/getInfo.php?workbook=01_01.xlsx&amp;sheet=E0&amp;row=13&amp;col=11&amp;number=102824.12045&amp;sourceID=11","102824.12045")</f>
        <v>102824.12045</v>
      </c>
      <c r="L13" s="4" t="str">
        <f>HYPERLINK("http://141.218.60.56/~jnz1568/getInfo.php?workbook=01_01.xlsx&amp;sheet=E0&amp;row=13&amp;col=12&amp;number=102823.8505&amp;sourceID=12","102823.8505")</f>
        <v>102823.8505</v>
      </c>
      <c r="M13" s="4" t="str">
        <f>HYPERLINK("http://141.218.60.56/~jnz1568/getInfo.php?workbook=01_01.xlsx&amp;sheet=E0&amp;row=13&amp;col=13&amp;number=102880&amp;sourceID=13","102880")</f>
        <v>102880</v>
      </c>
      <c r="N13" s="4" t="str">
        <f>HYPERLINK("http://141.218.60.56/~jnz1568/getInfo.php?workbook=01_01.xlsx&amp;sheet=E0&amp;row=13&amp;col=14&amp;number=102823.855&amp;sourceID=14","102823.855")</f>
        <v>102823.855</v>
      </c>
      <c r="O13" s="4" t="str">
        <f>HYPERLINK("http://141.218.60.56/~jnz1568/getInfo.php?workbook=01_01.xlsx&amp;sheet=E0&amp;row=13&amp;col=15&amp;number=102879&amp;sourceID=14","102879")</f>
        <v>102879</v>
      </c>
    </row>
    <row r="14" spans="1:15">
      <c r="A14" s="3">
        <v>1</v>
      </c>
      <c r="B14" s="3">
        <v>1</v>
      </c>
      <c r="C14" s="3">
        <f/>
        <v>0</v>
      </c>
      <c r="D14" s="3" t="s">
        <v>26</v>
      </c>
      <c r="E14" s="3" t="s">
        <v>17</v>
      </c>
      <c r="F14" s="3">
        <v>2</v>
      </c>
      <c r="G14" s="3">
        <v>0</v>
      </c>
      <c r="H14" s="3">
        <v>0</v>
      </c>
      <c r="I14" s="3">
        <v>0.5</v>
      </c>
      <c r="J14" s="4" t="str">
        <f>HYPERLINK("http://141.218.60.56/~jnz1568/getInfo.php?workbook=01_01.xlsx&amp;sheet=E0&amp;row=14&amp;col=10&amp;number=102823.853021&amp;sourceID=2","102823.853021")</f>
        <v>102823.853021</v>
      </c>
      <c r="K14" s="4" t="str">
        <f>HYPERLINK("http://141.218.60.56/~jnz1568/getInfo.php?workbook=01_01.xlsx&amp;sheet=E0&amp;row=14&amp;col=11&amp;number=102824.12045&amp;sourceID=11","102824.12045")</f>
        <v>102824.12045</v>
      </c>
      <c r="L14" s="4" t="str">
        <f>HYPERLINK("http://141.218.60.56/~jnz1568/getInfo.php?workbook=01_01.xlsx&amp;sheet=E0&amp;row=14&amp;col=12&amp;number=102823.8549&amp;sourceID=12","102823.8549")</f>
        <v>102823.8549</v>
      </c>
      <c r="M14" s="4" t="str">
        <f>HYPERLINK("http://141.218.60.56/~jnz1568/getInfo.php?workbook=01_01.xlsx&amp;sheet=E0&amp;row=14&amp;col=13&amp;number=102880&amp;sourceID=13","102880")</f>
        <v>102880</v>
      </c>
      <c r="N14" s="4" t="str">
        <f>HYPERLINK("http://141.218.60.56/~jnz1568/getInfo.php?workbook=01_01.xlsx&amp;sheet=E0&amp;row=14&amp;col=14&amp;number=102823.851&amp;sourceID=14","102823.851")</f>
        <v>102823.851</v>
      </c>
      <c r="O14" s="4" t="str">
        <f>HYPERLINK("http://141.218.60.56/~jnz1568/getInfo.php?workbook=01_01.xlsx&amp;sheet=E0&amp;row=14&amp;col=15&amp;number=102879&amp;sourceID=14","102879")</f>
        <v>102879</v>
      </c>
    </row>
    <row r="15" spans="1:15">
      <c r="A15" s="3">
        <v>1</v>
      </c>
      <c r="B15" s="3">
        <v>1</v>
      </c>
      <c r="C15" s="3">
        <f/>
        <v>0</v>
      </c>
      <c r="D15" s="3" t="s">
        <v>27</v>
      </c>
      <c r="E15" s="3" t="s">
        <v>24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HYPERLINK("http://141.218.60.56/~jnz1568/getInfo.php?workbook=01_01.xlsx&amp;sheet=E0&amp;row=15&amp;col=10&amp;number=102823.89425&amp;sourceID=2","102823.89425")</f>
        <v>102823.89425</v>
      </c>
      <c r="K15" s="4" t="str">
        <f>HYPERLINK("http://141.218.60.56/~jnz1568/getInfo.php?workbook=01_01.xlsx&amp;sheet=E0&amp;row=15&amp;col=11&amp;number=102824.16609&amp;sourceID=11","102824.16609")</f>
        <v>102824.16609</v>
      </c>
      <c r="L15" s="4" t="str">
        <f>HYPERLINK("http://141.218.60.56/~jnz1568/getInfo.php?workbook=01_01.xlsx&amp;sheet=E0&amp;row=15&amp;col=12&amp;number=102823.8961&amp;sourceID=12","102823.8961")</f>
        <v>102823.8961</v>
      </c>
      <c r="M15" s="4" t="str">
        <f>HYPERLINK("http://141.218.60.56/~jnz1568/getInfo.php?workbook=01_01.xlsx&amp;sheet=E0&amp;row=15&amp;col=13&amp;number=102880&amp;sourceID=13","102880")</f>
        <v>102880</v>
      </c>
      <c r="N15" s="4" t="str">
        <f>HYPERLINK("http://141.218.60.56/~jnz1568/getInfo.php?workbook=01_01.xlsx&amp;sheet=E0&amp;row=15&amp;col=14&amp;number=102823.896&amp;sourceID=14","102823.896")</f>
        <v>102823.896</v>
      </c>
      <c r="O15" s="4" t="str">
        <f>HYPERLINK("http://141.218.60.56/~jnz1568/getInfo.php?workbook=01_01.xlsx&amp;sheet=E0&amp;row=15&amp;col=15&amp;number=102879&amp;sourceID=14","102879")</f>
        <v>102879</v>
      </c>
    </row>
    <row r="16" spans="1:15">
      <c r="A16" s="3">
        <v>1</v>
      </c>
      <c r="B16" s="3">
        <v>1</v>
      </c>
      <c r="C16" s="3">
        <f/>
        <v>0</v>
      </c>
      <c r="D16" s="3" t="s">
        <v>25</v>
      </c>
      <c r="E16" s="3" t="s">
        <v>19</v>
      </c>
      <c r="F16" s="3">
        <v>2</v>
      </c>
      <c r="G16" s="3">
        <v>1</v>
      </c>
      <c r="H16" s="3">
        <v>1</v>
      </c>
      <c r="I16" s="3">
        <v>1.5</v>
      </c>
      <c r="J16" s="4" t="str">
        <f>HYPERLINK("http://141.218.60.56/~jnz1568/getInfo.php?workbook=01_01.xlsx&amp;sheet=E0&amp;row=16&amp;col=10&amp;number=102823.894318&amp;sourceID=2","102823.894318")</f>
        <v>102823.894318</v>
      </c>
      <c r="K16" s="4" t="str">
        <f>HYPERLINK("http://141.218.60.56/~jnz1568/getInfo.php?workbook=01_01.xlsx&amp;sheet=E0&amp;row=16&amp;col=11&amp;number=102824.16609&amp;sourceID=11","102824.16609")</f>
        <v>102824.16609</v>
      </c>
      <c r="L16" s="4" t="str">
        <f>HYPERLINK("http://141.218.60.56/~jnz1568/getInfo.php?workbook=01_01.xlsx&amp;sheet=E0&amp;row=16&amp;col=12&amp;number=102823.8962&amp;sourceID=12","102823.8962")</f>
        <v>102823.8962</v>
      </c>
      <c r="M16" s="4" t="str">
        <f>HYPERLINK("http://141.218.60.56/~jnz1568/getInfo.php?workbook=01_01.xlsx&amp;sheet=E0&amp;row=16&amp;col=13&amp;number=102880&amp;sourceID=13","102880")</f>
        <v>102880</v>
      </c>
      <c r="N16" s="4" t="str">
        <f>HYPERLINK("http://141.218.60.56/~jnz1568/getInfo.php?workbook=01_01.xlsx&amp;sheet=E0&amp;row=16&amp;col=14&amp;number=102823.896&amp;sourceID=14","102823.896")</f>
        <v>102823.896</v>
      </c>
      <c r="O16" s="4" t="str">
        <f>HYPERLINK("http://141.218.60.56/~jnz1568/getInfo.php?workbook=01_01.xlsx&amp;sheet=E0&amp;row=16&amp;col=15&amp;number=102879&amp;sourceID=14","102879")</f>
        <v>102879</v>
      </c>
    </row>
    <row r="17" spans="1:15">
      <c r="A17" s="3">
        <v>1</v>
      </c>
      <c r="B17" s="3">
        <v>1</v>
      </c>
      <c r="C17" s="3">
        <f/>
        <v>0</v>
      </c>
      <c r="D17" s="3" t="s">
        <v>27</v>
      </c>
      <c r="E17" s="3" t="s">
        <v>24</v>
      </c>
      <c r="F17" s="3">
        <v>2</v>
      </c>
      <c r="G17" s="3">
        <v>2</v>
      </c>
      <c r="H17" s="3">
        <v>0</v>
      </c>
      <c r="I17" s="3">
        <v>2.5</v>
      </c>
      <c r="J17" s="4" t="str">
        <f>HYPERLINK("http://141.218.60.56/~jnz1568/getInfo.php?workbook=01_01.xlsx&amp;sheet=E0&amp;row=17&amp;col=10&amp;number=102823.909487&amp;sourceID=2","102823.909487")</f>
        <v>102823.909487</v>
      </c>
      <c r="K17" s="4" t="str">
        <f>HYPERLINK("http://141.218.60.56/~jnz1568/getInfo.php?workbook=01_01.xlsx&amp;sheet=E0&amp;row=17&amp;col=11&amp;number=102824.18129&amp;sourceID=11","102824.18129")</f>
        <v>102824.18129</v>
      </c>
      <c r="L17" s="4" t="str">
        <f>HYPERLINK("http://141.218.60.56/~jnz1568/getInfo.php?workbook=01_01.xlsx&amp;sheet=E0&amp;row=17&amp;col=12&amp;number=102823.9114&amp;sourceID=12","102823.9114")</f>
        <v>102823.9114</v>
      </c>
      <c r="M17" s="4" t="str">
        <f>HYPERLINK("http://141.218.60.56/~jnz1568/getInfo.php?workbook=01_01.xlsx&amp;sheet=E0&amp;row=17&amp;col=13&amp;number=102880&amp;sourceID=13","102880")</f>
        <v>102880</v>
      </c>
      <c r="N17" s="4" t="str">
        <f>HYPERLINK("http://141.218.60.56/~jnz1568/getInfo.php?workbook=01_01.xlsx&amp;sheet=E0&amp;row=17&amp;col=14&amp;number=102823.911&amp;sourceID=14","102823.911")</f>
        <v>102823.911</v>
      </c>
      <c r="O17" s="4" t="str">
        <f>HYPERLINK("http://141.218.60.56/~jnz1568/getInfo.php?workbook=01_01.xlsx&amp;sheet=E0&amp;row=17&amp;col=15&amp;number=102879&amp;sourceID=14","102879")</f>
        <v>102879</v>
      </c>
    </row>
    <row r="18" spans="1:15">
      <c r="A18" s="3">
        <v>1</v>
      </c>
      <c r="B18" s="3">
        <v>1</v>
      </c>
      <c r="C18" s="3">
        <f/>
        <v>0</v>
      </c>
      <c r="D18" s="3" t="s">
        <v>28</v>
      </c>
      <c r="E18" s="3" t="s">
        <v>29</v>
      </c>
      <c r="F18" s="3">
        <v>2</v>
      </c>
      <c r="G18" s="3">
        <v>3</v>
      </c>
      <c r="H18" s="3">
        <v>1</v>
      </c>
      <c r="I18" s="3">
        <v>2.5</v>
      </c>
      <c r="J18" s="4" t="str">
        <f>HYPERLINK("http://141.218.60.56/~jnz1568/getInfo.php?workbook=01_01.xlsx&amp;sheet=E0&amp;row=18&amp;col=10&amp;number=102823.90949&amp;sourceID=2","102823.90949")</f>
        <v>102823.90949</v>
      </c>
      <c r="K18" s="4" t="str">
        <f>HYPERLINK("http://141.218.60.56/~jnz1568/getInfo.php?workbook=01_01.xlsx&amp;sheet=E0&amp;row=18&amp;col=11&amp;number=102824.18129&amp;sourceID=11","102824.18129")</f>
        <v>102824.18129</v>
      </c>
      <c r="L18" s="4" t="str">
        <f>HYPERLINK("http://141.218.60.56/~jnz1568/getInfo.php?workbook=01_01.xlsx&amp;sheet=E0&amp;row=18&amp;col=12&amp;number=102823.9114&amp;sourceID=12","102823.9114")</f>
        <v>102823.9114</v>
      </c>
      <c r="M18" s="4" t="str">
        <f>HYPERLINK("http://141.218.60.56/~jnz1568/getInfo.php?workbook=01_01.xlsx&amp;sheet=E0&amp;row=18&amp;col=13&amp;number=102880&amp;sourceID=13","102880")</f>
        <v>102880</v>
      </c>
      <c r="N18" s="4" t="str">
        <f>HYPERLINK("http://141.218.60.56/~jnz1568/getInfo.php?workbook=01_01.xlsx&amp;sheet=E0&amp;row=18&amp;col=14&amp;number=102823.911&amp;sourceID=14","102823.911")</f>
        <v>102823.911</v>
      </c>
      <c r="O18" s="4" t="str">
        <f>HYPERLINK("http://141.218.60.56/~jnz1568/getInfo.php?workbook=01_01.xlsx&amp;sheet=E0&amp;row=18&amp;col=15&amp;number=102879&amp;sourceID=14","102879")</f>
        <v>102879</v>
      </c>
    </row>
    <row r="19" spans="1:15">
      <c r="A19" s="3">
        <v>1</v>
      </c>
      <c r="B19" s="3">
        <v>1</v>
      </c>
      <c r="C19" s="3">
        <f/>
        <v>0</v>
      </c>
      <c r="D19" s="3" t="s">
        <v>28</v>
      </c>
      <c r="E19" s="3" t="s">
        <v>29</v>
      </c>
      <c r="F19" s="3">
        <v>2</v>
      </c>
      <c r="G19" s="3">
        <v>3</v>
      </c>
      <c r="H19" s="3">
        <v>1</v>
      </c>
      <c r="I19" s="3">
        <v>3.5</v>
      </c>
      <c r="J19" s="4" t="str">
        <f>HYPERLINK("http://141.218.60.56/~jnz1568/getInfo.php?workbook=01_01.xlsx&amp;sheet=E0&amp;row=19&amp;col=10&amp;number=102823.917091&amp;sourceID=2","102823.917091")</f>
        <v>102823.917091</v>
      </c>
      <c r="K19" s="4" t="str">
        <f>HYPERLINK("http://141.218.60.56/~jnz1568/getInfo.php?workbook=01_01.xlsx&amp;sheet=E0&amp;row=19&amp;col=11&amp;number=102824.1889&amp;sourceID=11","102824.1889")</f>
        <v>102824.1889</v>
      </c>
      <c r="L19" s="4" t="str">
        <f>HYPERLINK("http://141.218.60.56/~jnz1568/getInfo.php?workbook=01_01.xlsx&amp;sheet=E0&amp;row=19&amp;col=12&amp;number=102823.919&amp;sourceID=12","102823.919")</f>
        <v>102823.919</v>
      </c>
      <c r="M19" s="4" t="str">
        <f>HYPERLINK("http://141.218.60.56/~jnz1568/getInfo.php?workbook=01_01.xlsx&amp;sheet=E0&amp;row=19&amp;col=13&amp;number=102880&amp;sourceID=13","102880")</f>
        <v>102880</v>
      </c>
      <c r="N19" s="4" t="str">
        <f>HYPERLINK("http://141.218.60.56/~jnz1568/getInfo.php?workbook=01_01.xlsx&amp;sheet=E0&amp;row=19&amp;col=14&amp;number=102823.919&amp;sourceID=14","102823.919")</f>
        <v>102823.919</v>
      </c>
      <c r="O19" s="4" t="str">
        <f>HYPERLINK("http://141.218.60.56/~jnz1568/getInfo.php?workbook=01_01.xlsx&amp;sheet=E0&amp;row=19&amp;col=15&amp;number=102879&amp;sourceID=14","102879")</f>
        <v>102879</v>
      </c>
    </row>
    <row r="20" spans="1:15">
      <c r="A20" s="3">
        <v>1</v>
      </c>
      <c r="B20" s="3">
        <v>1</v>
      </c>
      <c r="C20" s="3">
        <f/>
        <v>0</v>
      </c>
      <c r="D20" s="3" t="s">
        <v>30</v>
      </c>
      <c r="E20" s="3" t="s">
        <v>19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HYPERLINK("http://141.218.60.56/~jnz1568/getInfo.php?workbook=01_01.xlsx&amp;sheet=E0&amp;row=20&amp;col=10&amp;number=105291.62867&amp;sourceID=2","105291.62867")</f>
        <v>105291.62867</v>
      </c>
      <c r="K20" s="4" t="str">
        <f>HYPERLINK("http://141.218.60.56/~jnz1568/getInfo.php?workbook=01_01.xlsx&amp;sheet=E0&amp;row=20&amp;col=11&amp;number=105291.90051&amp;sourceID=11","105291.90051")</f>
        <v>105291.90051</v>
      </c>
      <c r="L20" s="4" t="str">
        <f>HYPERLINK("http://141.218.60.56/~jnz1568/getInfo.php?workbook=01_01.xlsx&amp;sheet=E0&amp;row=20&amp;col=12&amp;number=105291.6306&amp;sourceID=12","105291.6306")</f>
        <v>105291.6306</v>
      </c>
      <c r="M20" s="4" t="str">
        <f>HYPERLINK("http://141.218.60.56/~jnz1568/getInfo.php?workbook=01_01.xlsx&amp;sheet=E0&amp;row=20&amp;col=13&amp;number=&amp;sourceID=13","")</f>
        <v/>
      </c>
      <c r="N20" s="4" t="str">
        <f>HYPERLINK("http://141.218.60.56/~jnz1568/getInfo.php?workbook=01_01.xlsx&amp;sheet=E0&amp;row=20&amp;col=14&amp;number=105291.633&amp;sourceID=14","105291.633")</f>
        <v>105291.633</v>
      </c>
      <c r="O20" s="4" t="str">
        <f>HYPERLINK("http://141.218.60.56/~jnz1568/getInfo.php?workbook=01_01.xlsx&amp;sheet=E0&amp;row=20&amp;col=15&amp;number=105348&amp;sourceID=14","105348")</f>
        <v>105348</v>
      </c>
    </row>
    <row r="21" spans="1:15">
      <c r="A21" s="3">
        <v>1</v>
      </c>
      <c r="B21" s="3">
        <v>1</v>
      </c>
      <c r="C21" s="3">
        <f/>
        <v>0</v>
      </c>
      <c r="D21" s="3" t="s">
        <v>31</v>
      </c>
      <c r="E21" s="3" t="s">
        <v>17</v>
      </c>
      <c r="F21" s="3">
        <v>2</v>
      </c>
      <c r="G21" s="3">
        <v>0</v>
      </c>
      <c r="H21" s="3">
        <v>0</v>
      </c>
      <c r="I21" s="3">
        <v>0.5</v>
      </c>
      <c r="J21" s="4" t="str">
        <f>HYPERLINK("http://141.218.60.56/~jnz1568/getInfo.php?workbook=01_01.xlsx&amp;sheet=E0&amp;row=21&amp;col=10&amp;number=105291.63094&amp;sourceID=2","105291.63094")</f>
        <v>105291.63094</v>
      </c>
      <c r="K21" s="4" t="str">
        <f>HYPERLINK("http://141.218.60.56/~jnz1568/getInfo.php?workbook=01_01.xlsx&amp;sheet=E0&amp;row=21&amp;col=11&amp;number=105291.90051&amp;sourceID=11","105291.90051")</f>
        <v>105291.90051</v>
      </c>
      <c r="L21" s="4" t="str">
        <f>HYPERLINK("http://141.218.60.56/~jnz1568/getInfo.php?workbook=01_01.xlsx&amp;sheet=E0&amp;row=21&amp;col=12&amp;number=105291.6329&amp;sourceID=12","105291.6329")</f>
        <v>105291.6329</v>
      </c>
      <c r="M21" s="4" t="str">
        <f>HYPERLINK("http://141.218.60.56/~jnz1568/getInfo.php?workbook=01_01.xlsx&amp;sheet=E0&amp;row=21&amp;col=13&amp;number=&amp;sourceID=13","")</f>
        <v/>
      </c>
      <c r="N21" s="4" t="str">
        <f>HYPERLINK("http://141.218.60.56/~jnz1568/getInfo.php?workbook=01_01.xlsx&amp;sheet=E0&amp;row=21&amp;col=14&amp;number=105291.631&amp;sourceID=14","105291.631")</f>
        <v>105291.631</v>
      </c>
      <c r="O21" s="4" t="str">
        <f>HYPERLINK("http://141.218.60.56/~jnz1568/getInfo.php?workbook=01_01.xlsx&amp;sheet=E0&amp;row=21&amp;col=15&amp;number=105348&amp;sourceID=14","105348")</f>
        <v>105348</v>
      </c>
    </row>
    <row r="22" spans="1:15">
      <c r="A22" s="3">
        <v>1</v>
      </c>
      <c r="B22" s="3">
        <v>1</v>
      </c>
      <c r="C22" s="3">
        <f/>
        <v>0</v>
      </c>
      <c r="D22" s="3" t="s">
        <v>32</v>
      </c>
      <c r="E22" s="3" t="s">
        <v>24</v>
      </c>
      <c r="F22" s="3">
        <v>2</v>
      </c>
      <c r="G22" s="3">
        <v>2</v>
      </c>
      <c r="H22" s="3">
        <v>0</v>
      </c>
      <c r="I22" s="3">
        <v>1.5</v>
      </c>
      <c r="J22" s="4" t="str">
        <f>HYPERLINK("http://141.218.60.56/~jnz1568/getInfo.php?workbook=01_01.xlsx&amp;sheet=E0&amp;row=22&amp;col=10&amp;number=105291.651993&amp;sourceID=2","105291.651993")</f>
        <v>105291.651993</v>
      </c>
      <c r="K22" s="4" t="str">
        <f>HYPERLINK("http://141.218.60.56/~jnz1568/getInfo.php?workbook=01_01.xlsx&amp;sheet=E0&amp;row=22&amp;col=11&amp;number=105291.92388&amp;sourceID=11","105291.92388")</f>
        <v>105291.92388</v>
      </c>
      <c r="L22" s="4" t="str">
        <f>HYPERLINK("http://141.218.60.56/~jnz1568/getInfo.php?workbook=01_01.xlsx&amp;sheet=E0&amp;row=22&amp;col=12&amp;number=105291.654&amp;sourceID=12","105291.654")</f>
        <v>105291.654</v>
      </c>
      <c r="M22" s="4" t="str">
        <f>HYPERLINK("http://141.218.60.56/~jnz1568/getInfo.php?workbook=01_01.xlsx&amp;sheet=E0&amp;row=22&amp;col=13&amp;number=&amp;sourceID=13","")</f>
        <v/>
      </c>
      <c r="N22" s="4" t="str">
        <f>HYPERLINK("http://141.218.60.56/~jnz1568/getInfo.php?workbook=01_01.xlsx&amp;sheet=E0&amp;row=22&amp;col=14&amp;number=105291.654&amp;sourceID=14","105291.654")</f>
        <v>105291.654</v>
      </c>
      <c r="O22" s="4" t="str">
        <f>HYPERLINK("http://141.218.60.56/~jnz1568/getInfo.php?workbook=01_01.xlsx&amp;sheet=E0&amp;row=22&amp;col=15&amp;number=105348&amp;sourceID=14","105348")</f>
        <v>105348</v>
      </c>
    </row>
    <row r="23" spans="1:15">
      <c r="A23" s="3">
        <v>1</v>
      </c>
      <c r="B23" s="3">
        <v>1</v>
      </c>
      <c r="C23" s="3">
        <f/>
        <v>0</v>
      </c>
      <c r="D23" s="3" t="s">
        <v>30</v>
      </c>
      <c r="E23" s="3" t="s">
        <v>19</v>
      </c>
      <c r="F23" s="3">
        <v>2</v>
      </c>
      <c r="G23" s="3">
        <v>1</v>
      </c>
      <c r="H23" s="3">
        <v>1</v>
      </c>
      <c r="I23" s="3">
        <v>1.5</v>
      </c>
      <c r="J23" s="4" t="str">
        <f>HYPERLINK("http://141.218.60.56/~jnz1568/getInfo.php?workbook=01_01.xlsx&amp;sheet=E0&amp;row=23&amp;col=10&amp;number=105291.65209&amp;sourceID=2","105291.65209")</f>
        <v>105291.65209</v>
      </c>
      <c r="K23" s="4" t="str">
        <f>HYPERLINK("http://141.218.60.56/~jnz1568/getInfo.php?workbook=01_01.xlsx&amp;sheet=E0&amp;row=23&amp;col=11&amp;number=105291.92388&amp;sourceID=11","105291.92388")</f>
        <v>105291.92388</v>
      </c>
      <c r="L23" s="4" t="str">
        <f>HYPERLINK("http://141.218.60.56/~jnz1568/getInfo.php?workbook=01_01.xlsx&amp;sheet=E0&amp;row=23&amp;col=12&amp;number=105291.654&amp;sourceID=12","105291.654")</f>
        <v>105291.654</v>
      </c>
      <c r="M23" s="4" t="str">
        <f>HYPERLINK("http://141.218.60.56/~jnz1568/getInfo.php?workbook=01_01.xlsx&amp;sheet=E0&amp;row=23&amp;col=13&amp;number=&amp;sourceID=13","")</f>
        <v/>
      </c>
      <c r="N23" s="4" t="str">
        <f>HYPERLINK("http://141.218.60.56/~jnz1568/getInfo.php?workbook=01_01.xlsx&amp;sheet=E0&amp;row=23&amp;col=14&amp;number=105291.654&amp;sourceID=14","105291.654")</f>
        <v>105291.654</v>
      </c>
      <c r="O23" s="4" t="str">
        <f>HYPERLINK("http://141.218.60.56/~jnz1568/getInfo.php?workbook=01_01.xlsx&amp;sheet=E0&amp;row=23&amp;col=15&amp;number=105348&amp;sourceID=14","105348")</f>
        <v>105348</v>
      </c>
    </row>
    <row r="24" spans="1:15">
      <c r="A24" s="3">
        <v>1</v>
      </c>
      <c r="B24" s="3">
        <v>1</v>
      </c>
      <c r="C24" s="3">
        <f/>
        <v>0</v>
      </c>
      <c r="D24" s="3" t="s">
        <v>32</v>
      </c>
      <c r="E24" s="3" t="s">
        <v>24</v>
      </c>
      <c r="F24" s="3">
        <v>2</v>
      </c>
      <c r="G24" s="3">
        <v>2</v>
      </c>
      <c r="H24" s="3">
        <v>0</v>
      </c>
      <c r="I24" s="3">
        <v>2.5</v>
      </c>
      <c r="J24" s="4" t="str">
        <f>HYPERLINK("http://141.218.60.56/~jnz1568/getInfo.php?workbook=01_01.xlsx&amp;sheet=E0&amp;row=24&amp;col=10&amp;number=105291.659796&amp;sourceID=2","105291.659796")</f>
        <v>105291.659796</v>
      </c>
      <c r="K24" s="4" t="str">
        <f>HYPERLINK("http://141.218.60.56/~jnz1568/getInfo.php?workbook=01_01.xlsx&amp;sheet=E0&amp;row=24&amp;col=11&amp;number=105291.93166&amp;sourceID=11","105291.93166")</f>
        <v>105291.93166</v>
      </c>
      <c r="L24" s="4" t="str">
        <f>HYPERLINK("http://141.218.60.56/~jnz1568/getInfo.php?workbook=01_01.xlsx&amp;sheet=E0&amp;row=24&amp;col=12&amp;number=105291.6618&amp;sourceID=12","105291.6618")</f>
        <v>105291.6618</v>
      </c>
      <c r="M24" s="4" t="str">
        <f>HYPERLINK("http://141.218.60.56/~jnz1568/getInfo.php?workbook=01_01.xlsx&amp;sheet=E0&amp;row=24&amp;col=13&amp;number=&amp;sourceID=13","")</f>
        <v/>
      </c>
      <c r="N24" s="4" t="str">
        <f>HYPERLINK("http://141.218.60.56/~jnz1568/getInfo.php?workbook=01_01.xlsx&amp;sheet=E0&amp;row=24&amp;col=14&amp;number=105291.662&amp;sourceID=14","105291.662")</f>
        <v>105291.662</v>
      </c>
      <c r="O24" s="4" t="str">
        <f>HYPERLINK("http://141.218.60.56/~jnz1568/getInfo.php?workbook=01_01.xlsx&amp;sheet=E0&amp;row=24&amp;col=15&amp;number=105348&amp;sourceID=14","105348")</f>
        <v>105348</v>
      </c>
    </row>
    <row r="25" spans="1:15">
      <c r="A25" s="3">
        <v>1</v>
      </c>
      <c r="B25" s="3">
        <v>1</v>
      </c>
      <c r="C25" s="3">
        <f/>
        <v>0</v>
      </c>
      <c r="D25" s="3" t="s">
        <v>33</v>
      </c>
      <c r="E25" s="3" t="s">
        <v>29</v>
      </c>
      <c r="F25" s="3">
        <v>2</v>
      </c>
      <c r="G25" s="3">
        <v>3</v>
      </c>
      <c r="H25" s="3">
        <v>1</v>
      </c>
      <c r="I25" s="3">
        <v>2.5</v>
      </c>
      <c r="J25" s="4" t="str">
        <f>HYPERLINK("http://141.218.60.56/~jnz1568/getInfo.php?workbook=01_01.xlsx&amp;sheet=E0&amp;row=25&amp;col=10&amp;number=105291.659835&amp;sourceID=2","105291.659835")</f>
        <v>105291.659835</v>
      </c>
      <c r="K25" s="4" t="str">
        <f>HYPERLINK("http://141.218.60.56/~jnz1568/getInfo.php?workbook=01_01.xlsx&amp;sheet=E0&amp;row=25&amp;col=11&amp;number=105291.93166&amp;sourceID=11","105291.93166")</f>
        <v>105291.93166</v>
      </c>
      <c r="L25" s="4" t="str">
        <f>HYPERLINK("http://141.218.60.56/~jnz1568/getInfo.php?workbook=01_01.xlsx&amp;sheet=E0&amp;row=25&amp;col=12&amp;number=105291.6618&amp;sourceID=12","105291.6618")</f>
        <v>105291.6618</v>
      </c>
      <c r="M25" s="4" t="str">
        <f>HYPERLINK("http://141.218.60.56/~jnz1568/getInfo.php?workbook=01_01.xlsx&amp;sheet=E0&amp;row=25&amp;col=13&amp;number=&amp;sourceID=13","")</f>
        <v/>
      </c>
      <c r="N25" s="4" t="str">
        <f>HYPERLINK("http://141.218.60.56/~jnz1568/getInfo.php?workbook=01_01.xlsx&amp;sheet=E0&amp;row=25&amp;col=14&amp;number=105291.662&amp;sourceID=14","105291.662")</f>
        <v>105291.662</v>
      </c>
      <c r="O25" s="4" t="str">
        <f>HYPERLINK("http://141.218.60.56/~jnz1568/getInfo.php?workbook=01_01.xlsx&amp;sheet=E0&amp;row=25&amp;col=15&amp;number=105348&amp;sourceID=14","105348")</f>
        <v>105348</v>
      </c>
    </row>
    <row r="26" spans="1:15">
      <c r="A26" s="3">
        <v>1</v>
      </c>
      <c r="B26" s="3">
        <v>1</v>
      </c>
      <c r="C26" s="3">
        <f/>
        <v>0</v>
      </c>
      <c r="D26" s="3" t="s">
        <v>33</v>
      </c>
      <c r="E26" s="3" t="s">
        <v>29</v>
      </c>
      <c r="F26" s="3">
        <v>2</v>
      </c>
      <c r="G26" s="3">
        <v>3</v>
      </c>
      <c r="H26" s="3">
        <v>1</v>
      </c>
      <c r="I26" s="3">
        <v>3.5</v>
      </c>
      <c r="J26" s="4" t="str">
        <f>HYPERLINK("http://141.218.60.56/~jnz1568/getInfo.php?workbook=01_01.xlsx&amp;sheet=E0&amp;row=26&amp;col=10&amp;number=105291.6637&amp;sourceID=2","105291.6637")</f>
        <v>105291.6637</v>
      </c>
      <c r="K26" s="4" t="str">
        <f>HYPERLINK("http://141.218.60.56/~jnz1568/getInfo.php?workbook=01_01.xlsx&amp;sheet=E0&amp;row=26&amp;col=11&amp;number=105291.93556&amp;sourceID=11","105291.93556")</f>
        <v>105291.93556</v>
      </c>
      <c r="L26" s="4" t="str">
        <f>HYPERLINK("http://141.218.60.56/~jnz1568/getInfo.php?workbook=01_01.xlsx&amp;sheet=E0&amp;row=26&amp;col=12&amp;number=105291.6657&amp;sourceID=12","105291.6657")</f>
        <v>105291.6657</v>
      </c>
      <c r="M26" s="4" t="str">
        <f>HYPERLINK("http://141.218.60.56/~jnz1568/getInfo.php?workbook=01_01.xlsx&amp;sheet=E0&amp;row=26&amp;col=13&amp;number=&amp;sourceID=13","")</f>
        <v/>
      </c>
      <c r="N26" s="4" t="str">
        <f>HYPERLINK("http://141.218.60.56/~jnz1568/getInfo.php?workbook=01_01.xlsx&amp;sheet=E0&amp;row=26&amp;col=14&amp;number=105291.666&amp;sourceID=14","105291.666")</f>
        <v>105291.666</v>
      </c>
      <c r="O26" s="4" t="str">
        <f>HYPERLINK("http://141.218.60.56/~jnz1568/getInfo.php?workbook=01_01.xlsx&amp;sheet=E0&amp;row=26&amp;col=15&amp;number=105348&amp;sourceID=14","105348")</f>
        <v>105348</v>
      </c>
    </row>
    <row r="27" spans="1:15">
      <c r="A27" s="3">
        <v>1</v>
      </c>
      <c r="B27" s="3">
        <v>1</v>
      </c>
      <c r="C27" s="3">
        <f/>
        <v>0</v>
      </c>
      <c r="D27" s="3" t="s">
        <v>34</v>
      </c>
      <c r="E27" s="3" t="s">
        <v>35</v>
      </c>
      <c r="F27" s="3">
        <v>2</v>
      </c>
      <c r="G27" s="3">
        <v>4</v>
      </c>
      <c r="H27" s="3">
        <v>0</v>
      </c>
      <c r="I27" s="3">
        <v>3.5</v>
      </c>
      <c r="J27" s="4" t="str">
        <f>HYPERLINK("http://141.218.60.56/~jnz1568/getInfo.php?workbook=01_01.xlsx&amp;sheet=E0&amp;row=27&amp;col=10&amp;number=105291.66373&amp;sourceID=2","105291.66373")</f>
        <v>105291.66373</v>
      </c>
      <c r="K27" s="4" t="str">
        <f>HYPERLINK("http://141.218.60.56/~jnz1568/getInfo.php?workbook=01_01.xlsx&amp;sheet=E0&amp;row=27&amp;col=11&amp;number=105291.93556&amp;sourceID=11","105291.93556")</f>
        <v>105291.93556</v>
      </c>
      <c r="L27" s="4" t="str">
        <f>HYPERLINK("http://141.218.60.56/~jnz1568/getInfo.php?workbook=01_01.xlsx&amp;sheet=E0&amp;row=27&amp;col=12&amp;number=105291.6657&amp;sourceID=12","105291.6657")</f>
        <v>105291.6657</v>
      </c>
      <c r="M27" s="4" t="str">
        <f>HYPERLINK("http://141.218.60.56/~jnz1568/getInfo.php?workbook=01_01.xlsx&amp;sheet=E0&amp;row=27&amp;col=13&amp;number=&amp;sourceID=13","")</f>
        <v/>
      </c>
      <c r="N27" s="4" t="str">
        <f>HYPERLINK("http://141.218.60.56/~jnz1568/getInfo.php?workbook=01_01.xlsx&amp;sheet=E0&amp;row=27&amp;col=14&amp;number=105291.666&amp;sourceID=14","105291.666")</f>
        <v>105291.666</v>
      </c>
      <c r="O27" s="4" t="str">
        <f>HYPERLINK("http://141.218.60.56/~jnz1568/getInfo.php?workbook=01_01.xlsx&amp;sheet=E0&amp;row=27&amp;col=15&amp;number=105348&amp;sourceID=14","105348")</f>
        <v>105348</v>
      </c>
    </row>
    <row r="28" spans="1:15">
      <c r="A28" s="3">
        <v>1</v>
      </c>
      <c r="B28" s="3">
        <v>1</v>
      </c>
      <c r="C28" s="3">
        <f/>
        <v>0</v>
      </c>
      <c r="D28" s="3" t="s">
        <v>34</v>
      </c>
      <c r="E28" s="3" t="s">
        <v>35</v>
      </c>
      <c r="F28" s="3">
        <v>2</v>
      </c>
      <c r="G28" s="3">
        <v>4</v>
      </c>
      <c r="H28" s="3">
        <v>0</v>
      </c>
      <c r="I28" s="3">
        <v>4.5</v>
      </c>
      <c r="J28" s="4" t="str">
        <f>HYPERLINK("http://141.218.60.56/~jnz1568/getInfo.php?workbook=01_01.xlsx&amp;sheet=E0&amp;row=28&amp;col=10&amp;number=105291.666072&amp;sourceID=2","105291.666072")</f>
        <v>105291.666072</v>
      </c>
      <c r="K28" s="4" t="str">
        <f>HYPERLINK("http://141.218.60.56/~jnz1568/getInfo.php?workbook=01_01.xlsx&amp;sheet=E0&amp;row=28&amp;col=11&amp;number=105291.93789&amp;sourceID=11","105291.93789")</f>
        <v>105291.93789</v>
      </c>
      <c r="L28" s="4" t="str">
        <f>HYPERLINK("http://141.218.60.56/~jnz1568/getInfo.php?workbook=01_01.xlsx&amp;sheet=E0&amp;row=28&amp;col=12&amp;number=105291.668&amp;sourceID=12","105291.668")</f>
        <v>105291.668</v>
      </c>
      <c r="M28" s="4" t="str">
        <f>HYPERLINK("http://141.218.60.56/~jnz1568/getInfo.php?workbook=01_01.xlsx&amp;sheet=E0&amp;row=28&amp;col=13&amp;number=&amp;sourceID=13","")</f>
        <v/>
      </c>
      <c r="N28" s="4" t="str">
        <f>HYPERLINK("http://141.218.60.56/~jnz1568/getInfo.php?workbook=01_01.xlsx&amp;sheet=E0&amp;row=28&amp;col=14&amp;number=105291.668&amp;sourceID=14","105291.668")</f>
        <v>105291.668</v>
      </c>
      <c r="O28" s="4" t="str">
        <f>HYPERLINK("http://141.218.60.56/~jnz1568/getInfo.php?workbook=01_01.xlsx&amp;sheet=E0&amp;row=28&amp;col=15&amp;number=105348&amp;sourceID=14","105348")</f>
        <v>105348</v>
      </c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5"/>
  <cols>
    <col min="1" max="1" width="2.7109375" customWidth="1"/>
    <col min="2" max="2" width="2.7109375" customWidth="1"/>
    <col min="3" max="3" width="15.7109375" customWidth="1"/>
    <col min="4" max="4" width="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14.7109375" customWidth="1"/>
  </cols>
  <sheetData>
    <row r="1" spans="1:9">
      <c r="A1" s="1" t="s">
        <v>36</v>
      </c>
      <c r="B1" s="1"/>
      <c r="C1" s="1"/>
      <c r="D1" s="1"/>
      <c r="E1" s="1"/>
      <c r="F1" s="1"/>
      <c r="G1" s="1"/>
      <c r="H1" s="1"/>
      <c r="I1" s="1"/>
    </row>
    <row r="2" spans="1:9">
      <c r="A2" s="2"/>
      <c r="B2" s="2"/>
      <c r="C2" s="2"/>
      <c r="D2" s="2"/>
      <c r="E2" s="2"/>
      <c r="F2" s="2"/>
      <c r="G2" s="2"/>
      <c r="H2" s="2"/>
      <c r="I2" s="2" t="s">
        <v>1</v>
      </c>
    </row>
    <row r="3" spans="1:9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15</v>
      </c>
    </row>
    <row r="4" spans="1:9">
      <c r="A4" s="3">
        <v>1</v>
      </c>
      <c r="B4" s="3">
        <v>1</v>
      </c>
      <c r="C4" s="3">
        <v>1</v>
      </c>
      <c r="D4" s="3" t="s">
        <v>16</v>
      </c>
      <c r="E4" s="3" t="s">
        <v>17</v>
      </c>
      <c r="F4" s="3">
        <v>2</v>
      </c>
      <c r="G4" s="3">
        <v>0</v>
      </c>
      <c r="H4" s="3">
        <v>0</v>
      </c>
      <c r="I4" s="4" t="str">
        <f>HYPERLINK("http://141.218.60.56/~jnz1568/getInfo.php?workbook=01_01.xlsx&amp;sheet=E1&amp;row=4&amp;col=9&amp;number=0&amp;sourceID=2","0")</f>
        <v>0</v>
      </c>
    </row>
    <row r="5" spans="1:9">
      <c r="A5" s="3">
        <v>1</v>
      </c>
      <c r="B5" s="3">
        <v>1</v>
      </c>
      <c r="C5" s="3">
        <f>+C4+1</f>
        <v>0</v>
      </c>
      <c r="D5" s="3" t="s">
        <v>20</v>
      </c>
      <c r="E5" s="3" t="s">
        <v>17</v>
      </c>
      <c r="F5" s="3">
        <v>2</v>
      </c>
      <c r="G5" s="3">
        <v>0</v>
      </c>
      <c r="H5" s="3">
        <v>0</v>
      </c>
      <c r="I5" s="4" t="str">
        <f>HYPERLINK("http://141.218.60.56/~jnz1568/getInfo.php?workbook=01_01.xlsx&amp;sheet=E1&amp;row=5&amp;col=9&amp;number=82258.9543993&amp;sourceID=2","82258.9543993")</f>
        <v>82258.9543993</v>
      </c>
    </row>
    <row r="6" spans="1:9">
      <c r="A6" s="3">
        <v>1</v>
      </c>
      <c r="B6" s="3">
        <v>1</v>
      </c>
      <c r="C6" s="3">
        <f/>
        <v>0</v>
      </c>
      <c r="D6" s="3" t="s">
        <v>18</v>
      </c>
      <c r="E6" s="3" t="s">
        <v>19</v>
      </c>
      <c r="F6" s="3">
        <v>2</v>
      </c>
      <c r="G6" s="3">
        <v>1</v>
      </c>
      <c r="H6" s="3">
        <v>1</v>
      </c>
      <c r="I6" s="4" t="str">
        <f>HYPERLINK("http://141.218.60.56/~jnz1568/getInfo.php?workbook=01_01.xlsx&amp;sheet=E1&amp;row=6&amp;col=9&amp;number=82259.1630387&amp;sourceID=2","82259.1630387")</f>
        <v>82259.1630387</v>
      </c>
    </row>
    <row r="7" spans="1:9">
      <c r="A7" s="3">
        <v>1</v>
      </c>
      <c r="B7" s="3">
        <v>1</v>
      </c>
      <c r="C7" s="3">
        <f/>
        <v>0</v>
      </c>
      <c r="D7" s="3" t="s">
        <v>22</v>
      </c>
      <c r="E7" s="3" t="s">
        <v>17</v>
      </c>
      <c r="F7" s="3">
        <v>2</v>
      </c>
      <c r="G7" s="3">
        <v>0</v>
      </c>
      <c r="H7" s="3">
        <v>0</v>
      </c>
      <c r="I7" s="4" t="str">
        <f>HYPERLINK("http://141.218.60.56/~jnz1568/getInfo.php?workbook=01_01.xlsx&amp;sheet=E1&amp;row=7&amp;col=9&amp;number=97492.221701&amp;sourceID=2","97492.221701")</f>
        <v>97492.221701</v>
      </c>
    </row>
    <row r="8" spans="1:9">
      <c r="A8" s="3">
        <v>1</v>
      </c>
      <c r="B8" s="3">
        <v>1</v>
      </c>
      <c r="C8" s="3">
        <f/>
        <v>0</v>
      </c>
      <c r="D8" s="3" t="s">
        <v>21</v>
      </c>
      <c r="E8" s="3" t="s">
        <v>19</v>
      </c>
      <c r="F8" s="3">
        <v>2</v>
      </c>
      <c r="G8" s="3">
        <v>1</v>
      </c>
      <c r="H8" s="3">
        <v>1</v>
      </c>
      <c r="I8" s="4" t="str">
        <f>HYPERLINK("http://141.218.60.56/~jnz1568/getInfo.php?workbook=01_01.xlsx&amp;sheet=E1&amp;row=8&amp;col=9&amp;number=97492.283474&amp;sourceID=2","97492.283474")</f>
        <v>97492.283474</v>
      </c>
    </row>
    <row r="9" spans="1:9">
      <c r="A9" s="3">
        <v>1</v>
      </c>
      <c r="B9" s="3">
        <v>1</v>
      </c>
      <c r="C9" s="3">
        <f/>
        <v>0</v>
      </c>
      <c r="D9" s="3" t="s">
        <v>23</v>
      </c>
      <c r="E9" s="3" t="s">
        <v>24</v>
      </c>
      <c r="F9" s="3">
        <v>2</v>
      </c>
      <c r="G9" s="3">
        <v>2</v>
      </c>
      <c r="H9" s="3">
        <v>0</v>
      </c>
      <c r="I9" s="4" t="str">
        <f>HYPERLINK("http://141.218.60.56/~jnz1568/getInfo.php?workbook=01_01.xlsx&amp;sheet=E1&amp;row=9&amp;col=9&amp;number=97492.341113&amp;sourceID=2","97492.341113")</f>
        <v>97492.341113</v>
      </c>
    </row>
    <row r="10" spans="1:9">
      <c r="A10" s="3">
        <v>1</v>
      </c>
      <c r="B10" s="3">
        <v>1</v>
      </c>
      <c r="C10" s="3">
        <f/>
        <v>0</v>
      </c>
      <c r="D10" s="3" t="s">
        <v>26</v>
      </c>
      <c r="E10" s="3" t="s">
        <v>17</v>
      </c>
      <c r="F10" s="3">
        <v>2</v>
      </c>
      <c r="G10" s="3">
        <v>0</v>
      </c>
      <c r="H10" s="3">
        <v>0</v>
      </c>
      <c r="I10" s="4" t="str">
        <f>HYPERLINK("http://141.218.60.56/~jnz1568/getInfo.php?workbook=01_01.xlsx&amp;sheet=E1&amp;row=10&amp;col=9&amp;number=102823.853021&amp;sourceID=2","102823.853021")</f>
        <v>102823.853021</v>
      </c>
    </row>
    <row r="11" spans="1:9">
      <c r="A11" s="3">
        <v>1</v>
      </c>
      <c r="B11" s="3">
        <v>1</v>
      </c>
      <c r="C11" s="3">
        <f/>
        <v>0</v>
      </c>
      <c r="D11" s="3" t="s">
        <v>25</v>
      </c>
      <c r="E11" s="3" t="s">
        <v>19</v>
      </c>
      <c r="F11" s="3">
        <v>2</v>
      </c>
      <c r="G11" s="3">
        <v>1</v>
      </c>
      <c r="H11" s="3">
        <v>1</v>
      </c>
      <c r="I11" s="4" t="str">
        <f>HYPERLINK("http://141.218.60.56/~jnz1568/getInfo.php?workbook=01_01.xlsx&amp;sheet=E1&amp;row=11&amp;col=9&amp;number=102823.879072&amp;sourceID=2","102823.879072")</f>
        <v>102823.879072</v>
      </c>
    </row>
    <row r="12" spans="1:9">
      <c r="A12" s="3">
        <v>1</v>
      </c>
      <c r="B12" s="3">
        <v>1</v>
      </c>
      <c r="C12" s="3">
        <f/>
        <v>0</v>
      </c>
      <c r="D12" s="3" t="s">
        <v>27</v>
      </c>
      <c r="E12" s="3" t="s">
        <v>24</v>
      </c>
      <c r="F12" s="3">
        <v>2</v>
      </c>
      <c r="G12" s="3">
        <v>2</v>
      </c>
      <c r="H12" s="3">
        <v>0</v>
      </c>
      <c r="I12" s="4" t="str">
        <f>HYPERLINK("http://141.218.60.56/~jnz1568/getInfo.php?workbook=01_01.xlsx&amp;sheet=E1&amp;row=12&amp;col=9&amp;number=102823.903392&amp;sourceID=2","102823.903392")</f>
        <v>102823.903392</v>
      </c>
    </row>
    <row r="13" spans="1:9">
      <c r="A13" s="3">
        <v>1</v>
      </c>
      <c r="B13" s="3">
        <v>1</v>
      </c>
      <c r="C13" s="3">
        <f/>
        <v>0</v>
      </c>
      <c r="D13" s="3" t="s">
        <v>28</v>
      </c>
      <c r="E13" s="3" t="s">
        <v>29</v>
      </c>
      <c r="F13" s="3">
        <v>2</v>
      </c>
      <c r="G13" s="3">
        <v>3</v>
      </c>
      <c r="H13" s="3">
        <v>1</v>
      </c>
      <c r="I13" s="4" t="str">
        <f>HYPERLINK("http://141.218.60.56/~jnz1568/getInfo.php?workbook=01_01.xlsx&amp;sheet=E1&amp;row=13&amp;col=9&amp;number=102823.91383&amp;sourceID=2","102823.91383")</f>
        <v>102823.91383</v>
      </c>
    </row>
    <row r="14" spans="1:9">
      <c r="A14" s="3">
        <v>1</v>
      </c>
      <c r="B14" s="3">
        <v>1</v>
      </c>
      <c r="C14" s="3">
        <f/>
        <v>0</v>
      </c>
      <c r="D14" s="3" t="s">
        <v>31</v>
      </c>
      <c r="E14" s="3" t="s">
        <v>17</v>
      </c>
      <c r="F14" s="3">
        <v>2</v>
      </c>
      <c r="G14" s="3">
        <v>0</v>
      </c>
      <c r="H14" s="3">
        <v>0</v>
      </c>
      <c r="I14" s="4" t="str">
        <f>HYPERLINK("http://141.218.60.56/~jnz1568/getInfo.php?workbook=01_01.xlsx&amp;sheet=E1&amp;row=14&amp;col=9&amp;number=105291.63094&amp;sourceID=2","105291.63094")</f>
        <v>105291.63094</v>
      </c>
    </row>
    <row r="15" spans="1:9">
      <c r="A15" s="3">
        <v>1</v>
      </c>
      <c r="B15" s="3">
        <v>1</v>
      </c>
      <c r="C15" s="3">
        <f/>
        <v>0</v>
      </c>
      <c r="D15" s="3" t="s">
        <v>30</v>
      </c>
      <c r="E15" s="3" t="s">
        <v>19</v>
      </c>
      <c r="F15" s="3">
        <v>2</v>
      </c>
      <c r="G15" s="3">
        <v>1</v>
      </c>
      <c r="H15" s="3">
        <v>1</v>
      </c>
      <c r="I15" s="4" t="str">
        <f>HYPERLINK("http://141.218.60.56/~jnz1568/getInfo.php?workbook=01_01.xlsx&amp;sheet=E1&amp;row=15&amp;col=9&amp;number=105291.64428&amp;sourceID=2","105291.64428")</f>
        <v>105291.64428</v>
      </c>
    </row>
    <row r="16" spans="1:9">
      <c r="A16" s="3">
        <v>1</v>
      </c>
      <c r="B16" s="3">
        <v>1</v>
      </c>
      <c r="C16" s="3">
        <f/>
        <v>0</v>
      </c>
      <c r="D16" s="3" t="s">
        <v>32</v>
      </c>
      <c r="E16" s="3" t="s">
        <v>24</v>
      </c>
      <c r="F16" s="3">
        <v>2</v>
      </c>
      <c r="G16" s="3">
        <v>2</v>
      </c>
      <c r="H16" s="3">
        <v>0</v>
      </c>
      <c r="I16" s="4" t="str">
        <f>HYPERLINK("http://141.218.60.56/~jnz1568/getInfo.php?workbook=01_01.xlsx&amp;sheet=E1&amp;row=16&amp;col=9&amp;number=105291.656675&amp;sourceID=2","105291.656675")</f>
        <v>105291.656675</v>
      </c>
    </row>
    <row r="17" spans="1:9">
      <c r="A17" s="3">
        <v>1</v>
      </c>
      <c r="B17" s="3">
        <v>1</v>
      </c>
      <c r="C17" s="3">
        <f/>
        <v>0</v>
      </c>
      <c r="D17" s="3" t="s">
        <v>33</v>
      </c>
      <c r="E17" s="3" t="s">
        <v>29</v>
      </c>
      <c r="F17" s="3">
        <v>2</v>
      </c>
      <c r="G17" s="3">
        <v>3</v>
      </c>
      <c r="H17" s="3">
        <v>1</v>
      </c>
      <c r="I17" s="4" t="str">
        <f>HYPERLINK("http://141.218.60.56/~jnz1568/getInfo.php?workbook=01_01.xlsx&amp;sheet=E1&amp;row=17&amp;col=9&amp;number=105291.66204&amp;sourceID=2","105291.66204")</f>
        <v>105291.66204</v>
      </c>
    </row>
    <row r="18" spans="1:9">
      <c r="A18" s="3">
        <v>1</v>
      </c>
      <c r="B18" s="3">
        <v>1</v>
      </c>
      <c r="C18" s="3">
        <f/>
        <v>0</v>
      </c>
      <c r="D18" s="3" t="s">
        <v>34</v>
      </c>
      <c r="E18" s="3" t="s">
        <v>35</v>
      </c>
      <c r="F18" s="3">
        <v>2</v>
      </c>
      <c r="G18" s="3">
        <v>4</v>
      </c>
      <c r="H18" s="3">
        <v>0</v>
      </c>
      <c r="I18" s="4" t="str">
        <f>HYPERLINK("http://141.218.60.56/~jnz1568/getInfo.php?workbook=01_01.xlsx&amp;sheet=E1&amp;row=18&amp;col=9&amp;number=105291.665031&amp;sourceID=2","105291.665031")</f>
        <v>105291.665031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284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15.7109375" customWidth="1"/>
    <col min="6" max="6" width="11.7109375" customWidth="1"/>
    <col min="7" max="7" width="15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5.7109375" customWidth="1"/>
    <col min="15" max="15" width="11.7109375" customWidth="1"/>
    <col min="16" max="16" width="10.7109375" customWidth="1"/>
    <col min="17" max="17" width="11.7109375" customWidth="1"/>
    <col min="18" max="18" width="11.7109375" customWidth="1"/>
    <col min="19" max="19" width="11.7109375" customWidth="1"/>
    <col min="20" max="20" width="11.7109375" customWidth="1"/>
    <col min="21" max="21" width="13.7109375" customWidth="1"/>
    <col min="22" max="22" width="11.7109375" customWidth="1"/>
    <col min="23" max="23" width="10.7109375" customWidth="1"/>
    <col min="24" max="24" width="11.7109375" customWidth="1"/>
    <col min="25" max="25" width="11.7109375" customWidth="1"/>
    <col min="26" max="26" width="11.7109375" customWidth="1"/>
    <col min="27" max="27" width="11.7109375" customWidth="1"/>
    <col min="28" max="28" width="15.7109375" customWidth="1"/>
    <col min="29" max="29" width="10.7109375" customWidth="1"/>
    <col min="30" max="30" width="10.7109375" customWidth="1"/>
    <col min="31" max="31" width="10.7109375" customWidth="1"/>
    <col min="32" max="32" width="10.7109375" customWidth="1"/>
    <col min="33" max="33" width="10.7109375" customWidth="1"/>
    <col min="34" max="34" width="13.7109375" customWidth="1"/>
  </cols>
  <sheetData>
    <row r="1" spans="1:34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>
      <c r="A2" s="2"/>
      <c r="B2" s="2"/>
      <c r="C2" s="2"/>
      <c r="D2" s="2"/>
      <c r="E2" s="2"/>
      <c r="F2" s="2" t="s">
        <v>38</v>
      </c>
      <c r="G2" s="2" t="s">
        <v>39</v>
      </c>
      <c r="H2" s="2" t="s">
        <v>39</v>
      </c>
      <c r="I2" s="2" t="s">
        <v>39</v>
      </c>
      <c r="J2" s="2" t="s">
        <v>39</v>
      </c>
      <c r="K2" s="2" t="s">
        <v>39</v>
      </c>
      <c r="L2" s="2" t="s">
        <v>39</v>
      </c>
      <c r="M2" s="2" t="s">
        <v>39</v>
      </c>
      <c r="N2" s="2" t="s">
        <v>2</v>
      </c>
      <c r="O2" s="2" t="s">
        <v>2</v>
      </c>
      <c r="P2" s="2" t="s">
        <v>2</v>
      </c>
      <c r="Q2" s="2" t="s">
        <v>2</v>
      </c>
      <c r="R2" s="2" t="s">
        <v>2</v>
      </c>
      <c r="S2" s="2" t="s">
        <v>2</v>
      </c>
      <c r="T2" s="2" t="s">
        <v>2</v>
      </c>
      <c r="U2" s="2" t="s">
        <v>3</v>
      </c>
      <c r="V2" s="2" t="s">
        <v>3</v>
      </c>
      <c r="W2" s="2" t="s">
        <v>3</v>
      </c>
      <c r="X2" s="2" t="s">
        <v>3</v>
      </c>
      <c r="Y2" s="2" t="s">
        <v>3</v>
      </c>
      <c r="Z2" s="2" t="s">
        <v>3</v>
      </c>
      <c r="AA2" s="2" t="s">
        <v>3</v>
      </c>
      <c r="AB2" s="2" t="s">
        <v>38</v>
      </c>
      <c r="AC2" s="2" t="s">
        <v>38</v>
      </c>
      <c r="AD2" s="2" t="s">
        <v>38</v>
      </c>
      <c r="AE2" s="2" t="s">
        <v>38</v>
      </c>
      <c r="AF2" s="2" t="s">
        <v>38</v>
      </c>
      <c r="AG2" s="2" t="s">
        <v>38</v>
      </c>
      <c r="AH2" s="2" t="s">
        <v>40</v>
      </c>
    </row>
    <row r="3" spans="1:34">
      <c r="A3" s="2" t="s">
        <v>6</v>
      </c>
      <c r="B3" s="2" t="s">
        <v>7</v>
      </c>
      <c r="C3" s="2" t="s">
        <v>41</v>
      </c>
      <c r="D3" s="2" t="s">
        <v>8</v>
      </c>
      <c r="E3" s="2" t="s">
        <v>42</v>
      </c>
      <c r="F3" s="2" t="s">
        <v>43</v>
      </c>
      <c r="G3" s="2" t="s">
        <v>44</v>
      </c>
      <c r="H3" s="2" t="s">
        <v>45</v>
      </c>
      <c r="I3" s="2" t="s">
        <v>46</v>
      </c>
      <c r="J3" s="2" t="s">
        <v>47</v>
      </c>
      <c r="K3" s="2" t="s">
        <v>48</v>
      </c>
      <c r="L3" s="2" t="s">
        <v>49</v>
      </c>
      <c r="M3" s="2" t="s">
        <v>50</v>
      </c>
      <c r="N3" s="2" t="s">
        <v>44</v>
      </c>
      <c r="O3" s="2" t="s">
        <v>45</v>
      </c>
      <c r="P3" s="2" t="s">
        <v>46</v>
      </c>
      <c r="Q3" s="2" t="s">
        <v>47</v>
      </c>
      <c r="R3" s="2" t="s">
        <v>48</v>
      </c>
      <c r="S3" s="2" t="s">
        <v>49</v>
      </c>
      <c r="T3" s="2" t="s">
        <v>50</v>
      </c>
      <c r="U3" s="2" t="s">
        <v>44</v>
      </c>
      <c r="V3" s="2" t="s">
        <v>45</v>
      </c>
      <c r="W3" s="2" t="s">
        <v>46</v>
      </c>
      <c r="X3" s="2" t="s">
        <v>47</v>
      </c>
      <c r="Y3" s="2" t="s">
        <v>48</v>
      </c>
      <c r="Z3" s="2" t="s">
        <v>49</v>
      </c>
      <c r="AA3" s="2" t="s">
        <v>50</v>
      </c>
      <c r="AB3" s="2" t="s">
        <v>44</v>
      </c>
      <c r="AC3" s="2" t="s">
        <v>45</v>
      </c>
      <c r="AD3" s="2" t="s">
        <v>46</v>
      </c>
      <c r="AE3" s="2" t="s">
        <v>47</v>
      </c>
      <c r="AF3" s="2" t="s">
        <v>48</v>
      </c>
      <c r="AG3" s="2" t="s">
        <v>49</v>
      </c>
      <c r="AH3" s="2" t="s">
        <v>44</v>
      </c>
    </row>
    <row r="4" spans="1:34">
      <c r="A4" s="3">
        <v>1</v>
      </c>
      <c r="B4" s="3">
        <v>1</v>
      </c>
      <c r="C4" s="3">
        <v>2</v>
      </c>
      <c r="D4" s="3">
        <v>1</v>
      </c>
      <c r="E4" s="3">
        <f>((1/(INDEX(E0!J$4:J$28,C4,1)-INDEX(E0!J$4:J$28,D4,1))))*100000000</f>
        <v>0</v>
      </c>
      <c r="F4" s="4" t="str">
        <f>HYPERLINK("http://141.218.60.56/~jnz1568/getInfo.php?workbook=01_01.xlsx&amp;sheet=A0&amp;row=4&amp;col=6&amp;number=&amp;sourceID=18","")</f>
        <v/>
      </c>
      <c r="G4" s="4" t="str">
        <f>HYPERLINK("http://141.218.60.56/~jnz1568/getInfo.php?workbook=01_01.xlsx&amp;sheet=A0&amp;row=4&amp;col=7&amp;number=626490000&amp;sourceID=15","626490000")</f>
        <v>626490000</v>
      </c>
      <c r="H4" s="4" t="str">
        <f>HYPERLINK("http://141.218.60.56/~jnz1568/getInfo.php?workbook=01_01.xlsx&amp;sheet=A0&amp;row=4&amp;col=8&amp;number=626490000&amp;sourceID=15","626490000")</f>
        <v>626490000</v>
      </c>
      <c r="I4" s="4" t="str">
        <f>HYPERLINK("http://141.218.60.56/~jnz1568/getInfo.php?workbook=01_01.xlsx&amp;sheet=A0&amp;row=4&amp;col=9&amp;number=&amp;sourceID=15","")</f>
        <v/>
      </c>
      <c r="J4" s="4" t="str">
        <f>HYPERLINK("http://141.218.60.56/~jnz1568/getInfo.php?workbook=01_01.xlsx&amp;sheet=A0&amp;row=4&amp;col=10&amp;number=&amp;sourceID=15","")</f>
        <v/>
      </c>
      <c r="K4" s="4" t="str">
        <f>HYPERLINK("http://141.218.60.56/~jnz1568/getInfo.php?workbook=01_01.xlsx&amp;sheet=A0&amp;row=4&amp;col=11&amp;number=&amp;sourceID=15","")</f>
        <v/>
      </c>
      <c r="L4" s="4" t="str">
        <f>HYPERLINK("http://141.218.60.56/~jnz1568/getInfo.php?workbook=01_01.xlsx&amp;sheet=A0&amp;row=4&amp;col=12&amp;number=&amp;sourceID=15","")</f>
        <v/>
      </c>
      <c r="M4" s="4" t="str">
        <f>HYPERLINK("http://141.218.60.56/~jnz1568/getInfo.php?workbook=01_01.xlsx&amp;sheet=A0&amp;row=4&amp;col=13&amp;number=&amp;sourceID=15","")</f>
        <v/>
      </c>
      <c r="N4" s="4" t="str">
        <f>HYPERLINK("http://141.218.60.56/~jnz1568/getInfo.php?workbook=01_01.xlsx&amp;sheet=A0&amp;row=4&amp;col=14&amp;number==SUM(O4:T4)&amp;sourceID=11","=SUM(O4:T4)")</f>
        <v>=SUM(O4:T4)</v>
      </c>
      <c r="O4" s="4" t="str">
        <f>HYPERLINK("http://141.218.60.56/~jnz1568/getInfo.php?workbook=01_01.xlsx&amp;sheet=A0&amp;row=4&amp;col=15&amp;number=626490000&amp;sourceID=11","626490000")</f>
        <v>626490000</v>
      </c>
      <c r="P4" s="4" t="str">
        <f>HYPERLINK("http://141.218.60.56/~jnz1568/getInfo.php?workbook=01_01.xlsx&amp;sheet=A0&amp;row=4&amp;col=16&amp;number=&amp;sourceID=11","")</f>
        <v/>
      </c>
      <c r="Q4" s="4" t="str">
        <f>HYPERLINK("http://141.218.60.56/~jnz1568/getInfo.php?workbook=01_01.xlsx&amp;sheet=A0&amp;row=4&amp;col=17&amp;number=&amp;sourceID=11","")</f>
        <v/>
      </c>
      <c r="R4" s="4" t="str">
        <f>HYPERLINK("http://141.218.60.56/~jnz1568/getInfo.php?workbook=01_01.xlsx&amp;sheet=A0&amp;row=4&amp;col=18&amp;number=&amp;sourceID=11","")</f>
        <v/>
      </c>
      <c r="S4" s="4" t="str">
        <f>HYPERLINK("http://141.218.60.56/~jnz1568/getInfo.php?workbook=01_01.xlsx&amp;sheet=A0&amp;row=4&amp;col=19&amp;number=&amp;sourceID=11","")</f>
        <v/>
      </c>
      <c r="T4" s="4" t="str">
        <f>HYPERLINK("http://141.218.60.56/~jnz1568/getInfo.php?workbook=01_01.xlsx&amp;sheet=A0&amp;row=4&amp;col=20&amp;number=&amp;sourceID=11","")</f>
        <v/>
      </c>
      <c r="U4" s="4" t="str">
        <f>HYPERLINK("http://141.218.60.56/~jnz1568/getInfo.php?workbook=01_01.xlsx&amp;sheet=A0&amp;row=4&amp;col=21&amp;number=626840000&amp;sourceID=12","626840000")</f>
        <v>626840000</v>
      </c>
      <c r="V4" s="4" t="str">
        <f>HYPERLINK("http://141.218.60.56/~jnz1568/getInfo.php?workbook=01_01.xlsx&amp;sheet=A0&amp;row=4&amp;col=22&amp;number=626840000&amp;sourceID=12","626840000")</f>
        <v>626840000</v>
      </c>
      <c r="W4" s="4" t="str">
        <f>HYPERLINK("http://141.218.60.56/~jnz1568/getInfo.php?workbook=01_01.xlsx&amp;sheet=A0&amp;row=4&amp;col=23&amp;number=&amp;sourceID=12","")</f>
        <v/>
      </c>
      <c r="X4" s="4" t="str">
        <f>HYPERLINK("http://141.218.60.56/~jnz1568/getInfo.php?workbook=01_01.xlsx&amp;sheet=A0&amp;row=4&amp;col=24&amp;number=&amp;sourceID=12","")</f>
        <v/>
      </c>
      <c r="Y4" s="4" t="str">
        <f>HYPERLINK("http://141.218.60.56/~jnz1568/getInfo.php?workbook=01_01.xlsx&amp;sheet=A0&amp;row=4&amp;col=25&amp;number=&amp;sourceID=12","")</f>
        <v/>
      </c>
      <c r="Z4" s="4" t="str">
        <f>HYPERLINK("http://141.218.60.56/~jnz1568/getInfo.php?workbook=01_01.xlsx&amp;sheet=A0&amp;row=4&amp;col=26&amp;number=&amp;sourceID=12","")</f>
        <v/>
      </c>
      <c r="AA4" s="4" t="str">
        <f>HYPERLINK("http://141.218.60.56/~jnz1568/getInfo.php?workbook=01_01.xlsx&amp;sheet=A0&amp;row=4&amp;col=27&amp;number=&amp;sourceID=12","")</f>
        <v/>
      </c>
      <c r="AB4" s="4" t="str">
        <f>HYPERLINK("http://141.218.60.56/~jnz1568/getInfo.php?workbook=01_01.xlsx&amp;sheet=A0&amp;row=4&amp;col=28&amp;number==SUM(AC4:AG4)&amp;sourceID=18","=SUM(AC4:AG4)")</f>
        <v>=SUM(AC4:AG4)</v>
      </c>
      <c r="AC4" s="4" t="str">
        <f>HYPERLINK("http://141.218.60.56/~jnz1568/getInfo.php?workbook=01_01.xlsx&amp;sheet=A0&amp;row=4&amp;col=29&amp;number=627000000&amp;sourceID=18","627000000")</f>
        <v>627000000</v>
      </c>
      <c r="AD4" s="4" t="str">
        <f>HYPERLINK("http://141.218.60.56/~jnz1568/getInfo.php?workbook=01_01.xlsx&amp;sheet=A0&amp;row=4&amp;col=30&amp;number=&amp;sourceID=18","")</f>
        <v/>
      </c>
      <c r="AE4" s="4" t="str">
        <f>HYPERLINK("http://141.218.60.56/~jnz1568/getInfo.php?workbook=01_01.xlsx&amp;sheet=A0&amp;row=4&amp;col=31&amp;number=&amp;sourceID=18","")</f>
        <v/>
      </c>
      <c r="AF4" s="4" t="str">
        <f>HYPERLINK("http://141.218.60.56/~jnz1568/getInfo.php?workbook=01_01.xlsx&amp;sheet=A0&amp;row=4&amp;col=32&amp;number=&amp;sourceID=18","")</f>
        <v/>
      </c>
      <c r="AG4" s="4" t="str">
        <f>HYPERLINK("http://141.218.60.56/~jnz1568/getInfo.php?workbook=01_01.xlsx&amp;sheet=A0&amp;row=4&amp;col=33&amp;number=&amp;sourceID=18","")</f>
        <v/>
      </c>
      <c r="AH4" s="4" t="str">
        <f>HYPERLINK("http://141.218.60.56/~jnz1568/getInfo.php?workbook=01_01.xlsx&amp;sheet=A0&amp;row=4&amp;col=34&amp;number=626490000&amp;sourceID=20","626490000")</f>
        <v>626490000</v>
      </c>
    </row>
    <row r="5" spans="1:34">
      <c r="A5" s="3">
        <v>1</v>
      </c>
      <c r="B5" s="3">
        <v>1</v>
      </c>
      <c r="C5" s="3">
        <v>3</v>
      </c>
      <c r="D5" s="3">
        <v>1</v>
      </c>
      <c r="E5" s="3">
        <f>((1/(INDEX(E0!J$4:J$28,C5,1)-INDEX(E0!J$4:J$28,D5,1))))*100000000</f>
        <v>0</v>
      </c>
      <c r="F5" s="4" t="str">
        <f>HYPERLINK("http://141.218.60.56/~jnz1568/getInfo.php?workbook=01_01.xlsx&amp;sheet=A0&amp;row=5&amp;col=6&amp;number=8.2291&amp;sourceID=18","8.2291")</f>
        <v>8.2291</v>
      </c>
      <c r="G5" s="4" t="str">
        <f>HYPERLINK("http://141.218.60.56/~jnz1568/getInfo.php?workbook=01_01.xlsx&amp;sheet=A0&amp;row=5&amp;col=7&amp;number=&amp;sourceID=15","")</f>
        <v/>
      </c>
      <c r="H5" s="4" t="str">
        <f>HYPERLINK("http://141.218.60.56/~jnz1568/getInfo.php?workbook=01_01.xlsx&amp;sheet=A0&amp;row=5&amp;col=8&amp;number=&amp;sourceID=15","")</f>
        <v/>
      </c>
      <c r="I5" s="4" t="str">
        <f>HYPERLINK("http://141.218.60.56/~jnz1568/getInfo.php?workbook=01_01.xlsx&amp;sheet=A0&amp;row=5&amp;col=9&amp;number=&amp;sourceID=15","")</f>
        <v/>
      </c>
      <c r="J5" s="4" t="str">
        <f>HYPERLINK("http://141.218.60.56/~jnz1568/getInfo.php?workbook=01_01.xlsx&amp;sheet=A0&amp;row=5&amp;col=10&amp;number=&amp;sourceID=15","")</f>
        <v/>
      </c>
      <c r="K5" s="4" t="str">
        <f>HYPERLINK("http://141.218.60.56/~jnz1568/getInfo.php?workbook=01_01.xlsx&amp;sheet=A0&amp;row=5&amp;col=11&amp;number=2.495e-06&amp;sourceID=15","2.495e-06")</f>
        <v>2.495e-06</v>
      </c>
      <c r="L5" s="4" t="str">
        <f>HYPERLINK("http://141.218.60.56/~jnz1568/getInfo.php?workbook=01_01.xlsx&amp;sheet=A0&amp;row=5&amp;col=12&amp;number=&amp;sourceID=15","")</f>
        <v/>
      </c>
      <c r="M5" s="4" t="str">
        <f>HYPERLINK("http://141.218.60.56/~jnz1568/getInfo.php?workbook=01_01.xlsx&amp;sheet=A0&amp;row=5&amp;col=13&amp;number=&amp;sourceID=15","")</f>
        <v/>
      </c>
      <c r="N5" s="4" t="str">
        <f>HYPERLINK("http://141.218.60.56/~jnz1568/getInfo.php?workbook=01_01.xlsx&amp;sheet=A0&amp;row=5&amp;col=14&amp;number=&amp;sourceID=11","")</f>
        <v/>
      </c>
      <c r="O5" s="4" t="str">
        <f>HYPERLINK("http://141.218.60.56/~jnz1568/getInfo.php?workbook=01_01.xlsx&amp;sheet=A0&amp;row=5&amp;col=15&amp;number=&amp;sourceID=11","")</f>
        <v/>
      </c>
      <c r="P5" s="4" t="str">
        <f>HYPERLINK("http://141.218.60.56/~jnz1568/getInfo.php?workbook=01_01.xlsx&amp;sheet=A0&amp;row=5&amp;col=16&amp;number=&amp;sourceID=11","")</f>
        <v/>
      </c>
      <c r="Q5" s="4" t="str">
        <f>HYPERLINK("http://141.218.60.56/~jnz1568/getInfo.php?workbook=01_01.xlsx&amp;sheet=A0&amp;row=5&amp;col=17&amp;number=&amp;sourceID=11","")</f>
        <v/>
      </c>
      <c r="R5" s="4" t="str">
        <f>HYPERLINK("http://141.218.60.56/~jnz1568/getInfo.php?workbook=01_01.xlsx&amp;sheet=A0&amp;row=5&amp;col=18&amp;number=2.4946e-06&amp;sourceID=11","2.4946e-06")</f>
        <v>2.4946e-06</v>
      </c>
      <c r="S5" s="4" t="str">
        <f>HYPERLINK("http://141.218.60.56/~jnz1568/getInfo.php?workbook=01_01.xlsx&amp;sheet=A0&amp;row=5&amp;col=19&amp;number=&amp;sourceID=11","")</f>
        <v/>
      </c>
      <c r="T5" s="4" t="str">
        <f>HYPERLINK("http://141.218.60.56/~jnz1568/getInfo.php?workbook=01_01.xlsx&amp;sheet=A0&amp;row=5&amp;col=20&amp;number=&amp;sourceID=11","")</f>
        <v/>
      </c>
      <c r="U5" s="4" t="str">
        <f>HYPERLINK("http://141.218.60.56/~jnz1568/getInfo.php?workbook=01_01.xlsx&amp;sheet=A0&amp;row=5&amp;col=21&amp;number=&amp;sourceID=12","")</f>
        <v/>
      </c>
      <c r="V5" s="4" t="str">
        <f>HYPERLINK("http://141.218.60.56/~jnz1568/getInfo.php?workbook=01_01.xlsx&amp;sheet=A0&amp;row=5&amp;col=22&amp;number=&amp;sourceID=12","")</f>
        <v/>
      </c>
      <c r="W5" s="4" t="str">
        <f>HYPERLINK("http://141.218.60.56/~jnz1568/getInfo.php?workbook=01_01.xlsx&amp;sheet=A0&amp;row=5&amp;col=23&amp;number=&amp;sourceID=12","")</f>
        <v/>
      </c>
      <c r="X5" s="4" t="str">
        <f>HYPERLINK("http://141.218.60.56/~jnz1568/getInfo.php?workbook=01_01.xlsx&amp;sheet=A0&amp;row=5&amp;col=24&amp;number=&amp;sourceID=12","")</f>
        <v/>
      </c>
      <c r="Y5" s="4" t="str">
        <f>HYPERLINK("http://141.218.60.56/~jnz1568/getInfo.php?workbook=01_01.xlsx&amp;sheet=A0&amp;row=5&amp;col=25&amp;number=2.4957e-06&amp;sourceID=12","2.4957e-06")</f>
        <v>2.4957e-06</v>
      </c>
      <c r="Z5" s="4" t="str">
        <f>HYPERLINK("http://141.218.60.56/~jnz1568/getInfo.php?workbook=01_01.xlsx&amp;sheet=A0&amp;row=5&amp;col=26&amp;number=&amp;sourceID=12","")</f>
        <v/>
      </c>
      <c r="AA5" s="4" t="str">
        <f>HYPERLINK("http://141.218.60.56/~jnz1568/getInfo.php?workbook=01_01.xlsx&amp;sheet=A0&amp;row=5&amp;col=27&amp;number=&amp;sourceID=12","")</f>
        <v/>
      </c>
      <c r="AB5" s="4" t="str">
        <f>HYPERLINK("http://141.218.60.56/~jnz1568/getInfo.php?workbook=01_01.xlsx&amp;sheet=A0&amp;row=5&amp;col=28&amp;number=&amp;sourceID=18","")</f>
        <v/>
      </c>
      <c r="AC5" s="4" t="str">
        <f>HYPERLINK("http://141.218.60.56/~jnz1568/getInfo.php?workbook=01_01.xlsx&amp;sheet=A0&amp;row=5&amp;col=29&amp;number=&amp;sourceID=18","")</f>
        <v/>
      </c>
      <c r="AD5" s="4" t="str">
        <f>HYPERLINK("http://141.218.60.56/~jnz1568/getInfo.php?workbook=01_01.xlsx&amp;sheet=A0&amp;row=5&amp;col=30&amp;number=&amp;sourceID=18","")</f>
        <v/>
      </c>
      <c r="AE5" s="4" t="str">
        <f>HYPERLINK("http://141.218.60.56/~jnz1568/getInfo.php?workbook=01_01.xlsx&amp;sheet=A0&amp;row=5&amp;col=31&amp;number=&amp;sourceID=18","")</f>
        <v/>
      </c>
      <c r="AF5" s="4" t="str">
        <f>HYPERLINK("http://141.218.60.56/~jnz1568/getInfo.php?workbook=01_01.xlsx&amp;sheet=A0&amp;row=5&amp;col=32&amp;number=2.5e-06&amp;sourceID=18","2.5e-06")</f>
        <v>2.5e-06</v>
      </c>
      <c r="AG5" s="4" t="str">
        <f>HYPERLINK("http://141.218.60.56/~jnz1568/getInfo.php?workbook=01_01.xlsx&amp;sheet=A0&amp;row=5&amp;col=33&amp;number=&amp;sourceID=18","")</f>
        <v/>
      </c>
      <c r="AH5" s="4" t="str">
        <f>HYPERLINK("http://141.218.60.56/~jnz1568/getInfo.php?workbook=01_01.xlsx&amp;sheet=A0&amp;row=5&amp;col=34&amp;number=&amp;sourceID=20","")</f>
        <v/>
      </c>
    </row>
    <row r="6" spans="1:34">
      <c r="A6" s="3">
        <v>1</v>
      </c>
      <c r="B6" s="3">
        <v>1</v>
      </c>
      <c r="C6" s="3">
        <v>4</v>
      </c>
      <c r="D6" s="3">
        <v>1</v>
      </c>
      <c r="E6" s="3">
        <f>((1/(INDEX(E0!J$4:J$28,C6,1)-INDEX(E0!J$4:J$28,D6,1))))*100000000</f>
        <v>0</v>
      </c>
      <c r="F6" s="4" t="str">
        <f>HYPERLINK("http://141.218.60.56/~jnz1568/getInfo.php?workbook=01_01.xlsx&amp;sheet=A0&amp;row=6&amp;col=6&amp;number=&amp;sourceID=18","")</f>
        <v/>
      </c>
      <c r="G6" s="4" t="str">
        <f>HYPERLINK("http://141.218.60.56/~jnz1568/getInfo.php?workbook=01_01.xlsx&amp;sheet=A0&amp;row=6&amp;col=7&amp;number=626480000&amp;sourceID=15","626480000")</f>
        <v>626480000</v>
      </c>
      <c r="H6" s="4" t="str">
        <f>HYPERLINK("http://141.218.60.56/~jnz1568/getInfo.php?workbook=01_01.xlsx&amp;sheet=A0&amp;row=6&amp;col=8&amp;number=626480000&amp;sourceID=15","626480000")</f>
        <v>626480000</v>
      </c>
      <c r="I6" s="4" t="str">
        <f>HYPERLINK("http://141.218.60.56/~jnz1568/getInfo.php?workbook=01_01.xlsx&amp;sheet=A0&amp;row=6&amp;col=9&amp;number=&amp;sourceID=15","")</f>
        <v/>
      </c>
      <c r="J6" s="4" t="str">
        <f>HYPERLINK("http://141.218.60.56/~jnz1568/getInfo.php?workbook=01_01.xlsx&amp;sheet=A0&amp;row=6&amp;col=10&amp;number=&amp;sourceID=15","")</f>
        <v/>
      </c>
      <c r="K6" s="4" t="str">
        <f>HYPERLINK("http://141.218.60.56/~jnz1568/getInfo.php?workbook=01_01.xlsx&amp;sheet=A0&amp;row=6&amp;col=11&amp;number=&amp;sourceID=15","")</f>
        <v/>
      </c>
      <c r="L6" s="4" t="str">
        <f>HYPERLINK("http://141.218.60.56/~jnz1568/getInfo.php?workbook=01_01.xlsx&amp;sheet=A0&amp;row=6&amp;col=12&amp;number=0.04684&amp;sourceID=15","0.04684")</f>
        <v>0.04684</v>
      </c>
      <c r="M6" s="4" t="str">
        <f>HYPERLINK("http://141.218.60.56/~jnz1568/getInfo.php?workbook=01_01.xlsx&amp;sheet=A0&amp;row=6&amp;col=13&amp;number=&amp;sourceID=15","")</f>
        <v/>
      </c>
      <c r="N6" s="4" t="str">
        <f>HYPERLINK("http://141.218.60.56/~jnz1568/getInfo.php?workbook=01_01.xlsx&amp;sheet=A0&amp;row=6&amp;col=14&amp;number==SUM(O6:T6)&amp;sourceID=11","=SUM(O6:T6)")</f>
        <v>=SUM(O6:T6)</v>
      </c>
      <c r="O6" s="4" t="str">
        <f>HYPERLINK("http://141.218.60.56/~jnz1568/getInfo.php?workbook=01_01.xlsx&amp;sheet=A0&amp;row=6&amp;col=15&amp;number=626480000&amp;sourceID=11","626480000")</f>
        <v>626480000</v>
      </c>
      <c r="P6" s="4" t="str">
        <f>HYPERLINK("http://141.218.60.56/~jnz1568/getInfo.php?workbook=01_01.xlsx&amp;sheet=A0&amp;row=6&amp;col=16&amp;number=&amp;sourceID=11","")</f>
        <v/>
      </c>
      <c r="Q6" s="4" t="str">
        <f>HYPERLINK("http://141.218.60.56/~jnz1568/getInfo.php?workbook=01_01.xlsx&amp;sheet=A0&amp;row=6&amp;col=17&amp;number=&amp;sourceID=11","")</f>
        <v/>
      </c>
      <c r="R6" s="4" t="str">
        <f>HYPERLINK("http://141.218.60.56/~jnz1568/getInfo.php?workbook=01_01.xlsx&amp;sheet=A0&amp;row=6&amp;col=18&amp;number=&amp;sourceID=11","")</f>
        <v/>
      </c>
      <c r="S6" s="4" t="str">
        <f>HYPERLINK("http://141.218.60.56/~jnz1568/getInfo.php?workbook=01_01.xlsx&amp;sheet=A0&amp;row=6&amp;col=19&amp;number=0.046843&amp;sourceID=11","0.046843")</f>
        <v>0.046843</v>
      </c>
      <c r="T6" s="4" t="str">
        <f>HYPERLINK("http://141.218.60.56/~jnz1568/getInfo.php?workbook=01_01.xlsx&amp;sheet=A0&amp;row=6&amp;col=20&amp;number=&amp;sourceID=11","")</f>
        <v/>
      </c>
      <c r="U6" s="4" t="str">
        <f>HYPERLINK("http://141.218.60.56/~jnz1568/getInfo.php?workbook=01_01.xlsx&amp;sheet=A0&amp;row=6&amp;col=21&amp;number=626820000&amp;sourceID=12","626820000")</f>
        <v>626820000</v>
      </c>
      <c r="V6" s="4" t="str">
        <f>HYPERLINK("http://141.218.60.56/~jnz1568/getInfo.php?workbook=01_01.xlsx&amp;sheet=A0&amp;row=6&amp;col=22&amp;number=626820000&amp;sourceID=12","626820000")</f>
        <v>626820000</v>
      </c>
      <c r="W6" s="4" t="str">
        <f>HYPERLINK("http://141.218.60.56/~jnz1568/getInfo.php?workbook=01_01.xlsx&amp;sheet=A0&amp;row=6&amp;col=23&amp;number=&amp;sourceID=12","")</f>
        <v/>
      </c>
      <c r="X6" s="4" t="str">
        <f>HYPERLINK("http://141.218.60.56/~jnz1568/getInfo.php?workbook=01_01.xlsx&amp;sheet=A0&amp;row=6&amp;col=24&amp;number=&amp;sourceID=12","")</f>
        <v/>
      </c>
      <c r="Y6" s="4" t="str">
        <f>HYPERLINK("http://141.218.60.56/~jnz1568/getInfo.php?workbook=01_01.xlsx&amp;sheet=A0&amp;row=6&amp;col=25&amp;number=&amp;sourceID=12","")</f>
        <v/>
      </c>
      <c r="Z6" s="4" t="str">
        <f>HYPERLINK("http://141.218.60.56/~jnz1568/getInfo.php?workbook=01_01.xlsx&amp;sheet=A0&amp;row=6&amp;col=26&amp;number=0.046869&amp;sourceID=12","0.046869")</f>
        <v>0.046869</v>
      </c>
      <c r="AA6" s="4" t="str">
        <f>HYPERLINK("http://141.218.60.56/~jnz1568/getInfo.php?workbook=01_01.xlsx&amp;sheet=A0&amp;row=6&amp;col=27&amp;number=&amp;sourceID=12","")</f>
        <v/>
      </c>
      <c r="AB6" s="4" t="str">
        <f>HYPERLINK("http://141.218.60.56/~jnz1568/getInfo.php?workbook=01_01.xlsx&amp;sheet=A0&amp;row=6&amp;col=28&amp;number==SUM(AC6:AG6)&amp;sourceID=18","=SUM(AC6:AG6)")</f>
        <v>=SUM(AC6:AG6)</v>
      </c>
      <c r="AC6" s="4" t="str">
        <f>HYPERLINK("http://141.218.60.56/~jnz1568/getInfo.php?workbook=01_01.xlsx&amp;sheet=A0&amp;row=6&amp;col=29&amp;number=627000000&amp;sourceID=18","627000000")</f>
        <v>627000000</v>
      </c>
      <c r="AD6" s="4" t="str">
        <f>HYPERLINK("http://141.218.60.56/~jnz1568/getInfo.php?workbook=01_01.xlsx&amp;sheet=A0&amp;row=6&amp;col=30&amp;number=&amp;sourceID=18","")</f>
        <v/>
      </c>
      <c r="AE6" s="4" t="str">
        <f>HYPERLINK("http://141.218.60.56/~jnz1568/getInfo.php?workbook=01_01.xlsx&amp;sheet=A0&amp;row=6&amp;col=31&amp;number=&amp;sourceID=18","")</f>
        <v/>
      </c>
      <c r="AF6" s="4" t="str">
        <f>HYPERLINK("http://141.218.60.56/~jnz1568/getInfo.php?workbook=01_01.xlsx&amp;sheet=A0&amp;row=6&amp;col=32&amp;number=&amp;sourceID=18","")</f>
        <v/>
      </c>
      <c r="AG6" s="4" t="str">
        <f>HYPERLINK("http://141.218.60.56/~jnz1568/getInfo.php?workbook=01_01.xlsx&amp;sheet=A0&amp;row=6&amp;col=33&amp;number=&amp;sourceID=18","")</f>
        <v/>
      </c>
      <c r="AH6" s="4" t="str">
        <f>HYPERLINK("http://141.218.60.56/~jnz1568/getInfo.php?workbook=01_01.xlsx&amp;sheet=A0&amp;row=6&amp;col=34&amp;number=626480000&amp;sourceID=20","626480000")</f>
        <v>626480000</v>
      </c>
    </row>
    <row r="7" spans="1:34">
      <c r="A7" s="3">
        <v>1</v>
      </c>
      <c r="B7" s="3">
        <v>1</v>
      </c>
      <c r="C7" s="3">
        <v>4</v>
      </c>
      <c r="D7" s="3">
        <v>2</v>
      </c>
      <c r="E7" s="3">
        <f>((1/(INDEX(E0!J$4:J$28,C7,1)-INDEX(E0!J$4:J$28,D7,1))))*100000000</f>
        <v>0</v>
      </c>
      <c r="F7" s="4" t="str">
        <f>HYPERLINK("http://141.218.60.56/~jnz1568/getInfo.php?workbook=01_01.xlsx&amp;sheet=A0&amp;row=7&amp;col=6&amp;number=&amp;sourceID=18","")</f>
        <v/>
      </c>
      <c r="G7" s="4" t="str">
        <f>HYPERLINK("http://141.218.60.56/~jnz1568/getInfo.php?workbook=01_01.xlsx&amp;sheet=A0&amp;row=7&amp;col=7&amp;number=&amp;sourceID=15","")</f>
        <v/>
      </c>
      <c r="H7" s="4" t="str">
        <f>HYPERLINK("http://141.218.60.56/~jnz1568/getInfo.php?workbook=01_01.xlsx&amp;sheet=A0&amp;row=7&amp;col=8&amp;number=&amp;sourceID=15","")</f>
        <v/>
      </c>
      <c r="I7" s="4" t="str">
        <f>HYPERLINK("http://141.218.60.56/~jnz1568/getInfo.php?workbook=01_01.xlsx&amp;sheet=A0&amp;row=7&amp;col=9&amp;number=&amp;sourceID=15","")</f>
        <v/>
      </c>
      <c r="J7" s="4" t="str">
        <f>HYPERLINK("http://141.218.60.56/~jnz1568/getInfo.php?workbook=01_01.xlsx&amp;sheet=A0&amp;row=7&amp;col=10&amp;number=&amp;sourceID=15","")</f>
        <v/>
      </c>
      <c r="K7" s="4" t="str">
        <f>HYPERLINK("http://141.218.60.56/~jnz1568/getInfo.php?workbook=01_01.xlsx&amp;sheet=A0&amp;row=7&amp;col=11&amp;number=&amp;sourceID=15","")</f>
        <v/>
      </c>
      <c r="L7" s="4" t="str">
        <f>HYPERLINK("http://141.218.60.56/~jnz1568/getInfo.php?workbook=01_01.xlsx&amp;sheet=A0&amp;row=7&amp;col=12&amp;number=&amp;sourceID=15","")</f>
        <v/>
      </c>
      <c r="M7" s="4" t="str">
        <f>HYPERLINK("http://141.218.60.56/~jnz1568/getInfo.php?workbook=01_01.xlsx&amp;sheet=A0&amp;row=7&amp;col=13&amp;number=&amp;sourceID=15","")</f>
        <v/>
      </c>
      <c r="N7" s="4" t="str">
        <f>HYPERLINK("http://141.218.60.56/~jnz1568/getInfo.php?workbook=01_01.xlsx&amp;sheet=A0&amp;row=7&amp;col=14&amp;number==&amp;sourceID=11","=")</f>
        <v>=</v>
      </c>
      <c r="O7" s="4" t="str">
        <f>HYPERLINK("http://141.218.60.56/~jnz1568/getInfo.php?workbook=01_01.xlsx&amp;sheet=A0&amp;row=7&amp;col=15&amp;number=&amp;sourceID=11","")</f>
        <v/>
      </c>
      <c r="P7" s="4" t="str">
        <f>HYPERLINK("http://141.218.60.56/~jnz1568/getInfo.php?workbook=01_01.xlsx&amp;sheet=A0&amp;row=7&amp;col=16&amp;number=0&amp;sourceID=11","0")</f>
        <v>0</v>
      </c>
      <c r="Q7" s="4" t="str">
        <f>HYPERLINK("http://141.218.60.56/~jnz1568/getInfo.php?workbook=01_01.xlsx&amp;sheet=A0&amp;row=7&amp;col=17&amp;number=&amp;sourceID=11","")</f>
        <v/>
      </c>
      <c r="R7" s="4" t="str">
        <f>HYPERLINK("http://141.218.60.56/~jnz1568/getInfo.php?workbook=01_01.xlsx&amp;sheet=A0&amp;row=7&amp;col=18&amp;number=4.38e-13&amp;sourceID=11","4.38e-13")</f>
        <v>4.38e-13</v>
      </c>
      <c r="S7" s="4" t="str">
        <f>HYPERLINK("http://141.218.60.56/~jnz1568/getInfo.php?workbook=01_01.xlsx&amp;sheet=A0&amp;row=7&amp;col=19&amp;number=&amp;sourceID=11","")</f>
        <v/>
      </c>
      <c r="T7" s="4" t="str">
        <f>HYPERLINK("http://141.218.60.56/~jnz1568/getInfo.php?workbook=01_01.xlsx&amp;sheet=A0&amp;row=7&amp;col=20&amp;number=&amp;sourceID=11","")</f>
        <v/>
      </c>
      <c r="U7" s="4" t="str">
        <f>HYPERLINK("http://141.218.60.56/~jnz1568/getInfo.php?workbook=01_01.xlsx&amp;sheet=A0&amp;row=7&amp;col=21&amp;number=4.38e-13&amp;sourceID=12","4.38e-13")</f>
        <v>4.38e-13</v>
      </c>
      <c r="V7" s="4" t="str">
        <f>HYPERLINK("http://141.218.60.56/~jnz1568/getInfo.php?workbook=01_01.xlsx&amp;sheet=A0&amp;row=7&amp;col=22&amp;number=&amp;sourceID=12","")</f>
        <v/>
      </c>
      <c r="W7" s="4" t="str">
        <f>HYPERLINK("http://141.218.60.56/~jnz1568/getInfo.php?workbook=01_01.xlsx&amp;sheet=A0&amp;row=7&amp;col=23&amp;number=0&amp;sourceID=12","0")</f>
        <v>0</v>
      </c>
      <c r="X7" s="4" t="str">
        <f>HYPERLINK("http://141.218.60.56/~jnz1568/getInfo.php?workbook=01_01.xlsx&amp;sheet=A0&amp;row=7&amp;col=24&amp;number=&amp;sourceID=12","")</f>
        <v/>
      </c>
      <c r="Y7" s="4" t="str">
        <f>HYPERLINK("http://141.218.60.56/~jnz1568/getInfo.php?workbook=01_01.xlsx&amp;sheet=A0&amp;row=7&amp;col=25&amp;number=4.38e-13&amp;sourceID=12","4.38e-13")</f>
        <v>4.38e-13</v>
      </c>
      <c r="Z7" s="4" t="str">
        <f>HYPERLINK("http://141.218.60.56/~jnz1568/getInfo.php?workbook=01_01.xlsx&amp;sheet=A0&amp;row=7&amp;col=26&amp;number=&amp;sourceID=12","")</f>
        <v/>
      </c>
      <c r="AA7" s="4" t="str">
        <f>HYPERLINK("http://141.218.60.56/~jnz1568/getInfo.php?workbook=01_01.xlsx&amp;sheet=A0&amp;row=7&amp;col=27&amp;number=&amp;sourceID=12","")</f>
        <v/>
      </c>
      <c r="AB7" s="4" t="str">
        <f>HYPERLINK("http://141.218.60.56/~jnz1568/getInfo.php?workbook=01_01.xlsx&amp;sheet=A0&amp;row=7&amp;col=28&amp;number=&amp;sourceID=18","")</f>
        <v/>
      </c>
      <c r="AC7" s="4" t="str">
        <f>HYPERLINK("http://141.218.60.56/~jnz1568/getInfo.php?workbook=01_01.xlsx&amp;sheet=A0&amp;row=7&amp;col=29&amp;number=&amp;sourceID=18","")</f>
        <v/>
      </c>
      <c r="AD7" s="4" t="str">
        <f>HYPERLINK("http://141.218.60.56/~jnz1568/getInfo.php?workbook=01_01.xlsx&amp;sheet=A0&amp;row=7&amp;col=30&amp;number=&amp;sourceID=18","")</f>
        <v/>
      </c>
      <c r="AE7" s="4" t="str">
        <f>HYPERLINK("http://141.218.60.56/~jnz1568/getInfo.php?workbook=01_01.xlsx&amp;sheet=A0&amp;row=7&amp;col=31&amp;number=&amp;sourceID=18","")</f>
        <v/>
      </c>
      <c r="AF7" s="4" t="str">
        <f>HYPERLINK("http://141.218.60.56/~jnz1568/getInfo.php?workbook=01_01.xlsx&amp;sheet=A0&amp;row=7&amp;col=32&amp;number=&amp;sourceID=18","")</f>
        <v/>
      </c>
      <c r="AG7" s="4" t="str">
        <f>HYPERLINK("http://141.218.60.56/~jnz1568/getInfo.php?workbook=01_01.xlsx&amp;sheet=A0&amp;row=7&amp;col=33&amp;number=&amp;sourceID=18","")</f>
        <v/>
      </c>
      <c r="AH7" s="4" t="str">
        <f>HYPERLINK("http://141.218.60.56/~jnz1568/getInfo.php?workbook=01_01.xlsx&amp;sheet=A0&amp;row=7&amp;col=34&amp;number=&amp;sourceID=20","")</f>
        <v/>
      </c>
    </row>
    <row r="8" spans="1:34">
      <c r="A8" s="3">
        <v>1</v>
      </c>
      <c r="B8" s="3">
        <v>1</v>
      </c>
      <c r="C8" s="3">
        <v>4</v>
      </c>
      <c r="D8" s="3">
        <v>3</v>
      </c>
      <c r="E8" s="3">
        <f>((1/(INDEX(E0!J$4:J$28,C8,1)-INDEX(E0!J$4:J$28,D8,1))))*100000000</f>
        <v>0</v>
      </c>
      <c r="F8" s="4" t="str">
        <f>HYPERLINK("http://141.218.60.56/~jnz1568/getInfo.php?workbook=01_01.xlsx&amp;sheet=A0&amp;row=8&amp;col=6&amp;number=&amp;sourceID=18","")</f>
        <v/>
      </c>
      <c r="G8" s="4" t="str">
        <f>HYPERLINK("http://141.218.60.56/~jnz1568/getInfo.php?workbook=01_01.xlsx&amp;sheet=A0&amp;row=8&amp;col=7&amp;number=&amp;sourceID=15","")</f>
        <v/>
      </c>
      <c r="H8" s="4" t="str">
        <f>HYPERLINK("http://141.218.60.56/~jnz1568/getInfo.php?workbook=01_01.xlsx&amp;sheet=A0&amp;row=8&amp;col=8&amp;number=&amp;sourceID=15","")</f>
        <v/>
      </c>
      <c r="I8" s="4" t="str">
        <f>HYPERLINK("http://141.218.60.56/~jnz1568/getInfo.php?workbook=01_01.xlsx&amp;sheet=A0&amp;row=8&amp;col=9&amp;number=&amp;sourceID=15","")</f>
        <v/>
      </c>
      <c r="J8" s="4" t="str">
        <f>HYPERLINK("http://141.218.60.56/~jnz1568/getInfo.php?workbook=01_01.xlsx&amp;sheet=A0&amp;row=8&amp;col=10&amp;number=&amp;sourceID=15","")</f>
        <v/>
      </c>
      <c r="K8" s="4" t="str">
        <f>HYPERLINK("http://141.218.60.56/~jnz1568/getInfo.php?workbook=01_01.xlsx&amp;sheet=A0&amp;row=8&amp;col=11&amp;number=&amp;sourceID=15","")</f>
        <v/>
      </c>
      <c r="L8" s="4" t="str">
        <f>HYPERLINK("http://141.218.60.56/~jnz1568/getInfo.php?workbook=01_01.xlsx&amp;sheet=A0&amp;row=8&amp;col=12&amp;number=&amp;sourceID=15","")</f>
        <v/>
      </c>
      <c r="M8" s="4" t="str">
        <f>HYPERLINK("http://141.218.60.56/~jnz1568/getInfo.php?workbook=01_01.xlsx&amp;sheet=A0&amp;row=8&amp;col=13&amp;number=&amp;sourceID=15","")</f>
        <v/>
      </c>
      <c r="N8" s="4" t="str">
        <f>HYPERLINK("http://141.218.60.56/~jnz1568/getInfo.php?workbook=01_01.xlsx&amp;sheet=A0&amp;row=8&amp;col=14&amp;number==&amp;sourceID=11","=")</f>
        <v>=</v>
      </c>
      <c r="O8" s="4" t="str">
        <f>HYPERLINK("http://141.218.60.56/~jnz1568/getInfo.php?workbook=01_01.xlsx&amp;sheet=A0&amp;row=8&amp;col=15&amp;number=8.8798e-07&amp;sourceID=11","8.8798e-07")</f>
        <v>8.8798e-07</v>
      </c>
      <c r="P8" s="4" t="str">
        <f>HYPERLINK("http://141.218.60.56/~jnz1568/getInfo.php?workbook=01_01.xlsx&amp;sheet=A0&amp;row=8&amp;col=16&amp;number=&amp;sourceID=11","")</f>
        <v/>
      </c>
      <c r="Q8" s="4" t="str">
        <f>HYPERLINK("http://141.218.60.56/~jnz1568/getInfo.php?workbook=01_01.xlsx&amp;sheet=A0&amp;row=8&amp;col=17&amp;number=&amp;sourceID=11","")</f>
        <v/>
      </c>
      <c r="R8" s="4" t="str">
        <f>HYPERLINK("http://141.218.60.56/~jnz1568/getInfo.php?workbook=01_01.xlsx&amp;sheet=A0&amp;row=8&amp;col=18&amp;number=&amp;sourceID=11","")</f>
        <v/>
      </c>
      <c r="S8" s="4" t="str">
        <f>HYPERLINK("http://141.218.60.56/~jnz1568/getInfo.php?workbook=01_01.xlsx&amp;sheet=A0&amp;row=8&amp;col=19&amp;number=0&amp;sourceID=11","0")</f>
        <v>0</v>
      </c>
      <c r="T8" s="4" t="str">
        <f>HYPERLINK("http://141.218.60.56/~jnz1568/getInfo.php?workbook=01_01.xlsx&amp;sheet=A0&amp;row=8&amp;col=20&amp;number=&amp;sourceID=11","")</f>
        <v/>
      </c>
      <c r="U8" s="4" t="str">
        <f>HYPERLINK("http://141.218.60.56/~jnz1568/getInfo.php?workbook=01_01.xlsx&amp;sheet=A0&amp;row=8&amp;col=21&amp;number=8.8847e-07&amp;sourceID=12","8.8847e-07")</f>
        <v>8.8847e-07</v>
      </c>
      <c r="V8" s="4" t="str">
        <f>HYPERLINK("http://141.218.60.56/~jnz1568/getInfo.php?workbook=01_01.xlsx&amp;sheet=A0&amp;row=8&amp;col=22&amp;number=8.8847e-07&amp;sourceID=12","8.8847e-07")</f>
        <v>8.8847e-07</v>
      </c>
      <c r="W8" s="4" t="str">
        <f>HYPERLINK("http://141.218.60.56/~jnz1568/getInfo.php?workbook=01_01.xlsx&amp;sheet=A0&amp;row=8&amp;col=23&amp;number=&amp;sourceID=12","")</f>
        <v/>
      </c>
      <c r="X8" s="4" t="str">
        <f>HYPERLINK("http://141.218.60.56/~jnz1568/getInfo.php?workbook=01_01.xlsx&amp;sheet=A0&amp;row=8&amp;col=24&amp;number=&amp;sourceID=12","")</f>
        <v/>
      </c>
      <c r="Y8" s="4" t="str">
        <f>HYPERLINK("http://141.218.60.56/~jnz1568/getInfo.php?workbook=01_01.xlsx&amp;sheet=A0&amp;row=8&amp;col=25&amp;number=&amp;sourceID=12","")</f>
        <v/>
      </c>
      <c r="Z8" s="4" t="str">
        <f>HYPERLINK("http://141.218.60.56/~jnz1568/getInfo.php?workbook=01_01.xlsx&amp;sheet=A0&amp;row=8&amp;col=26&amp;number=0&amp;sourceID=12","0")</f>
        <v>0</v>
      </c>
      <c r="AA8" s="4" t="str">
        <f>HYPERLINK("http://141.218.60.56/~jnz1568/getInfo.php?workbook=01_01.xlsx&amp;sheet=A0&amp;row=8&amp;col=27&amp;number=&amp;sourceID=12","")</f>
        <v/>
      </c>
      <c r="AB8" s="4" t="str">
        <f>HYPERLINK("http://141.218.60.56/~jnz1568/getInfo.php?workbook=01_01.xlsx&amp;sheet=A0&amp;row=8&amp;col=28&amp;number=&amp;sourceID=18","")</f>
        <v/>
      </c>
      <c r="AC8" s="4" t="str">
        <f>HYPERLINK("http://141.218.60.56/~jnz1568/getInfo.php?workbook=01_01.xlsx&amp;sheet=A0&amp;row=8&amp;col=29&amp;number=&amp;sourceID=18","")</f>
        <v/>
      </c>
      <c r="AD8" s="4" t="str">
        <f>HYPERLINK("http://141.218.60.56/~jnz1568/getInfo.php?workbook=01_01.xlsx&amp;sheet=A0&amp;row=8&amp;col=30&amp;number=&amp;sourceID=18","")</f>
        <v/>
      </c>
      <c r="AE8" s="4" t="str">
        <f>HYPERLINK("http://141.218.60.56/~jnz1568/getInfo.php?workbook=01_01.xlsx&amp;sheet=A0&amp;row=8&amp;col=31&amp;number=&amp;sourceID=18","")</f>
        <v/>
      </c>
      <c r="AF8" s="4" t="str">
        <f>HYPERLINK("http://141.218.60.56/~jnz1568/getInfo.php?workbook=01_01.xlsx&amp;sheet=A0&amp;row=8&amp;col=32&amp;number=&amp;sourceID=18","")</f>
        <v/>
      </c>
      <c r="AG8" s="4" t="str">
        <f>HYPERLINK("http://141.218.60.56/~jnz1568/getInfo.php?workbook=01_01.xlsx&amp;sheet=A0&amp;row=8&amp;col=33&amp;number=&amp;sourceID=18","")</f>
        <v/>
      </c>
      <c r="AH8" s="4" t="str">
        <f>HYPERLINK("http://141.218.60.56/~jnz1568/getInfo.php?workbook=01_01.xlsx&amp;sheet=A0&amp;row=8&amp;col=34&amp;number=&amp;sourceID=20","")</f>
        <v/>
      </c>
    </row>
    <row r="9" spans="1:34">
      <c r="A9" s="3">
        <v>1</v>
      </c>
      <c r="B9" s="3">
        <v>1</v>
      </c>
      <c r="C9" s="3">
        <v>5</v>
      </c>
      <c r="D9" s="3">
        <v>1</v>
      </c>
      <c r="E9" s="3">
        <f>((1/(INDEX(E0!J$4:J$28,C9,1)-INDEX(E0!J$4:J$28,D9,1))))*100000000</f>
        <v>0</v>
      </c>
      <c r="F9" s="4" t="str">
        <f>HYPERLINK("http://141.218.60.56/~jnz1568/getInfo.php?workbook=01_01.xlsx&amp;sheet=A0&amp;row=9&amp;col=6&amp;number=&amp;sourceID=18","")</f>
        <v/>
      </c>
      <c r="G9" s="4" t="str">
        <f>HYPERLINK("http://141.218.60.56/~jnz1568/getInfo.php?workbook=01_01.xlsx&amp;sheet=A0&amp;row=9&amp;col=7&amp;number=167250000&amp;sourceID=15","167250000")</f>
        <v>167250000</v>
      </c>
      <c r="H9" s="4" t="str">
        <f>HYPERLINK("http://141.218.60.56/~jnz1568/getInfo.php?workbook=01_01.xlsx&amp;sheet=A0&amp;row=9&amp;col=8&amp;number=167250000&amp;sourceID=15","167250000")</f>
        <v>167250000</v>
      </c>
      <c r="I9" s="4" t="str">
        <f>HYPERLINK("http://141.218.60.56/~jnz1568/getInfo.php?workbook=01_01.xlsx&amp;sheet=A0&amp;row=9&amp;col=9&amp;number=&amp;sourceID=15","")</f>
        <v/>
      </c>
      <c r="J9" s="4" t="str">
        <f>HYPERLINK("http://141.218.60.56/~jnz1568/getInfo.php?workbook=01_01.xlsx&amp;sheet=A0&amp;row=9&amp;col=10&amp;number=&amp;sourceID=15","")</f>
        <v/>
      </c>
      <c r="K9" s="4" t="str">
        <f>HYPERLINK("http://141.218.60.56/~jnz1568/getInfo.php?workbook=01_01.xlsx&amp;sheet=A0&amp;row=9&amp;col=11&amp;number=&amp;sourceID=15","")</f>
        <v/>
      </c>
      <c r="L9" s="4" t="str">
        <f>HYPERLINK("http://141.218.60.56/~jnz1568/getInfo.php?workbook=01_01.xlsx&amp;sheet=A0&amp;row=9&amp;col=12&amp;number=&amp;sourceID=15","")</f>
        <v/>
      </c>
      <c r="M9" s="4" t="str">
        <f>HYPERLINK("http://141.218.60.56/~jnz1568/getInfo.php?workbook=01_01.xlsx&amp;sheet=A0&amp;row=9&amp;col=13&amp;number=&amp;sourceID=15","")</f>
        <v/>
      </c>
      <c r="N9" s="4" t="str">
        <f>HYPERLINK("http://141.218.60.56/~jnz1568/getInfo.php?workbook=01_01.xlsx&amp;sheet=A0&amp;row=9&amp;col=14&amp;number==&amp;sourceID=11","=")</f>
        <v>=</v>
      </c>
      <c r="O9" s="4" t="str">
        <f>HYPERLINK("http://141.218.60.56/~jnz1568/getInfo.php?workbook=01_01.xlsx&amp;sheet=A0&amp;row=9&amp;col=15&amp;number=167250000&amp;sourceID=11","167250000")</f>
        <v>167250000</v>
      </c>
      <c r="P9" s="4" t="str">
        <f>HYPERLINK("http://141.218.60.56/~jnz1568/getInfo.php?workbook=01_01.xlsx&amp;sheet=A0&amp;row=9&amp;col=16&amp;number=&amp;sourceID=11","")</f>
        <v/>
      </c>
      <c r="Q9" s="4" t="str">
        <f>HYPERLINK("http://141.218.60.56/~jnz1568/getInfo.php?workbook=01_01.xlsx&amp;sheet=A0&amp;row=9&amp;col=17&amp;number=&amp;sourceID=11","")</f>
        <v/>
      </c>
      <c r="R9" s="4" t="str">
        <f>HYPERLINK("http://141.218.60.56/~jnz1568/getInfo.php?workbook=01_01.xlsx&amp;sheet=A0&amp;row=9&amp;col=18&amp;number=&amp;sourceID=11","")</f>
        <v/>
      </c>
      <c r="S9" s="4" t="str">
        <f>HYPERLINK("http://141.218.60.56/~jnz1568/getInfo.php?workbook=01_01.xlsx&amp;sheet=A0&amp;row=9&amp;col=19&amp;number=&amp;sourceID=11","")</f>
        <v/>
      </c>
      <c r="T9" s="4" t="str">
        <f>HYPERLINK("http://141.218.60.56/~jnz1568/getInfo.php?workbook=01_01.xlsx&amp;sheet=A0&amp;row=9&amp;col=20&amp;number=&amp;sourceID=11","")</f>
        <v/>
      </c>
      <c r="U9" s="4" t="str">
        <f>HYPERLINK("http://141.218.60.56/~jnz1568/getInfo.php?workbook=01_01.xlsx&amp;sheet=A0&amp;row=9&amp;col=21&amp;number=167340000&amp;sourceID=12","167340000")</f>
        <v>167340000</v>
      </c>
      <c r="V9" s="4" t="str">
        <f>HYPERLINK("http://141.218.60.56/~jnz1568/getInfo.php?workbook=01_01.xlsx&amp;sheet=A0&amp;row=9&amp;col=22&amp;number=167340000&amp;sourceID=12","167340000")</f>
        <v>167340000</v>
      </c>
      <c r="W9" s="4" t="str">
        <f>HYPERLINK("http://141.218.60.56/~jnz1568/getInfo.php?workbook=01_01.xlsx&amp;sheet=A0&amp;row=9&amp;col=23&amp;number=&amp;sourceID=12","")</f>
        <v/>
      </c>
      <c r="X9" s="4" t="str">
        <f>HYPERLINK("http://141.218.60.56/~jnz1568/getInfo.php?workbook=01_01.xlsx&amp;sheet=A0&amp;row=9&amp;col=24&amp;number=&amp;sourceID=12","")</f>
        <v/>
      </c>
      <c r="Y9" s="4" t="str">
        <f>HYPERLINK("http://141.218.60.56/~jnz1568/getInfo.php?workbook=01_01.xlsx&amp;sheet=A0&amp;row=9&amp;col=25&amp;number=&amp;sourceID=12","")</f>
        <v/>
      </c>
      <c r="Z9" s="4" t="str">
        <f>HYPERLINK("http://141.218.60.56/~jnz1568/getInfo.php?workbook=01_01.xlsx&amp;sheet=A0&amp;row=9&amp;col=26&amp;number=&amp;sourceID=12","")</f>
        <v/>
      </c>
      <c r="AA9" s="4" t="str">
        <f>HYPERLINK("http://141.218.60.56/~jnz1568/getInfo.php?workbook=01_01.xlsx&amp;sheet=A0&amp;row=9&amp;col=27&amp;number=&amp;sourceID=12","")</f>
        <v/>
      </c>
      <c r="AB9" s="4" t="str">
        <f>HYPERLINK("http://141.218.60.56/~jnz1568/getInfo.php?workbook=01_01.xlsx&amp;sheet=A0&amp;row=9&amp;col=28&amp;number==SUM(AC9:AG9)&amp;sourceID=18","=SUM(AC9:AG9)")</f>
        <v>=SUM(AC9:AG9)</v>
      </c>
      <c r="AC9" s="4" t="str">
        <f>HYPERLINK("http://141.218.60.56/~jnz1568/getInfo.php?workbook=01_01.xlsx&amp;sheet=A0&amp;row=9&amp;col=29&amp;number=167000000&amp;sourceID=18","167000000")</f>
        <v>167000000</v>
      </c>
      <c r="AD9" s="4" t="str">
        <f>HYPERLINK("http://141.218.60.56/~jnz1568/getInfo.php?workbook=01_01.xlsx&amp;sheet=A0&amp;row=9&amp;col=30&amp;number=&amp;sourceID=18","")</f>
        <v/>
      </c>
      <c r="AE9" s="4" t="str">
        <f>HYPERLINK("http://141.218.60.56/~jnz1568/getInfo.php?workbook=01_01.xlsx&amp;sheet=A0&amp;row=9&amp;col=31&amp;number=&amp;sourceID=18","")</f>
        <v/>
      </c>
      <c r="AF9" s="4" t="str">
        <f>HYPERLINK("http://141.218.60.56/~jnz1568/getInfo.php?workbook=01_01.xlsx&amp;sheet=A0&amp;row=9&amp;col=32&amp;number=&amp;sourceID=18","")</f>
        <v/>
      </c>
      <c r="AG9" s="4" t="str">
        <f>HYPERLINK("http://141.218.60.56/~jnz1568/getInfo.php?workbook=01_01.xlsx&amp;sheet=A0&amp;row=9&amp;col=33&amp;number=&amp;sourceID=18","")</f>
        <v/>
      </c>
      <c r="AH9" s="4" t="str">
        <f>HYPERLINK("http://141.218.60.56/~jnz1568/getInfo.php?workbook=01_01.xlsx&amp;sheet=A0&amp;row=9&amp;col=34&amp;number=167250000&amp;sourceID=20","167250000")</f>
        <v>167250000</v>
      </c>
    </row>
    <row r="10" spans="1:34">
      <c r="A10" s="3">
        <v>1</v>
      </c>
      <c r="B10" s="3">
        <v>1</v>
      </c>
      <c r="C10" s="3">
        <v>5</v>
      </c>
      <c r="D10" s="3">
        <v>2</v>
      </c>
      <c r="E10" s="3">
        <f>((1/(INDEX(E0!J$4:J$28,C10,1)-INDEX(E0!J$4:J$28,D10,1))))*100000000</f>
        <v>0</v>
      </c>
      <c r="F10" s="4" t="str">
        <f>HYPERLINK("http://141.218.60.56/~jnz1568/getInfo.php?workbook=01_01.xlsx&amp;sheet=A0&amp;row=10&amp;col=6&amp;number=&amp;sourceID=18","")</f>
        <v/>
      </c>
      <c r="G10" s="4" t="str">
        <f>HYPERLINK("http://141.218.60.56/~jnz1568/getInfo.php?workbook=01_01.xlsx&amp;sheet=A0&amp;row=10&amp;col=7&amp;number=&amp;sourceID=15","")</f>
        <v/>
      </c>
      <c r="H10" s="4" t="str">
        <f>HYPERLINK("http://141.218.60.56/~jnz1568/getInfo.php?workbook=01_01.xlsx&amp;sheet=A0&amp;row=10&amp;col=8&amp;number=&amp;sourceID=15","")</f>
        <v/>
      </c>
      <c r="I10" s="4" t="str">
        <f>HYPERLINK("http://141.218.60.56/~jnz1568/getInfo.php?workbook=01_01.xlsx&amp;sheet=A0&amp;row=10&amp;col=9&amp;number=&amp;sourceID=15","")</f>
        <v/>
      </c>
      <c r="J10" s="4" t="str">
        <f>HYPERLINK("http://141.218.60.56/~jnz1568/getInfo.php?workbook=01_01.xlsx&amp;sheet=A0&amp;row=10&amp;col=10&amp;number=&amp;sourceID=15","")</f>
        <v/>
      </c>
      <c r="K10" s="4" t="str">
        <f>HYPERLINK("http://141.218.60.56/~jnz1568/getInfo.php?workbook=01_01.xlsx&amp;sheet=A0&amp;row=10&amp;col=11&amp;number=&amp;sourceID=15","")</f>
        <v/>
      </c>
      <c r="L10" s="4" t="str">
        <f>HYPERLINK("http://141.218.60.56/~jnz1568/getInfo.php?workbook=01_01.xlsx&amp;sheet=A0&amp;row=10&amp;col=12&amp;number=&amp;sourceID=15","")</f>
        <v/>
      </c>
      <c r="M10" s="4" t="str">
        <f>HYPERLINK("http://141.218.60.56/~jnz1568/getInfo.php?workbook=01_01.xlsx&amp;sheet=A0&amp;row=10&amp;col=13&amp;number=&amp;sourceID=15","")</f>
        <v/>
      </c>
      <c r="N10" s="4" t="str">
        <f>HYPERLINK("http://141.218.60.56/~jnz1568/getInfo.php?workbook=01_01.xlsx&amp;sheet=A0&amp;row=10&amp;col=14&amp;number==&amp;sourceID=11","=")</f>
        <v>=</v>
      </c>
      <c r="O10" s="4" t="str">
        <f>HYPERLINK("http://141.218.60.56/~jnz1568/getInfo.php?workbook=01_01.xlsx&amp;sheet=A0&amp;row=10&amp;col=15&amp;number=&amp;sourceID=11","")</f>
        <v/>
      </c>
      <c r="P10" s="4" t="str">
        <f>HYPERLINK("http://141.218.60.56/~jnz1568/getInfo.php?workbook=01_01.xlsx&amp;sheet=A0&amp;row=10&amp;col=16&amp;number=&amp;sourceID=11","")</f>
        <v/>
      </c>
      <c r="Q10" s="4" t="str">
        <f>HYPERLINK("http://141.218.60.56/~jnz1568/getInfo.php?workbook=01_01.xlsx&amp;sheet=A0&amp;row=10&amp;col=17&amp;number=&amp;sourceID=11","")</f>
        <v/>
      </c>
      <c r="R10" s="4" t="str">
        <f>HYPERLINK("http://141.218.60.56/~jnz1568/getInfo.php?workbook=01_01.xlsx&amp;sheet=A0&amp;row=10&amp;col=18&amp;number=4.9083e-10&amp;sourceID=11","4.9083e-10")</f>
        <v>4.9083e-10</v>
      </c>
      <c r="S10" s="4" t="str">
        <f>HYPERLINK("http://141.218.60.56/~jnz1568/getInfo.php?workbook=01_01.xlsx&amp;sheet=A0&amp;row=10&amp;col=19&amp;number=&amp;sourceID=11","")</f>
        <v/>
      </c>
      <c r="T10" s="4" t="str">
        <f>HYPERLINK("http://141.218.60.56/~jnz1568/getInfo.php?workbook=01_01.xlsx&amp;sheet=A0&amp;row=10&amp;col=20&amp;number=&amp;sourceID=11","")</f>
        <v/>
      </c>
      <c r="U10" s="4" t="str">
        <f>HYPERLINK("http://141.218.60.56/~jnz1568/getInfo.php?workbook=01_01.xlsx&amp;sheet=A0&amp;row=10&amp;col=21&amp;number=4.9076e-10&amp;sourceID=12","4.9076e-10")</f>
        <v>4.9076e-10</v>
      </c>
      <c r="V10" s="4" t="str">
        <f>HYPERLINK("http://141.218.60.56/~jnz1568/getInfo.php?workbook=01_01.xlsx&amp;sheet=A0&amp;row=10&amp;col=22&amp;number=&amp;sourceID=12","")</f>
        <v/>
      </c>
      <c r="W10" s="4" t="str">
        <f>HYPERLINK("http://141.218.60.56/~jnz1568/getInfo.php?workbook=01_01.xlsx&amp;sheet=A0&amp;row=10&amp;col=23&amp;number=&amp;sourceID=12","")</f>
        <v/>
      </c>
      <c r="X10" s="4" t="str">
        <f>HYPERLINK("http://141.218.60.56/~jnz1568/getInfo.php?workbook=01_01.xlsx&amp;sheet=A0&amp;row=10&amp;col=24&amp;number=&amp;sourceID=12","")</f>
        <v/>
      </c>
      <c r="Y10" s="4" t="str">
        <f>HYPERLINK("http://141.218.60.56/~jnz1568/getInfo.php?workbook=01_01.xlsx&amp;sheet=A0&amp;row=10&amp;col=25&amp;number=4.9076e-10&amp;sourceID=12","4.9076e-10")</f>
        <v>4.9076e-10</v>
      </c>
      <c r="Z10" s="4" t="str">
        <f>HYPERLINK("http://141.218.60.56/~jnz1568/getInfo.php?workbook=01_01.xlsx&amp;sheet=A0&amp;row=10&amp;col=26&amp;number=&amp;sourceID=12","")</f>
        <v/>
      </c>
      <c r="AA10" s="4" t="str">
        <f>HYPERLINK("http://141.218.60.56/~jnz1568/getInfo.php?workbook=01_01.xlsx&amp;sheet=A0&amp;row=10&amp;col=27&amp;number=&amp;sourceID=12","")</f>
        <v/>
      </c>
      <c r="AB10" s="4" t="str">
        <f>HYPERLINK("http://141.218.60.56/~jnz1568/getInfo.php?workbook=01_01.xlsx&amp;sheet=A0&amp;row=10&amp;col=28&amp;number==&amp;sourceID=18","=")</f>
        <v>=</v>
      </c>
      <c r="AC10" s="4" t="str">
        <f>HYPERLINK("http://141.218.60.56/~jnz1568/getInfo.php?workbook=01_01.xlsx&amp;sheet=A0&amp;row=10&amp;col=29&amp;number=&amp;sourceID=18","")</f>
        <v/>
      </c>
      <c r="AD10" s="4" t="str">
        <f>HYPERLINK("http://141.218.60.56/~jnz1568/getInfo.php?workbook=01_01.xlsx&amp;sheet=A0&amp;row=10&amp;col=30&amp;number=&amp;sourceID=18","")</f>
        <v/>
      </c>
      <c r="AE10" s="4" t="str">
        <f>HYPERLINK("http://141.218.60.56/~jnz1568/getInfo.php?workbook=01_01.xlsx&amp;sheet=A0&amp;row=10&amp;col=31&amp;number=&amp;sourceID=18","")</f>
        <v/>
      </c>
      <c r="AF10" s="4" t="str">
        <f>HYPERLINK("http://141.218.60.56/~jnz1568/getInfo.php?workbook=01_01.xlsx&amp;sheet=A0&amp;row=10&amp;col=32&amp;number=4.91e-10&amp;sourceID=18","4.91e-10")</f>
        <v>4.91e-10</v>
      </c>
      <c r="AG10" s="4" t="str">
        <f>HYPERLINK("http://141.218.60.56/~jnz1568/getInfo.php?workbook=01_01.xlsx&amp;sheet=A0&amp;row=10&amp;col=33&amp;number=&amp;sourceID=18","")</f>
        <v/>
      </c>
      <c r="AH10" s="4" t="str">
        <f>HYPERLINK("http://141.218.60.56/~jnz1568/getInfo.php?workbook=01_01.xlsx&amp;sheet=A0&amp;row=10&amp;col=34&amp;number=4.9047e-10&amp;sourceID=20","4.9047e-10")</f>
        <v>4.9047e-10</v>
      </c>
    </row>
    <row r="11" spans="1:34">
      <c r="A11" s="3">
        <v>1</v>
      </c>
      <c r="B11" s="3">
        <v>1</v>
      </c>
      <c r="C11" s="3">
        <v>5</v>
      </c>
      <c r="D11" s="3">
        <v>3</v>
      </c>
      <c r="E11" s="3">
        <f>((1/(INDEX(E0!J$4:J$28,C11,1)-INDEX(E0!J$4:J$28,D11,1))))*100000000</f>
        <v>0</v>
      </c>
      <c r="F11" s="4" t="str">
        <f>HYPERLINK("http://141.218.60.56/~jnz1568/getInfo.php?workbook=01_01.xlsx&amp;sheet=A0&amp;row=11&amp;col=6&amp;number=&amp;sourceID=18","")</f>
        <v/>
      </c>
      <c r="G11" s="4" t="str">
        <f>HYPERLINK("http://141.218.60.56/~jnz1568/getInfo.php?workbook=01_01.xlsx&amp;sheet=A0&amp;row=11&amp;col=7&amp;number=22449000&amp;sourceID=15","22449000")</f>
        <v>22449000</v>
      </c>
      <c r="H11" s="4" t="str">
        <f>HYPERLINK("http://141.218.60.56/~jnz1568/getInfo.php?workbook=01_01.xlsx&amp;sheet=A0&amp;row=11&amp;col=8&amp;number=22449000&amp;sourceID=15","22449000")</f>
        <v>22449000</v>
      </c>
      <c r="I11" s="4" t="str">
        <f>HYPERLINK("http://141.218.60.56/~jnz1568/getInfo.php?workbook=01_01.xlsx&amp;sheet=A0&amp;row=11&amp;col=9&amp;number=&amp;sourceID=15","")</f>
        <v/>
      </c>
      <c r="J11" s="4" t="str">
        <f>HYPERLINK("http://141.218.60.56/~jnz1568/getInfo.php?workbook=01_01.xlsx&amp;sheet=A0&amp;row=11&amp;col=10&amp;number=&amp;sourceID=15","")</f>
        <v/>
      </c>
      <c r="K11" s="4" t="str">
        <f>HYPERLINK("http://141.218.60.56/~jnz1568/getInfo.php?workbook=01_01.xlsx&amp;sheet=A0&amp;row=11&amp;col=11&amp;number=&amp;sourceID=15","")</f>
        <v/>
      </c>
      <c r="L11" s="4" t="str">
        <f>HYPERLINK("http://141.218.60.56/~jnz1568/getInfo.php?workbook=01_01.xlsx&amp;sheet=A0&amp;row=11&amp;col=12&amp;number=&amp;sourceID=15","")</f>
        <v/>
      </c>
      <c r="M11" s="4" t="str">
        <f>HYPERLINK("http://141.218.60.56/~jnz1568/getInfo.php?workbook=01_01.xlsx&amp;sheet=A0&amp;row=11&amp;col=13&amp;number=&amp;sourceID=15","")</f>
        <v/>
      </c>
      <c r="N11" s="4" t="str">
        <f>HYPERLINK("http://141.218.60.56/~jnz1568/getInfo.php?workbook=01_01.xlsx&amp;sheet=A0&amp;row=11&amp;col=14&amp;number==&amp;sourceID=11","=")</f>
        <v>=</v>
      </c>
      <c r="O11" s="4" t="str">
        <f>HYPERLINK("http://141.218.60.56/~jnz1568/getInfo.php?workbook=01_01.xlsx&amp;sheet=A0&amp;row=11&amp;col=15&amp;number=22449000&amp;sourceID=11","22449000")</f>
        <v>22449000</v>
      </c>
      <c r="P11" s="4" t="str">
        <f>HYPERLINK("http://141.218.60.56/~jnz1568/getInfo.php?workbook=01_01.xlsx&amp;sheet=A0&amp;row=11&amp;col=16&amp;number=&amp;sourceID=11","")</f>
        <v/>
      </c>
      <c r="Q11" s="4" t="str">
        <f>HYPERLINK("http://141.218.60.56/~jnz1568/getInfo.php?workbook=01_01.xlsx&amp;sheet=A0&amp;row=11&amp;col=17&amp;number=&amp;sourceID=11","")</f>
        <v/>
      </c>
      <c r="R11" s="4" t="str">
        <f>HYPERLINK("http://141.218.60.56/~jnz1568/getInfo.php?workbook=01_01.xlsx&amp;sheet=A0&amp;row=11&amp;col=18&amp;number=&amp;sourceID=11","")</f>
        <v/>
      </c>
      <c r="S11" s="4" t="str">
        <f>HYPERLINK("http://141.218.60.56/~jnz1568/getInfo.php?workbook=01_01.xlsx&amp;sheet=A0&amp;row=11&amp;col=19&amp;number=&amp;sourceID=11","")</f>
        <v/>
      </c>
      <c r="T11" s="4" t="str">
        <f>HYPERLINK("http://141.218.60.56/~jnz1568/getInfo.php?workbook=01_01.xlsx&amp;sheet=A0&amp;row=11&amp;col=20&amp;number=&amp;sourceID=11","")</f>
        <v/>
      </c>
      <c r="U11" s="4" t="str">
        <f>HYPERLINK("http://141.218.60.56/~jnz1568/getInfo.php?workbook=01_01.xlsx&amp;sheet=A0&amp;row=11&amp;col=21&amp;number=22461000&amp;sourceID=12","22461000")</f>
        <v>22461000</v>
      </c>
      <c r="V11" s="4" t="str">
        <f>HYPERLINK("http://141.218.60.56/~jnz1568/getInfo.php?workbook=01_01.xlsx&amp;sheet=A0&amp;row=11&amp;col=22&amp;number=22461000&amp;sourceID=12","22461000")</f>
        <v>22461000</v>
      </c>
      <c r="W11" s="4" t="str">
        <f>HYPERLINK("http://141.218.60.56/~jnz1568/getInfo.php?workbook=01_01.xlsx&amp;sheet=A0&amp;row=11&amp;col=23&amp;number=&amp;sourceID=12","")</f>
        <v/>
      </c>
      <c r="X11" s="4" t="str">
        <f>HYPERLINK("http://141.218.60.56/~jnz1568/getInfo.php?workbook=01_01.xlsx&amp;sheet=A0&amp;row=11&amp;col=24&amp;number=&amp;sourceID=12","")</f>
        <v/>
      </c>
      <c r="Y11" s="4" t="str">
        <f>HYPERLINK("http://141.218.60.56/~jnz1568/getInfo.php?workbook=01_01.xlsx&amp;sheet=A0&amp;row=11&amp;col=25&amp;number=&amp;sourceID=12","")</f>
        <v/>
      </c>
      <c r="Z11" s="4" t="str">
        <f>HYPERLINK("http://141.218.60.56/~jnz1568/getInfo.php?workbook=01_01.xlsx&amp;sheet=A0&amp;row=11&amp;col=26&amp;number=&amp;sourceID=12","")</f>
        <v/>
      </c>
      <c r="AA11" s="4" t="str">
        <f>HYPERLINK("http://141.218.60.56/~jnz1568/getInfo.php?workbook=01_01.xlsx&amp;sheet=A0&amp;row=11&amp;col=27&amp;number=&amp;sourceID=12","")</f>
        <v/>
      </c>
      <c r="AB11" s="4" t="str">
        <f>HYPERLINK("http://141.218.60.56/~jnz1568/getInfo.php?workbook=01_01.xlsx&amp;sheet=A0&amp;row=11&amp;col=28&amp;number==&amp;sourceID=18","=")</f>
        <v>=</v>
      </c>
      <c r="AC11" s="4" t="str">
        <f>HYPERLINK("http://141.218.60.56/~jnz1568/getInfo.php?workbook=01_01.xlsx&amp;sheet=A0&amp;row=11&amp;col=29&amp;number=22500000&amp;sourceID=18","22500000")</f>
        <v>22500000</v>
      </c>
      <c r="AD11" s="4" t="str">
        <f>HYPERLINK("http://141.218.60.56/~jnz1568/getInfo.php?workbook=01_01.xlsx&amp;sheet=A0&amp;row=11&amp;col=30&amp;number=&amp;sourceID=18","")</f>
        <v/>
      </c>
      <c r="AE11" s="4" t="str">
        <f>HYPERLINK("http://141.218.60.56/~jnz1568/getInfo.php?workbook=01_01.xlsx&amp;sheet=A0&amp;row=11&amp;col=31&amp;number=&amp;sourceID=18","")</f>
        <v/>
      </c>
      <c r="AF11" s="4" t="str">
        <f>HYPERLINK("http://141.218.60.56/~jnz1568/getInfo.php?workbook=01_01.xlsx&amp;sheet=A0&amp;row=11&amp;col=32&amp;number=&amp;sourceID=18","")</f>
        <v/>
      </c>
      <c r="AG11" s="4" t="str">
        <f>HYPERLINK("http://141.218.60.56/~jnz1568/getInfo.php?workbook=01_01.xlsx&amp;sheet=A0&amp;row=11&amp;col=33&amp;number=&amp;sourceID=18","")</f>
        <v/>
      </c>
      <c r="AH11" s="4" t="str">
        <f>HYPERLINK("http://141.218.60.56/~jnz1568/getInfo.php?workbook=01_01.xlsx&amp;sheet=A0&amp;row=11&amp;col=34&amp;number=22449000&amp;sourceID=20","22449000")</f>
        <v>22449000</v>
      </c>
    </row>
    <row r="12" spans="1:34">
      <c r="A12" s="3">
        <v>1</v>
      </c>
      <c r="B12" s="3">
        <v>1</v>
      </c>
      <c r="C12" s="3">
        <v>5</v>
      </c>
      <c r="D12" s="3">
        <v>4</v>
      </c>
      <c r="E12" s="3">
        <f>((1/(INDEX(E0!J$4:J$28,C12,1)-INDEX(E0!J$4:J$28,D12,1))))*100000000</f>
        <v>0</v>
      </c>
      <c r="F12" s="4" t="str">
        <f>HYPERLINK("http://141.218.60.56/~jnz1568/getInfo.php?workbook=01_01.xlsx&amp;sheet=A0&amp;row=12&amp;col=6&amp;number=&amp;sourceID=18","")</f>
        <v/>
      </c>
      <c r="G12" s="4" t="str">
        <f>HYPERLINK("http://141.218.60.56/~jnz1568/getInfo.php?workbook=01_01.xlsx&amp;sheet=A0&amp;row=12&amp;col=7&amp;number=&amp;sourceID=15","")</f>
        <v/>
      </c>
      <c r="H12" s="4" t="str">
        <f>HYPERLINK("http://141.218.60.56/~jnz1568/getInfo.php?workbook=01_01.xlsx&amp;sheet=A0&amp;row=12&amp;col=8&amp;number=&amp;sourceID=15","")</f>
        <v/>
      </c>
      <c r="I12" s="4" t="str">
        <f>HYPERLINK("http://141.218.60.56/~jnz1568/getInfo.php?workbook=01_01.xlsx&amp;sheet=A0&amp;row=12&amp;col=9&amp;number=&amp;sourceID=15","")</f>
        <v/>
      </c>
      <c r="J12" s="4" t="str">
        <f>HYPERLINK("http://141.218.60.56/~jnz1568/getInfo.php?workbook=01_01.xlsx&amp;sheet=A0&amp;row=12&amp;col=10&amp;number=&amp;sourceID=15","")</f>
        <v/>
      </c>
      <c r="K12" s="4" t="str">
        <f>HYPERLINK("http://141.218.60.56/~jnz1568/getInfo.php?workbook=01_01.xlsx&amp;sheet=A0&amp;row=12&amp;col=11&amp;number=&amp;sourceID=15","")</f>
        <v/>
      </c>
      <c r="L12" s="4" t="str">
        <f>HYPERLINK("http://141.218.60.56/~jnz1568/getInfo.php?workbook=01_01.xlsx&amp;sheet=A0&amp;row=12&amp;col=12&amp;number=&amp;sourceID=15","")</f>
        <v/>
      </c>
      <c r="M12" s="4" t="str">
        <f>HYPERLINK("http://141.218.60.56/~jnz1568/getInfo.php?workbook=01_01.xlsx&amp;sheet=A0&amp;row=12&amp;col=13&amp;number=&amp;sourceID=15","")</f>
        <v/>
      </c>
      <c r="N12" s="4" t="str">
        <f>HYPERLINK("http://141.218.60.56/~jnz1568/getInfo.php?workbook=01_01.xlsx&amp;sheet=A0&amp;row=12&amp;col=14&amp;number==&amp;sourceID=11","=")</f>
        <v>=</v>
      </c>
      <c r="O12" s="4" t="str">
        <f>HYPERLINK("http://141.218.60.56/~jnz1568/getInfo.php?workbook=01_01.xlsx&amp;sheet=A0&amp;row=12&amp;col=15&amp;number=&amp;sourceID=11","")</f>
        <v/>
      </c>
      <c r="P12" s="4" t="str">
        <f>HYPERLINK("http://141.218.60.56/~jnz1568/getInfo.php?workbook=01_01.xlsx&amp;sheet=A0&amp;row=12&amp;col=16&amp;number=23.908&amp;sourceID=11","23.908")</f>
        <v>23.908</v>
      </c>
      <c r="Q12" s="4" t="str">
        <f>HYPERLINK("http://141.218.60.56/~jnz1568/getInfo.php?workbook=01_01.xlsx&amp;sheet=A0&amp;row=12&amp;col=17&amp;number=&amp;sourceID=11","")</f>
        <v/>
      </c>
      <c r="R12" s="4" t="str">
        <f>HYPERLINK("http://141.218.60.56/~jnz1568/getInfo.php?workbook=01_01.xlsx&amp;sheet=A0&amp;row=12&amp;col=18&amp;number=1.2886e-08&amp;sourceID=11","1.2886e-08")</f>
        <v>1.2886e-08</v>
      </c>
      <c r="S12" s="4" t="str">
        <f>HYPERLINK("http://141.218.60.56/~jnz1568/getInfo.php?workbook=01_01.xlsx&amp;sheet=A0&amp;row=12&amp;col=19&amp;number=&amp;sourceID=11","")</f>
        <v/>
      </c>
      <c r="T12" s="4" t="str">
        <f>HYPERLINK("http://141.218.60.56/~jnz1568/getInfo.php?workbook=01_01.xlsx&amp;sheet=A0&amp;row=12&amp;col=20&amp;number=&amp;sourceID=11","")</f>
        <v/>
      </c>
      <c r="U12" s="4" t="str">
        <f>HYPERLINK("http://141.218.60.56/~jnz1568/getInfo.php?workbook=01_01.xlsx&amp;sheet=A0&amp;row=12&amp;col=21&amp;number=23.921&amp;sourceID=12","23.921")</f>
        <v>23.921</v>
      </c>
      <c r="V12" s="4" t="str">
        <f>HYPERLINK("http://141.218.60.56/~jnz1568/getInfo.php?workbook=01_01.xlsx&amp;sheet=A0&amp;row=12&amp;col=22&amp;number=&amp;sourceID=12","")</f>
        <v/>
      </c>
      <c r="W12" s="4" t="str">
        <f>HYPERLINK("http://141.218.60.56/~jnz1568/getInfo.php?workbook=01_01.xlsx&amp;sheet=A0&amp;row=12&amp;col=23&amp;number=23.921&amp;sourceID=12","23.921")</f>
        <v>23.921</v>
      </c>
      <c r="X12" s="4" t="str">
        <f>HYPERLINK("http://141.218.60.56/~jnz1568/getInfo.php?workbook=01_01.xlsx&amp;sheet=A0&amp;row=12&amp;col=24&amp;number=&amp;sourceID=12","")</f>
        <v/>
      </c>
      <c r="Y12" s="4" t="str">
        <f>HYPERLINK("http://141.218.60.56/~jnz1568/getInfo.php?workbook=01_01.xlsx&amp;sheet=A0&amp;row=12&amp;col=25&amp;number=1.2897e-08&amp;sourceID=12","1.2897e-08")</f>
        <v>1.2897e-08</v>
      </c>
      <c r="Z12" s="4" t="str">
        <f>HYPERLINK("http://141.218.60.56/~jnz1568/getInfo.php?workbook=01_01.xlsx&amp;sheet=A0&amp;row=12&amp;col=26&amp;number=&amp;sourceID=12","")</f>
        <v/>
      </c>
      <c r="AA12" s="4" t="str">
        <f>HYPERLINK("http://141.218.60.56/~jnz1568/getInfo.php?workbook=01_01.xlsx&amp;sheet=A0&amp;row=12&amp;col=27&amp;number=&amp;sourceID=12","")</f>
        <v/>
      </c>
      <c r="AB12" s="4" t="str">
        <f>HYPERLINK("http://141.218.60.56/~jnz1568/getInfo.php?workbook=01_01.xlsx&amp;sheet=A0&amp;row=12&amp;col=28&amp;number==&amp;sourceID=18","=")</f>
        <v>=</v>
      </c>
      <c r="AC12" s="4" t="str">
        <f>HYPERLINK("http://141.218.60.56/~jnz1568/getInfo.php?workbook=01_01.xlsx&amp;sheet=A0&amp;row=12&amp;col=29&amp;number=&amp;sourceID=18","")</f>
        <v/>
      </c>
      <c r="AD12" s="4" t="str">
        <f>HYPERLINK("http://141.218.60.56/~jnz1568/getInfo.php?workbook=01_01.xlsx&amp;sheet=A0&amp;row=12&amp;col=30&amp;number=23.9&amp;sourceID=18","23.9")</f>
        <v>23.9</v>
      </c>
      <c r="AE12" s="4" t="str">
        <f>HYPERLINK("http://141.218.60.56/~jnz1568/getInfo.php?workbook=01_01.xlsx&amp;sheet=A0&amp;row=12&amp;col=31&amp;number=&amp;sourceID=18","")</f>
        <v/>
      </c>
      <c r="AF12" s="4" t="str">
        <f>HYPERLINK("http://141.218.60.56/~jnz1568/getInfo.php?workbook=01_01.xlsx&amp;sheet=A0&amp;row=12&amp;col=32&amp;number=1.42e-08&amp;sourceID=18","1.42e-08")</f>
        <v>1.42e-08</v>
      </c>
      <c r="AG12" s="4" t="str">
        <f>HYPERLINK("http://141.218.60.56/~jnz1568/getInfo.php?workbook=01_01.xlsx&amp;sheet=A0&amp;row=12&amp;col=33&amp;number=&amp;sourceID=18","")</f>
        <v/>
      </c>
      <c r="AH12" s="4" t="str">
        <f>HYPERLINK("http://141.218.60.56/~jnz1568/getInfo.php?workbook=01_01.xlsx&amp;sheet=A0&amp;row=12&amp;col=34&amp;number=23.908&amp;sourceID=20","23.908")</f>
        <v>23.908</v>
      </c>
    </row>
    <row r="13" spans="1:34">
      <c r="A13" s="3">
        <v>1</v>
      </c>
      <c r="B13" s="3">
        <v>1</v>
      </c>
      <c r="C13" s="3">
        <v>6</v>
      </c>
      <c r="D13" s="3">
        <v>1</v>
      </c>
      <c r="E13" s="3">
        <f>((1/(INDEX(E0!J$4:J$28,C13,1)-INDEX(E0!J$4:J$28,D13,1))))*100000000</f>
        <v>0</v>
      </c>
      <c r="F13" s="4" t="str">
        <f>HYPERLINK("http://141.218.60.56/~jnz1568/getInfo.php?workbook=01_01.xlsx&amp;sheet=A0&amp;row=13&amp;col=6&amp;number=&amp;sourceID=18","")</f>
        <v/>
      </c>
      <c r="G13" s="4" t="str">
        <f>HYPERLINK("http://141.218.60.56/~jnz1568/getInfo.php?workbook=01_01.xlsx&amp;sheet=A0&amp;row=13&amp;col=7&amp;number=1.109e-06&amp;sourceID=15","1.109e-06")</f>
        <v>1.109e-06</v>
      </c>
      <c r="H13" s="4" t="str">
        <f>HYPERLINK("http://141.218.60.56/~jnz1568/getInfo.php?workbook=01_01.xlsx&amp;sheet=A0&amp;row=13&amp;col=8&amp;number=&amp;sourceID=15","")</f>
        <v/>
      </c>
      <c r="I13" s="4" t="str">
        <f>HYPERLINK("http://141.218.60.56/~jnz1568/getInfo.php?workbook=01_01.xlsx&amp;sheet=A0&amp;row=13&amp;col=9&amp;number=&amp;sourceID=15","")</f>
        <v/>
      </c>
      <c r="J13" s="4" t="str">
        <f>HYPERLINK("http://141.218.60.56/~jnz1568/getInfo.php?workbook=01_01.xlsx&amp;sheet=A0&amp;row=13&amp;col=10&amp;number=&amp;sourceID=15","")</f>
        <v/>
      </c>
      <c r="K13" s="4" t="str">
        <f>HYPERLINK("http://141.218.60.56/~jnz1568/getInfo.php?workbook=01_01.xlsx&amp;sheet=A0&amp;row=13&amp;col=11&amp;number=1.109e-06&amp;sourceID=15","1.109e-06")</f>
        <v>1.109e-06</v>
      </c>
      <c r="L13" s="4" t="str">
        <f>HYPERLINK("http://141.218.60.56/~jnz1568/getInfo.php?workbook=01_01.xlsx&amp;sheet=A0&amp;row=13&amp;col=12&amp;number=&amp;sourceID=15","")</f>
        <v/>
      </c>
      <c r="M13" s="4" t="str">
        <f>HYPERLINK("http://141.218.60.56/~jnz1568/getInfo.php?workbook=01_01.xlsx&amp;sheet=A0&amp;row=13&amp;col=13&amp;number=&amp;sourceID=15","")</f>
        <v/>
      </c>
      <c r="N13" s="4" t="str">
        <f>HYPERLINK("http://141.218.60.56/~jnz1568/getInfo.php?workbook=01_01.xlsx&amp;sheet=A0&amp;row=13&amp;col=14&amp;number==&amp;sourceID=11","=")</f>
        <v>=</v>
      </c>
      <c r="O13" s="4" t="str">
        <f>HYPERLINK("http://141.218.60.56/~jnz1568/getInfo.php?workbook=01_01.xlsx&amp;sheet=A0&amp;row=13&amp;col=15&amp;number=&amp;sourceID=11","")</f>
        <v/>
      </c>
      <c r="P13" s="4" t="str">
        <f>HYPERLINK("http://141.218.60.56/~jnz1568/getInfo.php?workbook=01_01.xlsx&amp;sheet=A0&amp;row=13&amp;col=16&amp;number=&amp;sourceID=11","")</f>
        <v/>
      </c>
      <c r="Q13" s="4" t="str">
        <f>HYPERLINK("http://141.218.60.56/~jnz1568/getInfo.php?workbook=01_01.xlsx&amp;sheet=A0&amp;row=13&amp;col=17&amp;number=&amp;sourceID=11","")</f>
        <v/>
      </c>
      <c r="R13" s="4" t="str">
        <f>HYPERLINK("http://141.218.60.56/~jnz1568/getInfo.php?workbook=01_01.xlsx&amp;sheet=A0&amp;row=13&amp;col=18&amp;number=1.1087e-06&amp;sourceID=11","1.1087e-06")</f>
        <v>1.1087e-06</v>
      </c>
      <c r="S13" s="4" t="str">
        <f>HYPERLINK("http://141.218.60.56/~jnz1568/getInfo.php?workbook=01_01.xlsx&amp;sheet=A0&amp;row=13&amp;col=19&amp;number=&amp;sourceID=11","")</f>
        <v/>
      </c>
      <c r="T13" s="4" t="str">
        <f>HYPERLINK("http://141.218.60.56/~jnz1568/getInfo.php?workbook=01_01.xlsx&amp;sheet=A0&amp;row=13&amp;col=20&amp;number=&amp;sourceID=11","")</f>
        <v/>
      </c>
      <c r="U13" s="4" t="str">
        <f>HYPERLINK("http://141.218.60.56/~jnz1568/getInfo.php?workbook=01_01.xlsx&amp;sheet=A0&amp;row=13&amp;col=21&amp;number=1.1171e-06&amp;sourceID=12","1.1171e-06")</f>
        <v>1.1171e-06</v>
      </c>
      <c r="V13" s="4" t="str">
        <f>HYPERLINK("http://141.218.60.56/~jnz1568/getInfo.php?workbook=01_01.xlsx&amp;sheet=A0&amp;row=13&amp;col=22&amp;number=&amp;sourceID=12","")</f>
        <v/>
      </c>
      <c r="W13" s="4" t="str">
        <f>HYPERLINK("http://141.218.60.56/~jnz1568/getInfo.php?workbook=01_01.xlsx&amp;sheet=A0&amp;row=13&amp;col=23&amp;number=&amp;sourceID=12","")</f>
        <v/>
      </c>
      <c r="X13" s="4" t="str">
        <f>HYPERLINK("http://141.218.60.56/~jnz1568/getInfo.php?workbook=01_01.xlsx&amp;sheet=A0&amp;row=13&amp;col=24&amp;number=&amp;sourceID=12","")</f>
        <v/>
      </c>
      <c r="Y13" s="4" t="str">
        <f>HYPERLINK("http://141.218.60.56/~jnz1568/getInfo.php?workbook=01_01.xlsx&amp;sheet=A0&amp;row=13&amp;col=25&amp;number=1.1171e-06&amp;sourceID=12","1.1171e-06")</f>
        <v>1.1171e-06</v>
      </c>
      <c r="Z13" s="4" t="str">
        <f>HYPERLINK("http://141.218.60.56/~jnz1568/getInfo.php?workbook=01_01.xlsx&amp;sheet=A0&amp;row=13&amp;col=26&amp;number=&amp;sourceID=12","")</f>
        <v/>
      </c>
      <c r="AA13" s="4" t="str">
        <f>HYPERLINK("http://141.218.60.56/~jnz1568/getInfo.php?workbook=01_01.xlsx&amp;sheet=A0&amp;row=13&amp;col=27&amp;number=&amp;sourceID=12","")</f>
        <v/>
      </c>
      <c r="AB13" s="4" t="str">
        <f>HYPERLINK("http://141.218.60.56/~jnz1568/getInfo.php?workbook=01_01.xlsx&amp;sheet=A0&amp;row=13&amp;col=28&amp;number==&amp;sourceID=18","=")</f>
        <v>=</v>
      </c>
      <c r="AC13" s="4" t="str">
        <f>HYPERLINK("http://141.218.60.56/~jnz1568/getInfo.php?workbook=01_01.xlsx&amp;sheet=A0&amp;row=13&amp;col=29&amp;number=&amp;sourceID=18","")</f>
        <v/>
      </c>
      <c r="AD13" s="4" t="str">
        <f>HYPERLINK("http://141.218.60.56/~jnz1568/getInfo.php?workbook=01_01.xlsx&amp;sheet=A0&amp;row=13&amp;col=30&amp;number=&amp;sourceID=18","")</f>
        <v/>
      </c>
      <c r="AE13" s="4" t="str">
        <f>HYPERLINK("http://141.218.60.56/~jnz1568/getInfo.php?workbook=01_01.xlsx&amp;sheet=A0&amp;row=13&amp;col=31&amp;number=&amp;sourceID=18","")</f>
        <v/>
      </c>
      <c r="AF13" s="4" t="str">
        <f>HYPERLINK("http://141.218.60.56/~jnz1568/getInfo.php?workbook=01_01.xlsx&amp;sheet=A0&amp;row=13&amp;col=32&amp;number=1.11e-06&amp;sourceID=18","1.11e-06")</f>
        <v>1.11e-06</v>
      </c>
      <c r="AG13" s="4" t="str">
        <f>HYPERLINK("http://141.218.60.56/~jnz1568/getInfo.php?workbook=01_01.xlsx&amp;sheet=A0&amp;row=13&amp;col=33&amp;number=&amp;sourceID=18","")</f>
        <v/>
      </c>
      <c r="AH13" s="4" t="str">
        <f>HYPERLINK("http://141.218.60.56/~jnz1568/getInfo.php?workbook=01_01.xlsx&amp;sheet=A0&amp;row=13&amp;col=34&amp;number=&amp;sourceID=20","")</f>
        <v/>
      </c>
    </row>
    <row r="14" spans="1:34">
      <c r="A14" s="3">
        <v>1</v>
      </c>
      <c r="B14" s="3">
        <v>1</v>
      </c>
      <c r="C14" s="3">
        <v>6</v>
      </c>
      <c r="D14" s="3">
        <v>2</v>
      </c>
      <c r="E14" s="3">
        <f>((1/(INDEX(E0!J$4:J$28,C14,1)-INDEX(E0!J$4:J$28,D14,1))))*100000000</f>
        <v>0</v>
      </c>
      <c r="F14" s="4" t="str">
        <f>HYPERLINK("http://141.218.60.56/~jnz1568/getInfo.php?workbook=01_01.xlsx&amp;sheet=A0&amp;row=14&amp;col=6&amp;number=&amp;sourceID=18","")</f>
        <v/>
      </c>
      <c r="G14" s="4" t="str">
        <f>HYPERLINK("http://141.218.60.56/~jnz1568/getInfo.php?workbook=01_01.xlsx&amp;sheet=A0&amp;row=14&amp;col=7&amp;number=2104600&amp;sourceID=15","2104600")</f>
        <v>2104600</v>
      </c>
      <c r="H14" s="4" t="str">
        <f>HYPERLINK("http://141.218.60.56/~jnz1568/getInfo.php?workbook=01_01.xlsx&amp;sheet=A0&amp;row=14&amp;col=8&amp;number=2104600&amp;sourceID=15","2104600")</f>
        <v>2104600</v>
      </c>
      <c r="I14" s="4" t="str">
        <f>HYPERLINK("http://141.218.60.56/~jnz1568/getInfo.php?workbook=01_01.xlsx&amp;sheet=A0&amp;row=14&amp;col=9&amp;number=&amp;sourceID=15","")</f>
        <v/>
      </c>
      <c r="J14" s="4" t="str">
        <f>HYPERLINK("http://141.218.60.56/~jnz1568/getInfo.php?workbook=01_01.xlsx&amp;sheet=A0&amp;row=14&amp;col=10&amp;number=&amp;sourceID=15","")</f>
        <v/>
      </c>
      <c r="K14" s="4" t="str">
        <f>HYPERLINK("http://141.218.60.56/~jnz1568/getInfo.php?workbook=01_01.xlsx&amp;sheet=A0&amp;row=14&amp;col=11&amp;number=&amp;sourceID=15","")</f>
        <v/>
      </c>
      <c r="L14" s="4" t="str">
        <f>HYPERLINK("http://141.218.60.56/~jnz1568/getInfo.php?workbook=01_01.xlsx&amp;sheet=A0&amp;row=14&amp;col=12&amp;number=&amp;sourceID=15","")</f>
        <v/>
      </c>
      <c r="M14" s="4" t="str">
        <f>HYPERLINK("http://141.218.60.56/~jnz1568/getInfo.php?workbook=01_01.xlsx&amp;sheet=A0&amp;row=14&amp;col=13&amp;number=&amp;sourceID=15","")</f>
        <v/>
      </c>
      <c r="N14" s="4" t="str">
        <f>HYPERLINK("http://141.218.60.56/~jnz1568/getInfo.php?workbook=01_01.xlsx&amp;sheet=A0&amp;row=14&amp;col=14&amp;number==&amp;sourceID=11","=")</f>
        <v>=</v>
      </c>
      <c r="O14" s="4" t="str">
        <f>HYPERLINK("http://141.218.60.56/~jnz1568/getInfo.php?workbook=01_01.xlsx&amp;sheet=A0&amp;row=14&amp;col=15&amp;number=2104600&amp;sourceID=11","2104600")</f>
        <v>2104600</v>
      </c>
      <c r="P14" s="4" t="str">
        <f>HYPERLINK("http://141.218.60.56/~jnz1568/getInfo.php?workbook=01_01.xlsx&amp;sheet=A0&amp;row=14&amp;col=16&amp;number=&amp;sourceID=11","")</f>
        <v/>
      </c>
      <c r="Q14" s="4" t="str">
        <f>HYPERLINK("http://141.218.60.56/~jnz1568/getInfo.php?workbook=01_01.xlsx&amp;sheet=A0&amp;row=14&amp;col=17&amp;number=&amp;sourceID=11","")</f>
        <v/>
      </c>
      <c r="R14" s="4" t="str">
        <f>HYPERLINK("http://141.218.60.56/~jnz1568/getInfo.php?workbook=01_01.xlsx&amp;sheet=A0&amp;row=14&amp;col=18&amp;number=&amp;sourceID=11","")</f>
        <v/>
      </c>
      <c r="S14" s="4" t="str">
        <f>HYPERLINK("http://141.218.60.56/~jnz1568/getInfo.php?workbook=01_01.xlsx&amp;sheet=A0&amp;row=14&amp;col=19&amp;number=&amp;sourceID=11","")</f>
        <v/>
      </c>
      <c r="T14" s="4" t="str">
        <f>HYPERLINK("http://141.218.60.56/~jnz1568/getInfo.php?workbook=01_01.xlsx&amp;sheet=A0&amp;row=14&amp;col=20&amp;number=&amp;sourceID=11","")</f>
        <v/>
      </c>
      <c r="U14" s="4" t="str">
        <f>HYPERLINK("http://141.218.60.56/~jnz1568/getInfo.php?workbook=01_01.xlsx&amp;sheet=A0&amp;row=14&amp;col=21&amp;number=2105700&amp;sourceID=12","2105700")</f>
        <v>2105700</v>
      </c>
      <c r="V14" s="4" t="str">
        <f>HYPERLINK("http://141.218.60.56/~jnz1568/getInfo.php?workbook=01_01.xlsx&amp;sheet=A0&amp;row=14&amp;col=22&amp;number=2105700&amp;sourceID=12","2105700")</f>
        <v>2105700</v>
      </c>
      <c r="W14" s="4" t="str">
        <f>HYPERLINK("http://141.218.60.56/~jnz1568/getInfo.php?workbook=01_01.xlsx&amp;sheet=A0&amp;row=14&amp;col=23&amp;number=&amp;sourceID=12","")</f>
        <v/>
      </c>
      <c r="X14" s="4" t="str">
        <f>HYPERLINK("http://141.218.60.56/~jnz1568/getInfo.php?workbook=01_01.xlsx&amp;sheet=A0&amp;row=14&amp;col=24&amp;number=&amp;sourceID=12","")</f>
        <v/>
      </c>
      <c r="Y14" s="4" t="str">
        <f>HYPERLINK("http://141.218.60.56/~jnz1568/getInfo.php?workbook=01_01.xlsx&amp;sheet=A0&amp;row=14&amp;col=25&amp;number=&amp;sourceID=12","")</f>
        <v/>
      </c>
      <c r="Z14" s="4" t="str">
        <f>HYPERLINK("http://141.218.60.56/~jnz1568/getInfo.php?workbook=01_01.xlsx&amp;sheet=A0&amp;row=14&amp;col=26&amp;number=&amp;sourceID=12","")</f>
        <v/>
      </c>
      <c r="AA14" s="4" t="str">
        <f>HYPERLINK("http://141.218.60.56/~jnz1568/getInfo.php?workbook=01_01.xlsx&amp;sheet=A0&amp;row=14&amp;col=27&amp;number=&amp;sourceID=12","")</f>
        <v/>
      </c>
      <c r="AB14" s="4" t="str">
        <f>HYPERLINK("http://141.218.60.56/~jnz1568/getInfo.php?workbook=01_01.xlsx&amp;sheet=A0&amp;row=14&amp;col=28&amp;number==&amp;sourceID=18","=")</f>
        <v>=</v>
      </c>
      <c r="AC14" s="4" t="str">
        <f>HYPERLINK("http://141.218.60.56/~jnz1568/getInfo.php?workbook=01_01.xlsx&amp;sheet=A0&amp;row=14&amp;col=29&amp;number=2110000&amp;sourceID=18","2110000")</f>
        <v>2110000</v>
      </c>
      <c r="AD14" s="4" t="str">
        <f>HYPERLINK("http://141.218.60.56/~jnz1568/getInfo.php?workbook=01_01.xlsx&amp;sheet=A0&amp;row=14&amp;col=30&amp;number=&amp;sourceID=18","")</f>
        <v/>
      </c>
      <c r="AE14" s="4" t="str">
        <f>HYPERLINK("http://141.218.60.56/~jnz1568/getInfo.php?workbook=01_01.xlsx&amp;sheet=A0&amp;row=14&amp;col=31&amp;number=&amp;sourceID=18","")</f>
        <v/>
      </c>
      <c r="AF14" s="4" t="str">
        <f>HYPERLINK("http://141.218.60.56/~jnz1568/getInfo.php?workbook=01_01.xlsx&amp;sheet=A0&amp;row=14&amp;col=32&amp;number=&amp;sourceID=18","")</f>
        <v/>
      </c>
      <c r="AG14" s="4" t="str">
        <f>HYPERLINK("http://141.218.60.56/~jnz1568/getInfo.php?workbook=01_01.xlsx&amp;sheet=A0&amp;row=14&amp;col=33&amp;number=&amp;sourceID=18","")</f>
        <v/>
      </c>
      <c r="AH14" s="4" t="str">
        <f>HYPERLINK("http://141.218.60.56/~jnz1568/getInfo.php?workbook=01_01.xlsx&amp;sheet=A0&amp;row=14&amp;col=34&amp;number=2104600&amp;sourceID=20","2104600")</f>
        <v>2104600</v>
      </c>
    </row>
    <row r="15" spans="1:34">
      <c r="A15" s="3">
        <v>1</v>
      </c>
      <c r="B15" s="3">
        <v>1</v>
      </c>
      <c r="C15" s="3">
        <v>6</v>
      </c>
      <c r="D15" s="3">
        <v>3</v>
      </c>
      <c r="E15" s="3">
        <f>((1/(INDEX(E0!J$4:J$28,C15,1)-INDEX(E0!J$4:J$28,D15,1))))*100000000</f>
        <v>0</v>
      </c>
      <c r="F15" s="4" t="str">
        <f>HYPERLINK("http://141.218.60.56/~jnz1568/getInfo.php?workbook=01_01.xlsx&amp;sheet=A0&amp;row=15&amp;col=6&amp;number=&amp;sourceID=18","")</f>
        <v/>
      </c>
      <c r="G15" s="4" t="str">
        <f>HYPERLINK("http://141.218.60.56/~jnz1568/getInfo.php?workbook=01_01.xlsx&amp;sheet=A0&amp;row=15&amp;col=7&amp;number=&amp;sourceID=15","")</f>
        <v/>
      </c>
      <c r="H15" s="4" t="str">
        <f>HYPERLINK("http://141.218.60.56/~jnz1568/getInfo.php?workbook=01_01.xlsx&amp;sheet=A0&amp;row=15&amp;col=8&amp;number=&amp;sourceID=15","")</f>
        <v/>
      </c>
      <c r="I15" s="4" t="str">
        <f>HYPERLINK("http://141.218.60.56/~jnz1568/getInfo.php?workbook=01_01.xlsx&amp;sheet=A0&amp;row=15&amp;col=9&amp;number=&amp;sourceID=15","")</f>
        <v/>
      </c>
      <c r="J15" s="4" t="str">
        <f>HYPERLINK("http://141.218.60.56/~jnz1568/getInfo.php?workbook=01_01.xlsx&amp;sheet=A0&amp;row=15&amp;col=10&amp;number=&amp;sourceID=15","")</f>
        <v/>
      </c>
      <c r="K15" s="4" t="str">
        <f>HYPERLINK("http://141.218.60.56/~jnz1568/getInfo.php?workbook=01_01.xlsx&amp;sheet=A0&amp;row=15&amp;col=11&amp;number=&amp;sourceID=15","")</f>
        <v/>
      </c>
      <c r="L15" s="4" t="str">
        <f>HYPERLINK("http://141.218.60.56/~jnz1568/getInfo.php?workbook=01_01.xlsx&amp;sheet=A0&amp;row=15&amp;col=12&amp;number=&amp;sourceID=15","")</f>
        <v/>
      </c>
      <c r="M15" s="4" t="str">
        <f>HYPERLINK("http://141.218.60.56/~jnz1568/getInfo.php?workbook=01_01.xlsx&amp;sheet=A0&amp;row=15&amp;col=13&amp;number=&amp;sourceID=15","")</f>
        <v/>
      </c>
      <c r="N15" s="4" t="str">
        <f>HYPERLINK("http://141.218.60.56/~jnz1568/getInfo.php?workbook=01_01.xlsx&amp;sheet=A0&amp;row=15&amp;col=14&amp;number==&amp;sourceID=11","=")</f>
        <v>=</v>
      </c>
      <c r="O15" s="4" t="str">
        <f>HYPERLINK("http://141.218.60.56/~jnz1568/getInfo.php?workbook=01_01.xlsx&amp;sheet=A0&amp;row=15&amp;col=15&amp;number=&amp;sourceID=11","")</f>
        <v/>
      </c>
      <c r="P15" s="4" t="str">
        <f>HYPERLINK("http://141.218.60.56/~jnz1568/getInfo.php?workbook=01_01.xlsx&amp;sheet=A0&amp;row=15&amp;col=16&amp;number=&amp;sourceID=11","")</f>
        <v/>
      </c>
      <c r="Q15" s="4" t="str">
        <f>HYPERLINK("http://141.218.60.56/~jnz1568/getInfo.php?workbook=01_01.xlsx&amp;sheet=A0&amp;row=15&amp;col=17&amp;number=&amp;sourceID=11","")</f>
        <v/>
      </c>
      <c r="R15" s="4" t="str">
        <f>HYPERLINK("http://141.218.60.56/~jnz1568/getInfo.php?workbook=01_01.xlsx&amp;sheet=A0&amp;row=15&amp;col=18&amp;number=1.8708e-09&amp;sourceID=11","1.8708e-09")</f>
        <v>1.8708e-09</v>
      </c>
      <c r="S15" s="4" t="str">
        <f>HYPERLINK("http://141.218.60.56/~jnz1568/getInfo.php?workbook=01_01.xlsx&amp;sheet=A0&amp;row=15&amp;col=19&amp;number=&amp;sourceID=11","")</f>
        <v/>
      </c>
      <c r="T15" s="4" t="str">
        <f>HYPERLINK("http://141.218.60.56/~jnz1568/getInfo.php?workbook=01_01.xlsx&amp;sheet=A0&amp;row=15&amp;col=20&amp;number=&amp;sourceID=11","")</f>
        <v/>
      </c>
      <c r="U15" s="4" t="str">
        <f>HYPERLINK("http://141.218.60.56/~jnz1568/getInfo.php?workbook=01_01.xlsx&amp;sheet=A0&amp;row=15&amp;col=21&amp;number=1.8777e-09&amp;sourceID=12","1.8777e-09")</f>
        <v>1.8777e-09</v>
      </c>
      <c r="V15" s="4" t="str">
        <f>HYPERLINK("http://141.218.60.56/~jnz1568/getInfo.php?workbook=01_01.xlsx&amp;sheet=A0&amp;row=15&amp;col=22&amp;number=&amp;sourceID=12","")</f>
        <v/>
      </c>
      <c r="W15" s="4" t="str">
        <f>HYPERLINK("http://141.218.60.56/~jnz1568/getInfo.php?workbook=01_01.xlsx&amp;sheet=A0&amp;row=15&amp;col=23&amp;number=&amp;sourceID=12","")</f>
        <v/>
      </c>
      <c r="X15" s="4" t="str">
        <f>HYPERLINK("http://141.218.60.56/~jnz1568/getInfo.php?workbook=01_01.xlsx&amp;sheet=A0&amp;row=15&amp;col=24&amp;number=&amp;sourceID=12","")</f>
        <v/>
      </c>
      <c r="Y15" s="4" t="str">
        <f>HYPERLINK("http://141.218.60.56/~jnz1568/getInfo.php?workbook=01_01.xlsx&amp;sheet=A0&amp;row=15&amp;col=25&amp;number=1.8777e-09&amp;sourceID=12","1.8777e-09")</f>
        <v>1.8777e-09</v>
      </c>
      <c r="Z15" s="4" t="str">
        <f>HYPERLINK("http://141.218.60.56/~jnz1568/getInfo.php?workbook=01_01.xlsx&amp;sheet=A0&amp;row=15&amp;col=26&amp;number=&amp;sourceID=12","")</f>
        <v/>
      </c>
      <c r="AA15" s="4" t="str">
        <f>HYPERLINK("http://141.218.60.56/~jnz1568/getInfo.php?workbook=01_01.xlsx&amp;sheet=A0&amp;row=15&amp;col=27&amp;number=&amp;sourceID=12","")</f>
        <v/>
      </c>
      <c r="AB15" s="4" t="str">
        <f>HYPERLINK("http://141.218.60.56/~jnz1568/getInfo.php?workbook=01_01.xlsx&amp;sheet=A0&amp;row=15&amp;col=28&amp;number==&amp;sourceID=18","=")</f>
        <v>=</v>
      </c>
      <c r="AC15" s="4" t="str">
        <f>HYPERLINK("http://141.218.60.56/~jnz1568/getInfo.php?workbook=01_01.xlsx&amp;sheet=A0&amp;row=15&amp;col=29&amp;number=&amp;sourceID=18","")</f>
        <v/>
      </c>
      <c r="AD15" s="4" t="str">
        <f>HYPERLINK("http://141.218.60.56/~jnz1568/getInfo.php?workbook=01_01.xlsx&amp;sheet=A0&amp;row=15&amp;col=30&amp;number=&amp;sourceID=18","")</f>
        <v/>
      </c>
      <c r="AE15" s="4" t="str">
        <f>HYPERLINK("http://141.218.60.56/~jnz1568/getInfo.php?workbook=01_01.xlsx&amp;sheet=A0&amp;row=15&amp;col=31&amp;number=&amp;sourceID=18","")</f>
        <v/>
      </c>
      <c r="AF15" s="4" t="str">
        <f>HYPERLINK("http://141.218.60.56/~jnz1568/getInfo.php?workbook=01_01.xlsx&amp;sheet=A0&amp;row=15&amp;col=32&amp;number=1.88e-09&amp;sourceID=18","1.88e-09")</f>
        <v>1.88e-09</v>
      </c>
      <c r="AG15" s="4" t="str">
        <f>HYPERLINK("http://141.218.60.56/~jnz1568/getInfo.php?workbook=01_01.xlsx&amp;sheet=A0&amp;row=15&amp;col=33&amp;number=&amp;sourceID=18","")</f>
        <v/>
      </c>
      <c r="AH15" s="4" t="str">
        <f>HYPERLINK("http://141.218.60.56/~jnz1568/getInfo.php?workbook=01_01.xlsx&amp;sheet=A0&amp;row=15&amp;col=34&amp;number=1.8769e-09&amp;sourceID=20","1.8769e-09")</f>
        <v>1.8769e-09</v>
      </c>
    </row>
    <row r="16" spans="1:34">
      <c r="A16" s="3">
        <v>1</v>
      </c>
      <c r="B16" s="3">
        <v>1</v>
      </c>
      <c r="C16" s="3">
        <v>6</v>
      </c>
      <c r="D16" s="3">
        <v>4</v>
      </c>
      <c r="E16" s="3">
        <f>((1/(INDEX(E0!J$4:J$28,C16,1)-INDEX(E0!J$4:J$28,D16,1))))*100000000</f>
        <v>0</v>
      </c>
      <c r="F16" s="4" t="str">
        <f>HYPERLINK("http://141.218.60.56/~jnz1568/getInfo.php?workbook=01_01.xlsx&amp;sheet=A0&amp;row=16&amp;col=6&amp;number=&amp;sourceID=18","")</f>
        <v/>
      </c>
      <c r="G16" s="4" t="str">
        <f>HYPERLINK("http://141.218.60.56/~jnz1568/getInfo.php?workbook=01_01.xlsx&amp;sheet=A0&amp;row=16&amp;col=7&amp;number=4209700&amp;sourceID=15","4209700")</f>
        <v>4209700</v>
      </c>
      <c r="H16" s="4" t="str">
        <f>HYPERLINK("http://141.218.60.56/~jnz1568/getInfo.php?workbook=01_01.xlsx&amp;sheet=A0&amp;row=16&amp;col=8&amp;number=4209700&amp;sourceID=15","4209700")</f>
        <v>4209700</v>
      </c>
      <c r="I16" s="4" t="str">
        <f>HYPERLINK("http://141.218.60.56/~jnz1568/getInfo.php?workbook=01_01.xlsx&amp;sheet=A0&amp;row=16&amp;col=9&amp;number=&amp;sourceID=15","")</f>
        <v/>
      </c>
      <c r="J16" s="4" t="str">
        <f>HYPERLINK("http://141.218.60.56/~jnz1568/getInfo.php?workbook=01_01.xlsx&amp;sheet=A0&amp;row=16&amp;col=10&amp;number=&amp;sourceID=15","")</f>
        <v/>
      </c>
      <c r="K16" s="4" t="str">
        <f>HYPERLINK("http://141.218.60.56/~jnz1568/getInfo.php?workbook=01_01.xlsx&amp;sheet=A0&amp;row=16&amp;col=11&amp;number=&amp;sourceID=15","")</f>
        <v/>
      </c>
      <c r="L16" s="4" t="str">
        <f>HYPERLINK("http://141.218.60.56/~jnz1568/getInfo.php?workbook=01_01.xlsx&amp;sheet=A0&amp;row=16&amp;col=12&amp;number=&amp;sourceID=15","")</f>
        <v/>
      </c>
      <c r="M16" s="4" t="str">
        <f>HYPERLINK("http://141.218.60.56/~jnz1568/getInfo.php?workbook=01_01.xlsx&amp;sheet=A0&amp;row=16&amp;col=13&amp;number=&amp;sourceID=15","")</f>
        <v/>
      </c>
      <c r="N16" s="4" t="str">
        <f>HYPERLINK("http://141.218.60.56/~jnz1568/getInfo.php?workbook=01_01.xlsx&amp;sheet=A0&amp;row=16&amp;col=14&amp;number==&amp;sourceID=11","=")</f>
        <v>=</v>
      </c>
      <c r="O16" s="4" t="str">
        <f>HYPERLINK("http://141.218.60.56/~jnz1568/getInfo.php?workbook=01_01.xlsx&amp;sheet=A0&amp;row=16&amp;col=15&amp;number=4209700&amp;sourceID=11","4209700")</f>
        <v>4209700</v>
      </c>
      <c r="P16" s="4" t="str">
        <f>HYPERLINK("http://141.218.60.56/~jnz1568/getInfo.php?workbook=01_01.xlsx&amp;sheet=A0&amp;row=16&amp;col=16&amp;number=&amp;sourceID=11","")</f>
        <v/>
      </c>
      <c r="Q16" s="4" t="str">
        <f>HYPERLINK("http://141.218.60.56/~jnz1568/getInfo.php?workbook=01_01.xlsx&amp;sheet=A0&amp;row=16&amp;col=17&amp;number=&amp;sourceID=11","")</f>
        <v/>
      </c>
      <c r="R16" s="4" t="str">
        <f>HYPERLINK("http://141.218.60.56/~jnz1568/getInfo.php?workbook=01_01.xlsx&amp;sheet=A0&amp;row=16&amp;col=18&amp;number=&amp;sourceID=11","")</f>
        <v/>
      </c>
      <c r="S16" s="4" t="str">
        <f>HYPERLINK("http://141.218.60.56/~jnz1568/getInfo.php?workbook=01_01.xlsx&amp;sheet=A0&amp;row=16&amp;col=19&amp;number=1.0794e-05&amp;sourceID=11","1.0794e-05")</f>
        <v>1.0794e-05</v>
      </c>
      <c r="T16" s="4" t="str">
        <f>HYPERLINK("http://141.218.60.56/~jnz1568/getInfo.php?workbook=01_01.xlsx&amp;sheet=A0&amp;row=16&amp;col=20&amp;number=&amp;sourceID=11","")</f>
        <v/>
      </c>
      <c r="U16" s="4" t="str">
        <f>HYPERLINK("http://141.218.60.56/~jnz1568/getInfo.php?workbook=01_01.xlsx&amp;sheet=A0&amp;row=16&amp;col=21&amp;number=4212000&amp;sourceID=12","4212000")</f>
        <v>4212000</v>
      </c>
      <c r="V16" s="4" t="str">
        <f>HYPERLINK("http://141.218.60.56/~jnz1568/getInfo.php?workbook=01_01.xlsx&amp;sheet=A0&amp;row=16&amp;col=22&amp;number=4212000&amp;sourceID=12","4212000")</f>
        <v>4212000</v>
      </c>
      <c r="W16" s="4" t="str">
        <f>HYPERLINK("http://141.218.60.56/~jnz1568/getInfo.php?workbook=01_01.xlsx&amp;sheet=A0&amp;row=16&amp;col=23&amp;number=&amp;sourceID=12","")</f>
        <v/>
      </c>
      <c r="X16" s="4" t="str">
        <f>HYPERLINK("http://141.218.60.56/~jnz1568/getInfo.php?workbook=01_01.xlsx&amp;sheet=A0&amp;row=16&amp;col=24&amp;number=&amp;sourceID=12","")</f>
        <v/>
      </c>
      <c r="Y16" s="4" t="str">
        <f>HYPERLINK("http://141.218.60.56/~jnz1568/getInfo.php?workbook=01_01.xlsx&amp;sheet=A0&amp;row=16&amp;col=25&amp;number=&amp;sourceID=12","")</f>
        <v/>
      </c>
      <c r="Z16" s="4" t="str">
        <f>HYPERLINK("http://141.218.60.56/~jnz1568/getInfo.php?workbook=01_01.xlsx&amp;sheet=A0&amp;row=16&amp;col=26&amp;number=1.08e-05&amp;sourceID=12","1.08e-05")</f>
        <v>1.08e-05</v>
      </c>
      <c r="AA16" s="4" t="str">
        <f>HYPERLINK("http://141.218.60.56/~jnz1568/getInfo.php?workbook=01_01.xlsx&amp;sheet=A0&amp;row=16&amp;col=27&amp;number=&amp;sourceID=12","")</f>
        <v/>
      </c>
      <c r="AB16" s="4" t="str">
        <f>HYPERLINK("http://141.218.60.56/~jnz1568/getInfo.php?workbook=01_01.xlsx&amp;sheet=A0&amp;row=16&amp;col=28&amp;number==&amp;sourceID=18","=")</f>
        <v>=</v>
      </c>
      <c r="AC16" s="4" t="str">
        <f>HYPERLINK("http://141.218.60.56/~jnz1568/getInfo.php?workbook=01_01.xlsx&amp;sheet=A0&amp;row=16&amp;col=29&amp;number=4210000&amp;sourceID=18","4210000")</f>
        <v>4210000</v>
      </c>
      <c r="AD16" s="4" t="str">
        <f>HYPERLINK("http://141.218.60.56/~jnz1568/getInfo.php?workbook=01_01.xlsx&amp;sheet=A0&amp;row=16&amp;col=30&amp;number=&amp;sourceID=18","")</f>
        <v/>
      </c>
      <c r="AE16" s="4" t="str">
        <f>HYPERLINK("http://141.218.60.56/~jnz1568/getInfo.php?workbook=01_01.xlsx&amp;sheet=A0&amp;row=16&amp;col=31&amp;number=&amp;sourceID=18","")</f>
        <v/>
      </c>
      <c r="AF16" s="4" t="str">
        <f>HYPERLINK("http://141.218.60.56/~jnz1568/getInfo.php?workbook=01_01.xlsx&amp;sheet=A0&amp;row=16&amp;col=32&amp;number=&amp;sourceID=18","")</f>
        <v/>
      </c>
      <c r="AG16" s="4" t="str">
        <f>HYPERLINK("http://141.218.60.56/~jnz1568/getInfo.php?workbook=01_01.xlsx&amp;sheet=A0&amp;row=16&amp;col=33&amp;number=&amp;sourceID=18","")</f>
        <v/>
      </c>
      <c r="AH16" s="4" t="str">
        <f>HYPERLINK("http://141.218.60.56/~jnz1568/getInfo.php?workbook=01_01.xlsx&amp;sheet=A0&amp;row=16&amp;col=34&amp;number=4209700&amp;sourceID=20","4209700")</f>
        <v>4209700</v>
      </c>
    </row>
    <row r="17" spans="1:34">
      <c r="A17" s="3">
        <v>1</v>
      </c>
      <c r="B17" s="3">
        <v>1</v>
      </c>
      <c r="C17" s="3">
        <v>7</v>
      </c>
      <c r="D17" s="3">
        <v>1</v>
      </c>
      <c r="E17" s="3">
        <f>((1/(INDEX(E0!J$4:J$28,C17,1)-INDEX(E0!J$4:J$28,D17,1))))*100000000</f>
        <v>0</v>
      </c>
      <c r="F17" s="4" t="str">
        <f>HYPERLINK("http://141.218.60.56/~jnz1568/getInfo.php?workbook=01_01.xlsx&amp;sheet=A0&amp;row=17&amp;col=6&amp;number=&amp;sourceID=18","")</f>
        <v/>
      </c>
      <c r="G17" s="4" t="str">
        <f>HYPERLINK("http://141.218.60.56/~jnz1568/getInfo.php?workbook=01_01.xlsx&amp;sheet=A0&amp;row=17&amp;col=7&amp;number==I17+K17&amp;sourceID=15","=I17+K17")</f>
        <v>=I17+K17</v>
      </c>
      <c r="H17" s="4" t="str">
        <f>HYPERLINK("http://141.218.60.56/~jnz1568/getInfo.php?workbook=01_01.xlsx&amp;sheet=A0&amp;row=17&amp;col=8&amp;number=&amp;sourceID=15","")</f>
        <v/>
      </c>
      <c r="I17" s="4" t="str">
        <f>HYPERLINK("http://141.218.60.56/~jnz1568/getInfo.php?workbook=01_01.xlsx&amp;sheet=A0&amp;row=17&amp;col=9&amp;number=593.8&amp;sourceID=15","593.8")</f>
        <v>593.8</v>
      </c>
      <c r="J17" s="4" t="str">
        <f>HYPERLINK("http://141.218.60.56/~jnz1568/getInfo.php?workbook=01_01.xlsx&amp;sheet=A0&amp;row=17&amp;col=10&amp;number=&amp;sourceID=15","")</f>
        <v/>
      </c>
      <c r="K17" s="4" t="str">
        <f>HYPERLINK("http://141.218.60.56/~jnz1568/getInfo.php?workbook=01_01.xlsx&amp;sheet=A0&amp;row=17&amp;col=11&amp;number=6.929e-09&amp;sourceID=15","6.929e-09")</f>
        <v>6.929e-09</v>
      </c>
      <c r="L17" s="4" t="str">
        <f>HYPERLINK("http://141.218.60.56/~jnz1568/getInfo.php?workbook=01_01.xlsx&amp;sheet=A0&amp;row=17&amp;col=12&amp;number=&amp;sourceID=15","")</f>
        <v/>
      </c>
      <c r="M17" s="4" t="str">
        <f>HYPERLINK("http://141.218.60.56/~jnz1568/getInfo.php?workbook=01_01.xlsx&amp;sheet=A0&amp;row=17&amp;col=13&amp;number=&amp;sourceID=15","")</f>
        <v/>
      </c>
      <c r="N17" s="4" t="str">
        <f>HYPERLINK("http://141.218.60.56/~jnz1568/getInfo.php?workbook=01_01.xlsx&amp;sheet=A0&amp;row=17&amp;col=14&amp;number==&amp;sourceID=11","=")</f>
        <v>=</v>
      </c>
      <c r="O17" s="4" t="str">
        <f>HYPERLINK("http://141.218.60.56/~jnz1568/getInfo.php?workbook=01_01.xlsx&amp;sheet=A0&amp;row=17&amp;col=15&amp;number=&amp;sourceID=11","")</f>
        <v/>
      </c>
      <c r="P17" s="4" t="str">
        <f>HYPERLINK("http://141.218.60.56/~jnz1568/getInfo.php?workbook=01_01.xlsx&amp;sheet=A0&amp;row=17&amp;col=16&amp;number=593.75&amp;sourceID=11","593.75")</f>
        <v>593.75</v>
      </c>
      <c r="Q17" s="4" t="str">
        <f>HYPERLINK("http://141.218.60.56/~jnz1568/getInfo.php?workbook=01_01.xlsx&amp;sheet=A0&amp;row=17&amp;col=17&amp;number=&amp;sourceID=11","")</f>
        <v/>
      </c>
      <c r="R17" s="4" t="str">
        <f>HYPERLINK("http://141.218.60.56/~jnz1568/getInfo.php?workbook=01_01.xlsx&amp;sheet=A0&amp;row=17&amp;col=18&amp;number=6.9292e-09&amp;sourceID=11","6.9292e-09")</f>
        <v>6.9292e-09</v>
      </c>
      <c r="S17" s="4" t="str">
        <f>HYPERLINK("http://141.218.60.56/~jnz1568/getInfo.php?workbook=01_01.xlsx&amp;sheet=A0&amp;row=17&amp;col=19&amp;number=&amp;sourceID=11","")</f>
        <v/>
      </c>
      <c r="T17" s="4" t="str">
        <f>HYPERLINK("http://141.218.60.56/~jnz1568/getInfo.php?workbook=01_01.xlsx&amp;sheet=A0&amp;row=17&amp;col=20&amp;number=&amp;sourceID=11","")</f>
        <v/>
      </c>
      <c r="U17" s="4" t="str">
        <f>HYPERLINK("http://141.218.60.56/~jnz1568/getInfo.php?workbook=01_01.xlsx&amp;sheet=A0&amp;row=17&amp;col=21&amp;number=594.08&amp;sourceID=12","594.08")</f>
        <v>594.08</v>
      </c>
      <c r="V17" s="4" t="str">
        <f>HYPERLINK("http://141.218.60.56/~jnz1568/getInfo.php?workbook=01_01.xlsx&amp;sheet=A0&amp;row=17&amp;col=22&amp;number=&amp;sourceID=12","")</f>
        <v/>
      </c>
      <c r="W17" s="4" t="str">
        <f>HYPERLINK("http://141.218.60.56/~jnz1568/getInfo.php?workbook=01_01.xlsx&amp;sheet=A0&amp;row=17&amp;col=23&amp;number=594.08&amp;sourceID=12","594.08")</f>
        <v>594.08</v>
      </c>
      <c r="X17" s="4" t="str">
        <f>HYPERLINK("http://141.218.60.56/~jnz1568/getInfo.php?workbook=01_01.xlsx&amp;sheet=A0&amp;row=17&amp;col=24&amp;number=&amp;sourceID=12","")</f>
        <v/>
      </c>
      <c r="Y17" s="4" t="str">
        <f>HYPERLINK("http://141.218.60.56/~jnz1568/getInfo.php?workbook=01_01.xlsx&amp;sheet=A0&amp;row=17&amp;col=25&amp;number=6.7907e-09&amp;sourceID=12","6.7907e-09")</f>
        <v>6.7907e-09</v>
      </c>
      <c r="Z17" s="4" t="str">
        <f>HYPERLINK("http://141.218.60.56/~jnz1568/getInfo.php?workbook=01_01.xlsx&amp;sheet=A0&amp;row=17&amp;col=26&amp;number=&amp;sourceID=12","")</f>
        <v/>
      </c>
      <c r="AA17" s="4" t="str">
        <f>HYPERLINK("http://141.218.60.56/~jnz1568/getInfo.php?workbook=01_01.xlsx&amp;sheet=A0&amp;row=17&amp;col=27&amp;number=&amp;sourceID=12","")</f>
        <v/>
      </c>
      <c r="AB17" s="4" t="str">
        <f>HYPERLINK("http://141.218.60.56/~jnz1568/getInfo.php?workbook=01_01.xlsx&amp;sheet=A0&amp;row=17&amp;col=28&amp;number==&amp;sourceID=18","=")</f>
        <v>=</v>
      </c>
      <c r="AC17" s="4" t="str">
        <f>HYPERLINK("http://141.218.60.56/~jnz1568/getInfo.php?workbook=01_01.xlsx&amp;sheet=A0&amp;row=17&amp;col=29&amp;number=&amp;sourceID=18","")</f>
        <v/>
      </c>
      <c r="AD17" s="4" t="str">
        <f>HYPERLINK("http://141.218.60.56/~jnz1568/getInfo.php?workbook=01_01.xlsx&amp;sheet=A0&amp;row=17&amp;col=30&amp;number=594&amp;sourceID=18","594")</f>
        <v>594</v>
      </c>
      <c r="AE17" s="4" t="str">
        <f>HYPERLINK("http://141.218.60.56/~jnz1568/getInfo.php?workbook=01_01.xlsx&amp;sheet=A0&amp;row=17&amp;col=31&amp;number=&amp;sourceID=18","")</f>
        <v/>
      </c>
      <c r="AF17" s="4" t="str">
        <f>HYPERLINK("http://141.218.60.56/~jnz1568/getInfo.php?workbook=01_01.xlsx&amp;sheet=A0&amp;row=17&amp;col=32&amp;number=1.93e-08&amp;sourceID=18","1.93e-08")</f>
        <v>1.93e-08</v>
      </c>
      <c r="AG17" s="4" t="str">
        <f>HYPERLINK("http://141.218.60.56/~jnz1568/getInfo.php?workbook=01_01.xlsx&amp;sheet=A0&amp;row=17&amp;col=33&amp;number=&amp;sourceID=18","")</f>
        <v/>
      </c>
      <c r="AH17" s="4" t="str">
        <f>HYPERLINK("http://141.218.60.56/~jnz1568/getInfo.php?workbook=01_01.xlsx&amp;sheet=A0&amp;row=17&amp;col=34&amp;number=&amp;sourceID=20","")</f>
        <v/>
      </c>
    </row>
    <row r="18" spans="1:34">
      <c r="A18" s="3">
        <v>1</v>
      </c>
      <c r="B18" s="3">
        <v>1</v>
      </c>
      <c r="C18" s="3">
        <v>7</v>
      </c>
      <c r="D18" s="3">
        <v>2</v>
      </c>
      <c r="E18" s="3">
        <f>((1/(INDEX(E0!J$4:J$28,C18,1)-INDEX(E0!J$4:J$28,D18,1))))*100000000</f>
        <v>0</v>
      </c>
      <c r="F18" s="4" t="str">
        <f>HYPERLINK("http://141.218.60.56/~jnz1568/getInfo.php?workbook=01_01.xlsx&amp;sheet=A0&amp;row=18&amp;col=6&amp;number=&amp;sourceID=18","")</f>
        <v/>
      </c>
      <c r="G18" s="4" t="str">
        <f>HYPERLINK("http://141.218.60.56/~jnz1568/getInfo.php?workbook=01_01.xlsx&amp;sheet=A0&amp;row=18&amp;col=7&amp;number=53877000&amp;sourceID=15","53877000")</f>
        <v>53877000</v>
      </c>
      <c r="H18" s="4" t="str">
        <f>HYPERLINK("http://141.218.60.56/~jnz1568/getInfo.php?workbook=01_01.xlsx&amp;sheet=A0&amp;row=18&amp;col=8&amp;number=53877000&amp;sourceID=15","53877000")</f>
        <v>53877000</v>
      </c>
      <c r="I18" s="4" t="str">
        <f>HYPERLINK("http://141.218.60.56/~jnz1568/getInfo.php?workbook=01_01.xlsx&amp;sheet=A0&amp;row=18&amp;col=9&amp;number=&amp;sourceID=15","")</f>
        <v/>
      </c>
      <c r="J18" s="4" t="str">
        <f>HYPERLINK("http://141.218.60.56/~jnz1568/getInfo.php?workbook=01_01.xlsx&amp;sheet=A0&amp;row=18&amp;col=10&amp;number=&amp;sourceID=15","")</f>
        <v/>
      </c>
      <c r="K18" s="4" t="str">
        <f>HYPERLINK("http://141.218.60.56/~jnz1568/getInfo.php?workbook=01_01.xlsx&amp;sheet=A0&amp;row=18&amp;col=11&amp;number=&amp;sourceID=15","")</f>
        <v/>
      </c>
      <c r="L18" s="4" t="str">
        <f>HYPERLINK("http://141.218.60.56/~jnz1568/getInfo.php?workbook=01_01.xlsx&amp;sheet=A0&amp;row=18&amp;col=12&amp;number=&amp;sourceID=15","")</f>
        <v/>
      </c>
      <c r="M18" s="4" t="str">
        <f>HYPERLINK("http://141.218.60.56/~jnz1568/getInfo.php?workbook=01_01.xlsx&amp;sheet=A0&amp;row=18&amp;col=13&amp;number=&amp;sourceID=15","")</f>
        <v/>
      </c>
      <c r="N18" s="4" t="str">
        <f>HYPERLINK("http://141.218.60.56/~jnz1568/getInfo.php?workbook=01_01.xlsx&amp;sheet=A0&amp;row=18&amp;col=14&amp;number==&amp;sourceID=11","=")</f>
        <v>=</v>
      </c>
      <c r="O18" s="4" t="str">
        <f>HYPERLINK("http://141.218.60.56/~jnz1568/getInfo.php?workbook=01_01.xlsx&amp;sheet=A0&amp;row=18&amp;col=15&amp;number=53877000&amp;sourceID=11","53877000")</f>
        <v>53877000</v>
      </c>
      <c r="P18" s="4" t="str">
        <f>HYPERLINK("http://141.218.60.56/~jnz1568/getInfo.php?workbook=01_01.xlsx&amp;sheet=A0&amp;row=18&amp;col=16&amp;number=&amp;sourceID=11","")</f>
        <v/>
      </c>
      <c r="Q18" s="4" t="str">
        <f>HYPERLINK("http://141.218.60.56/~jnz1568/getInfo.php?workbook=01_01.xlsx&amp;sheet=A0&amp;row=18&amp;col=17&amp;number=&amp;sourceID=11","")</f>
        <v/>
      </c>
      <c r="R18" s="4" t="str">
        <f>HYPERLINK("http://141.218.60.56/~jnz1568/getInfo.php?workbook=01_01.xlsx&amp;sheet=A0&amp;row=18&amp;col=18&amp;number=&amp;sourceID=11","")</f>
        <v/>
      </c>
      <c r="S18" s="4" t="str">
        <f>HYPERLINK("http://141.218.60.56/~jnz1568/getInfo.php?workbook=01_01.xlsx&amp;sheet=A0&amp;row=18&amp;col=19&amp;number=5.5261e-06&amp;sourceID=11","5.5261e-06")</f>
        <v>5.5261e-06</v>
      </c>
      <c r="T18" s="4" t="str">
        <f>HYPERLINK("http://141.218.60.56/~jnz1568/getInfo.php?workbook=01_01.xlsx&amp;sheet=A0&amp;row=18&amp;col=20&amp;number=&amp;sourceID=11","")</f>
        <v/>
      </c>
      <c r="U18" s="4" t="str">
        <f>HYPERLINK("http://141.218.60.56/~jnz1568/getInfo.php?workbook=01_01.xlsx&amp;sheet=A0&amp;row=18&amp;col=21&amp;number=53906000&amp;sourceID=12","53906000")</f>
        <v>53906000</v>
      </c>
      <c r="V18" s="4" t="str">
        <f>HYPERLINK("http://141.218.60.56/~jnz1568/getInfo.php?workbook=01_01.xlsx&amp;sheet=A0&amp;row=18&amp;col=22&amp;number=53906000&amp;sourceID=12","53906000")</f>
        <v>53906000</v>
      </c>
      <c r="W18" s="4" t="str">
        <f>HYPERLINK("http://141.218.60.56/~jnz1568/getInfo.php?workbook=01_01.xlsx&amp;sheet=A0&amp;row=18&amp;col=23&amp;number=&amp;sourceID=12","")</f>
        <v/>
      </c>
      <c r="X18" s="4" t="str">
        <f>HYPERLINK("http://141.218.60.56/~jnz1568/getInfo.php?workbook=01_01.xlsx&amp;sheet=A0&amp;row=18&amp;col=24&amp;number=&amp;sourceID=12","")</f>
        <v/>
      </c>
      <c r="Y18" s="4" t="str">
        <f>HYPERLINK("http://141.218.60.56/~jnz1568/getInfo.php?workbook=01_01.xlsx&amp;sheet=A0&amp;row=18&amp;col=25&amp;number=&amp;sourceID=12","")</f>
        <v/>
      </c>
      <c r="Z18" s="4" t="str">
        <f>HYPERLINK("http://141.218.60.56/~jnz1568/getInfo.php?workbook=01_01.xlsx&amp;sheet=A0&amp;row=18&amp;col=26&amp;number=5.5291e-06&amp;sourceID=12","5.5291e-06")</f>
        <v>5.5291e-06</v>
      </c>
      <c r="AA18" s="4" t="str">
        <f>HYPERLINK("http://141.218.60.56/~jnz1568/getInfo.php?workbook=01_01.xlsx&amp;sheet=A0&amp;row=18&amp;col=27&amp;number=&amp;sourceID=12","")</f>
        <v/>
      </c>
      <c r="AB18" s="4" t="str">
        <f>HYPERLINK("http://141.218.60.56/~jnz1568/getInfo.php?workbook=01_01.xlsx&amp;sheet=A0&amp;row=18&amp;col=28&amp;number==&amp;sourceID=18","=")</f>
        <v>=</v>
      </c>
      <c r="AC18" s="4" t="str">
        <f>HYPERLINK("http://141.218.60.56/~jnz1568/getInfo.php?workbook=01_01.xlsx&amp;sheet=A0&amp;row=18&amp;col=29&amp;number=53900000&amp;sourceID=18","53900000")</f>
        <v>53900000</v>
      </c>
      <c r="AD18" s="4" t="str">
        <f>HYPERLINK("http://141.218.60.56/~jnz1568/getInfo.php?workbook=01_01.xlsx&amp;sheet=A0&amp;row=18&amp;col=30&amp;number=&amp;sourceID=18","")</f>
        <v/>
      </c>
      <c r="AE18" s="4" t="str">
        <f>HYPERLINK("http://141.218.60.56/~jnz1568/getInfo.php?workbook=01_01.xlsx&amp;sheet=A0&amp;row=18&amp;col=31&amp;number=&amp;sourceID=18","")</f>
        <v/>
      </c>
      <c r="AF18" s="4" t="str">
        <f>HYPERLINK("http://141.218.60.56/~jnz1568/getInfo.php?workbook=01_01.xlsx&amp;sheet=A0&amp;row=18&amp;col=32&amp;number=&amp;sourceID=18","")</f>
        <v/>
      </c>
      <c r="AG18" s="4" t="str">
        <f>HYPERLINK("http://141.218.60.56/~jnz1568/getInfo.php?workbook=01_01.xlsx&amp;sheet=A0&amp;row=18&amp;col=33&amp;number=&amp;sourceID=18","")</f>
        <v/>
      </c>
      <c r="AH18" s="4" t="str">
        <f>HYPERLINK("http://141.218.60.56/~jnz1568/getInfo.php?workbook=01_01.xlsx&amp;sheet=A0&amp;row=18&amp;col=34&amp;number=53877000&amp;sourceID=20","53877000")</f>
        <v>53877000</v>
      </c>
    </row>
    <row r="19" spans="1:34">
      <c r="A19" s="3">
        <v>1</v>
      </c>
      <c r="B19" s="3">
        <v>1</v>
      </c>
      <c r="C19" s="3">
        <v>7</v>
      </c>
      <c r="D19" s="3">
        <v>3</v>
      </c>
      <c r="E19" s="3">
        <f>((1/(INDEX(E0!J$4:J$28,C19,1)-INDEX(E0!J$4:J$28,D19,1))))*100000000</f>
        <v>0</v>
      </c>
      <c r="F19" s="4" t="str">
        <f>HYPERLINK("http://141.218.60.56/~jnz1568/getInfo.php?workbook=01_01.xlsx&amp;sheet=A0&amp;row=19&amp;col=6&amp;number=&amp;sourceID=18","")</f>
        <v/>
      </c>
      <c r="G19" s="4" t="str">
        <f>HYPERLINK("http://141.218.60.56/~jnz1568/getInfo.php?workbook=01_01.xlsx&amp;sheet=A0&amp;row=19&amp;col=7&amp;number=&amp;sourceID=15","")</f>
        <v/>
      </c>
      <c r="H19" s="4" t="str">
        <f>HYPERLINK("http://141.218.60.56/~jnz1568/getInfo.php?workbook=01_01.xlsx&amp;sheet=A0&amp;row=19&amp;col=8&amp;number=&amp;sourceID=15","")</f>
        <v/>
      </c>
      <c r="I19" s="4" t="str">
        <f>HYPERLINK("http://141.218.60.56/~jnz1568/getInfo.php?workbook=01_01.xlsx&amp;sheet=A0&amp;row=19&amp;col=9&amp;number=&amp;sourceID=15","")</f>
        <v/>
      </c>
      <c r="J19" s="4" t="str">
        <f>HYPERLINK("http://141.218.60.56/~jnz1568/getInfo.php?workbook=01_01.xlsx&amp;sheet=A0&amp;row=19&amp;col=10&amp;number=&amp;sourceID=15","")</f>
        <v/>
      </c>
      <c r="K19" s="4" t="str">
        <f>HYPERLINK("http://141.218.60.56/~jnz1568/getInfo.php?workbook=01_01.xlsx&amp;sheet=A0&amp;row=19&amp;col=11&amp;number=&amp;sourceID=15","")</f>
        <v/>
      </c>
      <c r="L19" s="4" t="str">
        <f>HYPERLINK("http://141.218.60.56/~jnz1568/getInfo.php?workbook=01_01.xlsx&amp;sheet=A0&amp;row=19&amp;col=12&amp;number=&amp;sourceID=15","")</f>
        <v/>
      </c>
      <c r="M19" s="4" t="str">
        <f>HYPERLINK("http://141.218.60.56/~jnz1568/getInfo.php?workbook=01_01.xlsx&amp;sheet=A0&amp;row=19&amp;col=13&amp;number=&amp;sourceID=15","")</f>
        <v/>
      </c>
      <c r="N19" s="4" t="str">
        <f>HYPERLINK("http://141.218.60.56/~jnz1568/getInfo.php?workbook=01_01.xlsx&amp;sheet=A0&amp;row=19&amp;col=14&amp;number==&amp;sourceID=11","=")</f>
        <v>=</v>
      </c>
      <c r="O19" s="4" t="str">
        <f>HYPERLINK("http://141.218.60.56/~jnz1568/getInfo.php?workbook=01_01.xlsx&amp;sheet=A0&amp;row=19&amp;col=15&amp;number=&amp;sourceID=11","")</f>
        <v/>
      </c>
      <c r="P19" s="4" t="str">
        <f>HYPERLINK("http://141.218.60.56/~jnz1568/getInfo.php?workbook=01_01.xlsx&amp;sheet=A0&amp;row=19&amp;col=16&amp;number=51.007&amp;sourceID=11","51.007")</f>
        <v>51.007</v>
      </c>
      <c r="Q19" s="4" t="str">
        <f>HYPERLINK("http://141.218.60.56/~jnz1568/getInfo.php?workbook=01_01.xlsx&amp;sheet=A0&amp;row=19&amp;col=17&amp;number=&amp;sourceID=11","")</f>
        <v/>
      </c>
      <c r="R19" s="4" t="str">
        <f>HYPERLINK("http://141.218.60.56/~jnz1568/getInfo.php?workbook=01_01.xlsx&amp;sheet=A0&amp;row=19&amp;col=18&amp;number=1.0479e-10&amp;sourceID=11","1.0479e-10")</f>
        <v>1.0479e-10</v>
      </c>
      <c r="S19" s="4" t="str">
        <f>HYPERLINK("http://141.218.60.56/~jnz1568/getInfo.php?workbook=01_01.xlsx&amp;sheet=A0&amp;row=19&amp;col=19&amp;number=&amp;sourceID=11","")</f>
        <v/>
      </c>
      <c r="T19" s="4" t="str">
        <f>HYPERLINK("http://141.218.60.56/~jnz1568/getInfo.php?workbook=01_01.xlsx&amp;sheet=A0&amp;row=19&amp;col=20&amp;number=&amp;sourceID=11","")</f>
        <v/>
      </c>
      <c r="U19" s="4" t="str">
        <f>HYPERLINK("http://141.218.60.56/~jnz1568/getInfo.php?workbook=01_01.xlsx&amp;sheet=A0&amp;row=19&amp;col=21&amp;number=51.035&amp;sourceID=12","51.035")</f>
        <v>51.035</v>
      </c>
      <c r="V19" s="4" t="str">
        <f>HYPERLINK("http://141.218.60.56/~jnz1568/getInfo.php?workbook=01_01.xlsx&amp;sheet=A0&amp;row=19&amp;col=22&amp;number=&amp;sourceID=12","")</f>
        <v/>
      </c>
      <c r="W19" s="4" t="str">
        <f>HYPERLINK("http://141.218.60.56/~jnz1568/getInfo.php?workbook=01_01.xlsx&amp;sheet=A0&amp;row=19&amp;col=23&amp;number=51.035&amp;sourceID=12","51.035")</f>
        <v>51.035</v>
      </c>
      <c r="X19" s="4" t="str">
        <f>HYPERLINK("http://141.218.60.56/~jnz1568/getInfo.php?workbook=01_01.xlsx&amp;sheet=A0&amp;row=19&amp;col=24&amp;number=&amp;sourceID=12","")</f>
        <v/>
      </c>
      <c r="Y19" s="4" t="str">
        <f>HYPERLINK("http://141.218.60.56/~jnz1568/getInfo.php?workbook=01_01.xlsx&amp;sheet=A0&amp;row=19&amp;col=25&amp;number=1.0501e-10&amp;sourceID=12","1.0501e-10")</f>
        <v>1.0501e-10</v>
      </c>
      <c r="Z19" s="4" t="str">
        <f>HYPERLINK("http://141.218.60.56/~jnz1568/getInfo.php?workbook=01_01.xlsx&amp;sheet=A0&amp;row=19&amp;col=26&amp;number=&amp;sourceID=12","")</f>
        <v/>
      </c>
      <c r="AA19" s="4" t="str">
        <f>HYPERLINK("http://141.218.60.56/~jnz1568/getInfo.php?workbook=01_01.xlsx&amp;sheet=A0&amp;row=19&amp;col=27&amp;number=&amp;sourceID=12","")</f>
        <v/>
      </c>
      <c r="AB19" s="4" t="str">
        <f>HYPERLINK("http://141.218.60.56/~jnz1568/getInfo.php?workbook=01_01.xlsx&amp;sheet=A0&amp;row=19&amp;col=28&amp;number==&amp;sourceID=18","=")</f>
        <v>=</v>
      </c>
      <c r="AC19" s="4" t="str">
        <f>HYPERLINK("http://141.218.60.56/~jnz1568/getInfo.php?workbook=01_01.xlsx&amp;sheet=A0&amp;row=19&amp;col=29&amp;number=&amp;sourceID=18","")</f>
        <v/>
      </c>
      <c r="AD19" s="4" t="str">
        <f>HYPERLINK("http://141.218.60.56/~jnz1568/getInfo.php?workbook=01_01.xlsx&amp;sheet=A0&amp;row=19&amp;col=30&amp;number=51&amp;sourceID=18","51")</f>
        <v>51</v>
      </c>
      <c r="AE19" s="4" t="str">
        <f>HYPERLINK("http://141.218.60.56/~jnz1568/getInfo.php?workbook=01_01.xlsx&amp;sheet=A0&amp;row=19&amp;col=31&amp;number=&amp;sourceID=18","")</f>
        <v/>
      </c>
      <c r="AF19" s="4" t="str">
        <f>HYPERLINK("http://141.218.60.56/~jnz1568/getInfo.php?workbook=01_01.xlsx&amp;sheet=A0&amp;row=19&amp;col=32&amp;number=2.02e-10&amp;sourceID=18","2.02e-10")</f>
        <v>2.02e-10</v>
      </c>
      <c r="AG19" s="4" t="str">
        <f>HYPERLINK("http://141.218.60.56/~jnz1568/getInfo.php?workbook=01_01.xlsx&amp;sheet=A0&amp;row=19&amp;col=33&amp;number=&amp;sourceID=18","")</f>
        <v/>
      </c>
      <c r="AH19" s="4" t="str">
        <f>HYPERLINK("http://141.218.60.56/~jnz1568/getInfo.php?workbook=01_01.xlsx&amp;sheet=A0&amp;row=19&amp;col=34&amp;number=51.007&amp;sourceID=20","51.007")</f>
        <v>51.007</v>
      </c>
    </row>
    <row r="20" spans="1:34">
      <c r="A20" s="3">
        <v>1</v>
      </c>
      <c r="B20" s="3">
        <v>1</v>
      </c>
      <c r="C20" s="3">
        <v>7</v>
      </c>
      <c r="D20" s="3">
        <v>4</v>
      </c>
      <c r="E20" s="3">
        <f>((1/(INDEX(E0!J$4:J$28,C20,1)-INDEX(E0!J$4:J$28,D20,1))))*100000000</f>
        <v>0</v>
      </c>
      <c r="F20" s="4" t="str">
        <f>HYPERLINK("http://141.218.60.56/~jnz1568/getInfo.php?workbook=01_01.xlsx&amp;sheet=A0&amp;row=20&amp;col=6&amp;number=&amp;sourceID=18","")</f>
        <v/>
      </c>
      <c r="G20" s="4" t="str">
        <f>HYPERLINK("http://141.218.60.56/~jnz1568/getInfo.php?workbook=01_01.xlsx&amp;sheet=A0&amp;row=20&amp;col=7&amp;number=10775000&amp;sourceID=15","10775000")</f>
        <v>10775000</v>
      </c>
      <c r="H20" s="4" t="str">
        <f>HYPERLINK("http://141.218.60.56/~jnz1568/getInfo.php?workbook=01_01.xlsx&amp;sheet=A0&amp;row=20&amp;col=8&amp;number=10775000&amp;sourceID=15","10775000")</f>
        <v>10775000</v>
      </c>
      <c r="I20" s="4" t="str">
        <f>HYPERLINK("http://141.218.60.56/~jnz1568/getInfo.php?workbook=01_01.xlsx&amp;sheet=A0&amp;row=20&amp;col=9&amp;number=&amp;sourceID=15","")</f>
        <v/>
      </c>
      <c r="J20" s="4" t="str">
        <f>HYPERLINK("http://141.218.60.56/~jnz1568/getInfo.php?workbook=01_01.xlsx&amp;sheet=A0&amp;row=20&amp;col=10&amp;number=&amp;sourceID=15","")</f>
        <v/>
      </c>
      <c r="K20" s="4" t="str">
        <f>HYPERLINK("http://141.218.60.56/~jnz1568/getInfo.php?workbook=01_01.xlsx&amp;sheet=A0&amp;row=20&amp;col=11&amp;number=&amp;sourceID=15","")</f>
        <v/>
      </c>
      <c r="L20" s="4" t="str">
        <f>HYPERLINK("http://141.218.60.56/~jnz1568/getInfo.php?workbook=01_01.xlsx&amp;sheet=A0&amp;row=20&amp;col=12&amp;number=&amp;sourceID=15","")</f>
        <v/>
      </c>
      <c r="M20" s="4" t="str">
        <f>HYPERLINK("http://141.218.60.56/~jnz1568/getInfo.php?workbook=01_01.xlsx&amp;sheet=A0&amp;row=20&amp;col=13&amp;number=&amp;sourceID=15","")</f>
        <v/>
      </c>
      <c r="N20" s="4" t="str">
        <f>HYPERLINK("http://141.218.60.56/~jnz1568/getInfo.php?workbook=01_01.xlsx&amp;sheet=A0&amp;row=20&amp;col=14&amp;number==&amp;sourceID=11","=")</f>
        <v>=</v>
      </c>
      <c r="O20" s="4" t="str">
        <f>HYPERLINK("http://141.218.60.56/~jnz1568/getInfo.php?workbook=01_01.xlsx&amp;sheet=A0&amp;row=20&amp;col=15&amp;number=10775000&amp;sourceID=11","10775000")</f>
        <v>10775000</v>
      </c>
      <c r="P20" s="4" t="str">
        <f>HYPERLINK("http://141.218.60.56/~jnz1568/getInfo.php?workbook=01_01.xlsx&amp;sheet=A0&amp;row=20&amp;col=16&amp;number=&amp;sourceID=11","")</f>
        <v/>
      </c>
      <c r="Q20" s="4" t="str">
        <f>HYPERLINK("http://141.218.60.56/~jnz1568/getInfo.php?workbook=01_01.xlsx&amp;sheet=A0&amp;row=20&amp;col=17&amp;number=2.2633e-05&amp;sourceID=11","2.2633e-05")</f>
        <v>2.2633e-05</v>
      </c>
      <c r="R20" s="4" t="str">
        <f>HYPERLINK("http://141.218.60.56/~jnz1568/getInfo.php?workbook=01_01.xlsx&amp;sheet=A0&amp;row=20&amp;col=18&amp;number=&amp;sourceID=11","")</f>
        <v/>
      </c>
      <c r="S20" s="4" t="str">
        <f>HYPERLINK("http://141.218.60.56/~jnz1568/getInfo.php?workbook=01_01.xlsx&amp;sheet=A0&amp;row=20&amp;col=19&amp;number=&amp;sourceID=11","")</f>
        <v/>
      </c>
      <c r="T20" s="4" t="str">
        <f>HYPERLINK("http://141.218.60.56/~jnz1568/getInfo.php?workbook=01_01.xlsx&amp;sheet=A0&amp;row=20&amp;col=20&amp;number=&amp;sourceID=11","")</f>
        <v/>
      </c>
      <c r="U20" s="4" t="str">
        <f>HYPERLINK("http://141.218.60.56/~jnz1568/getInfo.php?workbook=01_01.xlsx&amp;sheet=A0&amp;row=20&amp;col=21&amp;number=10781000&amp;sourceID=12","10781000")</f>
        <v>10781000</v>
      </c>
      <c r="V20" s="4" t="str">
        <f>HYPERLINK("http://141.218.60.56/~jnz1568/getInfo.php?workbook=01_01.xlsx&amp;sheet=A0&amp;row=20&amp;col=22&amp;number=10781000&amp;sourceID=12","10781000")</f>
        <v>10781000</v>
      </c>
      <c r="W20" s="4" t="str">
        <f>HYPERLINK("http://141.218.60.56/~jnz1568/getInfo.php?workbook=01_01.xlsx&amp;sheet=A0&amp;row=20&amp;col=23&amp;number=&amp;sourceID=12","")</f>
        <v/>
      </c>
      <c r="X20" s="4" t="str">
        <f>HYPERLINK("http://141.218.60.56/~jnz1568/getInfo.php?workbook=01_01.xlsx&amp;sheet=A0&amp;row=20&amp;col=24&amp;number=2.2646e-05&amp;sourceID=12","2.2646e-05")</f>
        <v>2.2646e-05</v>
      </c>
      <c r="Y20" s="4" t="str">
        <f>HYPERLINK("http://141.218.60.56/~jnz1568/getInfo.php?workbook=01_01.xlsx&amp;sheet=A0&amp;row=20&amp;col=25&amp;number=&amp;sourceID=12","")</f>
        <v/>
      </c>
      <c r="Z20" s="4" t="str">
        <f>HYPERLINK("http://141.218.60.56/~jnz1568/getInfo.php?workbook=01_01.xlsx&amp;sheet=A0&amp;row=20&amp;col=26&amp;number=&amp;sourceID=12","")</f>
        <v/>
      </c>
      <c r="AA20" s="4" t="str">
        <f>HYPERLINK("http://141.218.60.56/~jnz1568/getInfo.php?workbook=01_01.xlsx&amp;sheet=A0&amp;row=20&amp;col=27&amp;number=&amp;sourceID=12","")</f>
        <v/>
      </c>
      <c r="AB20" s="4" t="str">
        <f>HYPERLINK("http://141.218.60.56/~jnz1568/getInfo.php?workbook=01_01.xlsx&amp;sheet=A0&amp;row=20&amp;col=28&amp;number==&amp;sourceID=18","=")</f>
        <v>=</v>
      </c>
      <c r="AC20" s="4" t="str">
        <f>HYPERLINK("http://141.218.60.56/~jnz1568/getInfo.php?workbook=01_01.xlsx&amp;sheet=A0&amp;row=20&amp;col=29&amp;number=10800000&amp;sourceID=18","10800000")</f>
        <v>10800000</v>
      </c>
      <c r="AD20" s="4" t="str">
        <f>HYPERLINK("http://141.218.60.56/~jnz1568/getInfo.php?workbook=01_01.xlsx&amp;sheet=A0&amp;row=20&amp;col=30&amp;number=&amp;sourceID=18","")</f>
        <v/>
      </c>
      <c r="AE20" s="4" t="str">
        <f>HYPERLINK("http://141.218.60.56/~jnz1568/getInfo.php?workbook=01_01.xlsx&amp;sheet=A0&amp;row=20&amp;col=31&amp;number=&amp;sourceID=18","")</f>
        <v/>
      </c>
      <c r="AF20" s="4" t="str">
        <f>HYPERLINK("http://141.218.60.56/~jnz1568/getInfo.php?workbook=01_01.xlsx&amp;sheet=A0&amp;row=20&amp;col=32&amp;number=&amp;sourceID=18","")</f>
        <v/>
      </c>
      <c r="AG20" s="4" t="str">
        <f>HYPERLINK("http://141.218.60.56/~jnz1568/getInfo.php?workbook=01_01.xlsx&amp;sheet=A0&amp;row=20&amp;col=33&amp;number=&amp;sourceID=18","")</f>
        <v/>
      </c>
      <c r="AH20" s="4" t="str">
        <f>HYPERLINK("http://141.218.60.56/~jnz1568/getInfo.php?workbook=01_01.xlsx&amp;sheet=A0&amp;row=20&amp;col=34&amp;number=10775000&amp;sourceID=20","10775000")</f>
        <v>10775000</v>
      </c>
    </row>
    <row r="21" spans="1:34">
      <c r="A21" s="3">
        <v>1</v>
      </c>
      <c r="B21" s="3">
        <v>1</v>
      </c>
      <c r="C21" s="3">
        <v>7</v>
      </c>
      <c r="D21" s="3">
        <v>5</v>
      </c>
      <c r="E21" s="3">
        <f>((1/(INDEX(E0!J$4:J$28,C21,1)-INDEX(E0!J$4:J$28,D21,1))))*100000000</f>
        <v>0</v>
      </c>
      <c r="F21" s="4" t="str">
        <f>HYPERLINK("http://141.218.60.56/~jnz1568/getInfo.php?workbook=01_01.xlsx&amp;sheet=A0&amp;row=21&amp;col=6&amp;number=&amp;sourceID=18","")</f>
        <v/>
      </c>
      <c r="G21" s="4" t="str">
        <f>HYPERLINK("http://141.218.60.56/~jnz1568/getInfo.php?workbook=01_01.xlsx&amp;sheet=A0&amp;row=21&amp;col=7&amp;number=&amp;sourceID=15","")</f>
        <v/>
      </c>
      <c r="H21" s="4" t="str">
        <f>HYPERLINK("http://141.218.60.56/~jnz1568/getInfo.php?workbook=01_01.xlsx&amp;sheet=A0&amp;row=21&amp;col=8&amp;number=&amp;sourceID=15","")</f>
        <v/>
      </c>
      <c r="I21" s="4" t="str">
        <f>HYPERLINK("http://141.218.60.56/~jnz1568/getInfo.php?workbook=01_01.xlsx&amp;sheet=A0&amp;row=21&amp;col=9&amp;number=&amp;sourceID=15","")</f>
        <v/>
      </c>
      <c r="J21" s="4" t="str">
        <f>HYPERLINK("http://141.218.60.56/~jnz1568/getInfo.php?workbook=01_01.xlsx&amp;sheet=A0&amp;row=21&amp;col=10&amp;number=&amp;sourceID=15","")</f>
        <v/>
      </c>
      <c r="K21" s="4" t="str">
        <f>HYPERLINK("http://141.218.60.56/~jnz1568/getInfo.php?workbook=01_01.xlsx&amp;sheet=A0&amp;row=21&amp;col=11&amp;number=&amp;sourceID=15","")</f>
        <v/>
      </c>
      <c r="L21" s="4" t="str">
        <f>HYPERLINK("http://141.218.60.56/~jnz1568/getInfo.php?workbook=01_01.xlsx&amp;sheet=A0&amp;row=21&amp;col=12&amp;number=&amp;sourceID=15","")</f>
        <v/>
      </c>
      <c r="M21" s="4" t="str">
        <f>HYPERLINK("http://141.218.60.56/~jnz1568/getInfo.php?workbook=01_01.xlsx&amp;sheet=A0&amp;row=21&amp;col=13&amp;number=&amp;sourceID=15","")</f>
        <v/>
      </c>
      <c r="N21" s="4" t="str">
        <f>HYPERLINK("http://141.218.60.56/~jnz1568/getInfo.php?workbook=01_01.xlsx&amp;sheet=A0&amp;row=21&amp;col=14&amp;number==&amp;sourceID=11","=")</f>
        <v>=</v>
      </c>
      <c r="O21" s="4" t="str">
        <f>HYPERLINK("http://141.218.60.56/~jnz1568/getInfo.php?workbook=01_01.xlsx&amp;sheet=A0&amp;row=21&amp;col=15&amp;number=8.662e-08&amp;sourceID=11","8.662e-08")</f>
        <v>8.662e-08</v>
      </c>
      <c r="P21" s="4" t="str">
        <f>HYPERLINK("http://141.218.60.56/~jnz1568/getInfo.php?workbook=01_01.xlsx&amp;sheet=A0&amp;row=21&amp;col=16&amp;number=&amp;sourceID=11","")</f>
        <v/>
      </c>
      <c r="Q21" s="4" t="str">
        <f>HYPERLINK("http://141.218.60.56/~jnz1568/getInfo.php?workbook=01_01.xlsx&amp;sheet=A0&amp;row=21&amp;col=17&amp;number=&amp;sourceID=11","")</f>
        <v/>
      </c>
      <c r="R21" s="4" t="str">
        <f>HYPERLINK("http://141.218.60.56/~jnz1568/getInfo.php?workbook=01_01.xlsx&amp;sheet=A0&amp;row=21&amp;col=18&amp;number=&amp;sourceID=11","")</f>
        <v/>
      </c>
      <c r="S21" s="4" t="str">
        <f>HYPERLINK("http://141.218.60.56/~jnz1568/getInfo.php?workbook=01_01.xlsx&amp;sheet=A0&amp;row=21&amp;col=19&amp;number=0&amp;sourceID=11","0")</f>
        <v>0</v>
      </c>
      <c r="T21" s="4" t="str">
        <f>HYPERLINK("http://141.218.60.56/~jnz1568/getInfo.php?workbook=01_01.xlsx&amp;sheet=A0&amp;row=21&amp;col=20&amp;number=&amp;sourceID=11","")</f>
        <v/>
      </c>
      <c r="U21" s="4" t="str">
        <f>HYPERLINK("http://141.218.60.56/~jnz1568/getInfo.php?workbook=01_01.xlsx&amp;sheet=A0&amp;row=21&amp;col=21&amp;number=8.668e-08&amp;sourceID=12","8.668e-08")</f>
        <v>8.668e-08</v>
      </c>
      <c r="V21" s="4" t="str">
        <f>HYPERLINK("http://141.218.60.56/~jnz1568/getInfo.php?workbook=01_01.xlsx&amp;sheet=A0&amp;row=21&amp;col=22&amp;number=8.668e-08&amp;sourceID=12","8.668e-08")</f>
        <v>8.668e-08</v>
      </c>
      <c r="W21" s="4" t="str">
        <f>HYPERLINK("http://141.218.60.56/~jnz1568/getInfo.php?workbook=01_01.xlsx&amp;sheet=A0&amp;row=21&amp;col=23&amp;number=&amp;sourceID=12","")</f>
        <v/>
      </c>
      <c r="X21" s="4" t="str">
        <f>HYPERLINK("http://141.218.60.56/~jnz1568/getInfo.php?workbook=01_01.xlsx&amp;sheet=A0&amp;row=21&amp;col=24&amp;number=&amp;sourceID=12","")</f>
        <v/>
      </c>
      <c r="Y21" s="4" t="str">
        <f>HYPERLINK("http://141.218.60.56/~jnz1568/getInfo.php?workbook=01_01.xlsx&amp;sheet=A0&amp;row=21&amp;col=25&amp;number=&amp;sourceID=12","")</f>
        <v/>
      </c>
      <c r="Z21" s="4" t="str">
        <f>HYPERLINK("http://141.218.60.56/~jnz1568/getInfo.php?workbook=01_01.xlsx&amp;sheet=A0&amp;row=21&amp;col=26&amp;number=0&amp;sourceID=12","0")</f>
        <v>0</v>
      </c>
      <c r="AA21" s="4" t="str">
        <f>HYPERLINK("http://141.218.60.56/~jnz1568/getInfo.php?workbook=01_01.xlsx&amp;sheet=A0&amp;row=21&amp;col=27&amp;number=&amp;sourceID=12","")</f>
        <v/>
      </c>
      <c r="AB21" s="4" t="str">
        <f>HYPERLINK("http://141.218.60.56/~jnz1568/getInfo.php?workbook=01_01.xlsx&amp;sheet=A0&amp;row=21&amp;col=28&amp;number=&amp;sourceID=18","")</f>
        <v/>
      </c>
      <c r="AC21" s="4" t="str">
        <f>HYPERLINK("http://141.218.60.56/~jnz1568/getInfo.php?workbook=01_01.xlsx&amp;sheet=A0&amp;row=21&amp;col=29&amp;number=&amp;sourceID=18","")</f>
        <v/>
      </c>
      <c r="AD21" s="4" t="str">
        <f>HYPERLINK("http://141.218.60.56/~jnz1568/getInfo.php?workbook=01_01.xlsx&amp;sheet=A0&amp;row=21&amp;col=30&amp;number=&amp;sourceID=18","")</f>
        <v/>
      </c>
      <c r="AE21" s="4" t="str">
        <f>HYPERLINK("http://141.218.60.56/~jnz1568/getInfo.php?workbook=01_01.xlsx&amp;sheet=A0&amp;row=21&amp;col=31&amp;number=&amp;sourceID=18","")</f>
        <v/>
      </c>
      <c r="AF21" s="4" t="str">
        <f>HYPERLINK("http://141.218.60.56/~jnz1568/getInfo.php?workbook=01_01.xlsx&amp;sheet=A0&amp;row=21&amp;col=32&amp;number=&amp;sourceID=18","")</f>
        <v/>
      </c>
      <c r="AG21" s="4" t="str">
        <f>HYPERLINK("http://141.218.60.56/~jnz1568/getInfo.php?workbook=01_01.xlsx&amp;sheet=A0&amp;row=21&amp;col=33&amp;number=&amp;sourceID=18","")</f>
        <v/>
      </c>
      <c r="AH21" s="4" t="str">
        <f>HYPERLINK("http://141.218.60.56/~jnz1568/getInfo.php?workbook=01_01.xlsx&amp;sheet=A0&amp;row=21&amp;col=34&amp;number=&amp;sourceID=20","")</f>
        <v/>
      </c>
    </row>
    <row r="22" spans="1:34">
      <c r="A22" s="3">
        <v>1</v>
      </c>
      <c r="B22" s="3">
        <v>1</v>
      </c>
      <c r="C22" s="3">
        <v>7</v>
      </c>
      <c r="D22" s="3">
        <v>6</v>
      </c>
      <c r="E22" s="3">
        <f>((1/(INDEX(E0!J$4:J$28,C22,1)-INDEX(E0!J$4:J$28,D22,1))))*100000000</f>
        <v>0</v>
      </c>
      <c r="F22" s="4" t="str">
        <f>HYPERLINK("http://141.218.60.56/~jnz1568/getInfo.php?workbook=01_01.xlsx&amp;sheet=A0&amp;row=22&amp;col=6&amp;number=&amp;sourceID=18","")</f>
        <v/>
      </c>
      <c r="G22" s="4" t="str">
        <f>HYPERLINK("http://141.218.60.56/~jnz1568/getInfo.php?workbook=01_01.xlsx&amp;sheet=A0&amp;row=22&amp;col=7&amp;number=&amp;sourceID=15","")</f>
        <v/>
      </c>
      <c r="H22" s="4" t="str">
        <f>HYPERLINK("http://141.218.60.56/~jnz1568/getInfo.php?workbook=01_01.xlsx&amp;sheet=A0&amp;row=22&amp;col=8&amp;number=&amp;sourceID=15","")</f>
        <v/>
      </c>
      <c r="I22" s="4" t="str">
        <f>HYPERLINK("http://141.218.60.56/~jnz1568/getInfo.php?workbook=01_01.xlsx&amp;sheet=A0&amp;row=22&amp;col=9&amp;number=&amp;sourceID=15","")</f>
        <v/>
      </c>
      <c r="J22" s="4" t="str">
        <f>HYPERLINK("http://141.218.60.56/~jnz1568/getInfo.php?workbook=01_01.xlsx&amp;sheet=A0&amp;row=22&amp;col=10&amp;number=&amp;sourceID=15","")</f>
        <v/>
      </c>
      <c r="K22" s="4" t="str">
        <f>HYPERLINK("http://141.218.60.56/~jnz1568/getInfo.php?workbook=01_01.xlsx&amp;sheet=A0&amp;row=22&amp;col=11&amp;number=&amp;sourceID=15","")</f>
        <v/>
      </c>
      <c r="L22" s="4" t="str">
        <f>HYPERLINK("http://141.218.60.56/~jnz1568/getInfo.php?workbook=01_01.xlsx&amp;sheet=A0&amp;row=22&amp;col=12&amp;number=&amp;sourceID=15","")</f>
        <v/>
      </c>
      <c r="M22" s="4" t="str">
        <f>HYPERLINK("http://141.218.60.56/~jnz1568/getInfo.php?workbook=01_01.xlsx&amp;sheet=A0&amp;row=22&amp;col=13&amp;number=&amp;sourceID=15","")</f>
        <v/>
      </c>
      <c r="N22" s="4" t="str">
        <f>HYPERLINK("http://141.218.60.56/~jnz1568/getInfo.php?workbook=01_01.xlsx&amp;sheet=A0&amp;row=22&amp;col=14&amp;number==&amp;sourceID=11","=")</f>
        <v>=</v>
      </c>
      <c r="O22" s="4" t="str">
        <f>HYPERLINK("http://141.218.60.56/~jnz1568/getInfo.php?workbook=01_01.xlsx&amp;sheet=A0&amp;row=22&amp;col=15&amp;number=&amp;sourceID=11","")</f>
        <v/>
      </c>
      <c r="P22" s="4" t="str">
        <f>HYPERLINK("http://141.218.60.56/~jnz1568/getInfo.php?workbook=01_01.xlsx&amp;sheet=A0&amp;row=22&amp;col=16&amp;number=0&amp;sourceID=11","0")</f>
        <v>0</v>
      </c>
      <c r="Q22" s="4" t="str">
        <f>HYPERLINK("http://141.218.60.56/~jnz1568/getInfo.php?workbook=01_01.xlsx&amp;sheet=A0&amp;row=22&amp;col=17&amp;number=&amp;sourceID=11","")</f>
        <v/>
      </c>
      <c r="R22" s="4" t="str">
        <f>HYPERLINK("http://141.218.60.56/~jnz1568/getInfo.php?workbook=01_01.xlsx&amp;sheet=A0&amp;row=22&amp;col=18&amp;number=0&amp;sourceID=11","0")</f>
        <v>0</v>
      </c>
      <c r="S22" s="4" t="str">
        <f>HYPERLINK("http://141.218.60.56/~jnz1568/getInfo.php?workbook=01_01.xlsx&amp;sheet=A0&amp;row=22&amp;col=19&amp;number=&amp;sourceID=11","")</f>
        <v/>
      </c>
      <c r="T22" s="4" t="str">
        <f>HYPERLINK("http://141.218.60.56/~jnz1568/getInfo.php?workbook=01_01.xlsx&amp;sheet=A0&amp;row=22&amp;col=20&amp;number=&amp;sourceID=11","")</f>
        <v/>
      </c>
      <c r="U22" s="4" t="str">
        <f>HYPERLINK("http://141.218.60.56/~jnz1568/getInfo.php?workbook=01_01.xlsx&amp;sheet=A0&amp;row=22&amp;col=21&amp;number=0&amp;sourceID=12","0")</f>
        <v>0</v>
      </c>
      <c r="V22" s="4" t="str">
        <f>HYPERLINK("http://141.218.60.56/~jnz1568/getInfo.php?workbook=01_01.xlsx&amp;sheet=A0&amp;row=22&amp;col=22&amp;number=&amp;sourceID=12","")</f>
        <v/>
      </c>
      <c r="W22" s="4" t="str">
        <f>HYPERLINK("http://141.218.60.56/~jnz1568/getInfo.php?workbook=01_01.xlsx&amp;sheet=A0&amp;row=22&amp;col=23&amp;number=0&amp;sourceID=12","0")</f>
        <v>0</v>
      </c>
      <c r="X22" s="4" t="str">
        <f>HYPERLINK("http://141.218.60.56/~jnz1568/getInfo.php?workbook=01_01.xlsx&amp;sheet=A0&amp;row=22&amp;col=24&amp;number=&amp;sourceID=12","")</f>
        <v/>
      </c>
      <c r="Y22" s="4" t="str">
        <f>HYPERLINK("http://141.218.60.56/~jnz1568/getInfo.php?workbook=01_01.xlsx&amp;sheet=A0&amp;row=22&amp;col=25&amp;number=0&amp;sourceID=12","0")</f>
        <v>0</v>
      </c>
      <c r="Z22" s="4" t="str">
        <f>HYPERLINK("http://141.218.60.56/~jnz1568/getInfo.php?workbook=01_01.xlsx&amp;sheet=A0&amp;row=22&amp;col=26&amp;number=&amp;sourceID=12","")</f>
        <v/>
      </c>
      <c r="AA22" s="4" t="str">
        <f>HYPERLINK("http://141.218.60.56/~jnz1568/getInfo.php?workbook=01_01.xlsx&amp;sheet=A0&amp;row=22&amp;col=27&amp;number=&amp;sourceID=12","")</f>
        <v/>
      </c>
      <c r="AB22" s="4" t="str">
        <f>HYPERLINK("http://141.218.60.56/~jnz1568/getInfo.php?workbook=01_01.xlsx&amp;sheet=A0&amp;row=22&amp;col=28&amp;number=&amp;sourceID=18","")</f>
        <v/>
      </c>
      <c r="AC22" s="4" t="str">
        <f>HYPERLINK("http://141.218.60.56/~jnz1568/getInfo.php?workbook=01_01.xlsx&amp;sheet=A0&amp;row=22&amp;col=29&amp;number=&amp;sourceID=18","")</f>
        <v/>
      </c>
      <c r="AD22" s="4" t="str">
        <f>HYPERLINK("http://141.218.60.56/~jnz1568/getInfo.php?workbook=01_01.xlsx&amp;sheet=A0&amp;row=22&amp;col=30&amp;number=&amp;sourceID=18","")</f>
        <v/>
      </c>
      <c r="AE22" s="4" t="str">
        <f>HYPERLINK("http://141.218.60.56/~jnz1568/getInfo.php?workbook=01_01.xlsx&amp;sheet=A0&amp;row=22&amp;col=31&amp;number=&amp;sourceID=18","")</f>
        <v/>
      </c>
      <c r="AF22" s="4" t="str">
        <f>HYPERLINK("http://141.218.60.56/~jnz1568/getInfo.php?workbook=01_01.xlsx&amp;sheet=A0&amp;row=22&amp;col=32&amp;number=&amp;sourceID=18","")</f>
        <v/>
      </c>
      <c r="AG22" s="4" t="str">
        <f>HYPERLINK("http://141.218.60.56/~jnz1568/getInfo.php?workbook=01_01.xlsx&amp;sheet=A0&amp;row=22&amp;col=33&amp;number=&amp;sourceID=18","")</f>
        <v/>
      </c>
      <c r="AH22" s="4" t="str">
        <f>HYPERLINK("http://141.218.60.56/~jnz1568/getInfo.php?workbook=01_01.xlsx&amp;sheet=A0&amp;row=22&amp;col=34&amp;number=&amp;sourceID=20","")</f>
        <v/>
      </c>
    </row>
    <row r="23" spans="1:34">
      <c r="A23" s="3">
        <v>1</v>
      </c>
      <c r="B23" s="3">
        <v>1</v>
      </c>
      <c r="C23" s="3">
        <v>8</v>
      </c>
      <c r="D23" s="3">
        <v>1</v>
      </c>
      <c r="E23" s="3">
        <f>((1/(INDEX(E0!J$4:J$28,C23,1)-INDEX(E0!J$4:J$28,D23,1))))*100000000</f>
        <v>0</v>
      </c>
      <c r="F23" s="4" t="str">
        <f>HYPERLINK("http://141.218.60.56/~jnz1568/getInfo.php?workbook=01_01.xlsx&amp;sheet=A0&amp;row=23&amp;col=6&amp;number=&amp;sourceID=18","")</f>
        <v/>
      </c>
      <c r="G23" s="4" t="str">
        <f>HYPERLINK("http://141.218.60.56/~jnz1568/getInfo.php?workbook=01_01.xlsx&amp;sheet=A0&amp;row=23&amp;col=7&amp;number=167250000&amp;sourceID=15","167250000")</f>
        <v>167250000</v>
      </c>
      <c r="H23" s="4" t="str">
        <f>HYPERLINK("http://141.218.60.56/~jnz1568/getInfo.php?workbook=01_01.xlsx&amp;sheet=A0&amp;row=23&amp;col=8&amp;number=167250000&amp;sourceID=15","167250000")</f>
        <v>167250000</v>
      </c>
      <c r="I23" s="4" t="str">
        <f>HYPERLINK("http://141.218.60.56/~jnz1568/getInfo.php?workbook=01_01.xlsx&amp;sheet=A0&amp;row=23&amp;col=9&amp;number=&amp;sourceID=15","")</f>
        <v/>
      </c>
      <c r="J23" s="4" t="str">
        <f>HYPERLINK("http://141.218.60.56/~jnz1568/getInfo.php?workbook=01_01.xlsx&amp;sheet=A0&amp;row=23&amp;col=10&amp;number=&amp;sourceID=15","")</f>
        <v/>
      </c>
      <c r="K23" s="4" t="str">
        <f>HYPERLINK("http://141.218.60.56/~jnz1568/getInfo.php?workbook=01_01.xlsx&amp;sheet=A0&amp;row=23&amp;col=11&amp;number=&amp;sourceID=15","")</f>
        <v/>
      </c>
      <c r="L23" s="4" t="str">
        <f>HYPERLINK("http://141.218.60.56/~jnz1568/getInfo.php?workbook=01_01.xlsx&amp;sheet=A0&amp;row=23&amp;col=12&amp;number=0.01757&amp;sourceID=15","0.01757")</f>
        <v>0.01757</v>
      </c>
      <c r="M23" s="4" t="str">
        <f>HYPERLINK("http://141.218.60.56/~jnz1568/getInfo.php?workbook=01_01.xlsx&amp;sheet=A0&amp;row=23&amp;col=13&amp;number=&amp;sourceID=15","")</f>
        <v/>
      </c>
      <c r="N23" s="4" t="str">
        <f>HYPERLINK("http://141.218.60.56/~jnz1568/getInfo.php?workbook=01_01.xlsx&amp;sheet=A0&amp;row=23&amp;col=14&amp;number==&amp;sourceID=11","=")</f>
        <v>=</v>
      </c>
      <c r="O23" s="4" t="str">
        <f>HYPERLINK("http://141.218.60.56/~jnz1568/getInfo.php?workbook=01_01.xlsx&amp;sheet=A0&amp;row=23&amp;col=15&amp;number=167250000&amp;sourceID=11","167250000")</f>
        <v>167250000</v>
      </c>
      <c r="P23" s="4" t="str">
        <f>HYPERLINK("http://141.218.60.56/~jnz1568/getInfo.php?workbook=01_01.xlsx&amp;sheet=A0&amp;row=23&amp;col=16&amp;number=&amp;sourceID=11","")</f>
        <v/>
      </c>
      <c r="Q23" s="4" t="str">
        <f>HYPERLINK("http://141.218.60.56/~jnz1568/getInfo.php?workbook=01_01.xlsx&amp;sheet=A0&amp;row=23&amp;col=17&amp;number=&amp;sourceID=11","")</f>
        <v/>
      </c>
      <c r="R23" s="4" t="str">
        <f>HYPERLINK("http://141.218.60.56/~jnz1568/getInfo.php?workbook=01_01.xlsx&amp;sheet=A0&amp;row=23&amp;col=18&amp;number=&amp;sourceID=11","")</f>
        <v/>
      </c>
      <c r="S23" s="4" t="str">
        <f>HYPERLINK("http://141.218.60.56/~jnz1568/getInfo.php?workbook=01_01.xlsx&amp;sheet=A0&amp;row=23&amp;col=19&amp;number=0.017566&amp;sourceID=11","0.017566")</f>
        <v>0.017566</v>
      </c>
      <c r="T23" s="4" t="str">
        <f>HYPERLINK("http://141.218.60.56/~jnz1568/getInfo.php?workbook=01_01.xlsx&amp;sheet=A0&amp;row=23&amp;col=20&amp;number=&amp;sourceID=11","")</f>
        <v/>
      </c>
      <c r="U23" s="4" t="str">
        <f>HYPERLINK("http://141.218.60.56/~jnz1568/getInfo.php?workbook=01_01.xlsx&amp;sheet=A0&amp;row=23&amp;col=21&amp;number=167340000&amp;sourceID=12","167340000")</f>
        <v>167340000</v>
      </c>
      <c r="V23" s="4" t="str">
        <f>HYPERLINK("http://141.218.60.56/~jnz1568/getInfo.php?workbook=01_01.xlsx&amp;sheet=A0&amp;row=23&amp;col=22&amp;number=167340000&amp;sourceID=12","167340000")</f>
        <v>167340000</v>
      </c>
      <c r="W23" s="4" t="str">
        <f>HYPERLINK("http://141.218.60.56/~jnz1568/getInfo.php?workbook=01_01.xlsx&amp;sheet=A0&amp;row=23&amp;col=23&amp;number=&amp;sourceID=12","")</f>
        <v/>
      </c>
      <c r="X23" s="4" t="str">
        <f>HYPERLINK("http://141.218.60.56/~jnz1568/getInfo.php?workbook=01_01.xlsx&amp;sheet=A0&amp;row=23&amp;col=24&amp;number=&amp;sourceID=12","")</f>
        <v/>
      </c>
      <c r="Y23" s="4" t="str">
        <f>HYPERLINK("http://141.218.60.56/~jnz1568/getInfo.php?workbook=01_01.xlsx&amp;sheet=A0&amp;row=23&amp;col=25&amp;number=&amp;sourceID=12","")</f>
        <v/>
      </c>
      <c r="Z23" s="4" t="str">
        <f>HYPERLINK("http://141.218.60.56/~jnz1568/getInfo.php?workbook=01_01.xlsx&amp;sheet=A0&amp;row=23&amp;col=26&amp;number=0.017576&amp;sourceID=12","0.017576")</f>
        <v>0.017576</v>
      </c>
      <c r="AA23" s="4" t="str">
        <f>HYPERLINK("http://141.218.60.56/~jnz1568/getInfo.php?workbook=01_01.xlsx&amp;sheet=A0&amp;row=23&amp;col=27&amp;number=&amp;sourceID=12","")</f>
        <v/>
      </c>
      <c r="AB23" s="4" t="str">
        <f>HYPERLINK("http://141.218.60.56/~jnz1568/getInfo.php?workbook=01_01.xlsx&amp;sheet=A0&amp;row=23&amp;col=28&amp;number==SUM(AC23:AG23)&amp;sourceID=18","=SUM(AC23:AG23)")</f>
        <v>=SUM(AC23:AG23)</v>
      </c>
      <c r="AC23" s="4" t="str">
        <f>HYPERLINK("http://141.218.60.56/~jnz1568/getInfo.php?workbook=01_01.xlsx&amp;sheet=A0&amp;row=23&amp;col=29&amp;number=167000000&amp;sourceID=18","167000000")</f>
        <v>167000000</v>
      </c>
      <c r="AD23" s="4" t="str">
        <f>HYPERLINK("http://141.218.60.56/~jnz1568/getInfo.php?workbook=01_01.xlsx&amp;sheet=A0&amp;row=23&amp;col=30&amp;number=&amp;sourceID=18","")</f>
        <v/>
      </c>
      <c r="AE23" s="4" t="str">
        <f>HYPERLINK("http://141.218.60.56/~jnz1568/getInfo.php?workbook=01_01.xlsx&amp;sheet=A0&amp;row=23&amp;col=31&amp;number=&amp;sourceID=18","")</f>
        <v/>
      </c>
      <c r="AF23" s="4" t="str">
        <f>HYPERLINK("http://141.218.60.56/~jnz1568/getInfo.php?workbook=01_01.xlsx&amp;sheet=A0&amp;row=23&amp;col=32&amp;number=&amp;sourceID=18","")</f>
        <v/>
      </c>
      <c r="AG23" s="4" t="str">
        <f>HYPERLINK("http://141.218.60.56/~jnz1568/getInfo.php?workbook=01_01.xlsx&amp;sheet=A0&amp;row=23&amp;col=33&amp;number=&amp;sourceID=18","")</f>
        <v/>
      </c>
      <c r="AH23" s="4" t="str">
        <f>HYPERLINK("http://141.218.60.56/~jnz1568/getInfo.php?workbook=01_01.xlsx&amp;sheet=A0&amp;row=23&amp;col=34&amp;number=167250000&amp;sourceID=20","167250000")</f>
        <v>167250000</v>
      </c>
    </row>
    <row r="24" spans="1:34">
      <c r="A24" s="3">
        <v>1</v>
      </c>
      <c r="B24" s="3">
        <v>1</v>
      </c>
      <c r="C24" s="3">
        <v>8</v>
      </c>
      <c r="D24" s="3">
        <v>2</v>
      </c>
      <c r="E24" s="3">
        <f>((1/(INDEX(E0!J$4:J$28,C24,1)-INDEX(E0!J$4:J$28,D24,1))))*100000000</f>
        <v>0</v>
      </c>
      <c r="F24" s="4" t="str">
        <f>HYPERLINK("http://141.218.60.56/~jnz1568/getInfo.php?workbook=01_01.xlsx&amp;sheet=A0&amp;row=24&amp;col=6&amp;number=&amp;sourceID=18","")</f>
        <v/>
      </c>
      <c r="G24" s="4" t="str">
        <f>HYPERLINK("http://141.218.60.56/~jnz1568/getInfo.php?workbook=01_01.xlsx&amp;sheet=A0&amp;row=24&amp;col=7&amp;number=&amp;sourceID=15","")</f>
        <v/>
      </c>
      <c r="H24" s="4" t="str">
        <f>HYPERLINK("http://141.218.60.56/~jnz1568/getInfo.php?workbook=01_01.xlsx&amp;sheet=A0&amp;row=24&amp;col=8&amp;number=&amp;sourceID=15","")</f>
        <v/>
      </c>
      <c r="I24" s="4" t="str">
        <f>HYPERLINK("http://141.218.60.56/~jnz1568/getInfo.php?workbook=01_01.xlsx&amp;sheet=A0&amp;row=24&amp;col=9&amp;number=&amp;sourceID=15","")</f>
        <v/>
      </c>
      <c r="J24" s="4" t="str">
        <f>HYPERLINK("http://141.218.60.56/~jnz1568/getInfo.php?workbook=01_01.xlsx&amp;sheet=A0&amp;row=24&amp;col=10&amp;number=&amp;sourceID=15","")</f>
        <v/>
      </c>
      <c r="K24" s="4" t="str">
        <f>HYPERLINK("http://141.218.60.56/~jnz1568/getInfo.php?workbook=01_01.xlsx&amp;sheet=A0&amp;row=24&amp;col=11&amp;number=&amp;sourceID=15","")</f>
        <v/>
      </c>
      <c r="L24" s="4" t="str">
        <f>HYPERLINK("http://141.218.60.56/~jnz1568/getInfo.php?workbook=01_01.xlsx&amp;sheet=A0&amp;row=24&amp;col=12&amp;number=&amp;sourceID=15","")</f>
        <v/>
      </c>
      <c r="M24" s="4" t="str">
        <f>HYPERLINK("http://141.218.60.56/~jnz1568/getInfo.php?workbook=01_01.xlsx&amp;sheet=A0&amp;row=24&amp;col=13&amp;number=&amp;sourceID=15","")</f>
        <v/>
      </c>
      <c r="N24" s="4" t="str">
        <f>HYPERLINK("http://141.218.60.56/~jnz1568/getInfo.php?workbook=01_01.xlsx&amp;sheet=A0&amp;row=24&amp;col=14&amp;number==&amp;sourceID=11","=")</f>
        <v>=</v>
      </c>
      <c r="O24" s="4" t="str">
        <f>HYPERLINK("http://141.218.60.56/~jnz1568/getInfo.php?workbook=01_01.xlsx&amp;sheet=A0&amp;row=24&amp;col=15&amp;number=&amp;sourceID=11","")</f>
        <v/>
      </c>
      <c r="P24" s="4" t="str">
        <f>HYPERLINK("http://141.218.60.56/~jnz1568/getInfo.php?workbook=01_01.xlsx&amp;sheet=A0&amp;row=24&amp;col=16&amp;number=11.954&amp;sourceID=11","11.954")</f>
        <v>11.954</v>
      </c>
      <c r="Q24" s="4" t="str">
        <f>HYPERLINK("http://141.218.60.56/~jnz1568/getInfo.php?workbook=01_01.xlsx&amp;sheet=A0&amp;row=24&amp;col=17&amp;number=&amp;sourceID=11","")</f>
        <v/>
      </c>
      <c r="R24" s="4" t="str">
        <f>HYPERLINK("http://141.218.60.56/~jnz1568/getInfo.php?workbook=01_01.xlsx&amp;sheet=A0&amp;row=24&amp;col=18&amp;number=3.3801e-09&amp;sourceID=11","3.3801e-09")</f>
        <v>3.3801e-09</v>
      </c>
      <c r="S24" s="4" t="str">
        <f>HYPERLINK("http://141.218.60.56/~jnz1568/getInfo.php?workbook=01_01.xlsx&amp;sheet=A0&amp;row=24&amp;col=19&amp;number=&amp;sourceID=11","")</f>
        <v/>
      </c>
      <c r="T24" s="4" t="str">
        <f>HYPERLINK("http://141.218.60.56/~jnz1568/getInfo.php?workbook=01_01.xlsx&amp;sheet=A0&amp;row=24&amp;col=20&amp;number=&amp;sourceID=11","")</f>
        <v/>
      </c>
      <c r="U24" s="4" t="str">
        <f>HYPERLINK("http://141.218.60.56/~jnz1568/getInfo.php?workbook=01_01.xlsx&amp;sheet=A0&amp;row=24&amp;col=21&amp;number=11.961&amp;sourceID=12","11.961")</f>
        <v>11.961</v>
      </c>
      <c r="V24" s="4" t="str">
        <f>HYPERLINK("http://141.218.60.56/~jnz1568/getInfo.php?workbook=01_01.xlsx&amp;sheet=A0&amp;row=24&amp;col=22&amp;number=&amp;sourceID=12","")</f>
        <v/>
      </c>
      <c r="W24" s="4" t="str">
        <f>HYPERLINK("http://141.218.60.56/~jnz1568/getInfo.php?workbook=01_01.xlsx&amp;sheet=A0&amp;row=24&amp;col=23&amp;number=11.961&amp;sourceID=12","11.961")</f>
        <v>11.961</v>
      </c>
      <c r="X24" s="4" t="str">
        <f>HYPERLINK("http://141.218.60.56/~jnz1568/getInfo.php?workbook=01_01.xlsx&amp;sheet=A0&amp;row=24&amp;col=24&amp;number=&amp;sourceID=12","")</f>
        <v/>
      </c>
      <c r="Y24" s="4" t="str">
        <f>HYPERLINK("http://141.218.60.56/~jnz1568/getInfo.php?workbook=01_01.xlsx&amp;sheet=A0&amp;row=24&amp;col=25&amp;number=3.3816e-09&amp;sourceID=12","3.3816e-09")</f>
        <v>3.3816e-09</v>
      </c>
      <c r="Z24" s="4" t="str">
        <f>HYPERLINK("http://141.218.60.56/~jnz1568/getInfo.php?workbook=01_01.xlsx&amp;sheet=A0&amp;row=24&amp;col=26&amp;number=&amp;sourceID=12","")</f>
        <v/>
      </c>
      <c r="AA24" s="4" t="str">
        <f>HYPERLINK("http://141.218.60.56/~jnz1568/getInfo.php?workbook=01_01.xlsx&amp;sheet=A0&amp;row=24&amp;col=27&amp;number=&amp;sourceID=12","")</f>
        <v/>
      </c>
      <c r="AB24" s="4" t="str">
        <f>HYPERLINK("http://141.218.60.56/~jnz1568/getInfo.php?workbook=01_01.xlsx&amp;sheet=A0&amp;row=24&amp;col=28&amp;number==SUM(AC24:AG24)&amp;sourceID=18","=SUM(AC24:AG24)")</f>
        <v>=SUM(AC24:AG24)</v>
      </c>
      <c r="AC24" s="4" t="str">
        <f>HYPERLINK("http://141.218.60.56/~jnz1568/getInfo.php?workbook=01_01.xlsx&amp;sheet=A0&amp;row=24&amp;col=29&amp;number=&amp;sourceID=18","")</f>
        <v/>
      </c>
      <c r="AD24" s="4" t="str">
        <f>HYPERLINK("http://141.218.60.56/~jnz1568/getInfo.php?workbook=01_01.xlsx&amp;sheet=A0&amp;row=24&amp;col=30&amp;number=12&amp;sourceID=18","12")</f>
        <v>12</v>
      </c>
      <c r="AE24" s="4" t="str">
        <f>HYPERLINK("http://141.218.60.56/~jnz1568/getInfo.php?workbook=01_01.xlsx&amp;sheet=A0&amp;row=24&amp;col=31&amp;number=&amp;sourceID=18","")</f>
        <v/>
      </c>
      <c r="AF24" s="4" t="str">
        <f>HYPERLINK("http://141.218.60.56/~jnz1568/getInfo.php?workbook=01_01.xlsx&amp;sheet=A0&amp;row=24&amp;col=32&amp;number=2.95e-09&amp;sourceID=18","2.95e-09")</f>
        <v>2.95e-09</v>
      </c>
      <c r="AG24" s="4" t="str">
        <f>HYPERLINK("http://141.218.60.56/~jnz1568/getInfo.php?workbook=01_01.xlsx&amp;sheet=A0&amp;row=24&amp;col=33&amp;number=&amp;sourceID=18","")</f>
        <v/>
      </c>
      <c r="AH24" s="4" t="str">
        <f>HYPERLINK("http://141.218.60.56/~jnz1568/getInfo.php?workbook=01_01.xlsx&amp;sheet=A0&amp;row=24&amp;col=34&amp;number=11.954&amp;sourceID=20","11.954")</f>
        <v>11.954</v>
      </c>
    </row>
    <row r="25" spans="1:34">
      <c r="A25" s="3">
        <v>1</v>
      </c>
      <c r="B25" s="3">
        <v>1</v>
      </c>
      <c r="C25" s="3">
        <v>8</v>
      </c>
      <c r="D25" s="3">
        <v>3</v>
      </c>
      <c r="E25" s="3">
        <f>((1/(INDEX(E0!J$4:J$28,C25,1)-INDEX(E0!J$4:J$28,D25,1))))*100000000</f>
        <v>0</v>
      </c>
      <c r="F25" s="4" t="str">
        <f>HYPERLINK("http://141.218.60.56/~jnz1568/getInfo.php?workbook=01_01.xlsx&amp;sheet=A0&amp;row=25&amp;col=6&amp;number=&amp;sourceID=18","")</f>
        <v/>
      </c>
      <c r="G25" s="4" t="str">
        <f>HYPERLINK("http://141.218.60.56/~jnz1568/getInfo.php?workbook=01_01.xlsx&amp;sheet=A0&amp;row=25&amp;col=7&amp;number=22448000&amp;sourceID=15","22448000")</f>
        <v>22448000</v>
      </c>
      <c r="H25" s="4" t="str">
        <f>HYPERLINK("http://141.218.60.56/~jnz1568/getInfo.php?workbook=01_01.xlsx&amp;sheet=A0&amp;row=25&amp;col=8&amp;number=22448000&amp;sourceID=15","22448000")</f>
        <v>22448000</v>
      </c>
      <c r="I25" s="4" t="str">
        <f>HYPERLINK("http://141.218.60.56/~jnz1568/getInfo.php?workbook=01_01.xlsx&amp;sheet=A0&amp;row=25&amp;col=9&amp;number=&amp;sourceID=15","")</f>
        <v/>
      </c>
      <c r="J25" s="4" t="str">
        <f>HYPERLINK("http://141.218.60.56/~jnz1568/getInfo.php?workbook=01_01.xlsx&amp;sheet=A0&amp;row=25&amp;col=10&amp;number=&amp;sourceID=15","")</f>
        <v/>
      </c>
      <c r="K25" s="4" t="str">
        <f>HYPERLINK("http://141.218.60.56/~jnz1568/getInfo.php?workbook=01_01.xlsx&amp;sheet=A0&amp;row=25&amp;col=11&amp;number=&amp;sourceID=15","")</f>
        <v/>
      </c>
      <c r="L25" s="4" t="str">
        <f>HYPERLINK("http://141.218.60.56/~jnz1568/getInfo.php?workbook=01_01.xlsx&amp;sheet=A0&amp;row=25&amp;col=12&amp;number=&amp;sourceID=15","")</f>
        <v/>
      </c>
      <c r="M25" s="4" t="str">
        <f>HYPERLINK("http://141.218.60.56/~jnz1568/getInfo.php?workbook=01_01.xlsx&amp;sheet=A0&amp;row=25&amp;col=13&amp;number=&amp;sourceID=15","")</f>
        <v/>
      </c>
      <c r="N25" s="4" t="str">
        <f>HYPERLINK("http://141.218.60.56/~jnz1568/getInfo.php?workbook=01_01.xlsx&amp;sheet=A0&amp;row=25&amp;col=14&amp;number==&amp;sourceID=11","=")</f>
        <v>=</v>
      </c>
      <c r="O25" s="4" t="str">
        <f>HYPERLINK("http://141.218.60.56/~jnz1568/getInfo.php?workbook=01_01.xlsx&amp;sheet=A0&amp;row=25&amp;col=15&amp;number=22448000&amp;sourceID=11","22448000")</f>
        <v>22448000</v>
      </c>
      <c r="P25" s="4" t="str">
        <f>HYPERLINK("http://141.218.60.56/~jnz1568/getInfo.php?workbook=01_01.xlsx&amp;sheet=A0&amp;row=25&amp;col=16&amp;number=&amp;sourceID=11","")</f>
        <v/>
      </c>
      <c r="Q25" s="4" t="str">
        <f>HYPERLINK("http://141.218.60.56/~jnz1568/getInfo.php?workbook=01_01.xlsx&amp;sheet=A0&amp;row=25&amp;col=17&amp;number=&amp;sourceID=11","")</f>
        <v/>
      </c>
      <c r="R25" s="4" t="str">
        <f>HYPERLINK("http://141.218.60.56/~jnz1568/getInfo.php?workbook=01_01.xlsx&amp;sheet=A0&amp;row=25&amp;col=18&amp;number=&amp;sourceID=11","")</f>
        <v/>
      </c>
      <c r="S25" s="4" t="str">
        <f>HYPERLINK("http://141.218.60.56/~jnz1568/getInfo.php?workbook=01_01.xlsx&amp;sheet=A0&amp;row=25&amp;col=19&amp;number=5.7562e-05&amp;sourceID=11","5.7562e-05")</f>
        <v>5.7562e-05</v>
      </c>
      <c r="T25" s="4" t="str">
        <f>HYPERLINK("http://141.218.60.56/~jnz1568/getInfo.php?workbook=01_01.xlsx&amp;sheet=A0&amp;row=25&amp;col=20&amp;number=&amp;sourceID=11","")</f>
        <v/>
      </c>
      <c r="U25" s="4" t="str">
        <f>HYPERLINK("http://141.218.60.56/~jnz1568/getInfo.php?workbook=01_01.xlsx&amp;sheet=A0&amp;row=25&amp;col=21&amp;number=22460000&amp;sourceID=12","22460000")</f>
        <v>22460000</v>
      </c>
      <c r="V25" s="4" t="str">
        <f>HYPERLINK("http://141.218.60.56/~jnz1568/getInfo.php?workbook=01_01.xlsx&amp;sheet=A0&amp;row=25&amp;col=22&amp;number=22460000&amp;sourceID=12","22460000")</f>
        <v>22460000</v>
      </c>
      <c r="W25" s="4" t="str">
        <f>HYPERLINK("http://141.218.60.56/~jnz1568/getInfo.php?workbook=01_01.xlsx&amp;sheet=A0&amp;row=25&amp;col=23&amp;number=&amp;sourceID=12","")</f>
        <v/>
      </c>
      <c r="X25" s="4" t="str">
        <f>HYPERLINK("http://141.218.60.56/~jnz1568/getInfo.php?workbook=01_01.xlsx&amp;sheet=A0&amp;row=25&amp;col=24&amp;number=&amp;sourceID=12","")</f>
        <v/>
      </c>
      <c r="Y25" s="4" t="str">
        <f>HYPERLINK("http://141.218.60.56/~jnz1568/getInfo.php?workbook=01_01.xlsx&amp;sheet=A0&amp;row=25&amp;col=25&amp;number=&amp;sourceID=12","")</f>
        <v/>
      </c>
      <c r="Z25" s="4" t="str">
        <f>HYPERLINK("http://141.218.60.56/~jnz1568/getInfo.php?workbook=01_01.xlsx&amp;sheet=A0&amp;row=25&amp;col=26&amp;number=5.7594e-05&amp;sourceID=12","5.7594e-05")</f>
        <v>5.7594e-05</v>
      </c>
      <c r="AA25" s="4" t="str">
        <f>HYPERLINK("http://141.218.60.56/~jnz1568/getInfo.php?workbook=01_01.xlsx&amp;sheet=A0&amp;row=25&amp;col=27&amp;number=&amp;sourceID=12","")</f>
        <v/>
      </c>
      <c r="AB25" s="4" t="str">
        <f>HYPERLINK("http://141.218.60.56/~jnz1568/getInfo.php?workbook=01_01.xlsx&amp;sheet=A0&amp;row=25&amp;col=28&amp;number==SUM(AC25:AG25)&amp;sourceID=18","=SUM(AC25:AG25)")</f>
        <v>=SUM(AC25:AG25)</v>
      </c>
      <c r="AC25" s="4" t="str">
        <f>HYPERLINK("http://141.218.60.56/~jnz1568/getInfo.php?workbook=01_01.xlsx&amp;sheet=A0&amp;row=25&amp;col=29&amp;number=22500000&amp;sourceID=18","22500000")</f>
        <v>22500000</v>
      </c>
      <c r="AD25" s="4" t="str">
        <f>HYPERLINK("http://141.218.60.56/~jnz1568/getInfo.php?workbook=01_01.xlsx&amp;sheet=A0&amp;row=25&amp;col=30&amp;number=&amp;sourceID=18","")</f>
        <v/>
      </c>
      <c r="AE25" s="4" t="str">
        <f>HYPERLINK("http://141.218.60.56/~jnz1568/getInfo.php?workbook=01_01.xlsx&amp;sheet=A0&amp;row=25&amp;col=31&amp;number=&amp;sourceID=18","")</f>
        <v/>
      </c>
      <c r="AF25" s="4" t="str">
        <f>HYPERLINK("http://141.218.60.56/~jnz1568/getInfo.php?workbook=01_01.xlsx&amp;sheet=A0&amp;row=25&amp;col=32&amp;number=&amp;sourceID=18","")</f>
        <v/>
      </c>
      <c r="AG25" s="4" t="str">
        <f>HYPERLINK("http://141.218.60.56/~jnz1568/getInfo.php?workbook=01_01.xlsx&amp;sheet=A0&amp;row=25&amp;col=33&amp;number=&amp;sourceID=18","")</f>
        <v/>
      </c>
      <c r="AH25" s="4" t="str">
        <f>HYPERLINK("http://141.218.60.56/~jnz1568/getInfo.php?workbook=01_01.xlsx&amp;sheet=A0&amp;row=25&amp;col=34&amp;number=22448000&amp;sourceID=20","22448000")</f>
        <v>22448000</v>
      </c>
    </row>
    <row r="26" spans="1:34">
      <c r="A26" s="3">
        <v>1</v>
      </c>
      <c r="B26" s="3">
        <v>1</v>
      </c>
      <c r="C26" s="3">
        <v>8</v>
      </c>
      <c r="D26" s="3">
        <v>4</v>
      </c>
      <c r="E26" s="3">
        <f>((1/(INDEX(E0!J$4:J$28,C26,1)-INDEX(E0!J$4:J$28,D26,1))))*100000000</f>
        <v>0</v>
      </c>
      <c r="F26" s="4" t="str">
        <f>HYPERLINK("http://141.218.60.56/~jnz1568/getInfo.php?workbook=01_01.xlsx&amp;sheet=A0&amp;row=26&amp;col=6&amp;number=&amp;sourceID=18","")</f>
        <v/>
      </c>
      <c r="G26" s="4" t="str">
        <f>HYPERLINK("http://141.218.60.56/~jnz1568/getInfo.php?workbook=01_01.xlsx&amp;sheet=A0&amp;row=26&amp;col=7&amp;number=&amp;sourceID=15","")</f>
        <v/>
      </c>
      <c r="H26" s="4" t="str">
        <f>HYPERLINK("http://141.218.60.56/~jnz1568/getInfo.php?workbook=01_01.xlsx&amp;sheet=A0&amp;row=26&amp;col=8&amp;number=&amp;sourceID=15","")</f>
        <v/>
      </c>
      <c r="I26" s="4" t="str">
        <f>HYPERLINK("http://141.218.60.56/~jnz1568/getInfo.php?workbook=01_01.xlsx&amp;sheet=A0&amp;row=26&amp;col=9&amp;number=&amp;sourceID=15","")</f>
        <v/>
      </c>
      <c r="J26" s="4" t="str">
        <f>HYPERLINK("http://141.218.60.56/~jnz1568/getInfo.php?workbook=01_01.xlsx&amp;sheet=A0&amp;row=26&amp;col=10&amp;number=&amp;sourceID=15","")</f>
        <v/>
      </c>
      <c r="K26" s="4" t="str">
        <f>HYPERLINK("http://141.218.60.56/~jnz1568/getInfo.php?workbook=01_01.xlsx&amp;sheet=A0&amp;row=26&amp;col=11&amp;number=&amp;sourceID=15","")</f>
        <v/>
      </c>
      <c r="L26" s="4" t="str">
        <f>HYPERLINK("http://141.218.60.56/~jnz1568/getInfo.php?workbook=01_01.xlsx&amp;sheet=A0&amp;row=26&amp;col=12&amp;number=&amp;sourceID=15","")</f>
        <v/>
      </c>
      <c r="M26" s="4" t="str">
        <f>HYPERLINK("http://141.218.60.56/~jnz1568/getInfo.php?workbook=01_01.xlsx&amp;sheet=A0&amp;row=26&amp;col=13&amp;number=&amp;sourceID=15","")</f>
        <v/>
      </c>
      <c r="N26" s="4" t="str">
        <f>HYPERLINK("http://141.218.60.56/~jnz1568/getInfo.php?workbook=01_01.xlsx&amp;sheet=A0&amp;row=26&amp;col=14&amp;number==&amp;sourceID=11","=")</f>
        <v>=</v>
      </c>
      <c r="O26" s="4" t="str">
        <f>HYPERLINK("http://141.218.60.56/~jnz1568/getInfo.php?workbook=01_01.xlsx&amp;sheet=A0&amp;row=26&amp;col=15&amp;number=&amp;sourceID=11","")</f>
        <v/>
      </c>
      <c r="P26" s="4" t="str">
        <f>HYPERLINK("http://141.218.60.56/~jnz1568/getInfo.php?workbook=01_01.xlsx&amp;sheet=A0&amp;row=26&amp;col=16&amp;number=11.954&amp;sourceID=11","11.954")</f>
        <v>11.954</v>
      </c>
      <c r="Q26" s="4" t="str">
        <f>HYPERLINK("http://141.218.60.56/~jnz1568/getInfo.php?workbook=01_01.xlsx&amp;sheet=A0&amp;row=26&amp;col=17&amp;number=&amp;sourceID=11","")</f>
        <v/>
      </c>
      <c r="R26" s="4" t="str">
        <f>HYPERLINK("http://141.218.60.56/~jnz1568/getInfo.php?workbook=01_01.xlsx&amp;sheet=A0&amp;row=26&amp;col=18&amp;number=3.5289e-09&amp;sourceID=11","3.5289e-09")</f>
        <v>3.5289e-09</v>
      </c>
      <c r="S26" s="4" t="str">
        <f>HYPERLINK("http://141.218.60.56/~jnz1568/getInfo.php?workbook=01_01.xlsx&amp;sheet=A0&amp;row=26&amp;col=19&amp;number=&amp;sourceID=11","")</f>
        <v/>
      </c>
      <c r="T26" s="4" t="str">
        <f>HYPERLINK("http://141.218.60.56/~jnz1568/getInfo.php?workbook=01_01.xlsx&amp;sheet=A0&amp;row=26&amp;col=20&amp;number=6.539e-11&amp;sourceID=11","6.539e-11")</f>
        <v>6.539e-11</v>
      </c>
      <c r="U26" s="4" t="str">
        <f>HYPERLINK("http://141.218.60.56/~jnz1568/getInfo.php?workbook=01_01.xlsx&amp;sheet=A0&amp;row=26&amp;col=21&amp;number=11.96&amp;sourceID=12","11.96")</f>
        <v>11.96</v>
      </c>
      <c r="V26" s="4" t="str">
        <f>HYPERLINK("http://141.218.60.56/~jnz1568/getInfo.php?workbook=01_01.xlsx&amp;sheet=A0&amp;row=26&amp;col=22&amp;number=&amp;sourceID=12","")</f>
        <v/>
      </c>
      <c r="W26" s="4" t="str">
        <f>HYPERLINK("http://141.218.60.56/~jnz1568/getInfo.php?workbook=01_01.xlsx&amp;sheet=A0&amp;row=26&amp;col=23&amp;number=11.96&amp;sourceID=12","11.96")</f>
        <v>11.96</v>
      </c>
      <c r="X26" s="4" t="str">
        <f>HYPERLINK("http://141.218.60.56/~jnz1568/getInfo.php?workbook=01_01.xlsx&amp;sheet=A0&amp;row=26&amp;col=24&amp;number=&amp;sourceID=12","")</f>
        <v/>
      </c>
      <c r="Y26" s="4" t="str">
        <f>HYPERLINK("http://141.218.60.56/~jnz1568/getInfo.php?workbook=01_01.xlsx&amp;sheet=A0&amp;row=26&amp;col=25&amp;number=3.5329e-09&amp;sourceID=12","3.5329e-09")</f>
        <v>3.5329e-09</v>
      </c>
      <c r="Z26" s="4" t="str">
        <f>HYPERLINK("http://141.218.60.56/~jnz1568/getInfo.php?workbook=01_01.xlsx&amp;sheet=A0&amp;row=26&amp;col=26&amp;number=&amp;sourceID=12","")</f>
        <v/>
      </c>
      <c r="AA26" s="4" t="str">
        <f>HYPERLINK("http://141.218.60.56/~jnz1568/getInfo.php?workbook=01_01.xlsx&amp;sheet=A0&amp;row=26&amp;col=27&amp;number=6.5426e-11&amp;sourceID=12","6.5426e-11")</f>
        <v>6.5426e-11</v>
      </c>
      <c r="AB26" s="4" t="str">
        <f>HYPERLINK("http://141.218.60.56/~jnz1568/getInfo.php?workbook=01_01.xlsx&amp;sheet=A0&amp;row=26&amp;col=28&amp;number==SUM(AC26:AG26)&amp;sourceID=18","=SUM(AC26:AG26)")</f>
        <v>=SUM(AC26:AG26)</v>
      </c>
      <c r="AC26" s="4" t="str">
        <f>HYPERLINK("http://141.218.60.56/~jnz1568/getInfo.php?workbook=01_01.xlsx&amp;sheet=A0&amp;row=26&amp;col=29&amp;number=&amp;sourceID=18","")</f>
        <v/>
      </c>
      <c r="AD26" s="4" t="str">
        <f>HYPERLINK("http://141.218.60.56/~jnz1568/getInfo.php?workbook=01_01.xlsx&amp;sheet=A0&amp;row=26&amp;col=30&amp;number=12&amp;sourceID=18","12")</f>
        <v>12</v>
      </c>
      <c r="AE26" s="4" t="str">
        <f>HYPERLINK("http://141.218.60.56/~jnz1568/getInfo.php?workbook=01_01.xlsx&amp;sheet=A0&amp;row=26&amp;col=31&amp;number=&amp;sourceID=18","")</f>
        <v/>
      </c>
      <c r="AF26" s="4" t="str">
        <f>HYPERLINK("http://141.218.60.56/~jnz1568/getInfo.php?workbook=01_01.xlsx&amp;sheet=A0&amp;row=26&amp;col=32&amp;number=3.53e-09&amp;sourceID=18","3.53e-09")</f>
        <v>3.53e-09</v>
      </c>
      <c r="AG26" s="4" t="str">
        <f>HYPERLINK("http://141.218.60.56/~jnz1568/getInfo.php?workbook=01_01.xlsx&amp;sheet=A0&amp;row=26&amp;col=33&amp;number=&amp;sourceID=18","")</f>
        <v/>
      </c>
      <c r="AH26" s="4" t="str">
        <f>HYPERLINK("http://141.218.60.56/~jnz1568/getInfo.php?workbook=01_01.xlsx&amp;sheet=A0&amp;row=26&amp;col=34&amp;number=11.954&amp;sourceID=20","11.954")</f>
        <v>11.954</v>
      </c>
    </row>
    <row r="27" spans="1:34">
      <c r="A27" s="3">
        <v>1</v>
      </c>
      <c r="B27" s="3">
        <v>1</v>
      </c>
      <c r="C27" s="3">
        <v>8</v>
      </c>
      <c r="D27" s="3">
        <v>5</v>
      </c>
      <c r="E27" s="3">
        <f>((1/(INDEX(E0!J$4:J$28,C27,1)-INDEX(E0!J$4:J$28,D27,1))))*100000000</f>
        <v>0</v>
      </c>
      <c r="F27" s="4" t="str">
        <f>HYPERLINK("http://141.218.60.56/~jnz1568/getInfo.php?workbook=01_01.xlsx&amp;sheet=A0&amp;row=27&amp;col=6&amp;number=&amp;sourceID=18","")</f>
        <v/>
      </c>
      <c r="G27" s="4" t="str">
        <f>HYPERLINK("http://141.218.60.56/~jnz1568/getInfo.php?workbook=01_01.xlsx&amp;sheet=A0&amp;row=27&amp;col=7&amp;number=&amp;sourceID=15","")</f>
        <v/>
      </c>
      <c r="H27" s="4" t="str">
        <f>HYPERLINK("http://141.218.60.56/~jnz1568/getInfo.php?workbook=01_01.xlsx&amp;sheet=A0&amp;row=27&amp;col=8&amp;number=&amp;sourceID=15","")</f>
        <v/>
      </c>
      <c r="I27" s="4" t="str">
        <f>HYPERLINK("http://141.218.60.56/~jnz1568/getInfo.php?workbook=01_01.xlsx&amp;sheet=A0&amp;row=27&amp;col=9&amp;number=&amp;sourceID=15","")</f>
        <v/>
      </c>
      <c r="J27" s="4" t="str">
        <f>HYPERLINK("http://141.218.60.56/~jnz1568/getInfo.php?workbook=01_01.xlsx&amp;sheet=A0&amp;row=27&amp;col=10&amp;number=&amp;sourceID=15","")</f>
        <v/>
      </c>
      <c r="K27" s="4" t="str">
        <f>HYPERLINK("http://141.218.60.56/~jnz1568/getInfo.php?workbook=01_01.xlsx&amp;sheet=A0&amp;row=27&amp;col=11&amp;number=&amp;sourceID=15","")</f>
        <v/>
      </c>
      <c r="L27" s="4" t="str">
        <f>HYPERLINK("http://141.218.60.56/~jnz1568/getInfo.php?workbook=01_01.xlsx&amp;sheet=A0&amp;row=27&amp;col=12&amp;number=&amp;sourceID=15","")</f>
        <v/>
      </c>
      <c r="M27" s="4" t="str">
        <f>HYPERLINK("http://141.218.60.56/~jnz1568/getInfo.php?workbook=01_01.xlsx&amp;sheet=A0&amp;row=27&amp;col=13&amp;number=&amp;sourceID=15","")</f>
        <v/>
      </c>
      <c r="N27" s="4" t="str">
        <f>HYPERLINK("http://141.218.60.56/~jnz1568/getInfo.php?workbook=01_01.xlsx&amp;sheet=A0&amp;row=27&amp;col=14&amp;number==&amp;sourceID=11","=")</f>
        <v>=</v>
      </c>
      <c r="O27" s="4" t="str">
        <f>HYPERLINK("http://141.218.60.56/~jnz1568/getInfo.php?workbook=01_01.xlsx&amp;sheet=A0&amp;row=27&amp;col=15&amp;number=&amp;sourceID=11","")</f>
        <v/>
      </c>
      <c r="P27" s="4" t="str">
        <f>HYPERLINK("http://141.218.60.56/~jnz1568/getInfo.php?workbook=01_01.xlsx&amp;sheet=A0&amp;row=27&amp;col=16&amp;number=0&amp;sourceID=11","0")</f>
        <v>0</v>
      </c>
      <c r="Q27" s="4" t="str">
        <f>HYPERLINK("http://141.218.60.56/~jnz1568/getInfo.php?workbook=01_01.xlsx&amp;sheet=A0&amp;row=27&amp;col=17&amp;number=&amp;sourceID=11","")</f>
        <v/>
      </c>
      <c r="R27" s="4" t="str">
        <f>HYPERLINK("http://141.218.60.56/~jnz1568/getInfo.php?workbook=01_01.xlsx&amp;sheet=A0&amp;row=27&amp;col=18&amp;number=1.1e-14&amp;sourceID=11","1.1e-14")</f>
        <v>1.1e-14</v>
      </c>
      <c r="S27" s="4" t="str">
        <f>HYPERLINK("http://141.218.60.56/~jnz1568/getInfo.php?workbook=01_01.xlsx&amp;sheet=A0&amp;row=27&amp;col=19&amp;number=&amp;sourceID=11","")</f>
        <v/>
      </c>
      <c r="T27" s="4" t="str">
        <f>HYPERLINK("http://141.218.60.56/~jnz1568/getInfo.php?workbook=01_01.xlsx&amp;sheet=A0&amp;row=27&amp;col=20&amp;number=&amp;sourceID=11","")</f>
        <v/>
      </c>
      <c r="U27" s="4" t="str">
        <f>HYPERLINK("http://141.218.60.56/~jnz1568/getInfo.php?workbook=01_01.xlsx&amp;sheet=A0&amp;row=27&amp;col=21&amp;number=1.1e-14&amp;sourceID=12","1.1e-14")</f>
        <v>1.1e-14</v>
      </c>
      <c r="V27" s="4" t="str">
        <f>HYPERLINK("http://141.218.60.56/~jnz1568/getInfo.php?workbook=01_01.xlsx&amp;sheet=A0&amp;row=27&amp;col=22&amp;number=&amp;sourceID=12","")</f>
        <v/>
      </c>
      <c r="W27" s="4" t="str">
        <f>HYPERLINK("http://141.218.60.56/~jnz1568/getInfo.php?workbook=01_01.xlsx&amp;sheet=A0&amp;row=27&amp;col=23&amp;number=0&amp;sourceID=12","0")</f>
        <v>0</v>
      </c>
      <c r="X27" s="4" t="str">
        <f>HYPERLINK("http://141.218.60.56/~jnz1568/getInfo.php?workbook=01_01.xlsx&amp;sheet=A0&amp;row=27&amp;col=24&amp;number=&amp;sourceID=12","")</f>
        <v/>
      </c>
      <c r="Y27" s="4" t="str">
        <f>HYPERLINK("http://141.218.60.56/~jnz1568/getInfo.php?workbook=01_01.xlsx&amp;sheet=A0&amp;row=27&amp;col=25&amp;number=1.1e-14&amp;sourceID=12","1.1e-14")</f>
        <v>1.1e-14</v>
      </c>
      <c r="Z27" s="4" t="str">
        <f>HYPERLINK("http://141.218.60.56/~jnz1568/getInfo.php?workbook=01_01.xlsx&amp;sheet=A0&amp;row=27&amp;col=26&amp;number=&amp;sourceID=12","")</f>
        <v/>
      </c>
      <c r="AA27" s="4" t="str">
        <f>HYPERLINK("http://141.218.60.56/~jnz1568/getInfo.php?workbook=01_01.xlsx&amp;sheet=A0&amp;row=27&amp;col=27&amp;number=&amp;sourceID=12","")</f>
        <v/>
      </c>
      <c r="AB27" s="4" t="str">
        <f>HYPERLINK("http://141.218.60.56/~jnz1568/getInfo.php?workbook=01_01.xlsx&amp;sheet=A0&amp;row=27&amp;col=28&amp;number=&amp;sourceID=18","")</f>
        <v/>
      </c>
      <c r="AC27" s="4" t="str">
        <f>HYPERLINK("http://141.218.60.56/~jnz1568/getInfo.php?workbook=01_01.xlsx&amp;sheet=A0&amp;row=27&amp;col=29&amp;number=&amp;sourceID=18","")</f>
        <v/>
      </c>
      <c r="AD27" s="4" t="str">
        <f>HYPERLINK("http://141.218.60.56/~jnz1568/getInfo.php?workbook=01_01.xlsx&amp;sheet=A0&amp;row=27&amp;col=30&amp;number=&amp;sourceID=18","")</f>
        <v/>
      </c>
      <c r="AE27" s="4" t="str">
        <f>HYPERLINK("http://141.218.60.56/~jnz1568/getInfo.php?workbook=01_01.xlsx&amp;sheet=A0&amp;row=27&amp;col=31&amp;number=&amp;sourceID=18","")</f>
        <v/>
      </c>
      <c r="AF27" s="4" t="str">
        <f>HYPERLINK("http://141.218.60.56/~jnz1568/getInfo.php?workbook=01_01.xlsx&amp;sheet=A0&amp;row=27&amp;col=32&amp;number=&amp;sourceID=18","")</f>
        <v/>
      </c>
      <c r="AG27" s="4" t="str">
        <f>HYPERLINK("http://141.218.60.56/~jnz1568/getInfo.php?workbook=01_01.xlsx&amp;sheet=A0&amp;row=27&amp;col=33&amp;number=&amp;sourceID=18","")</f>
        <v/>
      </c>
      <c r="AH27" s="4" t="str">
        <f>HYPERLINK("http://141.218.60.56/~jnz1568/getInfo.php?workbook=01_01.xlsx&amp;sheet=A0&amp;row=27&amp;col=34&amp;number=&amp;sourceID=20","")</f>
        <v/>
      </c>
    </row>
    <row r="28" spans="1:34">
      <c r="A28" s="3">
        <v>1</v>
      </c>
      <c r="B28" s="3">
        <v>1</v>
      </c>
      <c r="C28" s="3">
        <v>8</v>
      </c>
      <c r="D28" s="3">
        <v>6</v>
      </c>
      <c r="E28" s="3">
        <f>((1/(INDEX(E0!J$4:J$28,C28,1)-INDEX(E0!J$4:J$28,D28,1))))*100000000</f>
        <v>0</v>
      </c>
      <c r="F28" s="4" t="str">
        <f>HYPERLINK("http://141.218.60.56/~jnz1568/getInfo.php?workbook=01_01.xlsx&amp;sheet=A0&amp;row=28&amp;col=6&amp;number=&amp;sourceID=18","")</f>
        <v/>
      </c>
      <c r="G28" s="4" t="str">
        <f>HYPERLINK("http://141.218.60.56/~jnz1568/getInfo.php?workbook=01_01.xlsx&amp;sheet=A0&amp;row=28&amp;col=7&amp;number==SUM(H28:M28)&amp;sourceID=15","=SUM(H28:M28)")</f>
        <v>=SUM(H28:M28)</v>
      </c>
      <c r="H28" s="4" t="str">
        <f>HYPERLINK("http://141.218.60.56/~jnz1568/getInfo.php?workbook=01_01.xlsx&amp;sheet=A0&amp;row=28&amp;col=8&amp;number=&amp;sourceID=15","")</f>
        <v/>
      </c>
      <c r="I28" s="4" t="str">
        <f>HYPERLINK("http://141.218.60.56/~jnz1568/getInfo.php?workbook=01_01.xlsx&amp;sheet=A0&amp;row=28&amp;col=9&amp;number=&amp;sourceID=15","")</f>
        <v/>
      </c>
      <c r="J28" s="4" t="str">
        <f>HYPERLINK("http://141.218.60.56/~jnz1568/getInfo.php?workbook=01_01.xlsx&amp;sheet=A0&amp;row=28&amp;col=10&amp;number=&amp;sourceID=15","")</f>
        <v/>
      </c>
      <c r="K28" s="4" t="str">
        <f>HYPERLINK("http://141.218.60.56/~jnz1568/getInfo.php?workbook=01_01.xlsx&amp;sheet=A0&amp;row=28&amp;col=11&amp;number=&amp;sourceID=15","")</f>
        <v/>
      </c>
      <c r="L28" s="4" t="str">
        <f>HYPERLINK("http://141.218.60.56/~jnz1568/getInfo.php?workbook=01_01.xlsx&amp;sheet=A0&amp;row=28&amp;col=12&amp;number=&amp;sourceID=15","")</f>
        <v/>
      </c>
      <c r="M28" s="4" t="str">
        <f>HYPERLINK("http://141.218.60.56/~jnz1568/getInfo.php?workbook=01_01.xlsx&amp;sheet=A0&amp;row=28&amp;col=13&amp;number=7.391e-08&amp;sourceID=15","7.391e-08")</f>
        <v>7.391e-08</v>
      </c>
      <c r="N28" s="4" t="str">
        <f>HYPERLINK("http://141.218.60.56/~jnz1568/getInfo.php?workbook=01_01.xlsx&amp;sheet=A0&amp;row=28&amp;col=14&amp;number==&amp;sourceID=11","=")</f>
        <v>=</v>
      </c>
      <c r="O28" s="4" t="str">
        <f>HYPERLINK("http://141.218.60.56/~jnz1568/getInfo.php?workbook=01_01.xlsx&amp;sheet=A0&amp;row=28&amp;col=15&amp;number=1.3859e-07&amp;sourceID=11","1.3859e-07")</f>
        <v>1.3859e-07</v>
      </c>
      <c r="P28" s="4" t="str">
        <f>HYPERLINK("http://141.218.60.56/~jnz1568/getInfo.php?workbook=01_01.xlsx&amp;sheet=A0&amp;row=28&amp;col=16&amp;number=&amp;sourceID=11","")</f>
        <v/>
      </c>
      <c r="Q28" s="4" t="str">
        <f>HYPERLINK("http://141.218.60.56/~jnz1568/getInfo.php?workbook=01_01.xlsx&amp;sheet=A0&amp;row=28&amp;col=17&amp;number=&amp;sourceID=11","")</f>
        <v/>
      </c>
      <c r="R28" s="4" t="str">
        <f>HYPERLINK("http://141.218.60.56/~jnz1568/getInfo.php?workbook=01_01.xlsx&amp;sheet=A0&amp;row=28&amp;col=18&amp;number=&amp;sourceID=11","")</f>
        <v/>
      </c>
      <c r="S28" s="4" t="str">
        <f>HYPERLINK("http://141.218.60.56/~jnz1568/getInfo.php?workbook=01_01.xlsx&amp;sheet=A0&amp;row=28&amp;col=19&amp;number=0&amp;sourceID=11","0")</f>
        <v>0</v>
      </c>
      <c r="T28" s="4" t="str">
        <f>HYPERLINK("http://141.218.60.56/~jnz1568/getInfo.php?workbook=01_01.xlsx&amp;sheet=A0&amp;row=28&amp;col=20&amp;number=&amp;sourceID=11","")</f>
        <v/>
      </c>
      <c r="U28" s="4" t="str">
        <f>HYPERLINK("http://141.218.60.56/~jnz1568/getInfo.php?workbook=01_01.xlsx&amp;sheet=A0&amp;row=28&amp;col=21&amp;number=1.3869e-07&amp;sourceID=12","1.3869e-07")</f>
        <v>1.3869e-07</v>
      </c>
      <c r="V28" s="4" t="str">
        <f>HYPERLINK("http://141.218.60.56/~jnz1568/getInfo.php?workbook=01_01.xlsx&amp;sheet=A0&amp;row=28&amp;col=22&amp;number=1.3869e-07&amp;sourceID=12","1.3869e-07")</f>
        <v>1.3869e-07</v>
      </c>
      <c r="W28" s="4" t="str">
        <f>HYPERLINK("http://141.218.60.56/~jnz1568/getInfo.php?workbook=01_01.xlsx&amp;sheet=A0&amp;row=28&amp;col=23&amp;number=&amp;sourceID=12","")</f>
        <v/>
      </c>
      <c r="X28" s="4" t="str">
        <f>HYPERLINK("http://141.218.60.56/~jnz1568/getInfo.php?workbook=01_01.xlsx&amp;sheet=A0&amp;row=28&amp;col=24&amp;number=&amp;sourceID=12","")</f>
        <v/>
      </c>
      <c r="Y28" s="4" t="str">
        <f>HYPERLINK("http://141.218.60.56/~jnz1568/getInfo.php?workbook=01_01.xlsx&amp;sheet=A0&amp;row=28&amp;col=25&amp;number=&amp;sourceID=12","")</f>
        <v/>
      </c>
      <c r="Z28" s="4" t="str">
        <f>HYPERLINK("http://141.218.60.56/~jnz1568/getInfo.php?workbook=01_01.xlsx&amp;sheet=A0&amp;row=28&amp;col=26&amp;number=0&amp;sourceID=12","0")</f>
        <v>0</v>
      </c>
      <c r="AA28" s="4" t="str">
        <f>HYPERLINK("http://141.218.60.56/~jnz1568/getInfo.php?workbook=01_01.xlsx&amp;sheet=A0&amp;row=28&amp;col=27&amp;number=&amp;sourceID=12","")</f>
        <v/>
      </c>
      <c r="AB28" s="4" t="str">
        <f>HYPERLINK("http://141.218.60.56/~jnz1568/getInfo.php?workbook=01_01.xlsx&amp;sheet=A0&amp;row=28&amp;col=28&amp;number=&amp;sourceID=18","")</f>
        <v/>
      </c>
      <c r="AC28" s="4" t="str">
        <f>HYPERLINK("http://141.218.60.56/~jnz1568/getInfo.php?workbook=01_01.xlsx&amp;sheet=A0&amp;row=28&amp;col=29&amp;number=&amp;sourceID=18","")</f>
        <v/>
      </c>
      <c r="AD28" s="4" t="str">
        <f>HYPERLINK("http://141.218.60.56/~jnz1568/getInfo.php?workbook=01_01.xlsx&amp;sheet=A0&amp;row=28&amp;col=30&amp;number=&amp;sourceID=18","")</f>
        <v/>
      </c>
      <c r="AE28" s="4" t="str">
        <f>HYPERLINK("http://141.218.60.56/~jnz1568/getInfo.php?workbook=01_01.xlsx&amp;sheet=A0&amp;row=28&amp;col=31&amp;number=&amp;sourceID=18","")</f>
        <v/>
      </c>
      <c r="AF28" s="4" t="str">
        <f>HYPERLINK("http://141.218.60.56/~jnz1568/getInfo.php?workbook=01_01.xlsx&amp;sheet=A0&amp;row=28&amp;col=32&amp;number=&amp;sourceID=18","")</f>
        <v/>
      </c>
      <c r="AG28" s="4" t="str">
        <f>HYPERLINK("http://141.218.60.56/~jnz1568/getInfo.php?workbook=01_01.xlsx&amp;sheet=A0&amp;row=28&amp;col=33&amp;number=&amp;sourceID=18","")</f>
        <v/>
      </c>
      <c r="AH28" s="4" t="str">
        <f>HYPERLINK("http://141.218.60.56/~jnz1568/getInfo.php?workbook=01_01.xlsx&amp;sheet=A0&amp;row=28&amp;col=34&amp;number=&amp;sourceID=20","")</f>
        <v/>
      </c>
    </row>
    <row r="29" spans="1:34">
      <c r="A29" s="3">
        <v>1</v>
      </c>
      <c r="B29" s="3">
        <v>1</v>
      </c>
      <c r="C29" s="3">
        <v>9</v>
      </c>
      <c r="D29" s="3">
        <v>1</v>
      </c>
      <c r="E29" s="3">
        <f>((1/(INDEX(E0!J$4:J$28,C29,1)-INDEX(E0!J$4:J$28,D29,1))))*100000000</f>
        <v>0</v>
      </c>
      <c r="F29" s="4" t="str">
        <f>HYPERLINK("http://141.218.60.56/~jnz1568/getInfo.php?workbook=01_01.xlsx&amp;sheet=A0&amp;row=29&amp;col=6&amp;number=&amp;sourceID=18","")</f>
        <v/>
      </c>
      <c r="G29" s="4" t="str">
        <f>HYPERLINK("http://141.218.60.56/~jnz1568/getInfo.php?workbook=01_01.xlsx&amp;sheet=A0&amp;row=29&amp;col=7&amp;number==I29+K29&amp;sourceID=15","=I29+K29")</f>
        <v>=I29+K29</v>
      </c>
      <c r="H29" s="4" t="str">
        <f>HYPERLINK("http://141.218.60.56/~jnz1568/getInfo.php?workbook=01_01.xlsx&amp;sheet=A0&amp;row=29&amp;col=8&amp;number=&amp;sourceID=15","")</f>
        <v/>
      </c>
      <c r="I29" s="4" t="str">
        <f>HYPERLINK("http://141.218.60.56/~jnz1568/getInfo.php?workbook=01_01.xlsx&amp;sheet=A0&amp;row=29&amp;col=9&amp;number=593.7&amp;sourceID=15","593.7")</f>
        <v>593.7</v>
      </c>
      <c r="J29" s="4" t="str">
        <f>HYPERLINK("http://141.218.60.56/~jnz1568/getInfo.php?workbook=01_01.xlsx&amp;sheet=A0&amp;row=29&amp;col=10&amp;number=&amp;sourceID=15","")</f>
        <v/>
      </c>
      <c r="K29" s="4" t="str">
        <f>HYPERLINK("http://141.218.60.56/~jnz1568/getInfo.php?workbook=01_01.xlsx&amp;sheet=A0&amp;row=29&amp;col=11&amp;number=&amp;sourceID=15","")</f>
        <v/>
      </c>
      <c r="L29" s="4" t="str">
        <f>HYPERLINK("http://141.218.60.56/~jnz1568/getInfo.php?workbook=01_01.xlsx&amp;sheet=A0&amp;row=29&amp;col=12&amp;number=&amp;sourceID=15","")</f>
        <v/>
      </c>
      <c r="M29" s="4" t="str">
        <f>HYPERLINK("http://141.218.60.56/~jnz1568/getInfo.php?workbook=01_01.xlsx&amp;sheet=A0&amp;row=29&amp;col=13&amp;number=&amp;sourceID=15","")</f>
        <v/>
      </c>
      <c r="N29" s="4" t="str">
        <f>HYPERLINK("http://141.218.60.56/~jnz1568/getInfo.php?workbook=01_01.xlsx&amp;sheet=A0&amp;row=29&amp;col=14&amp;number==&amp;sourceID=11","=")</f>
        <v>=</v>
      </c>
      <c r="O29" s="4" t="str">
        <f>HYPERLINK("http://141.218.60.56/~jnz1568/getInfo.php?workbook=01_01.xlsx&amp;sheet=A0&amp;row=29&amp;col=15&amp;number=&amp;sourceID=11","")</f>
        <v/>
      </c>
      <c r="P29" s="4" t="str">
        <f>HYPERLINK("http://141.218.60.56/~jnz1568/getInfo.php?workbook=01_01.xlsx&amp;sheet=A0&amp;row=29&amp;col=16&amp;number=593.74&amp;sourceID=11","593.74")</f>
        <v>593.74</v>
      </c>
      <c r="Q29" s="4" t="str">
        <f>HYPERLINK("http://141.218.60.56/~jnz1568/getInfo.php?workbook=01_01.xlsx&amp;sheet=A0&amp;row=29&amp;col=17&amp;number=&amp;sourceID=11","")</f>
        <v/>
      </c>
      <c r="R29" s="4" t="str">
        <f>HYPERLINK("http://141.218.60.56/~jnz1568/getInfo.php?workbook=01_01.xlsx&amp;sheet=A0&amp;row=29&amp;col=18&amp;number=&amp;sourceID=11","")</f>
        <v/>
      </c>
      <c r="S29" s="4" t="str">
        <f>HYPERLINK("http://141.218.60.56/~jnz1568/getInfo.php?workbook=01_01.xlsx&amp;sheet=A0&amp;row=29&amp;col=19&amp;number=&amp;sourceID=11","")</f>
        <v/>
      </c>
      <c r="T29" s="4" t="str">
        <f>HYPERLINK("http://141.218.60.56/~jnz1568/getInfo.php?workbook=01_01.xlsx&amp;sheet=A0&amp;row=29&amp;col=20&amp;number=7.3908e-08&amp;sourceID=11","7.3908e-08")</f>
        <v>7.3908e-08</v>
      </c>
      <c r="U29" s="4" t="str">
        <f>HYPERLINK("http://141.218.60.56/~jnz1568/getInfo.php?workbook=01_01.xlsx&amp;sheet=A0&amp;row=29&amp;col=21&amp;number=594.06&amp;sourceID=12","594.06")</f>
        <v>594.06</v>
      </c>
      <c r="V29" s="4" t="str">
        <f>HYPERLINK("http://141.218.60.56/~jnz1568/getInfo.php?workbook=01_01.xlsx&amp;sheet=A0&amp;row=29&amp;col=22&amp;number=&amp;sourceID=12","")</f>
        <v/>
      </c>
      <c r="W29" s="4" t="str">
        <f>HYPERLINK("http://141.218.60.56/~jnz1568/getInfo.php?workbook=01_01.xlsx&amp;sheet=A0&amp;row=29&amp;col=23&amp;number=594.06&amp;sourceID=12","594.06")</f>
        <v>594.06</v>
      </c>
      <c r="X29" s="4" t="str">
        <f>HYPERLINK("http://141.218.60.56/~jnz1568/getInfo.php?workbook=01_01.xlsx&amp;sheet=A0&amp;row=29&amp;col=24&amp;number=&amp;sourceID=12","")</f>
        <v/>
      </c>
      <c r="Y29" s="4" t="str">
        <f>HYPERLINK("http://141.218.60.56/~jnz1568/getInfo.php?workbook=01_01.xlsx&amp;sheet=A0&amp;row=29&amp;col=25&amp;number=&amp;sourceID=12","")</f>
        <v/>
      </c>
      <c r="Z29" s="4" t="str">
        <f>HYPERLINK("http://141.218.60.56/~jnz1568/getInfo.php?workbook=01_01.xlsx&amp;sheet=A0&amp;row=29&amp;col=26&amp;number=&amp;sourceID=12","")</f>
        <v/>
      </c>
      <c r="AA29" s="4" t="str">
        <f>HYPERLINK("http://141.218.60.56/~jnz1568/getInfo.php?workbook=01_01.xlsx&amp;sheet=A0&amp;row=29&amp;col=27&amp;number=7.3948e-08&amp;sourceID=12","7.3948e-08")</f>
        <v>7.3948e-08</v>
      </c>
      <c r="AB29" s="4" t="str">
        <f>HYPERLINK("http://141.218.60.56/~jnz1568/getInfo.php?workbook=01_01.xlsx&amp;sheet=A0&amp;row=29&amp;col=28&amp;number==SUM(AC29:AG29)&amp;sourceID=18","=SUM(AC29:AG29)")</f>
        <v>=SUM(AC29:AG29)</v>
      </c>
      <c r="AC29" s="4" t="str">
        <f>HYPERLINK("http://141.218.60.56/~jnz1568/getInfo.php?workbook=01_01.xlsx&amp;sheet=A0&amp;row=29&amp;col=29&amp;number=&amp;sourceID=18","")</f>
        <v/>
      </c>
      <c r="AD29" s="4" t="str">
        <f>HYPERLINK("http://141.218.60.56/~jnz1568/getInfo.php?workbook=01_01.xlsx&amp;sheet=A0&amp;row=29&amp;col=30&amp;number=594&amp;sourceID=18","594")</f>
        <v>594</v>
      </c>
      <c r="AE29" s="4" t="str">
        <f>HYPERLINK("http://141.218.60.56/~jnz1568/getInfo.php?workbook=01_01.xlsx&amp;sheet=A0&amp;row=29&amp;col=31&amp;number=&amp;sourceID=18","")</f>
        <v/>
      </c>
      <c r="AF29" s="4" t="str">
        <f>HYPERLINK("http://141.218.60.56/~jnz1568/getInfo.php?workbook=01_01.xlsx&amp;sheet=A0&amp;row=29&amp;col=32&amp;number=&amp;sourceID=18","")</f>
        <v/>
      </c>
      <c r="AG29" s="4" t="str">
        <f>HYPERLINK("http://141.218.60.56/~jnz1568/getInfo.php?workbook=01_01.xlsx&amp;sheet=A0&amp;row=29&amp;col=33&amp;number=&amp;sourceID=18","")</f>
        <v/>
      </c>
      <c r="AH29" s="4" t="str">
        <f>HYPERLINK("http://141.218.60.56/~jnz1568/getInfo.php?workbook=01_01.xlsx&amp;sheet=A0&amp;row=29&amp;col=34&amp;number=&amp;sourceID=20","")</f>
        <v/>
      </c>
    </row>
    <row r="30" spans="1:34">
      <c r="A30" s="3">
        <v>1</v>
      </c>
      <c r="B30" s="3">
        <v>1</v>
      </c>
      <c r="C30" s="3">
        <v>9</v>
      </c>
      <c r="D30" s="3">
        <v>2</v>
      </c>
      <c r="E30" s="3">
        <f>((1/(INDEX(E0!J$4:J$28,C30,1)-INDEX(E0!J$4:J$28,D30,1))))*100000000</f>
        <v>0</v>
      </c>
      <c r="F30" s="4" t="str">
        <f>HYPERLINK("http://141.218.60.56/~jnz1568/getInfo.php?workbook=01_01.xlsx&amp;sheet=A0&amp;row=30&amp;col=6&amp;number=&amp;sourceID=18","")</f>
        <v/>
      </c>
      <c r="G30" s="4" t="str">
        <f>HYPERLINK("http://141.218.60.56/~jnz1568/getInfo.php?workbook=01_01.xlsx&amp;sheet=A0&amp;row=30&amp;col=7&amp;number=&amp;sourceID=15","")</f>
        <v/>
      </c>
      <c r="H30" s="4" t="str">
        <f>HYPERLINK("http://141.218.60.56/~jnz1568/getInfo.php?workbook=01_01.xlsx&amp;sheet=A0&amp;row=30&amp;col=8&amp;number=&amp;sourceID=15","")</f>
        <v/>
      </c>
      <c r="I30" s="4" t="str">
        <f>HYPERLINK("http://141.218.60.56/~jnz1568/getInfo.php?workbook=01_01.xlsx&amp;sheet=A0&amp;row=30&amp;col=9&amp;number=&amp;sourceID=15","")</f>
        <v/>
      </c>
      <c r="J30" s="4" t="str">
        <f>HYPERLINK("http://141.218.60.56/~jnz1568/getInfo.php?workbook=01_01.xlsx&amp;sheet=A0&amp;row=30&amp;col=10&amp;number=&amp;sourceID=15","")</f>
        <v/>
      </c>
      <c r="K30" s="4" t="str">
        <f>HYPERLINK("http://141.218.60.56/~jnz1568/getInfo.php?workbook=01_01.xlsx&amp;sheet=A0&amp;row=30&amp;col=11&amp;number=&amp;sourceID=15","")</f>
        <v/>
      </c>
      <c r="L30" s="4" t="str">
        <f>HYPERLINK("http://141.218.60.56/~jnz1568/getInfo.php?workbook=01_01.xlsx&amp;sheet=A0&amp;row=30&amp;col=12&amp;number=&amp;sourceID=15","")</f>
        <v/>
      </c>
      <c r="M30" s="4" t="str">
        <f>HYPERLINK("http://141.218.60.56/~jnz1568/getInfo.php?workbook=01_01.xlsx&amp;sheet=A0&amp;row=30&amp;col=13&amp;number=&amp;sourceID=15","")</f>
        <v/>
      </c>
      <c r="N30" s="4" t="str">
        <f>HYPERLINK("http://141.218.60.56/~jnz1568/getInfo.php?workbook=01_01.xlsx&amp;sheet=A0&amp;row=30&amp;col=14&amp;number==&amp;sourceID=11","=")</f>
        <v>=</v>
      </c>
      <c r="O30" s="4" t="str">
        <f>HYPERLINK("http://141.218.60.56/~jnz1568/getInfo.php?workbook=01_01.xlsx&amp;sheet=A0&amp;row=30&amp;col=15&amp;number=&amp;sourceID=11","")</f>
        <v/>
      </c>
      <c r="P30" s="4" t="str">
        <f>HYPERLINK("http://141.218.60.56/~jnz1568/getInfo.php?workbook=01_01.xlsx&amp;sheet=A0&amp;row=30&amp;col=16&amp;number=&amp;sourceID=11","")</f>
        <v/>
      </c>
      <c r="Q30" s="4" t="str">
        <f>HYPERLINK("http://141.218.60.56/~jnz1568/getInfo.php?workbook=01_01.xlsx&amp;sheet=A0&amp;row=30&amp;col=17&amp;number=1.2575e-05&amp;sourceID=11","1.2575e-05")</f>
        <v>1.2575e-05</v>
      </c>
      <c r="R30" s="4" t="str">
        <f>HYPERLINK("http://141.218.60.56/~jnz1568/getInfo.php?workbook=01_01.xlsx&amp;sheet=A0&amp;row=30&amp;col=18&amp;number=&amp;sourceID=11","")</f>
        <v/>
      </c>
      <c r="S30" s="4" t="str">
        <f>HYPERLINK("http://141.218.60.56/~jnz1568/getInfo.php?workbook=01_01.xlsx&amp;sheet=A0&amp;row=30&amp;col=19&amp;number=3.9297e-05&amp;sourceID=11","3.9297e-05")</f>
        <v>3.9297e-05</v>
      </c>
      <c r="T30" s="4" t="str">
        <f>HYPERLINK("http://141.218.60.56/~jnz1568/getInfo.php?workbook=01_01.xlsx&amp;sheet=A0&amp;row=30&amp;col=20&amp;number=&amp;sourceID=11","")</f>
        <v/>
      </c>
      <c r="U30" s="4" t="str">
        <f>HYPERLINK("http://141.218.60.56/~jnz1568/getInfo.php?workbook=01_01.xlsx&amp;sheet=A0&amp;row=30&amp;col=21&amp;number=5.1901e-05&amp;sourceID=12","5.1901e-05")</f>
        <v>5.1901e-05</v>
      </c>
      <c r="V30" s="4" t="str">
        <f>HYPERLINK("http://141.218.60.56/~jnz1568/getInfo.php?workbook=01_01.xlsx&amp;sheet=A0&amp;row=30&amp;col=22&amp;number=&amp;sourceID=12","")</f>
        <v/>
      </c>
      <c r="W30" s="4" t="str">
        <f>HYPERLINK("http://141.218.60.56/~jnz1568/getInfo.php?workbook=01_01.xlsx&amp;sheet=A0&amp;row=30&amp;col=23&amp;number=&amp;sourceID=12","")</f>
        <v/>
      </c>
      <c r="X30" s="4" t="str">
        <f>HYPERLINK("http://141.218.60.56/~jnz1568/getInfo.php?workbook=01_01.xlsx&amp;sheet=A0&amp;row=30&amp;col=24&amp;number=1.2582e-05&amp;sourceID=12","1.2582e-05")</f>
        <v>1.2582e-05</v>
      </c>
      <c r="Y30" s="4" t="str">
        <f>HYPERLINK("http://141.218.60.56/~jnz1568/getInfo.php?workbook=01_01.xlsx&amp;sheet=A0&amp;row=30&amp;col=25&amp;number=&amp;sourceID=12","")</f>
        <v/>
      </c>
      <c r="Z30" s="4" t="str">
        <f>HYPERLINK("http://141.218.60.56/~jnz1568/getInfo.php?workbook=01_01.xlsx&amp;sheet=A0&amp;row=30&amp;col=26&amp;number=3.9319e-05&amp;sourceID=12","3.9319e-05")</f>
        <v>3.9319e-05</v>
      </c>
      <c r="AA30" s="4" t="str">
        <f>HYPERLINK("http://141.218.60.56/~jnz1568/getInfo.php?workbook=01_01.xlsx&amp;sheet=A0&amp;row=30&amp;col=27&amp;number=&amp;sourceID=12","")</f>
        <v/>
      </c>
      <c r="AB30" s="4" t="str">
        <f>HYPERLINK("http://141.218.60.56/~jnz1568/getInfo.php?workbook=01_01.xlsx&amp;sheet=A0&amp;row=30&amp;col=28&amp;number==SUM(AC30:AG30)&amp;sourceID=18","=SUM(AC30:AG30)")</f>
        <v>=SUM(AC30:AG30)</v>
      </c>
      <c r="AC30" s="4" t="str">
        <f>HYPERLINK("http://141.218.60.56/~jnz1568/getInfo.php?workbook=01_01.xlsx&amp;sheet=A0&amp;row=30&amp;col=29&amp;number=&amp;sourceID=18","")</f>
        <v/>
      </c>
      <c r="AD30" s="4" t="str">
        <f>HYPERLINK("http://141.218.60.56/~jnz1568/getInfo.php?workbook=01_01.xlsx&amp;sheet=A0&amp;row=30&amp;col=30&amp;number=&amp;sourceID=18","")</f>
        <v/>
      </c>
      <c r="AE30" s="4" t="str">
        <f>HYPERLINK("http://141.218.60.56/~jnz1568/getInfo.php?workbook=01_01.xlsx&amp;sheet=A0&amp;row=30&amp;col=31&amp;number=1.96e-05&amp;sourceID=18","1.96e-05")</f>
        <v>1.96e-05</v>
      </c>
      <c r="AF30" s="4" t="str">
        <f>HYPERLINK("http://141.218.60.56/~jnz1568/getInfo.php?workbook=01_01.xlsx&amp;sheet=A0&amp;row=30&amp;col=32&amp;number=&amp;sourceID=18","")</f>
        <v/>
      </c>
      <c r="AG30" s="4" t="str">
        <f>HYPERLINK("http://141.218.60.56/~jnz1568/getInfo.php?workbook=01_01.xlsx&amp;sheet=A0&amp;row=30&amp;col=33&amp;number=0.000157&amp;sourceID=18","0.000157")</f>
        <v>0.000157</v>
      </c>
      <c r="AH30" s="4" t="str">
        <f>HYPERLINK("http://141.218.60.56/~jnz1568/getInfo.php?workbook=01_01.xlsx&amp;sheet=A0&amp;row=30&amp;col=34&amp;number=5.1873e-05&amp;sourceID=20","5.1873e-05")</f>
        <v>5.1873e-05</v>
      </c>
    </row>
    <row r="31" spans="1:34">
      <c r="A31" s="3">
        <v>1</v>
      </c>
      <c r="B31" s="3">
        <v>1</v>
      </c>
      <c r="C31" s="3">
        <v>9</v>
      </c>
      <c r="D31" s="3">
        <v>3</v>
      </c>
      <c r="E31" s="3">
        <f>((1/(INDEX(E0!J$4:J$28,C31,1)-INDEX(E0!J$4:J$28,D31,1))))*100000000</f>
        <v>0</v>
      </c>
      <c r="F31" s="4" t="str">
        <f>HYPERLINK("http://141.218.60.56/~jnz1568/getInfo.php?workbook=01_01.xlsx&amp;sheet=A0&amp;row=31&amp;col=6&amp;number=&amp;sourceID=18","")</f>
        <v/>
      </c>
      <c r="G31" s="4" t="str">
        <f>HYPERLINK("http://141.218.60.56/~jnz1568/getInfo.php?workbook=01_01.xlsx&amp;sheet=A0&amp;row=31&amp;col=7&amp;number=&amp;sourceID=15","")</f>
        <v/>
      </c>
      <c r="H31" s="4" t="str">
        <f>HYPERLINK("http://141.218.60.56/~jnz1568/getInfo.php?workbook=01_01.xlsx&amp;sheet=A0&amp;row=31&amp;col=8&amp;number=&amp;sourceID=15","")</f>
        <v/>
      </c>
      <c r="I31" s="4" t="str">
        <f>HYPERLINK("http://141.218.60.56/~jnz1568/getInfo.php?workbook=01_01.xlsx&amp;sheet=A0&amp;row=31&amp;col=9&amp;number=&amp;sourceID=15","")</f>
        <v/>
      </c>
      <c r="J31" s="4" t="str">
        <f>HYPERLINK("http://141.218.60.56/~jnz1568/getInfo.php?workbook=01_01.xlsx&amp;sheet=A0&amp;row=31&amp;col=10&amp;number=&amp;sourceID=15","")</f>
        <v/>
      </c>
      <c r="K31" s="4" t="str">
        <f>HYPERLINK("http://141.218.60.56/~jnz1568/getInfo.php?workbook=01_01.xlsx&amp;sheet=A0&amp;row=31&amp;col=11&amp;number=&amp;sourceID=15","")</f>
        <v/>
      </c>
      <c r="L31" s="4" t="str">
        <f>HYPERLINK("http://141.218.60.56/~jnz1568/getInfo.php?workbook=01_01.xlsx&amp;sheet=A0&amp;row=31&amp;col=12&amp;number=&amp;sourceID=15","")</f>
        <v/>
      </c>
      <c r="M31" s="4" t="str">
        <f>HYPERLINK("http://141.218.60.56/~jnz1568/getInfo.php?workbook=01_01.xlsx&amp;sheet=A0&amp;row=31&amp;col=13&amp;number=&amp;sourceID=15","")</f>
        <v/>
      </c>
      <c r="N31" s="4" t="str">
        <f>HYPERLINK("http://141.218.60.56/~jnz1568/getInfo.php?workbook=01_01.xlsx&amp;sheet=A0&amp;row=31&amp;col=14&amp;number==&amp;sourceID=11","=")</f>
        <v>=</v>
      </c>
      <c r="O31" s="4" t="str">
        <f>HYPERLINK("http://141.218.60.56/~jnz1568/getInfo.php?workbook=01_01.xlsx&amp;sheet=A0&amp;row=31&amp;col=15&amp;number=&amp;sourceID=11","")</f>
        <v/>
      </c>
      <c r="P31" s="4" t="str">
        <f>HYPERLINK("http://141.218.60.56/~jnz1568/getInfo.php?workbook=01_01.xlsx&amp;sheet=A0&amp;row=31&amp;col=16&amp;number=51.007&amp;sourceID=11","51.007")</f>
        <v>51.007</v>
      </c>
      <c r="Q31" s="4" t="str">
        <f>HYPERLINK("http://141.218.60.56/~jnz1568/getInfo.php?workbook=01_01.xlsx&amp;sheet=A0&amp;row=31&amp;col=17&amp;number=&amp;sourceID=11","")</f>
        <v/>
      </c>
      <c r="R31" s="4" t="str">
        <f>HYPERLINK("http://141.218.60.56/~jnz1568/getInfo.php?workbook=01_01.xlsx&amp;sheet=A0&amp;row=31&amp;col=18&amp;number=&amp;sourceID=11","")</f>
        <v/>
      </c>
      <c r="S31" s="4" t="str">
        <f>HYPERLINK("http://141.218.60.56/~jnz1568/getInfo.php?workbook=01_01.xlsx&amp;sheet=A0&amp;row=31&amp;col=19&amp;number=&amp;sourceID=11","")</f>
        <v/>
      </c>
      <c r="T31" s="4" t="str">
        <f>HYPERLINK("http://141.218.60.56/~jnz1568/getInfo.php?workbook=01_01.xlsx&amp;sheet=A0&amp;row=31&amp;col=20&amp;number=1.5502e-10&amp;sourceID=11","1.5502e-10")</f>
        <v>1.5502e-10</v>
      </c>
      <c r="U31" s="4" t="str">
        <f>HYPERLINK("http://141.218.60.56/~jnz1568/getInfo.php?workbook=01_01.xlsx&amp;sheet=A0&amp;row=31&amp;col=21&amp;number=51.035&amp;sourceID=12","51.035")</f>
        <v>51.035</v>
      </c>
      <c r="V31" s="4" t="str">
        <f>HYPERLINK("http://141.218.60.56/~jnz1568/getInfo.php?workbook=01_01.xlsx&amp;sheet=A0&amp;row=31&amp;col=22&amp;number=&amp;sourceID=12","")</f>
        <v/>
      </c>
      <c r="W31" s="4" t="str">
        <f>HYPERLINK("http://141.218.60.56/~jnz1568/getInfo.php?workbook=01_01.xlsx&amp;sheet=A0&amp;row=31&amp;col=23&amp;number=51.035&amp;sourceID=12","51.035")</f>
        <v>51.035</v>
      </c>
      <c r="X31" s="4" t="str">
        <f>HYPERLINK("http://141.218.60.56/~jnz1568/getInfo.php?workbook=01_01.xlsx&amp;sheet=A0&amp;row=31&amp;col=24&amp;number=&amp;sourceID=12","")</f>
        <v/>
      </c>
      <c r="Y31" s="4" t="str">
        <f>HYPERLINK("http://141.218.60.56/~jnz1568/getInfo.php?workbook=01_01.xlsx&amp;sheet=A0&amp;row=31&amp;col=25&amp;number=&amp;sourceID=12","")</f>
        <v/>
      </c>
      <c r="Z31" s="4" t="str">
        <f>HYPERLINK("http://141.218.60.56/~jnz1568/getInfo.php?workbook=01_01.xlsx&amp;sheet=A0&amp;row=31&amp;col=26&amp;number=&amp;sourceID=12","")</f>
        <v/>
      </c>
      <c r="AA31" s="4" t="str">
        <f>HYPERLINK("http://141.218.60.56/~jnz1568/getInfo.php?workbook=01_01.xlsx&amp;sheet=A0&amp;row=31&amp;col=27&amp;number=1.551e-10&amp;sourceID=12","1.551e-10")</f>
        <v>1.551e-10</v>
      </c>
      <c r="AB31" s="4" t="str">
        <f>HYPERLINK("http://141.218.60.56/~jnz1568/getInfo.php?workbook=01_01.xlsx&amp;sheet=A0&amp;row=31&amp;col=28&amp;number==SUM(AC31:AG31)&amp;sourceID=18","=SUM(AC31:AG31)")</f>
        <v>=SUM(AC31:AG31)</v>
      </c>
      <c r="AC31" s="4" t="str">
        <f>HYPERLINK("http://141.218.60.56/~jnz1568/getInfo.php?workbook=01_01.xlsx&amp;sheet=A0&amp;row=31&amp;col=29&amp;number=&amp;sourceID=18","")</f>
        <v/>
      </c>
      <c r="AD31" s="4" t="str">
        <f>HYPERLINK("http://141.218.60.56/~jnz1568/getInfo.php?workbook=01_01.xlsx&amp;sheet=A0&amp;row=31&amp;col=30&amp;number=51&amp;sourceID=18","51")</f>
        <v>51</v>
      </c>
      <c r="AE31" s="4" t="str">
        <f>HYPERLINK("http://141.218.60.56/~jnz1568/getInfo.php?workbook=01_01.xlsx&amp;sheet=A0&amp;row=31&amp;col=31&amp;number=&amp;sourceID=18","")</f>
        <v/>
      </c>
      <c r="AF31" s="4" t="str">
        <f>HYPERLINK("http://141.218.60.56/~jnz1568/getInfo.php?workbook=01_01.xlsx&amp;sheet=A0&amp;row=31&amp;col=32&amp;number=&amp;sourceID=18","")</f>
        <v/>
      </c>
      <c r="AG31" s="4" t="str">
        <f>HYPERLINK("http://141.218.60.56/~jnz1568/getInfo.php?workbook=01_01.xlsx&amp;sheet=A0&amp;row=31&amp;col=33&amp;number=&amp;sourceID=18","")</f>
        <v/>
      </c>
      <c r="AH31" s="4" t="str">
        <f>HYPERLINK("http://141.218.60.56/~jnz1568/getInfo.php?workbook=01_01.xlsx&amp;sheet=A0&amp;row=31&amp;col=34&amp;number=51.007&amp;sourceID=20","51.007")</f>
        <v>51.007</v>
      </c>
    </row>
    <row r="32" spans="1:34">
      <c r="A32" s="3">
        <v>1</v>
      </c>
      <c r="B32" s="3">
        <v>1</v>
      </c>
      <c r="C32" s="3">
        <v>9</v>
      </c>
      <c r="D32" s="3">
        <v>4</v>
      </c>
      <c r="E32" s="3">
        <f>((1/(INDEX(E0!J$4:J$28,C32,1)-INDEX(E0!J$4:J$28,D32,1))))*100000000</f>
        <v>0</v>
      </c>
      <c r="F32" s="4" t="str">
        <f>HYPERLINK("http://141.218.60.56/~jnz1568/getInfo.php?workbook=01_01.xlsx&amp;sheet=A0&amp;row=32&amp;col=6&amp;number=&amp;sourceID=18","")</f>
        <v/>
      </c>
      <c r="G32" s="4" t="str">
        <f>HYPERLINK("http://141.218.60.56/~jnz1568/getInfo.php?workbook=01_01.xlsx&amp;sheet=A0&amp;row=32&amp;col=7&amp;number=64651000&amp;sourceID=15","64651000")</f>
        <v>64651000</v>
      </c>
      <c r="H32" s="4" t="str">
        <f>HYPERLINK("http://141.218.60.56/~jnz1568/getInfo.php?workbook=01_01.xlsx&amp;sheet=A0&amp;row=32&amp;col=8&amp;number=64651000&amp;sourceID=15","64651000")</f>
        <v>64651000</v>
      </c>
      <c r="I32" s="4" t="str">
        <f>HYPERLINK("http://141.218.60.56/~jnz1568/getInfo.php?workbook=01_01.xlsx&amp;sheet=A0&amp;row=32&amp;col=9&amp;number=&amp;sourceID=15","")</f>
        <v/>
      </c>
      <c r="J32" s="4" t="str">
        <f>HYPERLINK("http://141.218.60.56/~jnz1568/getInfo.php?workbook=01_01.xlsx&amp;sheet=A0&amp;row=32&amp;col=10&amp;number=&amp;sourceID=15","")</f>
        <v/>
      </c>
      <c r="K32" s="4" t="str">
        <f>HYPERLINK("http://141.218.60.56/~jnz1568/getInfo.php?workbook=01_01.xlsx&amp;sheet=A0&amp;row=32&amp;col=11&amp;number=&amp;sourceID=15","")</f>
        <v/>
      </c>
      <c r="L32" s="4" t="str">
        <f>HYPERLINK("http://141.218.60.56/~jnz1568/getInfo.php?workbook=01_01.xlsx&amp;sheet=A0&amp;row=32&amp;col=12&amp;number=&amp;sourceID=15","")</f>
        <v/>
      </c>
      <c r="M32" s="4" t="str">
        <f>HYPERLINK("http://141.218.60.56/~jnz1568/getInfo.php?workbook=01_01.xlsx&amp;sheet=A0&amp;row=32&amp;col=13&amp;number=&amp;sourceID=15","")</f>
        <v/>
      </c>
      <c r="N32" s="4" t="str">
        <f>HYPERLINK("http://141.218.60.56/~jnz1568/getInfo.php?workbook=01_01.xlsx&amp;sheet=A0&amp;row=32&amp;col=14&amp;number==&amp;sourceID=11","=")</f>
        <v>=</v>
      </c>
      <c r="O32" s="4" t="str">
        <f>HYPERLINK("http://141.218.60.56/~jnz1568/getInfo.php?workbook=01_01.xlsx&amp;sheet=A0&amp;row=32&amp;col=15&amp;number=64651000&amp;sourceID=11","64651000")</f>
        <v>64651000</v>
      </c>
      <c r="P32" s="4" t="str">
        <f>HYPERLINK("http://141.218.60.56/~jnz1568/getInfo.php?workbook=01_01.xlsx&amp;sheet=A0&amp;row=32&amp;col=16&amp;number=&amp;sourceID=11","")</f>
        <v/>
      </c>
      <c r="Q32" s="4" t="str">
        <f>HYPERLINK("http://141.218.60.56/~jnz1568/getInfo.php?workbook=01_01.xlsx&amp;sheet=A0&amp;row=32&amp;col=17&amp;number=1.0059e-05&amp;sourceID=11","1.0059e-05")</f>
        <v>1.0059e-05</v>
      </c>
      <c r="R32" s="4" t="str">
        <f>HYPERLINK("http://141.218.60.56/~jnz1568/getInfo.php?workbook=01_01.xlsx&amp;sheet=A0&amp;row=32&amp;col=18&amp;number=&amp;sourceID=11","")</f>
        <v/>
      </c>
      <c r="S32" s="4" t="str">
        <f>HYPERLINK("http://141.218.60.56/~jnz1568/getInfo.php?workbook=01_01.xlsx&amp;sheet=A0&amp;row=32&amp;col=19&amp;number=0.00021489&amp;sourceID=11","0.00021489")</f>
        <v>0.00021489</v>
      </c>
      <c r="T32" s="4" t="str">
        <f>HYPERLINK("http://141.218.60.56/~jnz1568/getInfo.php?workbook=01_01.xlsx&amp;sheet=A0&amp;row=32&amp;col=20&amp;number=&amp;sourceID=11","")</f>
        <v/>
      </c>
      <c r="U32" s="4" t="str">
        <f>HYPERLINK("http://141.218.60.56/~jnz1568/getInfo.php?workbook=01_01.xlsx&amp;sheet=A0&amp;row=32&amp;col=21&amp;number=64686000&amp;sourceID=12","64686000")</f>
        <v>64686000</v>
      </c>
      <c r="V32" s="4" t="str">
        <f>HYPERLINK("http://141.218.60.56/~jnz1568/getInfo.php?workbook=01_01.xlsx&amp;sheet=A0&amp;row=32&amp;col=22&amp;number=64686000&amp;sourceID=12","64686000")</f>
        <v>64686000</v>
      </c>
      <c r="W32" s="4" t="str">
        <f>HYPERLINK("http://141.218.60.56/~jnz1568/getInfo.php?workbook=01_01.xlsx&amp;sheet=A0&amp;row=32&amp;col=23&amp;number=&amp;sourceID=12","")</f>
        <v/>
      </c>
      <c r="X32" s="4" t="str">
        <f>HYPERLINK("http://141.218.60.56/~jnz1568/getInfo.php?workbook=01_01.xlsx&amp;sheet=A0&amp;row=32&amp;col=24&amp;number=1.0065e-05&amp;sourceID=12","1.0065e-05")</f>
        <v>1.0065e-05</v>
      </c>
      <c r="Y32" s="4" t="str">
        <f>HYPERLINK("http://141.218.60.56/~jnz1568/getInfo.php?workbook=01_01.xlsx&amp;sheet=A0&amp;row=32&amp;col=25&amp;number=&amp;sourceID=12","")</f>
        <v/>
      </c>
      <c r="Z32" s="4" t="str">
        <f>HYPERLINK("http://141.218.60.56/~jnz1568/getInfo.php?workbook=01_01.xlsx&amp;sheet=A0&amp;row=32&amp;col=26&amp;number=0.00021501&amp;sourceID=12","0.00021501")</f>
        <v>0.00021501</v>
      </c>
      <c r="AA32" s="4" t="str">
        <f>HYPERLINK("http://141.218.60.56/~jnz1568/getInfo.php?workbook=01_01.xlsx&amp;sheet=A0&amp;row=32&amp;col=27&amp;number=&amp;sourceID=12","")</f>
        <v/>
      </c>
      <c r="AB32" s="4" t="str">
        <f>HYPERLINK("http://141.218.60.56/~jnz1568/getInfo.php?workbook=01_01.xlsx&amp;sheet=A0&amp;row=32&amp;col=28&amp;number==SUM(AC32:AG32)&amp;sourceID=18","=SUM(AC32:AG32)")</f>
        <v>=SUM(AC32:AG32)</v>
      </c>
      <c r="AC32" s="4" t="str">
        <f>HYPERLINK("http://141.218.60.56/~jnz1568/getInfo.php?workbook=01_01.xlsx&amp;sheet=A0&amp;row=32&amp;col=29&amp;number=64700000&amp;sourceID=18","64700000")</f>
        <v>64700000</v>
      </c>
      <c r="AD32" s="4" t="str">
        <f>HYPERLINK("http://141.218.60.56/~jnz1568/getInfo.php?workbook=01_01.xlsx&amp;sheet=A0&amp;row=32&amp;col=30&amp;number=&amp;sourceID=18","")</f>
        <v/>
      </c>
      <c r="AE32" s="4" t="str">
        <f>HYPERLINK("http://141.218.60.56/~jnz1568/getInfo.php?workbook=01_01.xlsx&amp;sheet=A0&amp;row=32&amp;col=31&amp;number=&amp;sourceID=18","")</f>
        <v/>
      </c>
      <c r="AF32" s="4" t="str">
        <f>HYPERLINK("http://141.218.60.56/~jnz1568/getInfo.php?workbook=01_01.xlsx&amp;sheet=A0&amp;row=32&amp;col=32&amp;number=&amp;sourceID=18","")</f>
        <v/>
      </c>
      <c r="AG32" s="4" t="str">
        <f>HYPERLINK("http://141.218.60.56/~jnz1568/getInfo.php?workbook=01_01.xlsx&amp;sheet=A0&amp;row=32&amp;col=33&amp;number=&amp;sourceID=18","")</f>
        <v/>
      </c>
      <c r="AH32" s="4" t="str">
        <f>HYPERLINK("http://141.218.60.56/~jnz1568/getInfo.php?workbook=01_01.xlsx&amp;sheet=A0&amp;row=32&amp;col=34&amp;number=64651000&amp;sourceID=20","64651000")</f>
        <v>64651000</v>
      </c>
    </row>
    <row r="33" spans="1:34">
      <c r="A33" s="3">
        <v>1</v>
      </c>
      <c r="B33" s="3">
        <v>1</v>
      </c>
      <c r="C33" s="3">
        <v>9</v>
      </c>
      <c r="D33" s="3">
        <v>5</v>
      </c>
      <c r="E33" s="3">
        <f>((1/(INDEX(E0!J$4:J$28,C33,1)-INDEX(E0!J$4:J$28,D33,1))))*100000000</f>
        <v>0</v>
      </c>
      <c r="F33" s="4" t="str">
        <f>HYPERLINK("http://141.218.60.56/~jnz1568/getInfo.php?workbook=01_01.xlsx&amp;sheet=A0&amp;row=33&amp;col=6&amp;number=&amp;sourceID=18","")</f>
        <v/>
      </c>
      <c r="G33" s="4" t="str">
        <f>HYPERLINK("http://141.218.60.56/~jnz1568/getInfo.php?workbook=01_01.xlsx&amp;sheet=A0&amp;row=33&amp;col=7&amp;number=&amp;sourceID=15","")</f>
        <v/>
      </c>
      <c r="H33" s="4" t="str">
        <f>HYPERLINK("http://141.218.60.56/~jnz1568/getInfo.php?workbook=01_01.xlsx&amp;sheet=A0&amp;row=33&amp;col=8&amp;number=&amp;sourceID=15","")</f>
        <v/>
      </c>
      <c r="I33" s="4" t="str">
        <f>HYPERLINK("http://141.218.60.56/~jnz1568/getInfo.php?workbook=01_01.xlsx&amp;sheet=A0&amp;row=33&amp;col=9&amp;number=&amp;sourceID=15","")</f>
        <v/>
      </c>
      <c r="J33" s="4" t="str">
        <f>HYPERLINK("http://141.218.60.56/~jnz1568/getInfo.php?workbook=01_01.xlsx&amp;sheet=A0&amp;row=33&amp;col=10&amp;number=&amp;sourceID=15","")</f>
        <v/>
      </c>
      <c r="K33" s="4" t="str">
        <f>HYPERLINK("http://141.218.60.56/~jnz1568/getInfo.php?workbook=01_01.xlsx&amp;sheet=A0&amp;row=33&amp;col=11&amp;number=&amp;sourceID=15","")</f>
        <v/>
      </c>
      <c r="L33" s="4" t="str">
        <f>HYPERLINK("http://141.218.60.56/~jnz1568/getInfo.php?workbook=01_01.xlsx&amp;sheet=A0&amp;row=33&amp;col=12&amp;number=&amp;sourceID=15","")</f>
        <v/>
      </c>
      <c r="M33" s="4" t="str">
        <f>HYPERLINK("http://141.218.60.56/~jnz1568/getInfo.php?workbook=01_01.xlsx&amp;sheet=A0&amp;row=33&amp;col=13&amp;number=&amp;sourceID=15","")</f>
        <v/>
      </c>
      <c r="N33" s="4" t="str">
        <f>HYPERLINK("http://141.218.60.56/~jnz1568/getInfo.php?workbook=01_01.xlsx&amp;sheet=A0&amp;row=33&amp;col=14&amp;number==&amp;sourceID=11","=")</f>
        <v>=</v>
      </c>
      <c r="O33" s="4" t="str">
        <f>HYPERLINK("http://141.218.60.56/~jnz1568/getInfo.php?workbook=01_01.xlsx&amp;sheet=A0&amp;row=33&amp;col=15&amp;number=&amp;sourceID=11","")</f>
        <v/>
      </c>
      <c r="P33" s="4" t="str">
        <f>HYPERLINK("http://141.218.60.56/~jnz1568/getInfo.php?workbook=01_01.xlsx&amp;sheet=A0&amp;row=33&amp;col=16&amp;number=&amp;sourceID=11","")</f>
        <v/>
      </c>
      <c r="Q33" s="4" t="str">
        <f>HYPERLINK("http://141.218.60.56/~jnz1568/getInfo.php?workbook=01_01.xlsx&amp;sheet=A0&amp;row=33&amp;col=17&amp;number=0&amp;sourceID=11","0")</f>
        <v>0</v>
      </c>
      <c r="R33" s="4" t="str">
        <f>HYPERLINK("http://141.218.60.56/~jnz1568/getInfo.php?workbook=01_01.xlsx&amp;sheet=A0&amp;row=33&amp;col=18&amp;number=&amp;sourceID=11","")</f>
        <v/>
      </c>
      <c r="S33" s="4" t="str">
        <f>HYPERLINK("http://141.218.60.56/~jnz1568/getInfo.php?workbook=01_01.xlsx&amp;sheet=A0&amp;row=33&amp;col=19&amp;number=0&amp;sourceID=11","0")</f>
        <v>0</v>
      </c>
      <c r="T33" s="4" t="str">
        <f>HYPERLINK("http://141.218.60.56/~jnz1568/getInfo.php?workbook=01_01.xlsx&amp;sheet=A0&amp;row=33&amp;col=20&amp;number=&amp;sourceID=11","")</f>
        <v/>
      </c>
      <c r="U33" s="4" t="str">
        <f>HYPERLINK("http://141.218.60.56/~jnz1568/getInfo.php?workbook=01_01.xlsx&amp;sheet=A0&amp;row=33&amp;col=21&amp;number=0&amp;sourceID=12","0")</f>
        <v>0</v>
      </c>
      <c r="V33" s="4" t="str">
        <f>HYPERLINK("http://141.218.60.56/~jnz1568/getInfo.php?workbook=01_01.xlsx&amp;sheet=A0&amp;row=33&amp;col=22&amp;number=&amp;sourceID=12","")</f>
        <v/>
      </c>
      <c r="W33" s="4" t="str">
        <f>HYPERLINK("http://141.218.60.56/~jnz1568/getInfo.php?workbook=01_01.xlsx&amp;sheet=A0&amp;row=33&amp;col=23&amp;number=&amp;sourceID=12","")</f>
        <v/>
      </c>
      <c r="X33" s="4" t="str">
        <f>HYPERLINK("http://141.218.60.56/~jnz1568/getInfo.php?workbook=01_01.xlsx&amp;sheet=A0&amp;row=33&amp;col=24&amp;number=0&amp;sourceID=12","0")</f>
        <v>0</v>
      </c>
      <c r="Y33" s="4" t="str">
        <f>HYPERLINK("http://141.218.60.56/~jnz1568/getInfo.php?workbook=01_01.xlsx&amp;sheet=A0&amp;row=33&amp;col=25&amp;number=&amp;sourceID=12","")</f>
        <v/>
      </c>
      <c r="Z33" s="4" t="str">
        <f>HYPERLINK("http://141.218.60.56/~jnz1568/getInfo.php?workbook=01_01.xlsx&amp;sheet=A0&amp;row=33&amp;col=26&amp;number=0&amp;sourceID=12","0")</f>
        <v>0</v>
      </c>
      <c r="AA33" s="4" t="str">
        <f>HYPERLINK("http://141.218.60.56/~jnz1568/getInfo.php?workbook=01_01.xlsx&amp;sheet=A0&amp;row=33&amp;col=27&amp;number=&amp;sourceID=12","")</f>
        <v/>
      </c>
      <c r="AB33" s="4" t="str">
        <f>HYPERLINK("http://141.218.60.56/~jnz1568/getInfo.php?workbook=01_01.xlsx&amp;sheet=A0&amp;row=33&amp;col=28&amp;number=&amp;sourceID=18","")</f>
        <v/>
      </c>
      <c r="AC33" s="4" t="str">
        <f>HYPERLINK("http://141.218.60.56/~jnz1568/getInfo.php?workbook=01_01.xlsx&amp;sheet=A0&amp;row=33&amp;col=29&amp;number=&amp;sourceID=18","")</f>
        <v/>
      </c>
      <c r="AD33" s="4" t="str">
        <f>HYPERLINK("http://141.218.60.56/~jnz1568/getInfo.php?workbook=01_01.xlsx&amp;sheet=A0&amp;row=33&amp;col=30&amp;number=&amp;sourceID=18","")</f>
        <v/>
      </c>
      <c r="AE33" s="4" t="str">
        <f>HYPERLINK("http://141.218.60.56/~jnz1568/getInfo.php?workbook=01_01.xlsx&amp;sheet=A0&amp;row=33&amp;col=31&amp;number=&amp;sourceID=18","")</f>
        <v/>
      </c>
      <c r="AF33" s="4" t="str">
        <f>HYPERLINK("http://141.218.60.56/~jnz1568/getInfo.php?workbook=01_01.xlsx&amp;sheet=A0&amp;row=33&amp;col=32&amp;number=&amp;sourceID=18","")</f>
        <v/>
      </c>
      <c r="AG33" s="4" t="str">
        <f>HYPERLINK("http://141.218.60.56/~jnz1568/getInfo.php?workbook=01_01.xlsx&amp;sheet=A0&amp;row=33&amp;col=33&amp;number=&amp;sourceID=18","")</f>
        <v/>
      </c>
      <c r="AH33" s="4" t="str">
        <f>HYPERLINK("http://141.218.60.56/~jnz1568/getInfo.php?workbook=01_01.xlsx&amp;sheet=A0&amp;row=33&amp;col=34&amp;number=&amp;sourceID=20","")</f>
        <v/>
      </c>
    </row>
    <row r="34" spans="1:34">
      <c r="A34" s="3">
        <v>1</v>
      </c>
      <c r="B34" s="3">
        <v>1</v>
      </c>
      <c r="C34" s="3">
        <v>9</v>
      </c>
      <c r="D34" s="3">
        <v>6</v>
      </c>
      <c r="E34" s="3">
        <f>((1/(INDEX(E0!J$4:J$28,C34,1)-INDEX(E0!J$4:J$28,D34,1))))*100000000</f>
        <v>0</v>
      </c>
      <c r="F34" s="4" t="str">
        <f>HYPERLINK("http://141.218.60.56/~jnz1568/getInfo.php?workbook=01_01.xlsx&amp;sheet=A0&amp;row=34&amp;col=6&amp;number=&amp;sourceID=18","")</f>
        <v/>
      </c>
      <c r="G34" s="4" t="str">
        <f>HYPERLINK("http://141.218.60.56/~jnz1568/getInfo.php?workbook=01_01.xlsx&amp;sheet=A0&amp;row=34&amp;col=7&amp;number=&amp;sourceID=15","")</f>
        <v/>
      </c>
      <c r="H34" s="4" t="str">
        <f>HYPERLINK("http://141.218.60.56/~jnz1568/getInfo.php?workbook=01_01.xlsx&amp;sheet=A0&amp;row=34&amp;col=8&amp;number=&amp;sourceID=15","")</f>
        <v/>
      </c>
      <c r="I34" s="4" t="str">
        <f>HYPERLINK("http://141.218.60.56/~jnz1568/getInfo.php?workbook=01_01.xlsx&amp;sheet=A0&amp;row=34&amp;col=9&amp;number=&amp;sourceID=15","")</f>
        <v/>
      </c>
      <c r="J34" s="4" t="str">
        <f>HYPERLINK("http://141.218.60.56/~jnz1568/getInfo.php?workbook=01_01.xlsx&amp;sheet=A0&amp;row=34&amp;col=10&amp;number=&amp;sourceID=15","")</f>
        <v/>
      </c>
      <c r="K34" s="4" t="str">
        <f>HYPERLINK("http://141.218.60.56/~jnz1568/getInfo.php?workbook=01_01.xlsx&amp;sheet=A0&amp;row=34&amp;col=11&amp;number=&amp;sourceID=15","")</f>
        <v/>
      </c>
      <c r="L34" s="4" t="str">
        <f>HYPERLINK("http://141.218.60.56/~jnz1568/getInfo.php?workbook=01_01.xlsx&amp;sheet=A0&amp;row=34&amp;col=12&amp;number=&amp;sourceID=15","")</f>
        <v/>
      </c>
      <c r="M34" s="4" t="str">
        <f>HYPERLINK("http://141.218.60.56/~jnz1568/getInfo.php?workbook=01_01.xlsx&amp;sheet=A0&amp;row=34&amp;col=13&amp;number=&amp;sourceID=15","")</f>
        <v/>
      </c>
      <c r="N34" s="4" t="str">
        <f>HYPERLINK("http://141.218.60.56/~jnz1568/getInfo.php?workbook=01_01.xlsx&amp;sheet=A0&amp;row=34&amp;col=14&amp;number==&amp;sourceID=11","=")</f>
        <v>=</v>
      </c>
      <c r="O34" s="4" t="str">
        <f>HYPERLINK("http://141.218.60.56/~jnz1568/getInfo.php?workbook=01_01.xlsx&amp;sheet=A0&amp;row=34&amp;col=15&amp;number=&amp;sourceID=11","")</f>
        <v/>
      </c>
      <c r="P34" s="4" t="str">
        <f>HYPERLINK("http://141.218.60.56/~jnz1568/getInfo.php?workbook=01_01.xlsx&amp;sheet=A0&amp;row=34&amp;col=16&amp;number=0&amp;sourceID=11","0")</f>
        <v>0</v>
      </c>
      <c r="Q34" s="4" t="str">
        <f>HYPERLINK("http://141.218.60.56/~jnz1568/getInfo.php?workbook=01_01.xlsx&amp;sheet=A0&amp;row=34&amp;col=17&amp;number=&amp;sourceID=11","")</f>
        <v/>
      </c>
      <c r="R34" s="4" t="str">
        <f>HYPERLINK("http://141.218.60.56/~jnz1568/getInfo.php?workbook=01_01.xlsx&amp;sheet=A0&amp;row=34&amp;col=18&amp;number=&amp;sourceID=11","")</f>
        <v/>
      </c>
      <c r="S34" s="4" t="str">
        <f>HYPERLINK("http://141.218.60.56/~jnz1568/getInfo.php?workbook=01_01.xlsx&amp;sheet=A0&amp;row=34&amp;col=19&amp;number=&amp;sourceID=11","")</f>
        <v/>
      </c>
      <c r="T34" s="4" t="str">
        <f>HYPERLINK("http://141.218.60.56/~jnz1568/getInfo.php?workbook=01_01.xlsx&amp;sheet=A0&amp;row=34&amp;col=20&amp;number=0&amp;sourceID=11","0")</f>
        <v>0</v>
      </c>
      <c r="U34" s="4" t="str">
        <f>HYPERLINK("http://141.218.60.56/~jnz1568/getInfo.php?workbook=01_01.xlsx&amp;sheet=A0&amp;row=34&amp;col=21&amp;number=0&amp;sourceID=12","0")</f>
        <v>0</v>
      </c>
      <c r="V34" s="4" t="str">
        <f>HYPERLINK("http://141.218.60.56/~jnz1568/getInfo.php?workbook=01_01.xlsx&amp;sheet=A0&amp;row=34&amp;col=22&amp;number=&amp;sourceID=12","")</f>
        <v/>
      </c>
      <c r="W34" s="4" t="str">
        <f>HYPERLINK("http://141.218.60.56/~jnz1568/getInfo.php?workbook=01_01.xlsx&amp;sheet=A0&amp;row=34&amp;col=23&amp;number=0&amp;sourceID=12","0")</f>
        <v>0</v>
      </c>
      <c r="X34" s="4" t="str">
        <f>HYPERLINK("http://141.218.60.56/~jnz1568/getInfo.php?workbook=01_01.xlsx&amp;sheet=A0&amp;row=34&amp;col=24&amp;number=&amp;sourceID=12","")</f>
        <v/>
      </c>
      <c r="Y34" s="4" t="str">
        <f>HYPERLINK("http://141.218.60.56/~jnz1568/getInfo.php?workbook=01_01.xlsx&amp;sheet=A0&amp;row=34&amp;col=25&amp;number=&amp;sourceID=12","")</f>
        <v/>
      </c>
      <c r="Z34" s="4" t="str">
        <f>HYPERLINK("http://141.218.60.56/~jnz1568/getInfo.php?workbook=01_01.xlsx&amp;sheet=A0&amp;row=34&amp;col=26&amp;number=&amp;sourceID=12","")</f>
        <v/>
      </c>
      <c r="AA34" s="4" t="str">
        <f>HYPERLINK("http://141.218.60.56/~jnz1568/getInfo.php?workbook=01_01.xlsx&amp;sheet=A0&amp;row=34&amp;col=27&amp;number=0&amp;sourceID=12","0")</f>
        <v>0</v>
      </c>
      <c r="AB34" s="4" t="str">
        <f>HYPERLINK("http://141.218.60.56/~jnz1568/getInfo.php?workbook=01_01.xlsx&amp;sheet=A0&amp;row=34&amp;col=28&amp;number=&amp;sourceID=18","")</f>
        <v/>
      </c>
      <c r="AC34" s="4" t="str">
        <f>HYPERLINK("http://141.218.60.56/~jnz1568/getInfo.php?workbook=01_01.xlsx&amp;sheet=A0&amp;row=34&amp;col=29&amp;number=&amp;sourceID=18","")</f>
        <v/>
      </c>
      <c r="AD34" s="4" t="str">
        <f>HYPERLINK("http://141.218.60.56/~jnz1568/getInfo.php?workbook=01_01.xlsx&amp;sheet=A0&amp;row=34&amp;col=30&amp;number=&amp;sourceID=18","")</f>
        <v/>
      </c>
      <c r="AE34" s="4" t="str">
        <f>HYPERLINK("http://141.218.60.56/~jnz1568/getInfo.php?workbook=01_01.xlsx&amp;sheet=A0&amp;row=34&amp;col=31&amp;number=&amp;sourceID=18","")</f>
        <v/>
      </c>
      <c r="AF34" s="4" t="str">
        <f>HYPERLINK("http://141.218.60.56/~jnz1568/getInfo.php?workbook=01_01.xlsx&amp;sheet=A0&amp;row=34&amp;col=32&amp;number=&amp;sourceID=18","")</f>
        <v/>
      </c>
      <c r="AG34" s="4" t="str">
        <f>HYPERLINK("http://141.218.60.56/~jnz1568/getInfo.php?workbook=01_01.xlsx&amp;sheet=A0&amp;row=34&amp;col=33&amp;number=&amp;sourceID=18","")</f>
        <v/>
      </c>
      <c r="AH34" s="4" t="str">
        <f>HYPERLINK("http://141.218.60.56/~jnz1568/getInfo.php?workbook=01_01.xlsx&amp;sheet=A0&amp;row=34&amp;col=34&amp;number=&amp;sourceID=20","")</f>
        <v/>
      </c>
    </row>
    <row r="35" spans="1:34">
      <c r="A35" s="3">
        <v>1</v>
      </c>
      <c r="B35" s="3">
        <v>1</v>
      </c>
      <c r="C35" s="3">
        <v>9</v>
      </c>
      <c r="D35" s="3">
        <v>7</v>
      </c>
      <c r="E35" s="3">
        <f>((1/(INDEX(E0!J$4:J$28,C35,1)-INDEX(E0!J$4:J$28,D35,1))))*100000000</f>
        <v>0</v>
      </c>
      <c r="F35" s="4" t="str">
        <f>HYPERLINK("http://141.218.60.56/~jnz1568/getInfo.php?workbook=01_01.xlsx&amp;sheet=A0&amp;row=35&amp;col=6&amp;number=&amp;sourceID=18","")</f>
        <v/>
      </c>
      <c r="G35" s="4" t="str">
        <f>HYPERLINK("http://141.218.60.56/~jnz1568/getInfo.php?workbook=01_01.xlsx&amp;sheet=A0&amp;row=35&amp;col=7&amp;number=&amp;sourceID=15","")</f>
        <v/>
      </c>
      <c r="H35" s="4" t="str">
        <f>HYPERLINK("http://141.218.60.56/~jnz1568/getInfo.php?workbook=01_01.xlsx&amp;sheet=A0&amp;row=35&amp;col=8&amp;number=&amp;sourceID=15","")</f>
        <v/>
      </c>
      <c r="I35" s="4" t="str">
        <f>HYPERLINK("http://141.218.60.56/~jnz1568/getInfo.php?workbook=01_01.xlsx&amp;sheet=A0&amp;row=35&amp;col=9&amp;number=&amp;sourceID=15","")</f>
        <v/>
      </c>
      <c r="J35" s="4" t="str">
        <f>HYPERLINK("http://141.218.60.56/~jnz1568/getInfo.php?workbook=01_01.xlsx&amp;sheet=A0&amp;row=35&amp;col=10&amp;number=&amp;sourceID=15","")</f>
        <v/>
      </c>
      <c r="K35" s="4" t="str">
        <f>HYPERLINK("http://141.218.60.56/~jnz1568/getInfo.php?workbook=01_01.xlsx&amp;sheet=A0&amp;row=35&amp;col=11&amp;number=&amp;sourceID=15","")</f>
        <v/>
      </c>
      <c r="L35" s="4" t="str">
        <f>HYPERLINK("http://141.218.60.56/~jnz1568/getInfo.php?workbook=01_01.xlsx&amp;sheet=A0&amp;row=35&amp;col=12&amp;number=&amp;sourceID=15","")</f>
        <v/>
      </c>
      <c r="M35" s="4" t="str">
        <f>HYPERLINK("http://141.218.60.56/~jnz1568/getInfo.php?workbook=01_01.xlsx&amp;sheet=A0&amp;row=35&amp;col=13&amp;number=&amp;sourceID=15","")</f>
        <v/>
      </c>
      <c r="N35" s="4" t="str">
        <f>HYPERLINK("http://141.218.60.56/~jnz1568/getInfo.php?workbook=01_01.xlsx&amp;sheet=A0&amp;row=35&amp;col=14&amp;number==&amp;sourceID=11","=")</f>
        <v>=</v>
      </c>
      <c r="O35" s="4" t="str">
        <f>HYPERLINK("http://141.218.60.56/~jnz1568/getInfo.php?workbook=01_01.xlsx&amp;sheet=A0&amp;row=35&amp;col=15&amp;number=&amp;sourceID=11","")</f>
        <v/>
      </c>
      <c r="P35" s="4" t="str">
        <f>HYPERLINK("http://141.218.60.56/~jnz1568/getInfo.php?workbook=01_01.xlsx&amp;sheet=A0&amp;row=35&amp;col=16&amp;number=0&amp;sourceID=11","0")</f>
        <v>0</v>
      </c>
      <c r="Q35" s="4" t="str">
        <f>HYPERLINK("http://141.218.60.56/~jnz1568/getInfo.php?workbook=01_01.xlsx&amp;sheet=A0&amp;row=35&amp;col=17&amp;number=&amp;sourceID=11","")</f>
        <v/>
      </c>
      <c r="R35" s="4" t="str">
        <f>HYPERLINK("http://141.218.60.56/~jnz1568/getInfo.php?workbook=01_01.xlsx&amp;sheet=A0&amp;row=35&amp;col=18&amp;number=1e-15&amp;sourceID=11","1e-15")</f>
        <v>1e-15</v>
      </c>
      <c r="S35" s="4" t="str">
        <f>HYPERLINK("http://141.218.60.56/~jnz1568/getInfo.php?workbook=01_01.xlsx&amp;sheet=A0&amp;row=35&amp;col=19&amp;number=&amp;sourceID=11","")</f>
        <v/>
      </c>
      <c r="T35" s="4" t="str">
        <f>HYPERLINK("http://141.218.60.56/~jnz1568/getInfo.php?workbook=01_01.xlsx&amp;sheet=A0&amp;row=35&amp;col=20&amp;number=0&amp;sourceID=11","0")</f>
        <v>0</v>
      </c>
      <c r="U35" s="4" t="str">
        <f>HYPERLINK("http://141.218.60.56/~jnz1568/getInfo.php?workbook=01_01.xlsx&amp;sheet=A0&amp;row=35&amp;col=21&amp;number=1e-15&amp;sourceID=12","1e-15")</f>
        <v>1e-15</v>
      </c>
      <c r="V35" s="4" t="str">
        <f>HYPERLINK("http://141.218.60.56/~jnz1568/getInfo.php?workbook=01_01.xlsx&amp;sheet=A0&amp;row=35&amp;col=22&amp;number=&amp;sourceID=12","")</f>
        <v/>
      </c>
      <c r="W35" s="4" t="str">
        <f>HYPERLINK("http://141.218.60.56/~jnz1568/getInfo.php?workbook=01_01.xlsx&amp;sheet=A0&amp;row=35&amp;col=23&amp;number=0&amp;sourceID=12","0")</f>
        <v>0</v>
      </c>
      <c r="X35" s="4" t="str">
        <f>HYPERLINK("http://141.218.60.56/~jnz1568/getInfo.php?workbook=01_01.xlsx&amp;sheet=A0&amp;row=35&amp;col=24&amp;number=&amp;sourceID=12","")</f>
        <v/>
      </c>
      <c r="Y35" s="4" t="str">
        <f>HYPERLINK("http://141.218.60.56/~jnz1568/getInfo.php?workbook=01_01.xlsx&amp;sheet=A0&amp;row=35&amp;col=25&amp;number=1e-15&amp;sourceID=12","1e-15")</f>
        <v>1e-15</v>
      </c>
      <c r="Z35" s="4" t="str">
        <f>HYPERLINK("http://141.218.60.56/~jnz1568/getInfo.php?workbook=01_01.xlsx&amp;sheet=A0&amp;row=35&amp;col=26&amp;number=&amp;sourceID=12","")</f>
        <v/>
      </c>
      <c r="AA35" s="4" t="str">
        <f>HYPERLINK("http://141.218.60.56/~jnz1568/getInfo.php?workbook=01_01.xlsx&amp;sheet=A0&amp;row=35&amp;col=27&amp;number=0&amp;sourceID=12","0")</f>
        <v>0</v>
      </c>
      <c r="AB35" s="4" t="str">
        <f>HYPERLINK("http://141.218.60.56/~jnz1568/getInfo.php?workbook=01_01.xlsx&amp;sheet=A0&amp;row=35&amp;col=28&amp;number=&amp;sourceID=18","")</f>
        <v/>
      </c>
      <c r="AC35" s="4" t="str">
        <f>HYPERLINK("http://141.218.60.56/~jnz1568/getInfo.php?workbook=01_01.xlsx&amp;sheet=A0&amp;row=35&amp;col=29&amp;number=&amp;sourceID=18","")</f>
        <v/>
      </c>
      <c r="AD35" s="4" t="str">
        <f>HYPERLINK("http://141.218.60.56/~jnz1568/getInfo.php?workbook=01_01.xlsx&amp;sheet=A0&amp;row=35&amp;col=30&amp;number=&amp;sourceID=18","")</f>
        <v/>
      </c>
      <c r="AE35" s="4" t="str">
        <f>HYPERLINK("http://141.218.60.56/~jnz1568/getInfo.php?workbook=01_01.xlsx&amp;sheet=A0&amp;row=35&amp;col=31&amp;number=&amp;sourceID=18","")</f>
        <v/>
      </c>
      <c r="AF35" s="4" t="str">
        <f>HYPERLINK("http://141.218.60.56/~jnz1568/getInfo.php?workbook=01_01.xlsx&amp;sheet=A0&amp;row=35&amp;col=32&amp;number=&amp;sourceID=18","")</f>
        <v/>
      </c>
      <c r="AG35" s="4" t="str">
        <f>HYPERLINK("http://141.218.60.56/~jnz1568/getInfo.php?workbook=01_01.xlsx&amp;sheet=A0&amp;row=35&amp;col=33&amp;number=&amp;sourceID=18","")</f>
        <v/>
      </c>
      <c r="AH35" s="4" t="str">
        <f>HYPERLINK("http://141.218.60.56/~jnz1568/getInfo.php?workbook=01_01.xlsx&amp;sheet=A0&amp;row=35&amp;col=34&amp;number=&amp;sourceID=20","")</f>
        <v/>
      </c>
    </row>
    <row r="36" spans="1:34">
      <c r="A36" s="3">
        <v>1</v>
      </c>
      <c r="B36" s="3">
        <v>1</v>
      </c>
      <c r="C36" s="3">
        <v>9</v>
      </c>
      <c r="D36" s="3">
        <v>8</v>
      </c>
      <c r="E36" s="3">
        <f>((1/(INDEX(E0!J$4:J$28,C36,1)-INDEX(E0!J$4:J$28,D36,1))))*100000000</f>
        <v>0</v>
      </c>
      <c r="F36" s="4" t="str">
        <f>HYPERLINK("http://141.218.60.56/~jnz1568/getInfo.php?workbook=01_01.xlsx&amp;sheet=A0&amp;row=36&amp;col=6&amp;number=&amp;sourceID=18","")</f>
        <v/>
      </c>
      <c r="G36" s="4" t="str">
        <f>HYPERLINK("http://141.218.60.56/~jnz1568/getInfo.php?workbook=01_01.xlsx&amp;sheet=A0&amp;row=36&amp;col=7&amp;number=&amp;sourceID=15","")</f>
        <v/>
      </c>
      <c r="H36" s="4" t="str">
        <f>HYPERLINK("http://141.218.60.56/~jnz1568/getInfo.php?workbook=01_01.xlsx&amp;sheet=A0&amp;row=36&amp;col=8&amp;number=&amp;sourceID=15","")</f>
        <v/>
      </c>
      <c r="I36" s="4" t="str">
        <f>HYPERLINK("http://141.218.60.56/~jnz1568/getInfo.php?workbook=01_01.xlsx&amp;sheet=A0&amp;row=36&amp;col=9&amp;number=&amp;sourceID=15","")</f>
        <v/>
      </c>
      <c r="J36" s="4" t="str">
        <f>HYPERLINK("http://141.218.60.56/~jnz1568/getInfo.php?workbook=01_01.xlsx&amp;sheet=A0&amp;row=36&amp;col=10&amp;number=&amp;sourceID=15","")</f>
        <v/>
      </c>
      <c r="K36" s="4" t="str">
        <f>HYPERLINK("http://141.218.60.56/~jnz1568/getInfo.php?workbook=01_01.xlsx&amp;sheet=A0&amp;row=36&amp;col=11&amp;number=&amp;sourceID=15","")</f>
        <v/>
      </c>
      <c r="L36" s="4" t="str">
        <f>HYPERLINK("http://141.218.60.56/~jnz1568/getInfo.php?workbook=01_01.xlsx&amp;sheet=A0&amp;row=36&amp;col=12&amp;number=&amp;sourceID=15","")</f>
        <v/>
      </c>
      <c r="M36" s="4" t="str">
        <f>HYPERLINK("http://141.218.60.56/~jnz1568/getInfo.php?workbook=01_01.xlsx&amp;sheet=A0&amp;row=36&amp;col=13&amp;number=&amp;sourceID=15","")</f>
        <v/>
      </c>
      <c r="N36" s="4" t="str">
        <f>HYPERLINK("http://141.218.60.56/~jnz1568/getInfo.php?workbook=01_01.xlsx&amp;sheet=A0&amp;row=36&amp;col=14&amp;number==&amp;sourceID=11","=")</f>
        <v>=</v>
      </c>
      <c r="O36" s="4" t="str">
        <f>HYPERLINK("http://141.218.60.56/~jnz1568/getInfo.php?workbook=01_01.xlsx&amp;sheet=A0&amp;row=36&amp;col=15&amp;number=3.8495e-09&amp;sourceID=11","3.8495e-09")</f>
        <v>3.8495e-09</v>
      </c>
      <c r="P36" s="4" t="str">
        <f>HYPERLINK("http://141.218.60.56/~jnz1568/getInfo.php?workbook=01_01.xlsx&amp;sheet=A0&amp;row=36&amp;col=16&amp;number=&amp;sourceID=11","")</f>
        <v/>
      </c>
      <c r="Q36" s="4" t="str">
        <f>HYPERLINK("http://141.218.60.56/~jnz1568/getInfo.php?workbook=01_01.xlsx&amp;sheet=A0&amp;row=36&amp;col=17&amp;number=0&amp;sourceID=11","0")</f>
        <v>0</v>
      </c>
      <c r="R36" s="4" t="str">
        <f>HYPERLINK("http://141.218.60.56/~jnz1568/getInfo.php?workbook=01_01.xlsx&amp;sheet=A0&amp;row=36&amp;col=18&amp;number=&amp;sourceID=11","")</f>
        <v/>
      </c>
      <c r="S36" s="4" t="str">
        <f>HYPERLINK("http://141.218.60.56/~jnz1568/getInfo.php?workbook=01_01.xlsx&amp;sheet=A0&amp;row=36&amp;col=19&amp;number=0&amp;sourceID=11","0")</f>
        <v>0</v>
      </c>
      <c r="T36" s="4" t="str">
        <f>HYPERLINK("http://141.218.60.56/~jnz1568/getInfo.php?workbook=01_01.xlsx&amp;sheet=A0&amp;row=36&amp;col=20&amp;number=&amp;sourceID=11","")</f>
        <v/>
      </c>
      <c r="U36" s="4" t="str">
        <f>HYPERLINK("http://141.218.60.56/~jnz1568/getInfo.php?workbook=01_01.xlsx&amp;sheet=A0&amp;row=36&amp;col=21&amp;number=3.8522e-09&amp;sourceID=12","3.8522e-09")</f>
        <v>3.8522e-09</v>
      </c>
      <c r="V36" s="4" t="str">
        <f>HYPERLINK("http://141.218.60.56/~jnz1568/getInfo.php?workbook=01_01.xlsx&amp;sheet=A0&amp;row=36&amp;col=22&amp;number=3.8522e-09&amp;sourceID=12","3.8522e-09")</f>
        <v>3.8522e-09</v>
      </c>
      <c r="W36" s="4" t="str">
        <f>HYPERLINK("http://141.218.60.56/~jnz1568/getInfo.php?workbook=01_01.xlsx&amp;sheet=A0&amp;row=36&amp;col=23&amp;number=&amp;sourceID=12","")</f>
        <v/>
      </c>
      <c r="X36" s="4" t="str">
        <f>HYPERLINK("http://141.218.60.56/~jnz1568/getInfo.php?workbook=01_01.xlsx&amp;sheet=A0&amp;row=36&amp;col=24&amp;number=0&amp;sourceID=12","0")</f>
        <v>0</v>
      </c>
      <c r="Y36" s="4" t="str">
        <f>HYPERLINK("http://141.218.60.56/~jnz1568/getInfo.php?workbook=01_01.xlsx&amp;sheet=A0&amp;row=36&amp;col=25&amp;number=&amp;sourceID=12","")</f>
        <v/>
      </c>
      <c r="Z36" s="4" t="str">
        <f>HYPERLINK("http://141.218.60.56/~jnz1568/getInfo.php?workbook=01_01.xlsx&amp;sheet=A0&amp;row=36&amp;col=26&amp;number=0&amp;sourceID=12","0")</f>
        <v>0</v>
      </c>
      <c r="AA36" s="4" t="str">
        <f>HYPERLINK("http://141.218.60.56/~jnz1568/getInfo.php?workbook=01_01.xlsx&amp;sheet=A0&amp;row=36&amp;col=27&amp;number=&amp;sourceID=12","")</f>
        <v/>
      </c>
      <c r="AB36" s="4" t="str">
        <f>HYPERLINK("http://141.218.60.56/~jnz1568/getInfo.php?workbook=01_01.xlsx&amp;sheet=A0&amp;row=36&amp;col=28&amp;number=&amp;sourceID=18","")</f>
        <v/>
      </c>
      <c r="AC36" s="4" t="str">
        <f>HYPERLINK("http://141.218.60.56/~jnz1568/getInfo.php?workbook=01_01.xlsx&amp;sheet=A0&amp;row=36&amp;col=29&amp;number=&amp;sourceID=18","")</f>
        <v/>
      </c>
      <c r="AD36" s="4" t="str">
        <f>HYPERLINK("http://141.218.60.56/~jnz1568/getInfo.php?workbook=01_01.xlsx&amp;sheet=A0&amp;row=36&amp;col=30&amp;number=&amp;sourceID=18","")</f>
        <v/>
      </c>
      <c r="AE36" s="4" t="str">
        <f>HYPERLINK("http://141.218.60.56/~jnz1568/getInfo.php?workbook=01_01.xlsx&amp;sheet=A0&amp;row=36&amp;col=31&amp;number=&amp;sourceID=18","")</f>
        <v/>
      </c>
      <c r="AF36" s="4" t="str">
        <f>HYPERLINK("http://141.218.60.56/~jnz1568/getInfo.php?workbook=01_01.xlsx&amp;sheet=A0&amp;row=36&amp;col=32&amp;number=&amp;sourceID=18","")</f>
        <v/>
      </c>
      <c r="AG36" s="4" t="str">
        <f>HYPERLINK("http://141.218.60.56/~jnz1568/getInfo.php?workbook=01_01.xlsx&amp;sheet=A0&amp;row=36&amp;col=33&amp;number=&amp;sourceID=18","")</f>
        <v/>
      </c>
      <c r="AH36" s="4" t="str">
        <f>HYPERLINK("http://141.218.60.56/~jnz1568/getInfo.php?workbook=01_01.xlsx&amp;sheet=A0&amp;row=36&amp;col=34&amp;number=&amp;sourceID=20","")</f>
        <v/>
      </c>
    </row>
    <row r="37" spans="1:34">
      <c r="A37" s="3">
        <v>1</v>
      </c>
      <c r="B37" s="3">
        <v>1</v>
      </c>
      <c r="C37" s="3">
        <v>10</v>
      </c>
      <c r="D37" s="3">
        <v>1</v>
      </c>
      <c r="E37" s="3">
        <f>((1/(INDEX(E0!J$4:J$28,C37,1)-INDEX(E0!J$4:J$28,D37,1))))*100000000</f>
        <v>0</v>
      </c>
      <c r="F37" s="4" t="str">
        <f>HYPERLINK("http://141.218.60.56/~jnz1568/getInfo.php?workbook=01_01.xlsx&amp;sheet=A0&amp;row=37&amp;col=6&amp;number=&amp;sourceID=18","")</f>
        <v/>
      </c>
      <c r="G37" s="4" t="str">
        <f>HYPERLINK("http://141.218.60.56/~jnz1568/getInfo.php?workbook=01_01.xlsx&amp;sheet=A0&amp;row=37&amp;col=7&amp;number=68186000&amp;sourceID=15","68186000")</f>
        <v>68186000</v>
      </c>
      <c r="H37" s="4" t="str">
        <f>HYPERLINK("http://141.218.60.56/~jnz1568/getInfo.php?workbook=01_01.xlsx&amp;sheet=A0&amp;row=37&amp;col=8&amp;number=68186000&amp;sourceID=15","68186000")</f>
        <v>68186000</v>
      </c>
      <c r="I37" s="4" t="str">
        <f>HYPERLINK("http://141.218.60.56/~jnz1568/getInfo.php?workbook=01_01.xlsx&amp;sheet=A0&amp;row=37&amp;col=9&amp;number=&amp;sourceID=15","")</f>
        <v/>
      </c>
      <c r="J37" s="4" t="str">
        <f>HYPERLINK("http://141.218.60.56/~jnz1568/getInfo.php?workbook=01_01.xlsx&amp;sheet=A0&amp;row=37&amp;col=10&amp;number=&amp;sourceID=15","")</f>
        <v/>
      </c>
      <c r="K37" s="4" t="str">
        <f>HYPERLINK("http://141.218.60.56/~jnz1568/getInfo.php?workbook=01_01.xlsx&amp;sheet=A0&amp;row=37&amp;col=11&amp;number=&amp;sourceID=15","")</f>
        <v/>
      </c>
      <c r="L37" s="4" t="str">
        <f>HYPERLINK("http://141.218.60.56/~jnz1568/getInfo.php?workbook=01_01.xlsx&amp;sheet=A0&amp;row=37&amp;col=12&amp;number=&amp;sourceID=15","")</f>
        <v/>
      </c>
      <c r="M37" s="4" t="str">
        <f>HYPERLINK("http://141.218.60.56/~jnz1568/getInfo.php?workbook=01_01.xlsx&amp;sheet=A0&amp;row=37&amp;col=13&amp;number=&amp;sourceID=15","")</f>
        <v/>
      </c>
      <c r="N37" s="4" t="str">
        <f>HYPERLINK("http://141.218.60.56/~jnz1568/getInfo.php?workbook=01_01.xlsx&amp;sheet=A0&amp;row=37&amp;col=14&amp;number==&amp;sourceID=11","=")</f>
        <v>=</v>
      </c>
      <c r="O37" s="4" t="str">
        <f>HYPERLINK("http://141.218.60.56/~jnz1568/getInfo.php?workbook=01_01.xlsx&amp;sheet=A0&amp;row=37&amp;col=15&amp;number=68186000&amp;sourceID=11","68186000")</f>
        <v>68186000</v>
      </c>
      <c r="P37" s="4" t="str">
        <f>HYPERLINK("http://141.218.60.56/~jnz1568/getInfo.php?workbook=01_01.xlsx&amp;sheet=A0&amp;row=37&amp;col=16&amp;number=&amp;sourceID=11","")</f>
        <v/>
      </c>
      <c r="Q37" s="4" t="str">
        <f>HYPERLINK("http://141.218.60.56/~jnz1568/getInfo.php?workbook=01_01.xlsx&amp;sheet=A0&amp;row=37&amp;col=17&amp;number=&amp;sourceID=11","")</f>
        <v/>
      </c>
      <c r="R37" s="4" t="str">
        <f>HYPERLINK("http://141.218.60.56/~jnz1568/getInfo.php?workbook=01_01.xlsx&amp;sheet=A0&amp;row=37&amp;col=18&amp;number=&amp;sourceID=11","")</f>
        <v/>
      </c>
      <c r="S37" s="4" t="str">
        <f>HYPERLINK("http://141.218.60.56/~jnz1568/getInfo.php?workbook=01_01.xlsx&amp;sheet=A0&amp;row=37&amp;col=19&amp;number=&amp;sourceID=11","")</f>
        <v/>
      </c>
      <c r="T37" s="4" t="str">
        <f>HYPERLINK("http://141.218.60.56/~jnz1568/getInfo.php?workbook=01_01.xlsx&amp;sheet=A0&amp;row=37&amp;col=20&amp;number=&amp;sourceID=11","")</f>
        <v/>
      </c>
      <c r="U37" s="4" t="str">
        <f>HYPERLINK("http://141.218.60.56/~jnz1568/getInfo.php?workbook=01_01.xlsx&amp;sheet=A0&amp;row=37&amp;col=21&amp;number=68223000&amp;sourceID=12","68223000")</f>
        <v>68223000</v>
      </c>
      <c r="V37" s="4" t="str">
        <f>HYPERLINK("http://141.218.60.56/~jnz1568/getInfo.php?workbook=01_01.xlsx&amp;sheet=A0&amp;row=37&amp;col=22&amp;number=68223000&amp;sourceID=12","68223000")</f>
        <v>68223000</v>
      </c>
      <c r="W37" s="4" t="str">
        <f>HYPERLINK("http://141.218.60.56/~jnz1568/getInfo.php?workbook=01_01.xlsx&amp;sheet=A0&amp;row=37&amp;col=23&amp;number=&amp;sourceID=12","")</f>
        <v/>
      </c>
      <c r="X37" s="4" t="str">
        <f>HYPERLINK("http://141.218.60.56/~jnz1568/getInfo.php?workbook=01_01.xlsx&amp;sheet=A0&amp;row=37&amp;col=24&amp;number=&amp;sourceID=12","")</f>
        <v/>
      </c>
      <c r="Y37" s="4" t="str">
        <f>HYPERLINK("http://141.218.60.56/~jnz1568/getInfo.php?workbook=01_01.xlsx&amp;sheet=A0&amp;row=37&amp;col=25&amp;number=&amp;sourceID=12","")</f>
        <v/>
      </c>
      <c r="Z37" s="4" t="str">
        <f>HYPERLINK("http://141.218.60.56/~jnz1568/getInfo.php?workbook=01_01.xlsx&amp;sheet=A0&amp;row=37&amp;col=26&amp;number=&amp;sourceID=12","")</f>
        <v/>
      </c>
      <c r="AA37" s="4" t="str">
        <f>HYPERLINK("http://141.218.60.56/~jnz1568/getInfo.php?workbook=01_01.xlsx&amp;sheet=A0&amp;row=37&amp;col=27&amp;number=&amp;sourceID=12","")</f>
        <v/>
      </c>
      <c r="AB37" s="4" t="str">
        <f>HYPERLINK("http://141.218.60.56/~jnz1568/getInfo.php?workbook=01_01.xlsx&amp;sheet=A0&amp;row=37&amp;col=28&amp;number==SUM(AC37:AG37)&amp;sourceID=18","=SUM(AC37:AG37)")</f>
        <v>=SUM(AC37:AG37)</v>
      </c>
      <c r="AC37" s="4" t="str">
        <f>HYPERLINK("http://141.218.60.56/~jnz1568/getInfo.php?workbook=01_01.xlsx&amp;sheet=A0&amp;row=37&amp;col=29&amp;number=68200000&amp;sourceID=18","68200000")</f>
        <v>68200000</v>
      </c>
      <c r="AD37" s="4" t="str">
        <f>HYPERLINK("http://141.218.60.56/~jnz1568/getInfo.php?workbook=01_01.xlsx&amp;sheet=A0&amp;row=37&amp;col=30&amp;number=&amp;sourceID=18","")</f>
        <v/>
      </c>
      <c r="AE37" s="4" t="str">
        <f>HYPERLINK("http://141.218.60.56/~jnz1568/getInfo.php?workbook=01_01.xlsx&amp;sheet=A0&amp;row=37&amp;col=31&amp;number=&amp;sourceID=18","")</f>
        <v/>
      </c>
      <c r="AF37" s="4" t="str">
        <f>HYPERLINK("http://141.218.60.56/~jnz1568/getInfo.php?workbook=01_01.xlsx&amp;sheet=A0&amp;row=37&amp;col=32&amp;number=&amp;sourceID=18","")</f>
        <v/>
      </c>
      <c r="AG37" s="4" t="str">
        <f>HYPERLINK("http://141.218.60.56/~jnz1568/getInfo.php?workbook=01_01.xlsx&amp;sheet=A0&amp;row=37&amp;col=33&amp;number=&amp;sourceID=18","")</f>
        <v/>
      </c>
      <c r="AH37" s="4" t="str">
        <f>HYPERLINK("http://141.218.60.56/~jnz1568/getInfo.php?workbook=01_01.xlsx&amp;sheet=A0&amp;row=37&amp;col=34&amp;number=68186000&amp;sourceID=20","68186000")</f>
        <v>68186000</v>
      </c>
    </row>
    <row r="38" spans="1:34">
      <c r="A38" s="3">
        <v>1</v>
      </c>
      <c r="B38" s="3">
        <v>1</v>
      </c>
      <c r="C38" s="3">
        <v>10</v>
      </c>
      <c r="D38" s="3">
        <v>2</v>
      </c>
      <c r="E38" s="3">
        <f>((1/(INDEX(E0!J$4:J$28,C38,1)-INDEX(E0!J$4:J$28,D38,1))))*100000000</f>
        <v>0</v>
      </c>
      <c r="F38" s="4" t="str">
        <f>HYPERLINK("http://141.218.60.56/~jnz1568/getInfo.php?workbook=01_01.xlsx&amp;sheet=A0&amp;row=38&amp;col=6&amp;number=&amp;sourceID=18","")</f>
        <v/>
      </c>
      <c r="G38" s="4" t="str">
        <f>HYPERLINK("http://141.218.60.56/~jnz1568/getInfo.php?workbook=01_01.xlsx&amp;sheet=A0&amp;row=38&amp;col=7&amp;number=&amp;sourceID=15","")</f>
        <v/>
      </c>
      <c r="H38" s="4" t="str">
        <f>HYPERLINK("http://141.218.60.56/~jnz1568/getInfo.php?workbook=01_01.xlsx&amp;sheet=A0&amp;row=38&amp;col=8&amp;number=&amp;sourceID=15","")</f>
        <v/>
      </c>
      <c r="I38" s="4" t="str">
        <f>HYPERLINK("http://141.218.60.56/~jnz1568/getInfo.php?workbook=01_01.xlsx&amp;sheet=A0&amp;row=38&amp;col=9&amp;number=&amp;sourceID=15","")</f>
        <v/>
      </c>
      <c r="J38" s="4" t="str">
        <f>HYPERLINK("http://141.218.60.56/~jnz1568/getInfo.php?workbook=01_01.xlsx&amp;sheet=A0&amp;row=38&amp;col=10&amp;number=&amp;sourceID=15","")</f>
        <v/>
      </c>
      <c r="K38" s="4" t="str">
        <f>HYPERLINK("http://141.218.60.56/~jnz1568/getInfo.php?workbook=01_01.xlsx&amp;sheet=A0&amp;row=38&amp;col=11&amp;number=&amp;sourceID=15","")</f>
        <v/>
      </c>
      <c r="L38" s="4" t="str">
        <f>HYPERLINK("http://141.218.60.56/~jnz1568/getInfo.php?workbook=01_01.xlsx&amp;sheet=A0&amp;row=38&amp;col=12&amp;number=&amp;sourceID=15","")</f>
        <v/>
      </c>
      <c r="M38" s="4" t="str">
        <f>HYPERLINK("http://141.218.60.56/~jnz1568/getInfo.php?workbook=01_01.xlsx&amp;sheet=A0&amp;row=38&amp;col=13&amp;number=&amp;sourceID=15","")</f>
        <v/>
      </c>
      <c r="N38" s="4" t="str">
        <f>HYPERLINK("http://141.218.60.56/~jnz1568/getInfo.php?workbook=01_01.xlsx&amp;sheet=A0&amp;row=38&amp;col=14&amp;number==&amp;sourceID=11","=")</f>
        <v>=</v>
      </c>
      <c r="O38" s="4" t="str">
        <f>HYPERLINK("http://141.218.60.56/~jnz1568/getInfo.php?workbook=01_01.xlsx&amp;sheet=A0&amp;row=38&amp;col=15&amp;number=&amp;sourceID=11","")</f>
        <v/>
      </c>
      <c r="P38" s="4" t="str">
        <f>HYPERLINK("http://141.218.60.56/~jnz1568/getInfo.php?workbook=01_01.xlsx&amp;sheet=A0&amp;row=38&amp;col=16&amp;number=&amp;sourceID=11","")</f>
        <v/>
      </c>
      <c r="Q38" s="4" t="str">
        <f>HYPERLINK("http://141.218.60.56/~jnz1568/getInfo.php?workbook=01_01.xlsx&amp;sheet=A0&amp;row=38&amp;col=17&amp;number=&amp;sourceID=11","")</f>
        <v/>
      </c>
      <c r="R38" s="4" t="str">
        <f>HYPERLINK("http://141.218.60.56/~jnz1568/getInfo.php?workbook=01_01.xlsx&amp;sheet=A0&amp;row=38&amp;col=18&amp;number=3.8528e-10&amp;sourceID=11","3.8528e-10")</f>
        <v>3.8528e-10</v>
      </c>
      <c r="S38" s="4" t="str">
        <f>HYPERLINK("http://141.218.60.56/~jnz1568/getInfo.php?workbook=01_01.xlsx&amp;sheet=A0&amp;row=38&amp;col=19&amp;number=&amp;sourceID=11","")</f>
        <v/>
      </c>
      <c r="T38" s="4" t="str">
        <f>HYPERLINK("http://141.218.60.56/~jnz1568/getInfo.php?workbook=01_01.xlsx&amp;sheet=A0&amp;row=38&amp;col=20&amp;number=&amp;sourceID=11","")</f>
        <v/>
      </c>
      <c r="U38" s="4" t="str">
        <f>HYPERLINK("http://141.218.60.56/~jnz1568/getInfo.php?workbook=01_01.xlsx&amp;sheet=A0&amp;row=38&amp;col=21&amp;number=3.8144e-10&amp;sourceID=12","3.8144e-10")</f>
        <v>3.8144e-10</v>
      </c>
      <c r="V38" s="4" t="str">
        <f>HYPERLINK("http://141.218.60.56/~jnz1568/getInfo.php?workbook=01_01.xlsx&amp;sheet=A0&amp;row=38&amp;col=22&amp;number=&amp;sourceID=12","")</f>
        <v/>
      </c>
      <c r="W38" s="4" t="str">
        <f>HYPERLINK("http://141.218.60.56/~jnz1568/getInfo.php?workbook=01_01.xlsx&amp;sheet=A0&amp;row=38&amp;col=23&amp;number=&amp;sourceID=12","")</f>
        <v/>
      </c>
      <c r="X38" s="4" t="str">
        <f>HYPERLINK("http://141.218.60.56/~jnz1568/getInfo.php?workbook=01_01.xlsx&amp;sheet=A0&amp;row=38&amp;col=24&amp;number=&amp;sourceID=12","")</f>
        <v/>
      </c>
      <c r="Y38" s="4" t="str">
        <f>HYPERLINK("http://141.218.60.56/~jnz1568/getInfo.php?workbook=01_01.xlsx&amp;sheet=A0&amp;row=38&amp;col=25&amp;number=3.8144e-10&amp;sourceID=12","3.8144e-10")</f>
        <v>3.8144e-10</v>
      </c>
      <c r="Z38" s="4" t="str">
        <f>HYPERLINK("http://141.218.60.56/~jnz1568/getInfo.php?workbook=01_01.xlsx&amp;sheet=A0&amp;row=38&amp;col=26&amp;number=&amp;sourceID=12","")</f>
        <v/>
      </c>
      <c r="AA38" s="4" t="str">
        <f>HYPERLINK("http://141.218.60.56/~jnz1568/getInfo.php?workbook=01_01.xlsx&amp;sheet=A0&amp;row=38&amp;col=27&amp;number=&amp;sourceID=12","")</f>
        <v/>
      </c>
      <c r="AB38" s="4" t="str">
        <f>HYPERLINK("http://141.218.60.56/~jnz1568/getInfo.php?workbook=01_01.xlsx&amp;sheet=A0&amp;row=38&amp;col=28&amp;number==&amp;sourceID=18","=")</f>
        <v>=</v>
      </c>
      <c r="AC38" s="4" t="str">
        <f>HYPERLINK("http://141.218.60.56/~jnz1568/getInfo.php?workbook=01_01.xlsx&amp;sheet=A0&amp;row=38&amp;col=29&amp;number=&amp;sourceID=18","")</f>
        <v/>
      </c>
      <c r="AD38" s="4" t="str">
        <f>HYPERLINK("http://141.218.60.56/~jnz1568/getInfo.php?workbook=01_01.xlsx&amp;sheet=A0&amp;row=38&amp;col=30&amp;number=&amp;sourceID=18","")</f>
        <v/>
      </c>
      <c r="AE38" s="4" t="str">
        <f>HYPERLINK("http://141.218.60.56/~jnz1568/getInfo.php?workbook=01_01.xlsx&amp;sheet=A0&amp;row=38&amp;col=31&amp;number=&amp;sourceID=18","")</f>
        <v/>
      </c>
      <c r="AF38" s="4" t="str">
        <f>HYPERLINK("http://141.218.60.56/~jnz1568/getInfo.php?workbook=01_01.xlsx&amp;sheet=A0&amp;row=38&amp;col=32&amp;number=3.85e-10&amp;sourceID=18","3.85e-10")</f>
        <v>3.85e-10</v>
      </c>
      <c r="AG38" s="4" t="str">
        <f>HYPERLINK("http://141.218.60.56/~jnz1568/getInfo.php?workbook=01_01.xlsx&amp;sheet=A0&amp;row=38&amp;col=33&amp;number=&amp;sourceID=18","")</f>
        <v/>
      </c>
      <c r="AH38" s="4" t="str">
        <f>HYPERLINK("http://141.218.60.56/~jnz1568/getInfo.php?workbook=01_01.xlsx&amp;sheet=A0&amp;row=38&amp;col=34&amp;number=&amp;sourceID=20","")</f>
        <v/>
      </c>
    </row>
    <row r="39" spans="1:34">
      <c r="A39" s="3">
        <v>1</v>
      </c>
      <c r="B39" s="3">
        <v>1</v>
      </c>
      <c r="C39" s="3">
        <v>10</v>
      </c>
      <c r="D39" s="3">
        <v>3</v>
      </c>
      <c r="E39" s="3">
        <f>((1/(INDEX(E0!J$4:J$28,C39,1)-INDEX(E0!J$4:J$28,D39,1))))*100000000</f>
        <v>0</v>
      </c>
      <c r="F39" s="4" t="str">
        <f>HYPERLINK("http://141.218.60.56/~jnz1568/getInfo.php?workbook=01_01.xlsx&amp;sheet=A0&amp;row=39&amp;col=6&amp;number=&amp;sourceID=18","")</f>
        <v/>
      </c>
      <c r="G39" s="4" t="str">
        <f>HYPERLINK("http://141.218.60.56/~jnz1568/getInfo.php?workbook=01_01.xlsx&amp;sheet=A0&amp;row=39&amp;col=7&amp;number=9668300&amp;sourceID=15","9668300")</f>
        <v>9668300</v>
      </c>
      <c r="H39" s="4" t="str">
        <f>HYPERLINK("http://141.218.60.56/~jnz1568/getInfo.php?workbook=01_01.xlsx&amp;sheet=A0&amp;row=39&amp;col=8&amp;number=9668300&amp;sourceID=15","9668300")</f>
        <v>9668300</v>
      </c>
      <c r="I39" s="4" t="str">
        <f>HYPERLINK("http://141.218.60.56/~jnz1568/getInfo.php?workbook=01_01.xlsx&amp;sheet=A0&amp;row=39&amp;col=9&amp;number=&amp;sourceID=15","")</f>
        <v/>
      </c>
      <c r="J39" s="4" t="str">
        <f>HYPERLINK("http://141.218.60.56/~jnz1568/getInfo.php?workbook=01_01.xlsx&amp;sheet=A0&amp;row=39&amp;col=10&amp;number=&amp;sourceID=15","")</f>
        <v/>
      </c>
      <c r="K39" s="4" t="str">
        <f>HYPERLINK("http://141.218.60.56/~jnz1568/getInfo.php?workbook=01_01.xlsx&amp;sheet=A0&amp;row=39&amp;col=11&amp;number=&amp;sourceID=15","")</f>
        <v/>
      </c>
      <c r="L39" s="4" t="str">
        <f>HYPERLINK("http://141.218.60.56/~jnz1568/getInfo.php?workbook=01_01.xlsx&amp;sheet=A0&amp;row=39&amp;col=12&amp;number=&amp;sourceID=15","")</f>
        <v/>
      </c>
      <c r="M39" s="4" t="str">
        <f>HYPERLINK("http://141.218.60.56/~jnz1568/getInfo.php?workbook=01_01.xlsx&amp;sheet=A0&amp;row=39&amp;col=13&amp;number=&amp;sourceID=15","")</f>
        <v/>
      </c>
      <c r="N39" s="4" t="str">
        <f>HYPERLINK("http://141.218.60.56/~jnz1568/getInfo.php?workbook=01_01.xlsx&amp;sheet=A0&amp;row=39&amp;col=14&amp;number==&amp;sourceID=11","=")</f>
        <v>=</v>
      </c>
      <c r="O39" s="4" t="str">
        <f>HYPERLINK("http://141.218.60.56/~jnz1568/getInfo.php?workbook=01_01.xlsx&amp;sheet=A0&amp;row=39&amp;col=15&amp;number=9668300&amp;sourceID=11","9668300")</f>
        <v>9668300</v>
      </c>
      <c r="P39" s="4" t="str">
        <f>HYPERLINK("http://141.218.60.56/~jnz1568/getInfo.php?workbook=01_01.xlsx&amp;sheet=A0&amp;row=39&amp;col=16&amp;number=&amp;sourceID=11","")</f>
        <v/>
      </c>
      <c r="Q39" s="4" t="str">
        <f>HYPERLINK("http://141.218.60.56/~jnz1568/getInfo.php?workbook=01_01.xlsx&amp;sheet=A0&amp;row=39&amp;col=17&amp;number=&amp;sourceID=11","")</f>
        <v/>
      </c>
      <c r="R39" s="4" t="str">
        <f>HYPERLINK("http://141.218.60.56/~jnz1568/getInfo.php?workbook=01_01.xlsx&amp;sheet=A0&amp;row=39&amp;col=18&amp;number=&amp;sourceID=11","")</f>
        <v/>
      </c>
      <c r="S39" s="4" t="str">
        <f>HYPERLINK("http://141.218.60.56/~jnz1568/getInfo.php?workbook=01_01.xlsx&amp;sheet=A0&amp;row=39&amp;col=19&amp;number=&amp;sourceID=11","")</f>
        <v/>
      </c>
      <c r="T39" s="4" t="str">
        <f>HYPERLINK("http://141.218.60.56/~jnz1568/getInfo.php?workbook=01_01.xlsx&amp;sheet=A0&amp;row=39&amp;col=20&amp;number=&amp;sourceID=11","")</f>
        <v/>
      </c>
      <c r="U39" s="4" t="str">
        <f>HYPERLINK("http://141.218.60.56/~jnz1568/getInfo.php?workbook=01_01.xlsx&amp;sheet=A0&amp;row=39&amp;col=21&amp;number=9673600&amp;sourceID=12","9673600")</f>
        <v>9673600</v>
      </c>
      <c r="V39" s="4" t="str">
        <f>HYPERLINK("http://141.218.60.56/~jnz1568/getInfo.php?workbook=01_01.xlsx&amp;sheet=A0&amp;row=39&amp;col=22&amp;number=9673600&amp;sourceID=12","9673600")</f>
        <v>9673600</v>
      </c>
      <c r="W39" s="4" t="str">
        <f>HYPERLINK("http://141.218.60.56/~jnz1568/getInfo.php?workbook=01_01.xlsx&amp;sheet=A0&amp;row=39&amp;col=23&amp;number=&amp;sourceID=12","")</f>
        <v/>
      </c>
      <c r="X39" s="4" t="str">
        <f>HYPERLINK("http://141.218.60.56/~jnz1568/getInfo.php?workbook=01_01.xlsx&amp;sheet=A0&amp;row=39&amp;col=24&amp;number=&amp;sourceID=12","")</f>
        <v/>
      </c>
      <c r="Y39" s="4" t="str">
        <f>HYPERLINK("http://141.218.60.56/~jnz1568/getInfo.php?workbook=01_01.xlsx&amp;sheet=A0&amp;row=39&amp;col=25&amp;number=&amp;sourceID=12","")</f>
        <v/>
      </c>
      <c r="Z39" s="4" t="str">
        <f>HYPERLINK("http://141.218.60.56/~jnz1568/getInfo.php?workbook=01_01.xlsx&amp;sheet=A0&amp;row=39&amp;col=26&amp;number=&amp;sourceID=12","")</f>
        <v/>
      </c>
      <c r="AA39" s="4" t="str">
        <f>HYPERLINK("http://141.218.60.56/~jnz1568/getInfo.php?workbook=01_01.xlsx&amp;sheet=A0&amp;row=39&amp;col=27&amp;number=&amp;sourceID=12","")</f>
        <v/>
      </c>
      <c r="AB39" s="4" t="str">
        <f>HYPERLINK("http://141.218.60.56/~jnz1568/getInfo.php?workbook=01_01.xlsx&amp;sheet=A0&amp;row=39&amp;col=28&amp;number==&amp;sourceID=18","=")</f>
        <v>=</v>
      </c>
      <c r="AC39" s="4" t="str">
        <f>HYPERLINK("http://141.218.60.56/~jnz1568/getInfo.php?workbook=01_01.xlsx&amp;sheet=A0&amp;row=39&amp;col=29&amp;number=9670000&amp;sourceID=18","9670000")</f>
        <v>9670000</v>
      </c>
      <c r="AD39" s="4" t="str">
        <f>HYPERLINK("http://141.218.60.56/~jnz1568/getInfo.php?workbook=01_01.xlsx&amp;sheet=A0&amp;row=39&amp;col=30&amp;number=&amp;sourceID=18","")</f>
        <v/>
      </c>
      <c r="AE39" s="4" t="str">
        <f>HYPERLINK("http://141.218.60.56/~jnz1568/getInfo.php?workbook=01_01.xlsx&amp;sheet=A0&amp;row=39&amp;col=31&amp;number=&amp;sourceID=18","")</f>
        <v/>
      </c>
      <c r="AF39" s="4" t="str">
        <f>HYPERLINK("http://141.218.60.56/~jnz1568/getInfo.php?workbook=01_01.xlsx&amp;sheet=A0&amp;row=39&amp;col=32&amp;number=&amp;sourceID=18","")</f>
        <v/>
      </c>
      <c r="AG39" s="4" t="str">
        <f>HYPERLINK("http://141.218.60.56/~jnz1568/getInfo.php?workbook=01_01.xlsx&amp;sheet=A0&amp;row=39&amp;col=33&amp;number=&amp;sourceID=18","")</f>
        <v/>
      </c>
      <c r="AH39" s="4" t="str">
        <f>HYPERLINK("http://141.218.60.56/~jnz1568/getInfo.php?workbook=01_01.xlsx&amp;sheet=A0&amp;row=39&amp;col=34&amp;number=&amp;sourceID=20","")</f>
        <v/>
      </c>
    </row>
    <row r="40" spans="1:34">
      <c r="A40" s="3">
        <v>1</v>
      </c>
      <c r="B40" s="3">
        <v>1</v>
      </c>
      <c r="C40" s="3">
        <v>10</v>
      </c>
      <c r="D40" s="3">
        <v>4</v>
      </c>
      <c r="E40" s="3">
        <f>((1/(INDEX(E0!J$4:J$28,C40,1)-INDEX(E0!J$4:J$28,D40,1))))*100000000</f>
        <v>0</v>
      </c>
      <c r="F40" s="4" t="str">
        <f>HYPERLINK("http://141.218.60.56/~jnz1568/getInfo.php?workbook=01_01.xlsx&amp;sheet=A0&amp;row=40&amp;col=6&amp;number=&amp;sourceID=18","")</f>
        <v/>
      </c>
      <c r="G40" s="4" t="str">
        <f>HYPERLINK("http://141.218.60.56/~jnz1568/getInfo.php?workbook=01_01.xlsx&amp;sheet=A0&amp;row=40&amp;col=7&amp;number=&amp;sourceID=15","")</f>
        <v/>
      </c>
      <c r="H40" s="4" t="str">
        <f>HYPERLINK("http://141.218.60.56/~jnz1568/getInfo.php?workbook=01_01.xlsx&amp;sheet=A0&amp;row=40&amp;col=8&amp;number=&amp;sourceID=15","")</f>
        <v/>
      </c>
      <c r="I40" s="4" t="str">
        <f>HYPERLINK("http://141.218.60.56/~jnz1568/getInfo.php?workbook=01_01.xlsx&amp;sheet=A0&amp;row=40&amp;col=9&amp;number=&amp;sourceID=15","")</f>
        <v/>
      </c>
      <c r="J40" s="4" t="str">
        <f>HYPERLINK("http://141.218.60.56/~jnz1568/getInfo.php?workbook=01_01.xlsx&amp;sheet=A0&amp;row=40&amp;col=10&amp;number=&amp;sourceID=15","")</f>
        <v/>
      </c>
      <c r="K40" s="4" t="str">
        <f>HYPERLINK("http://141.218.60.56/~jnz1568/getInfo.php?workbook=01_01.xlsx&amp;sheet=A0&amp;row=40&amp;col=11&amp;number=&amp;sourceID=15","")</f>
        <v/>
      </c>
      <c r="L40" s="4" t="str">
        <f>HYPERLINK("http://141.218.60.56/~jnz1568/getInfo.php?workbook=01_01.xlsx&amp;sheet=A0&amp;row=40&amp;col=12&amp;number=&amp;sourceID=15","")</f>
        <v/>
      </c>
      <c r="M40" s="4" t="str">
        <f>HYPERLINK("http://141.218.60.56/~jnz1568/getInfo.php?workbook=01_01.xlsx&amp;sheet=A0&amp;row=40&amp;col=13&amp;number=&amp;sourceID=15","")</f>
        <v/>
      </c>
      <c r="N40" s="4" t="str">
        <f>HYPERLINK("http://141.218.60.56/~jnz1568/getInfo.php?workbook=01_01.xlsx&amp;sheet=A0&amp;row=40&amp;col=14&amp;number==&amp;sourceID=11","=")</f>
        <v>=</v>
      </c>
      <c r="O40" s="4" t="str">
        <f>HYPERLINK("http://141.218.60.56/~jnz1568/getInfo.php?workbook=01_01.xlsx&amp;sheet=A0&amp;row=40&amp;col=15&amp;number=&amp;sourceID=11","")</f>
        <v/>
      </c>
      <c r="P40" s="4" t="str">
        <f>HYPERLINK("http://141.218.60.56/~jnz1568/getInfo.php?workbook=01_01.xlsx&amp;sheet=A0&amp;row=40&amp;col=16&amp;number=10.297&amp;sourceID=11","10.297")</f>
        <v>10.297</v>
      </c>
      <c r="Q40" s="4" t="str">
        <f>HYPERLINK("http://141.218.60.56/~jnz1568/getInfo.php?workbook=01_01.xlsx&amp;sheet=A0&amp;row=40&amp;col=17&amp;number=&amp;sourceID=11","")</f>
        <v/>
      </c>
      <c r="R40" s="4" t="str">
        <f>HYPERLINK("http://141.218.60.56/~jnz1568/getInfo.php?workbook=01_01.xlsx&amp;sheet=A0&amp;row=40&amp;col=18&amp;number=7.5163e-09&amp;sourceID=11","7.5163e-09")</f>
        <v>7.5163e-09</v>
      </c>
      <c r="S40" s="4" t="str">
        <f>HYPERLINK("http://141.218.60.56/~jnz1568/getInfo.php?workbook=01_01.xlsx&amp;sheet=A0&amp;row=40&amp;col=19&amp;number=&amp;sourceID=11","")</f>
        <v/>
      </c>
      <c r="T40" s="4" t="str">
        <f>HYPERLINK("http://141.218.60.56/~jnz1568/getInfo.php?workbook=01_01.xlsx&amp;sheet=A0&amp;row=40&amp;col=20&amp;number=&amp;sourceID=11","")</f>
        <v/>
      </c>
      <c r="U40" s="4" t="str">
        <f>HYPERLINK("http://141.218.60.56/~jnz1568/getInfo.php?workbook=01_01.xlsx&amp;sheet=A0&amp;row=40&amp;col=21&amp;number=10.302&amp;sourceID=12","10.302")</f>
        <v>10.302</v>
      </c>
      <c r="V40" s="4" t="str">
        <f>HYPERLINK("http://141.218.60.56/~jnz1568/getInfo.php?workbook=01_01.xlsx&amp;sheet=A0&amp;row=40&amp;col=22&amp;number=&amp;sourceID=12","")</f>
        <v/>
      </c>
      <c r="W40" s="4" t="str">
        <f>HYPERLINK("http://141.218.60.56/~jnz1568/getInfo.php?workbook=01_01.xlsx&amp;sheet=A0&amp;row=40&amp;col=23&amp;number=10.302&amp;sourceID=12","10.302")</f>
        <v>10.302</v>
      </c>
      <c r="X40" s="4" t="str">
        <f>HYPERLINK("http://141.218.60.56/~jnz1568/getInfo.php?workbook=01_01.xlsx&amp;sheet=A0&amp;row=40&amp;col=24&amp;number=&amp;sourceID=12","")</f>
        <v/>
      </c>
      <c r="Y40" s="4" t="str">
        <f>HYPERLINK("http://141.218.60.56/~jnz1568/getInfo.php?workbook=01_01.xlsx&amp;sheet=A0&amp;row=40&amp;col=25&amp;number=7.5361e-09&amp;sourceID=12","7.5361e-09")</f>
        <v>7.5361e-09</v>
      </c>
      <c r="Z40" s="4" t="str">
        <f>HYPERLINK("http://141.218.60.56/~jnz1568/getInfo.php?workbook=01_01.xlsx&amp;sheet=A0&amp;row=40&amp;col=26&amp;number=&amp;sourceID=12","")</f>
        <v/>
      </c>
      <c r="AA40" s="4" t="str">
        <f>HYPERLINK("http://141.218.60.56/~jnz1568/getInfo.php?workbook=01_01.xlsx&amp;sheet=A0&amp;row=40&amp;col=27&amp;number=&amp;sourceID=12","")</f>
        <v/>
      </c>
      <c r="AB40" s="4" t="str">
        <f>HYPERLINK("http://141.218.60.56/~jnz1568/getInfo.php?workbook=01_01.xlsx&amp;sheet=A0&amp;row=40&amp;col=28&amp;number==&amp;sourceID=18","=")</f>
        <v>=</v>
      </c>
      <c r="AC40" s="4" t="str">
        <f>HYPERLINK("http://141.218.60.56/~jnz1568/getInfo.php?workbook=01_01.xlsx&amp;sheet=A0&amp;row=40&amp;col=29&amp;number=&amp;sourceID=18","")</f>
        <v/>
      </c>
      <c r="AD40" s="4" t="str">
        <f>HYPERLINK("http://141.218.60.56/~jnz1568/getInfo.php?workbook=01_01.xlsx&amp;sheet=A0&amp;row=40&amp;col=30&amp;number=10.3&amp;sourceID=18","10.3")</f>
        <v>10.3</v>
      </c>
      <c r="AE40" s="4" t="str">
        <f>HYPERLINK("http://141.218.60.56/~jnz1568/getInfo.php?workbook=01_01.xlsx&amp;sheet=A0&amp;row=40&amp;col=31&amp;number=&amp;sourceID=18","")</f>
        <v/>
      </c>
      <c r="AF40" s="4" t="str">
        <f>HYPERLINK("http://141.218.60.56/~jnz1568/getInfo.php?workbook=01_01.xlsx&amp;sheet=A0&amp;row=40&amp;col=32&amp;number=8.45e-09&amp;sourceID=18","8.45e-09")</f>
        <v>8.45e-09</v>
      </c>
      <c r="AG40" s="4" t="str">
        <f>HYPERLINK("http://141.218.60.56/~jnz1568/getInfo.php?workbook=01_01.xlsx&amp;sheet=A0&amp;row=40&amp;col=33&amp;number=&amp;sourceID=18","")</f>
        <v/>
      </c>
      <c r="AH40" s="4" t="str">
        <f>HYPERLINK("http://141.218.60.56/~jnz1568/getInfo.php?workbook=01_01.xlsx&amp;sheet=A0&amp;row=40&amp;col=34&amp;number=&amp;sourceID=20","")</f>
        <v/>
      </c>
    </row>
    <row r="41" spans="1:34">
      <c r="A41" s="3">
        <v>1</v>
      </c>
      <c r="B41" s="3">
        <v>1</v>
      </c>
      <c r="C41" s="3">
        <v>10</v>
      </c>
      <c r="D41" s="3">
        <v>5</v>
      </c>
      <c r="E41" s="3">
        <f>((1/(INDEX(E0!J$4:J$28,C41,1)-INDEX(E0!J$4:J$28,D41,1))))*100000000</f>
        <v>0</v>
      </c>
      <c r="F41" s="4" t="str">
        <f>HYPERLINK("http://141.218.60.56/~jnz1568/getInfo.php?workbook=01_01.xlsx&amp;sheet=A0&amp;row=41&amp;col=6&amp;number=&amp;sourceID=18","")</f>
        <v/>
      </c>
      <c r="G41" s="4" t="str">
        <f>HYPERLINK("http://141.218.60.56/~jnz1568/getInfo.php?workbook=01_01.xlsx&amp;sheet=A0&amp;row=41&amp;col=7&amp;number=&amp;sourceID=15","")</f>
        <v/>
      </c>
      <c r="H41" s="4" t="str">
        <f>HYPERLINK("http://141.218.60.56/~jnz1568/getInfo.php?workbook=01_01.xlsx&amp;sheet=A0&amp;row=41&amp;col=8&amp;number=&amp;sourceID=15","")</f>
        <v/>
      </c>
      <c r="I41" s="4" t="str">
        <f>HYPERLINK("http://141.218.60.56/~jnz1568/getInfo.php?workbook=01_01.xlsx&amp;sheet=A0&amp;row=41&amp;col=9&amp;number=&amp;sourceID=15","")</f>
        <v/>
      </c>
      <c r="J41" s="4" t="str">
        <f>HYPERLINK("http://141.218.60.56/~jnz1568/getInfo.php?workbook=01_01.xlsx&amp;sheet=A0&amp;row=41&amp;col=10&amp;number=&amp;sourceID=15","")</f>
        <v/>
      </c>
      <c r="K41" s="4" t="str">
        <f>HYPERLINK("http://141.218.60.56/~jnz1568/getInfo.php?workbook=01_01.xlsx&amp;sheet=A0&amp;row=41&amp;col=11&amp;number=&amp;sourceID=15","")</f>
        <v/>
      </c>
      <c r="L41" s="4" t="str">
        <f>HYPERLINK("http://141.218.60.56/~jnz1568/getInfo.php?workbook=01_01.xlsx&amp;sheet=A0&amp;row=41&amp;col=12&amp;number=&amp;sourceID=15","")</f>
        <v/>
      </c>
      <c r="M41" s="4" t="str">
        <f>HYPERLINK("http://141.218.60.56/~jnz1568/getInfo.php?workbook=01_01.xlsx&amp;sheet=A0&amp;row=41&amp;col=13&amp;number=&amp;sourceID=15","")</f>
        <v/>
      </c>
      <c r="N41" s="4" t="str">
        <f>HYPERLINK("http://141.218.60.56/~jnz1568/getInfo.php?workbook=01_01.xlsx&amp;sheet=A0&amp;row=41&amp;col=14&amp;number==&amp;sourceID=11","=")</f>
        <v>=</v>
      </c>
      <c r="O41" s="4" t="str">
        <f>HYPERLINK("http://141.218.60.56/~jnz1568/getInfo.php?workbook=01_01.xlsx&amp;sheet=A0&amp;row=41&amp;col=15&amp;number=&amp;sourceID=11","")</f>
        <v/>
      </c>
      <c r="P41" s="4" t="str">
        <f>HYPERLINK("http://141.218.60.56/~jnz1568/getInfo.php?workbook=01_01.xlsx&amp;sheet=A0&amp;row=41&amp;col=16&amp;number=&amp;sourceID=11","")</f>
        <v/>
      </c>
      <c r="Q41" s="4" t="str">
        <f>HYPERLINK("http://141.218.60.56/~jnz1568/getInfo.php?workbook=01_01.xlsx&amp;sheet=A0&amp;row=41&amp;col=17&amp;number=&amp;sourceID=11","")</f>
        <v/>
      </c>
      <c r="R41" s="4" t="str">
        <f>HYPERLINK("http://141.218.60.56/~jnz1568/getInfo.php?workbook=01_01.xlsx&amp;sheet=A0&amp;row=41&amp;col=18&amp;number=6.407e-12&amp;sourceID=11","6.407e-12")</f>
        <v>6.407e-12</v>
      </c>
      <c r="S41" s="4" t="str">
        <f>HYPERLINK("http://141.218.60.56/~jnz1568/getInfo.php?workbook=01_01.xlsx&amp;sheet=A0&amp;row=41&amp;col=19&amp;number=&amp;sourceID=11","")</f>
        <v/>
      </c>
      <c r="T41" s="4" t="str">
        <f>HYPERLINK("http://141.218.60.56/~jnz1568/getInfo.php?workbook=01_01.xlsx&amp;sheet=A0&amp;row=41&amp;col=20&amp;number=&amp;sourceID=11","")</f>
        <v/>
      </c>
      <c r="U41" s="4" t="str">
        <f>HYPERLINK("http://141.218.60.56/~jnz1568/getInfo.php?workbook=01_01.xlsx&amp;sheet=A0&amp;row=41&amp;col=21&amp;number=6.411e-12&amp;sourceID=12","6.411e-12")</f>
        <v>6.411e-12</v>
      </c>
      <c r="V41" s="4" t="str">
        <f>HYPERLINK("http://141.218.60.56/~jnz1568/getInfo.php?workbook=01_01.xlsx&amp;sheet=A0&amp;row=41&amp;col=22&amp;number=&amp;sourceID=12","")</f>
        <v/>
      </c>
      <c r="W41" s="4" t="str">
        <f>HYPERLINK("http://141.218.60.56/~jnz1568/getInfo.php?workbook=01_01.xlsx&amp;sheet=A0&amp;row=41&amp;col=23&amp;number=&amp;sourceID=12","")</f>
        <v/>
      </c>
      <c r="X41" s="4" t="str">
        <f>HYPERLINK("http://141.218.60.56/~jnz1568/getInfo.php?workbook=01_01.xlsx&amp;sheet=A0&amp;row=41&amp;col=24&amp;number=&amp;sourceID=12","")</f>
        <v/>
      </c>
      <c r="Y41" s="4" t="str">
        <f>HYPERLINK("http://141.218.60.56/~jnz1568/getInfo.php?workbook=01_01.xlsx&amp;sheet=A0&amp;row=41&amp;col=25&amp;number=6.411e-12&amp;sourceID=12","6.411e-12")</f>
        <v>6.411e-12</v>
      </c>
      <c r="Z41" s="4" t="str">
        <f>HYPERLINK("http://141.218.60.56/~jnz1568/getInfo.php?workbook=01_01.xlsx&amp;sheet=A0&amp;row=41&amp;col=26&amp;number=&amp;sourceID=12","")</f>
        <v/>
      </c>
      <c r="AA41" s="4" t="str">
        <f>HYPERLINK("http://141.218.60.56/~jnz1568/getInfo.php?workbook=01_01.xlsx&amp;sheet=A0&amp;row=41&amp;col=27&amp;number=&amp;sourceID=12","")</f>
        <v/>
      </c>
      <c r="AB41" s="4" t="str">
        <f>HYPERLINK("http://141.218.60.56/~jnz1568/getInfo.php?workbook=01_01.xlsx&amp;sheet=A0&amp;row=41&amp;col=28&amp;number==&amp;sourceID=18","=")</f>
        <v>=</v>
      </c>
      <c r="AC41" s="4" t="str">
        <f>HYPERLINK("http://141.218.60.56/~jnz1568/getInfo.php?workbook=01_01.xlsx&amp;sheet=A0&amp;row=41&amp;col=29&amp;number=&amp;sourceID=18","")</f>
        <v/>
      </c>
      <c r="AD41" s="4" t="str">
        <f>HYPERLINK("http://141.218.60.56/~jnz1568/getInfo.php?workbook=01_01.xlsx&amp;sheet=A0&amp;row=41&amp;col=30&amp;number=&amp;sourceID=18","")</f>
        <v/>
      </c>
      <c r="AE41" s="4" t="str">
        <f>HYPERLINK("http://141.218.60.56/~jnz1568/getInfo.php?workbook=01_01.xlsx&amp;sheet=A0&amp;row=41&amp;col=31&amp;number=&amp;sourceID=18","")</f>
        <v/>
      </c>
      <c r="AF41" s="4" t="str">
        <f>HYPERLINK("http://141.218.60.56/~jnz1568/getInfo.php?workbook=01_01.xlsx&amp;sheet=A0&amp;row=41&amp;col=32&amp;number=6.41e-12&amp;sourceID=18","6.41e-12")</f>
        <v>6.41e-12</v>
      </c>
      <c r="AG41" s="4" t="str">
        <f>HYPERLINK("http://141.218.60.56/~jnz1568/getInfo.php?workbook=01_01.xlsx&amp;sheet=A0&amp;row=41&amp;col=33&amp;number=&amp;sourceID=18","")</f>
        <v/>
      </c>
      <c r="AH41" s="4" t="str">
        <f>HYPERLINK("http://141.218.60.56/~jnz1568/getInfo.php?workbook=01_01.xlsx&amp;sheet=A0&amp;row=41&amp;col=34&amp;number=&amp;sourceID=20","")</f>
        <v/>
      </c>
    </row>
    <row r="42" spans="1:34">
      <c r="A42" s="3">
        <v>1</v>
      </c>
      <c r="B42" s="3">
        <v>1</v>
      </c>
      <c r="C42" s="3">
        <v>10</v>
      </c>
      <c r="D42" s="3">
        <v>6</v>
      </c>
      <c r="E42" s="3">
        <f>((1/(INDEX(E0!J$4:J$28,C42,1)-INDEX(E0!J$4:J$28,D42,1))))*100000000</f>
        <v>0</v>
      </c>
      <c r="F42" s="4" t="str">
        <f>HYPERLINK("http://141.218.60.56/~jnz1568/getInfo.php?workbook=01_01.xlsx&amp;sheet=A0&amp;row=42&amp;col=6&amp;number=&amp;sourceID=18","")</f>
        <v/>
      </c>
      <c r="G42" s="4" t="str">
        <f>HYPERLINK("http://141.218.60.56/~jnz1568/getInfo.php?workbook=01_01.xlsx&amp;sheet=A0&amp;row=42&amp;col=7&amp;number=3065200&amp;sourceID=15","3065200")</f>
        <v>3065200</v>
      </c>
      <c r="H42" s="4" t="str">
        <f>HYPERLINK("http://141.218.60.56/~jnz1568/getInfo.php?workbook=01_01.xlsx&amp;sheet=A0&amp;row=42&amp;col=8&amp;number=3065200&amp;sourceID=15","3065200")</f>
        <v>3065200</v>
      </c>
      <c r="I42" s="4" t="str">
        <f>HYPERLINK("http://141.218.60.56/~jnz1568/getInfo.php?workbook=01_01.xlsx&amp;sheet=A0&amp;row=42&amp;col=9&amp;number=&amp;sourceID=15","")</f>
        <v/>
      </c>
      <c r="J42" s="4" t="str">
        <f>HYPERLINK("http://141.218.60.56/~jnz1568/getInfo.php?workbook=01_01.xlsx&amp;sheet=A0&amp;row=42&amp;col=10&amp;number=&amp;sourceID=15","")</f>
        <v/>
      </c>
      <c r="K42" s="4" t="str">
        <f>HYPERLINK("http://141.218.60.56/~jnz1568/getInfo.php?workbook=01_01.xlsx&amp;sheet=A0&amp;row=42&amp;col=11&amp;number=&amp;sourceID=15","")</f>
        <v/>
      </c>
      <c r="L42" s="4" t="str">
        <f>HYPERLINK("http://141.218.60.56/~jnz1568/getInfo.php?workbook=01_01.xlsx&amp;sheet=A0&amp;row=42&amp;col=12&amp;number=&amp;sourceID=15","")</f>
        <v/>
      </c>
      <c r="M42" s="4" t="str">
        <f>HYPERLINK("http://141.218.60.56/~jnz1568/getInfo.php?workbook=01_01.xlsx&amp;sheet=A0&amp;row=42&amp;col=13&amp;number=&amp;sourceID=15","")</f>
        <v/>
      </c>
      <c r="N42" s="4" t="str">
        <f>HYPERLINK("http://141.218.60.56/~jnz1568/getInfo.php?workbook=01_01.xlsx&amp;sheet=A0&amp;row=42&amp;col=14&amp;number==&amp;sourceID=11","=")</f>
        <v>=</v>
      </c>
      <c r="O42" s="4" t="str">
        <f>HYPERLINK("http://141.218.60.56/~jnz1568/getInfo.php?workbook=01_01.xlsx&amp;sheet=A0&amp;row=42&amp;col=15&amp;number=3065200&amp;sourceID=11","3065200")</f>
        <v>3065200</v>
      </c>
      <c r="P42" s="4" t="str">
        <f>HYPERLINK("http://141.218.60.56/~jnz1568/getInfo.php?workbook=01_01.xlsx&amp;sheet=A0&amp;row=42&amp;col=16&amp;number=&amp;sourceID=11","")</f>
        <v/>
      </c>
      <c r="Q42" s="4" t="str">
        <f>HYPERLINK("http://141.218.60.56/~jnz1568/getInfo.php?workbook=01_01.xlsx&amp;sheet=A0&amp;row=42&amp;col=17&amp;number=&amp;sourceID=11","")</f>
        <v/>
      </c>
      <c r="R42" s="4" t="str">
        <f>HYPERLINK("http://141.218.60.56/~jnz1568/getInfo.php?workbook=01_01.xlsx&amp;sheet=A0&amp;row=42&amp;col=18&amp;number=&amp;sourceID=11","")</f>
        <v/>
      </c>
      <c r="S42" s="4" t="str">
        <f>HYPERLINK("http://141.218.60.56/~jnz1568/getInfo.php?workbook=01_01.xlsx&amp;sheet=A0&amp;row=42&amp;col=19&amp;number=&amp;sourceID=11","")</f>
        <v/>
      </c>
      <c r="T42" s="4" t="str">
        <f>HYPERLINK("http://141.218.60.56/~jnz1568/getInfo.php?workbook=01_01.xlsx&amp;sheet=A0&amp;row=42&amp;col=20&amp;number=&amp;sourceID=11","")</f>
        <v/>
      </c>
      <c r="U42" s="4" t="str">
        <f>HYPERLINK("http://141.218.60.56/~jnz1568/getInfo.php?workbook=01_01.xlsx&amp;sheet=A0&amp;row=42&amp;col=21&amp;number=3066900&amp;sourceID=12","3066900")</f>
        <v>3066900</v>
      </c>
      <c r="V42" s="4" t="str">
        <f>HYPERLINK("http://141.218.60.56/~jnz1568/getInfo.php?workbook=01_01.xlsx&amp;sheet=A0&amp;row=42&amp;col=22&amp;number=3066900&amp;sourceID=12","3066900")</f>
        <v>3066900</v>
      </c>
      <c r="W42" s="4" t="str">
        <f>HYPERLINK("http://141.218.60.56/~jnz1568/getInfo.php?workbook=01_01.xlsx&amp;sheet=A0&amp;row=42&amp;col=23&amp;number=&amp;sourceID=12","")</f>
        <v/>
      </c>
      <c r="X42" s="4" t="str">
        <f>HYPERLINK("http://141.218.60.56/~jnz1568/getInfo.php?workbook=01_01.xlsx&amp;sheet=A0&amp;row=42&amp;col=24&amp;number=&amp;sourceID=12","")</f>
        <v/>
      </c>
      <c r="Y42" s="4" t="str">
        <f>HYPERLINK("http://141.218.60.56/~jnz1568/getInfo.php?workbook=01_01.xlsx&amp;sheet=A0&amp;row=42&amp;col=25&amp;number=&amp;sourceID=12","")</f>
        <v/>
      </c>
      <c r="Z42" s="4" t="str">
        <f>HYPERLINK("http://141.218.60.56/~jnz1568/getInfo.php?workbook=01_01.xlsx&amp;sheet=A0&amp;row=42&amp;col=26&amp;number=&amp;sourceID=12","")</f>
        <v/>
      </c>
      <c r="AA42" s="4" t="str">
        <f>HYPERLINK("http://141.218.60.56/~jnz1568/getInfo.php?workbook=01_01.xlsx&amp;sheet=A0&amp;row=42&amp;col=27&amp;number=&amp;sourceID=12","")</f>
        <v/>
      </c>
      <c r="AB42" s="4" t="str">
        <f>HYPERLINK("http://141.218.60.56/~jnz1568/getInfo.php?workbook=01_01.xlsx&amp;sheet=A0&amp;row=42&amp;col=28&amp;number==&amp;sourceID=18","=")</f>
        <v>=</v>
      </c>
      <c r="AC42" s="4" t="str">
        <f>HYPERLINK("http://141.218.60.56/~jnz1568/getInfo.php?workbook=01_01.xlsx&amp;sheet=A0&amp;row=42&amp;col=29&amp;number=3060000&amp;sourceID=18","3060000")</f>
        <v>3060000</v>
      </c>
      <c r="AD42" s="4" t="str">
        <f>HYPERLINK("http://141.218.60.56/~jnz1568/getInfo.php?workbook=01_01.xlsx&amp;sheet=A0&amp;row=42&amp;col=30&amp;number=&amp;sourceID=18","")</f>
        <v/>
      </c>
      <c r="AE42" s="4" t="str">
        <f>HYPERLINK("http://141.218.60.56/~jnz1568/getInfo.php?workbook=01_01.xlsx&amp;sheet=A0&amp;row=42&amp;col=31&amp;number=&amp;sourceID=18","")</f>
        <v/>
      </c>
      <c r="AF42" s="4" t="str">
        <f>HYPERLINK("http://141.218.60.56/~jnz1568/getInfo.php?workbook=01_01.xlsx&amp;sheet=A0&amp;row=42&amp;col=32&amp;number=&amp;sourceID=18","")</f>
        <v/>
      </c>
      <c r="AG42" s="4" t="str">
        <f>HYPERLINK("http://141.218.60.56/~jnz1568/getInfo.php?workbook=01_01.xlsx&amp;sheet=A0&amp;row=42&amp;col=33&amp;number=&amp;sourceID=18","")</f>
        <v/>
      </c>
      <c r="AH42" s="4" t="str">
        <f>HYPERLINK("http://141.218.60.56/~jnz1568/getInfo.php?workbook=01_01.xlsx&amp;sheet=A0&amp;row=42&amp;col=34&amp;number=&amp;sourceID=20","")</f>
        <v/>
      </c>
    </row>
    <row r="43" spans="1:34">
      <c r="A43" s="3">
        <v>1</v>
      </c>
      <c r="B43" s="3">
        <v>1</v>
      </c>
      <c r="C43" s="3">
        <v>10</v>
      </c>
      <c r="D43" s="3">
        <v>7</v>
      </c>
      <c r="E43" s="3">
        <f>((1/(INDEX(E0!J$4:J$28,C43,1)-INDEX(E0!J$4:J$28,D43,1))))*100000000</f>
        <v>0</v>
      </c>
      <c r="F43" s="4" t="str">
        <f>HYPERLINK("http://141.218.60.56/~jnz1568/getInfo.php?workbook=01_01.xlsx&amp;sheet=A0&amp;row=43&amp;col=6&amp;number=&amp;sourceID=18","")</f>
        <v/>
      </c>
      <c r="G43" s="4" t="str">
        <f>HYPERLINK("http://141.218.60.56/~jnz1568/getInfo.php?workbook=01_01.xlsx&amp;sheet=A0&amp;row=43&amp;col=7&amp;number=347590&amp;sourceID=15","347590")</f>
        <v>347590</v>
      </c>
      <c r="H43" s="4" t="str">
        <f>HYPERLINK("http://141.218.60.56/~jnz1568/getInfo.php?workbook=01_01.xlsx&amp;sheet=A0&amp;row=43&amp;col=8&amp;number=347590&amp;sourceID=15","347590")</f>
        <v>347590</v>
      </c>
      <c r="I43" s="4" t="str">
        <f>HYPERLINK("http://141.218.60.56/~jnz1568/getInfo.php?workbook=01_01.xlsx&amp;sheet=A0&amp;row=43&amp;col=9&amp;number=&amp;sourceID=15","")</f>
        <v/>
      </c>
      <c r="J43" s="4" t="str">
        <f>HYPERLINK("http://141.218.60.56/~jnz1568/getInfo.php?workbook=01_01.xlsx&amp;sheet=A0&amp;row=43&amp;col=10&amp;number=&amp;sourceID=15","")</f>
        <v/>
      </c>
      <c r="K43" s="4" t="str">
        <f>HYPERLINK("http://141.218.60.56/~jnz1568/getInfo.php?workbook=01_01.xlsx&amp;sheet=A0&amp;row=43&amp;col=11&amp;number=&amp;sourceID=15","")</f>
        <v/>
      </c>
      <c r="L43" s="4" t="str">
        <f>HYPERLINK("http://141.218.60.56/~jnz1568/getInfo.php?workbook=01_01.xlsx&amp;sheet=A0&amp;row=43&amp;col=12&amp;number=&amp;sourceID=15","")</f>
        <v/>
      </c>
      <c r="M43" s="4" t="str">
        <f>HYPERLINK("http://141.218.60.56/~jnz1568/getInfo.php?workbook=01_01.xlsx&amp;sheet=A0&amp;row=43&amp;col=13&amp;number=&amp;sourceID=15","")</f>
        <v/>
      </c>
      <c r="N43" s="4" t="str">
        <f>HYPERLINK("http://141.218.60.56/~jnz1568/getInfo.php?workbook=01_01.xlsx&amp;sheet=A0&amp;row=43&amp;col=14&amp;number==&amp;sourceID=11","=")</f>
        <v>=</v>
      </c>
      <c r="O43" s="4" t="str">
        <f>HYPERLINK("http://141.218.60.56/~jnz1568/getInfo.php?workbook=01_01.xlsx&amp;sheet=A0&amp;row=43&amp;col=15&amp;number=347590&amp;sourceID=11","347590")</f>
        <v>347590</v>
      </c>
      <c r="P43" s="4" t="str">
        <f>HYPERLINK("http://141.218.60.56/~jnz1568/getInfo.php?workbook=01_01.xlsx&amp;sheet=A0&amp;row=43&amp;col=16&amp;number=&amp;sourceID=11","")</f>
        <v/>
      </c>
      <c r="Q43" s="4" t="str">
        <f>HYPERLINK("http://141.218.60.56/~jnz1568/getInfo.php?workbook=01_01.xlsx&amp;sheet=A0&amp;row=43&amp;col=17&amp;number=&amp;sourceID=11","")</f>
        <v/>
      </c>
      <c r="R43" s="4" t="str">
        <f>HYPERLINK("http://141.218.60.56/~jnz1568/getInfo.php?workbook=01_01.xlsx&amp;sheet=A0&amp;row=43&amp;col=18&amp;number=&amp;sourceID=11","")</f>
        <v/>
      </c>
      <c r="S43" s="4" t="str">
        <f>HYPERLINK("http://141.218.60.56/~jnz1568/getInfo.php?workbook=01_01.xlsx&amp;sheet=A0&amp;row=43&amp;col=19&amp;number=4.3672e-09&amp;sourceID=11","4.3672e-09")</f>
        <v>4.3672e-09</v>
      </c>
      <c r="T43" s="4" t="str">
        <f>HYPERLINK("http://141.218.60.56/~jnz1568/getInfo.php?workbook=01_01.xlsx&amp;sheet=A0&amp;row=43&amp;col=20&amp;number=&amp;sourceID=11","")</f>
        <v/>
      </c>
      <c r="U43" s="4" t="str">
        <f>HYPERLINK("http://141.218.60.56/~jnz1568/getInfo.php?workbook=01_01.xlsx&amp;sheet=A0&amp;row=43&amp;col=21&amp;number=347780&amp;sourceID=12","347780")</f>
        <v>347780</v>
      </c>
      <c r="V43" s="4" t="str">
        <f>HYPERLINK("http://141.218.60.56/~jnz1568/getInfo.php?workbook=01_01.xlsx&amp;sheet=A0&amp;row=43&amp;col=22&amp;number=347780&amp;sourceID=12","347780")</f>
        <v>347780</v>
      </c>
      <c r="W43" s="4" t="str">
        <f>HYPERLINK("http://141.218.60.56/~jnz1568/getInfo.php?workbook=01_01.xlsx&amp;sheet=A0&amp;row=43&amp;col=23&amp;number=&amp;sourceID=12","")</f>
        <v/>
      </c>
      <c r="X43" s="4" t="str">
        <f>HYPERLINK("http://141.218.60.56/~jnz1568/getInfo.php?workbook=01_01.xlsx&amp;sheet=A0&amp;row=43&amp;col=24&amp;number=&amp;sourceID=12","")</f>
        <v/>
      </c>
      <c r="Y43" s="4" t="str">
        <f>HYPERLINK("http://141.218.60.56/~jnz1568/getInfo.php?workbook=01_01.xlsx&amp;sheet=A0&amp;row=43&amp;col=25&amp;number=&amp;sourceID=12","")</f>
        <v/>
      </c>
      <c r="Z43" s="4" t="str">
        <f>HYPERLINK("http://141.218.60.56/~jnz1568/getInfo.php?workbook=01_01.xlsx&amp;sheet=A0&amp;row=43&amp;col=26&amp;number=4.3696e-09&amp;sourceID=12","4.3696e-09")</f>
        <v>4.3696e-09</v>
      </c>
      <c r="AA43" s="4" t="str">
        <f>HYPERLINK("http://141.218.60.56/~jnz1568/getInfo.php?workbook=01_01.xlsx&amp;sheet=A0&amp;row=43&amp;col=27&amp;number=&amp;sourceID=12","")</f>
        <v/>
      </c>
      <c r="AB43" s="4" t="str">
        <f>HYPERLINK("http://141.218.60.56/~jnz1568/getInfo.php?workbook=01_01.xlsx&amp;sheet=A0&amp;row=43&amp;col=28&amp;number==&amp;sourceID=18","=")</f>
        <v>=</v>
      </c>
      <c r="AC43" s="4" t="str">
        <f>HYPERLINK("http://141.218.60.56/~jnz1568/getInfo.php?workbook=01_01.xlsx&amp;sheet=A0&amp;row=43&amp;col=29&amp;number=348000&amp;sourceID=18","348000")</f>
        <v>348000</v>
      </c>
      <c r="AD43" s="4" t="str">
        <f>HYPERLINK("http://141.218.60.56/~jnz1568/getInfo.php?workbook=01_01.xlsx&amp;sheet=A0&amp;row=43&amp;col=30&amp;number=&amp;sourceID=18","")</f>
        <v/>
      </c>
      <c r="AE43" s="4" t="str">
        <f>HYPERLINK("http://141.218.60.56/~jnz1568/getInfo.php?workbook=01_01.xlsx&amp;sheet=A0&amp;row=43&amp;col=31&amp;number=&amp;sourceID=18","")</f>
        <v/>
      </c>
      <c r="AF43" s="4" t="str">
        <f>HYPERLINK("http://141.218.60.56/~jnz1568/getInfo.php?workbook=01_01.xlsx&amp;sheet=A0&amp;row=43&amp;col=32&amp;number=&amp;sourceID=18","")</f>
        <v/>
      </c>
      <c r="AG43" s="4" t="str">
        <f>HYPERLINK("http://141.218.60.56/~jnz1568/getInfo.php?workbook=01_01.xlsx&amp;sheet=A0&amp;row=43&amp;col=33&amp;number=&amp;sourceID=18","")</f>
        <v/>
      </c>
      <c r="AH43" s="4" t="str">
        <f>HYPERLINK("http://141.218.60.56/~jnz1568/getInfo.php?workbook=01_01.xlsx&amp;sheet=A0&amp;row=43&amp;col=34&amp;number=&amp;sourceID=20","")</f>
        <v/>
      </c>
    </row>
    <row r="44" spans="1:34">
      <c r="A44" s="3">
        <v>1</v>
      </c>
      <c r="B44" s="3">
        <v>1</v>
      </c>
      <c r="C44" s="3">
        <v>10</v>
      </c>
      <c r="D44" s="3">
        <v>8</v>
      </c>
      <c r="E44" s="3">
        <f>((1/(INDEX(E0!J$4:J$28,C44,1)-INDEX(E0!J$4:J$28,D44,1))))*100000000</f>
        <v>0</v>
      </c>
      <c r="F44" s="4" t="str">
        <f>HYPERLINK("http://141.218.60.56/~jnz1568/getInfo.php?workbook=01_01.xlsx&amp;sheet=A0&amp;row=44&amp;col=6&amp;number=&amp;sourceID=18","")</f>
        <v/>
      </c>
      <c r="G44" s="4" t="str">
        <f>HYPERLINK("http://141.218.60.56/~jnz1568/getInfo.php?workbook=01_01.xlsx&amp;sheet=A0&amp;row=44&amp;col=7&amp;number=&amp;sourceID=15","")</f>
        <v/>
      </c>
      <c r="H44" s="4" t="str">
        <f>HYPERLINK("http://141.218.60.56/~jnz1568/getInfo.php?workbook=01_01.xlsx&amp;sheet=A0&amp;row=44&amp;col=8&amp;number=&amp;sourceID=15","")</f>
        <v/>
      </c>
      <c r="I44" s="4" t="str">
        <f>HYPERLINK("http://141.218.60.56/~jnz1568/getInfo.php?workbook=01_01.xlsx&amp;sheet=A0&amp;row=44&amp;col=9&amp;number=&amp;sourceID=15","")</f>
        <v/>
      </c>
      <c r="J44" s="4" t="str">
        <f>HYPERLINK("http://141.218.60.56/~jnz1568/getInfo.php?workbook=01_01.xlsx&amp;sheet=A0&amp;row=44&amp;col=10&amp;number=&amp;sourceID=15","")</f>
        <v/>
      </c>
      <c r="K44" s="4" t="str">
        <f>HYPERLINK("http://141.218.60.56/~jnz1568/getInfo.php?workbook=01_01.xlsx&amp;sheet=A0&amp;row=44&amp;col=11&amp;number=&amp;sourceID=15","")</f>
        <v/>
      </c>
      <c r="L44" s="4" t="str">
        <f>HYPERLINK("http://141.218.60.56/~jnz1568/getInfo.php?workbook=01_01.xlsx&amp;sheet=A0&amp;row=44&amp;col=12&amp;number=&amp;sourceID=15","")</f>
        <v/>
      </c>
      <c r="M44" s="4" t="str">
        <f>HYPERLINK("http://141.218.60.56/~jnz1568/getInfo.php?workbook=01_01.xlsx&amp;sheet=A0&amp;row=44&amp;col=13&amp;number=&amp;sourceID=15","")</f>
        <v/>
      </c>
      <c r="N44" s="4" t="str">
        <f>HYPERLINK("http://141.218.60.56/~jnz1568/getInfo.php?workbook=01_01.xlsx&amp;sheet=A0&amp;row=44&amp;col=14&amp;number==&amp;sourceID=11","=")</f>
        <v>=</v>
      </c>
      <c r="O44" s="4" t="str">
        <f>HYPERLINK("http://141.218.60.56/~jnz1568/getInfo.php?workbook=01_01.xlsx&amp;sheet=A0&amp;row=44&amp;col=15&amp;number=&amp;sourceID=11","")</f>
        <v/>
      </c>
      <c r="P44" s="4" t="str">
        <f>HYPERLINK("http://141.218.60.56/~jnz1568/getInfo.php?workbook=01_01.xlsx&amp;sheet=A0&amp;row=44&amp;col=16&amp;number=2.5495&amp;sourceID=11","2.5495")</f>
        <v>2.5495</v>
      </c>
      <c r="Q44" s="4" t="str">
        <f>HYPERLINK("http://141.218.60.56/~jnz1568/getInfo.php?workbook=01_01.xlsx&amp;sheet=A0&amp;row=44&amp;col=17&amp;number=&amp;sourceID=11","")</f>
        <v/>
      </c>
      <c r="R44" s="4" t="str">
        <f>HYPERLINK("http://141.218.60.56/~jnz1568/getInfo.php?workbook=01_01.xlsx&amp;sheet=A0&amp;row=44&amp;col=18&amp;number=5.3686e-10&amp;sourceID=11","5.3686e-10")</f>
        <v>5.3686e-10</v>
      </c>
      <c r="S44" s="4" t="str">
        <f>HYPERLINK("http://141.218.60.56/~jnz1568/getInfo.php?workbook=01_01.xlsx&amp;sheet=A0&amp;row=44&amp;col=19&amp;number=&amp;sourceID=11","")</f>
        <v/>
      </c>
      <c r="T44" s="4" t="str">
        <f>HYPERLINK("http://141.218.60.56/~jnz1568/getInfo.php?workbook=01_01.xlsx&amp;sheet=A0&amp;row=44&amp;col=20&amp;number=&amp;sourceID=11","")</f>
        <v/>
      </c>
      <c r="U44" s="4" t="str">
        <f>HYPERLINK("http://141.218.60.56/~jnz1568/getInfo.php?workbook=01_01.xlsx&amp;sheet=A0&amp;row=44&amp;col=21&amp;number=2.5509&amp;sourceID=12","2.5509")</f>
        <v>2.5509</v>
      </c>
      <c r="V44" s="4" t="str">
        <f>HYPERLINK("http://141.218.60.56/~jnz1568/getInfo.php?workbook=01_01.xlsx&amp;sheet=A0&amp;row=44&amp;col=22&amp;number=&amp;sourceID=12","")</f>
        <v/>
      </c>
      <c r="W44" s="4" t="str">
        <f>HYPERLINK("http://141.218.60.56/~jnz1568/getInfo.php?workbook=01_01.xlsx&amp;sheet=A0&amp;row=44&amp;col=23&amp;number=2.5509&amp;sourceID=12","2.5509")</f>
        <v>2.5509</v>
      </c>
      <c r="X44" s="4" t="str">
        <f>HYPERLINK("http://141.218.60.56/~jnz1568/getInfo.php?workbook=01_01.xlsx&amp;sheet=A0&amp;row=44&amp;col=24&amp;number=&amp;sourceID=12","")</f>
        <v/>
      </c>
      <c r="Y44" s="4" t="str">
        <f>HYPERLINK("http://141.218.60.56/~jnz1568/getInfo.php?workbook=01_01.xlsx&amp;sheet=A0&amp;row=44&amp;col=25&amp;number=5.3726e-10&amp;sourceID=12","5.3726e-10")</f>
        <v>5.3726e-10</v>
      </c>
      <c r="Z44" s="4" t="str">
        <f>HYPERLINK("http://141.218.60.56/~jnz1568/getInfo.php?workbook=01_01.xlsx&amp;sheet=A0&amp;row=44&amp;col=26&amp;number=&amp;sourceID=12","")</f>
        <v/>
      </c>
      <c r="AA44" s="4" t="str">
        <f>HYPERLINK("http://141.218.60.56/~jnz1568/getInfo.php?workbook=01_01.xlsx&amp;sheet=A0&amp;row=44&amp;col=27&amp;number=&amp;sourceID=12","")</f>
        <v/>
      </c>
      <c r="AB44" s="4" t="str">
        <f>HYPERLINK("http://141.218.60.56/~jnz1568/getInfo.php?workbook=01_01.xlsx&amp;sheet=A0&amp;row=44&amp;col=28&amp;number==&amp;sourceID=18","=")</f>
        <v>=</v>
      </c>
      <c r="AC44" s="4" t="str">
        <f>HYPERLINK("http://141.218.60.56/~jnz1568/getInfo.php?workbook=01_01.xlsx&amp;sheet=A0&amp;row=44&amp;col=29&amp;number=&amp;sourceID=18","")</f>
        <v/>
      </c>
      <c r="AD44" s="4" t="str">
        <f>HYPERLINK("http://141.218.60.56/~jnz1568/getInfo.php?workbook=01_01.xlsx&amp;sheet=A0&amp;row=44&amp;col=30&amp;number=2.55&amp;sourceID=18","2.55")</f>
        <v>2.55</v>
      </c>
      <c r="AE44" s="4" t="str">
        <f>HYPERLINK("http://141.218.60.56/~jnz1568/getInfo.php?workbook=01_01.xlsx&amp;sheet=A0&amp;row=44&amp;col=31&amp;number=&amp;sourceID=18","")</f>
        <v/>
      </c>
      <c r="AF44" s="4" t="str">
        <f>HYPERLINK("http://141.218.60.56/~jnz1568/getInfo.php?workbook=01_01.xlsx&amp;sheet=A0&amp;row=44&amp;col=32&amp;number=5.58e-10&amp;sourceID=18","5.58e-10")</f>
        <v>5.58e-10</v>
      </c>
      <c r="AG44" s="4" t="str">
        <f>HYPERLINK("http://141.218.60.56/~jnz1568/getInfo.php?workbook=01_01.xlsx&amp;sheet=A0&amp;row=44&amp;col=33&amp;number=&amp;sourceID=18","")</f>
        <v/>
      </c>
      <c r="AH44" s="4" t="str">
        <f>HYPERLINK("http://141.218.60.56/~jnz1568/getInfo.php?workbook=01_01.xlsx&amp;sheet=A0&amp;row=44&amp;col=34&amp;number=&amp;sourceID=20","")</f>
        <v/>
      </c>
    </row>
    <row r="45" spans="1:34">
      <c r="A45" s="3">
        <v>1</v>
      </c>
      <c r="B45" s="3">
        <v>1</v>
      </c>
      <c r="C45" s="3">
        <v>10</v>
      </c>
      <c r="D45" s="3">
        <v>9</v>
      </c>
      <c r="E45" s="3">
        <f>((1/(INDEX(E0!J$4:J$28,C45,1)-INDEX(E0!J$4:J$28,D45,1))))*100000000</f>
        <v>0</v>
      </c>
      <c r="F45" s="4" t="str">
        <f>HYPERLINK("http://141.218.60.56/~jnz1568/getInfo.php?workbook=01_01.xlsx&amp;sheet=A0&amp;row=45&amp;col=6&amp;number=&amp;sourceID=18","")</f>
        <v/>
      </c>
      <c r="G45" s="4" t="str">
        <f>HYPERLINK("http://141.218.60.56/~jnz1568/getInfo.php?workbook=01_01.xlsx&amp;sheet=A0&amp;row=45&amp;col=7&amp;number=&amp;sourceID=15","")</f>
        <v/>
      </c>
      <c r="H45" s="4" t="str">
        <f>HYPERLINK("http://141.218.60.56/~jnz1568/getInfo.php?workbook=01_01.xlsx&amp;sheet=A0&amp;row=45&amp;col=8&amp;number=&amp;sourceID=15","")</f>
        <v/>
      </c>
      <c r="I45" s="4" t="str">
        <f>HYPERLINK("http://141.218.60.56/~jnz1568/getInfo.php?workbook=01_01.xlsx&amp;sheet=A0&amp;row=45&amp;col=9&amp;number=&amp;sourceID=15","")</f>
        <v/>
      </c>
      <c r="J45" s="4" t="str">
        <f>HYPERLINK("http://141.218.60.56/~jnz1568/getInfo.php?workbook=01_01.xlsx&amp;sheet=A0&amp;row=45&amp;col=10&amp;number=&amp;sourceID=15","")</f>
        <v/>
      </c>
      <c r="K45" s="4" t="str">
        <f>HYPERLINK("http://141.218.60.56/~jnz1568/getInfo.php?workbook=01_01.xlsx&amp;sheet=A0&amp;row=45&amp;col=11&amp;number=&amp;sourceID=15","")</f>
        <v/>
      </c>
      <c r="L45" s="4" t="str">
        <f>HYPERLINK("http://141.218.60.56/~jnz1568/getInfo.php?workbook=01_01.xlsx&amp;sheet=A0&amp;row=45&amp;col=12&amp;number=&amp;sourceID=15","")</f>
        <v/>
      </c>
      <c r="M45" s="4" t="str">
        <f>HYPERLINK("http://141.218.60.56/~jnz1568/getInfo.php?workbook=01_01.xlsx&amp;sheet=A0&amp;row=45&amp;col=13&amp;number=&amp;sourceID=15","")</f>
        <v/>
      </c>
      <c r="N45" s="4" t="str">
        <f>HYPERLINK("http://141.218.60.56/~jnz1568/getInfo.php?workbook=01_01.xlsx&amp;sheet=A0&amp;row=45&amp;col=14&amp;number==&amp;sourceID=11","=")</f>
        <v>=</v>
      </c>
      <c r="O45" s="4" t="str">
        <f>HYPERLINK("http://141.218.60.56/~jnz1568/getInfo.php?workbook=01_01.xlsx&amp;sheet=A0&amp;row=45&amp;col=15&amp;number=&amp;sourceID=11","")</f>
        <v/>
      </c>
      <c r="P45" s="4" t="str">
        <f>HYPERLINK("http://141.218.60.56/~jnz1568/getInfo.php?workbook=01_01.xlsx&amp;sheet=A0&amp;row=45&amp;col=16&amp;number=&amp;sourceID=11","")</f>
        <v/>
      </c>
      <c r="Q45" s="4" t="str">
        <f>HYPERLINK("http://141.218.60.56/~jnz1568/getInfo.php?workbook=01_01.xlsx&amp;sheet=A0&amp;row=45&amp;col=17&amp;number=4.6943e-07&amp;sourceID=11","4.6943e-07")</f>
        <v>4.6943e-07</v>
      </c>
      <c r="R45" s="4" t="str">
        <f>HYPERLINK("http://141.218.60.56/~jnz1568/getInfo.php?workbook=01_01.xlsx&amp;sheet=A0&amp;row=45&amp;col=18&amp;number=&amp;sourceID=11","")</f>
        <v/>
      </c>
      <c r="S45" s="4" t="str">
        <f>HYPERLINK("http://141.218.60.56/~jnz1568/getInfo.php?workbook=01_01.xlsx&amp;sheet=A0&amp;row=45&amp;col=19&amp;number=4.6585e-08&amp;sourceID=11","4.6585e-08")</f>
        <v>4.6585e-08</v>
      </c>
      <c r="T45" s="4" t="str">
        <f>HYPERLINK("http://141.218.60.56/~jnz1568/getInfo.php?workbook=01_01.xlsx&amp;sheet=A0&amp;row=45&amp;col=20&amp;number=&amp;sourceID=11","")</f>
        <v/>
      </c>
      <c r="U45" s="4" t="str">
        <f>HYPERLINK("http://141.218.60.56/~jnz1568/getInfo.php?workbook=01_01.xlsx&amp;sheet=A0&amp;row=45&amp;col=21&amp;number=5.1629e-07&amp;sourceID=12","5.1629e-07")</f>
        <v>5.1629e-07</v>
      </c>
      <c r="V45" s="4" t="str">
        <f>HYPERLINK("http://141.218.60.56/~jnz1568/getInfo.php?workbook=01_01.xlsx&amp;sheet=A0&amp;row=45&amp;col=22&amp;number=&amp;sourceID=12","")</f>
        <v/>
      </c>
      <c r="W45" s="4" t="str">
        <f>HYPERLINK("http://141.218.60.56/~jnz1568/getInfo.php?workbook=01_01.xlsx&amp;sheet=A0&amp;row=45&amp;col=23&amp;number=&amp;sourceID=12","")</f>
        <v/>
      </c>
      <c r="X45" s="4" t="str">
        <f>HYPERLINK("http://141.218.60.56/~jnz1568/getInfo.php?workbook=01_01.xlsx&amp;sheet=A0&amp;row=45&amp;col=24&amp;number=4.6968e-07&amp;sourceID=12","4.6968e-07")</f>
        <v>4.6968e-07</v>
      </c>
      <c r="Y45" s="4" t="str">
        <f>HYPERLINK("http://141.218.60.56/~jnz1568/getInfo.php?workbook=01_01.xlsx&amp;sheet=A0&amp;row=45&amp;col=25&amp;number=&amp;sourceID=12","")</f>
        <v/>
      </c>
      <c r="Z45" s="4" t="str">
        <f>HYPERLINK("http://141.218.60.56/~jnz1568/getInfo.php?workbook=01_01.xlsx&amp;sheet=A0&amp;row=45&amp;col=26&amp;number=4.661e-08&amp;sourceID=12","4.661e-08")</f>
        <v>4.661e-08</v>
      </c>
      <c r="AA45" s="4" t="str">
        <f>HYPERLINK("http://141.218.60.56/~jnz1568/getInfo.php?workbook=01_01.xlsx&amp;sheet=A0&amp;row=45&amp;col=27&amp;number=&amp;sourceID=12","")</f>
        <v/>
      </c>
      <c r="AB45" s="4" t="str">
        <f>HYPERLINK("http://141.218.60.56/~jnz1568/getInfo.php?workbook=01_01.xlsx&amp;sheet=A0&amp;row=45&amp;col=28&amp;number==&amp;sourceID=18","=")</f>
        <v>=</v>
      </c>
      <c r="AC45" s="4" t="str">
        <f>HYPERLINK("http://141.218.60.56/~jnz1568/getInfo.php?workbook=01_01.xlsx&amp;sheet=A0&amp;row=45&amp;col=29&amp;number=&amp;sourceID=18","")</f>
        <v/>
      </c>
      <c r="AD45" s="4" t="str">
        <f>HYPERLINK("http://141.218.60.56/~jnz1568/getInfo.php?workbook=01_01.xlsx&amp;sheet=A0&amp;row=45&amp;col=30&amp;number=&amp;sourceID=18","")</f>
        <v/>
      </c>
      <c r="AE45" s="4" t="str">
        <f>HYPERLINK("http://141.218.60.56/~jnz1568/getInfo.php?workbook=01_01.xlsx&amp;sheet=A0&amp;row=45&amp;col=31&amp;number=7.31e-07&amp;sourceID=18","7.31e-07")</f>
        <v>7.31e-07</v>
      </c>
      <c r="AF45" s="4" t="str">
        <f>HYPERLINK("http://141.218.60.56/~jnz1568/getInfo.php?workbook=01_01.xlsx&amp;sheet=A0&amp;row=45&amp;col=32&amp;number=&amp;sourceID=18","")</f>
        <v/>
      </c>
      <c r="AG45" s="4" t="str">
        <f>HYPERLINK("http://141.218.60.56/~jnz1568/getInfo.php?workbook=01_01.xlsx&amp;sheet=A0&amp;row=45&amp;col=33&amp;number=1.87e-07&amp;sourceID=18","1.87e-07")</f>
        <v>1.87e-07</v>
      </c>
      <c r="AH45" s="4" t="str">
        <f>HYPERLINK("http://141.218.60.56/~jnz1568/getInfo.php?workbook=01_01.xlsx&amp;sheet=A0&amp;row=45&amp;col=34&amp;number=&amp;sourceID=20","")</f>
        <v/>
      </c>
    </row>
    <row r="46" spans="1:34">
      <c r="A46" s="3">
        <v>1</v>
      </c>
      <c r="B46" s="3">
        <v>1</v>
      </c>
      <c r="C46" s="3">
        <v>11</v>
      </c>
      <c r="D46" s="3">
        <v>1</v>
      </c>
      <c r="E46" s="3">
        <f>((1/(INDEX(E0!J$4:J$28,C46,1)-INDEX(E0!J$4:J$28,D46,1))))*100000000</f>
        <v>0</v>
      </c>
      <c r="F46" s="4" t="str">
        <f>HYPERLINK("http://141.218.60.56/~jnz1568/getInfo.php?workbook=01_01.xlsx&amp;sheet=A0&amp;row=46&amp;col=6&amp;number=&amp;sourceID=18","")</f>
        <v/>
      </c>
      <c r="G46" s="4" t="str">
        <f>HYPERLINK("http://141.218.60.56/~jnz1568/getInfo.php?workbook=01_01.xlsx&amp;sheet=A0&amp;row=46&amp;col=7&amp;number=&amp;sourceID=15","")</f>
        <v/>
      </c>
      <c r="H46" s="4" t="str">
        <f>HYPERLINK("http://141.218.60.56/~jnz1568/getInfo.php?workbook=01_01.xlsx&amp;sheet=A0&amp;row=46&amp;col=8&amp;number=&amp;sourceID=15","")</f>
        <v/>
      </c>
      <c r="I46" s="4" t="str">
        <f>HYPERLINK("http://141.218.60.56/~jnz1568/getInfo.php?workbook=01_01.xlsx&amp;sheet=A0&amp;row=46&amp;col=9&amp;number=&amp;sourceID=15","")</f>
        <v/>
      </c>
      <c r="J46" s="4" t="str">
        <f>HYPERLINK("http://141.218.60.56/~jnz1568/getInfo.php?workbook=01_01.xlsx&amp;sheet=A0&amp;row=46&amp;col=10&amp;number=&amp;sourceID=15","")</f>
        <v/>
      </c>
      <c r="K46" s="4" t="str">
        <f>HYPERLINK("http://141.218.60.56/~jnz1568/getInfo.php?workbook=01_01.xlsx&amp;sheet=A0&amp;row=46&amp;col=11&amp;number=&amp;sourceID=15","")</f>
        <v/>
      </c>
      <c r="L46" s="4" t="str">
        <f>HYPERLINK("http://141.218.60.56/~jnz1568/getInfo.php?workbook=01_01.xlsx&amp;sheet=A0&amp;row=46&amp;col=12&amp;number=&amp;sourceID=15","")</f>
        <v/>
      </c>
      <c r="M46" s="4" t="str">
        <f>HYPERLINK("http://141.218.60.56/~jnz1568/getInfo.php?workbook=01_01.xlsx&amp;sheet=A0&amp;row=46&amp;col=13&amp;number=&amp;sourceID=15","")</f>
        <v/>
      </c>
      <c r="N46" s="4" t="str">
        <f>HYPERLINK("http://141.218.60.56/~jnz1568/getInfo.php?workbook=01_01.xlsx&amp;sheet=A0&amp;row=46&amp;col=14&amp;number==&amp;sourceID=11","=")</f>
        <v>=</v>
      </c>
      <c r="O46" s="4" t="str">
        <f>HYPERLINK("http://141.218.60.56/~jnz1568/getInfo.php?workbook=01_01.xlsx&amp;sheet=A0&amp;row=46&amp;col=15&amp;number=&amp;sourceID=11","")</f>
        <v/>
      </c>
      <c r="P46" s="4" t="str">
        <f>HYPERLINK("http://141.218.60.56/~jnz1568/getInfo.php?workbook=01_01.xlsx&amp;sheet=A0&amp;row=46&amp;col=16&amp;number=&amp;sourceID=11","")</f>
        <v/>
      </c>
      <c r="Q46" s="4" t="str">
        <f>HYPERLINK("http://141.218.60.56/~jnz1568/getInfo.php?workbook=01_01.xlsx&amp;sheet=A0&amp;row=46&amp;col=17&amp;number=&amp;sourceID=11","")</f>
        <v/>
      </c>
      <c r="R46" s="4" t="str">
        <f>HYPERLINK("http://141.218.60.56/~jnz1568/getInfo.php?workbook=01_01.xlsx&amp;sheet=A0&amp;row=46&amp;col=18&amp;number=5.3029e-07&amp;sourceID=11","5.3029e-07")</f>
        <v>5.3029e-07</v>
      </c>
      <c r="S46" s="4" t="str">
        <f>HYPERLINK("http://141.218.60.56/~jnz1568/getInfo.php?workbook=01_01.xlsx&amp;sheet=A0&amp;row=46&amp;col=19&amp;number=&amp;sourceID=11","")</f>
        <v/>
      </c>
      <c r="T46" s="4" t="str">
        <f>HYPERLINK("http://141.218.60.56/~jnz1568/getInfo.php?workbook=01_01.xlsx&amp;sheet=A0&amp;row=46&amp;col=20&amp;number=&amp;sourceID=11","")</f>
        <v/>
      </c>
      <c r="U46" s="4" t="str">
        <f>HYPERLINK("http://141.218.60.56/~jnz1568/getInfo.php?workbook=01_01.xlsx&amp;sheet=A0&amp;row=46&amp;col=21&amp;number=5.1953e-07&amp;sourceID=12","5.1953e-07")</f>
        <v>5.1953e-07</v>
      </c>
      <c r="V46" s="4" t="str">
        <f>HYPERLINK("http://141.218.60.56/~jnz1568/getInfo.php?workbook=01_01.xlsx&amp;sheet=A0&amp;row=46&amp;col=22&amp;number=&amp;sourceID=12","")</f>
        <v/>
      </c>
      <c r="W46" s="4" t="str">
        <f>HYPERLINK("http://141.218.60.56/~jnz1568/getInfo.php?workbook=01_01.xlsx&amp;sheet=A0&amp;row=46&amp;col=23&amp;number=&amp;sourceID=12","")</f>
        <v/>
      </c>
      <c r="X46" s="4" t="str">
        <f>HYPERLINK("http://141.218.60.56/~jnz1568/getInfo.php?workbook=01_01.xlsx&amp;sheet=A0&amp;row=46&amp;col=24&amp;number=&amp;sourceID=12","")</f>
        <v/>
      </c>
      <c r="Y46" s="4" t="str">
        <f>HYPERLINK("http://141.218.60.56/~jnz1568/getInfo.php?workbook=01_01.xlsx&amp;sheet=A0&amp;row=46&amp;col=25&amp;number=5.1953e-07&amp;sourceID=12","5.1953e-07")</f>
        <v>5.1953e-07</v>
      </c>
      <c r="Z46" s="4" t="str">
        <f>HYPERLINK("http://141.218.60.56/~jnz1568/getInfo.php?workbook=01_01.xlsx&amp;sheet=A0&amp;row=46&amp;col=26&amp;number=&amp;sourceID=12","")</f>
        <v/>
      </c>
      <c r="AA46" s="4" t="str">
        <f>HYPERLINK("http://141.218.60.56/~jnz1568/getInfo.php?workbook=01_01.xlsx&amp;sheet=A0&amp;row=46&amp;col=27&amp;number=&amp;sourceID=12","")</f>
        <v/>
      </c>
      <c r="AB46" s="4" t="str">
        <f>HYPERLINK("http://141.218.60.56/~jnz1568/getInfo.php?workbook=01_01.xlsx&amp;sheet=A0&amp;row=46&amp;col=28&amp;number==&amp;sourceID=18","=")</f>
        <v>=</v>
      </c>
      <c r="AC46" s="4" t="str">
        <f>HYPERLINK("http://141.218.60.56/~jnz1568/getInfo.php?workbook=01_01.xlsx&amp;sheet=A0&amp;row=46&amp;col=29&amp;number=&amp;sourceID=18","")</f>
        <v/>
      </c>
      <c r="AD46" s="4" t="str">
        <f>HYPERLINK("http://141.218.60.56/~jnz1568/getInfo.php?workbook=01_01.xlsx&amp;sheet=A0&amp;row=46&amp;col=30&amp;number=&amp;sourceID=18","")</f>
        <v/>
      </c>
      <c r="AE46" s="4" t="str">
        <f>HYPERLINK("http://141.218.60.56/~jnz1568/getInfo.php?workbook=01_01.xlsx&amp;sheet=A0&amp;row=46&amp;col=31&amp;number=&amp;sourceID=18","")</f>
        <v/>
      </c>
      <c r="AF46" s="4" t="str">
        <f>HYPERLINK("http://141.218.60.56/~jnz1568/getInfo.php?workbook=01_01.xlsx&amp;sheet=A0&amp;row=46&amp;col=32&amp;number=5.32e-07&amp;sourceID=18","5.32e-07")</f>
        <v>5.32e-07</v>
      </c>
      <c r="AG46" s="4" t="str">
        <f>HYPERLINK("http://141.218.60.56/~jnz1568/getInfo.php?workbook=01_01.xlsx&amp;sheet=A0&amp;row=46&amp;col=33&amp;number=&amp;sourceID=18","")</f>
        <v/>
      </c>
      <c r="AH46" s="4" t="str">
        <f>HYPERLINK("http://141.218.60.56/~jnz1568/getInfo.php?workbook=01_01.xlsx&amp;sheet=A0&amp;row=46&amp;col=34&amp;number=&amp;sourceID=20","")</f>
        <v/>
      </c>
    </row>
    <row r="47" spans="1:34">
      <c r="A47" s="3">
        <v>1</v>
      </c>
      <c r="B47" s="3">
        <v>1</v>
      </c>
      <c r="C47" s="3">
        <v>11</v>
      </c>
      <c r="D47" s="3">
        <v>2</v>
      </c>
      <c r="E47" s="3">
        <f>((1/(INDEX(E0!J$4:J$28,C47,1)-INDEX(E0!J$4:J$28,D47,1))))*100000000</f>
        <v>0</v>
      </c>
      <c r="F47" s="4" t="str">
        <f>HYPERLINK("http://141.218.60.56/~jnz1568/getInfo.php?workbook=01_01.xlsx&amp;sheet=A0&amp;row=47&amp;col=6&amp;number=&amp;sourceID=18","")</f>
        <v/>
      </c>
      <c r="G47" s="4" t="str">
        <f>HYPERLINK("http://141.218.60.56/~jnz1568/getInfo.php?workbook=01_01.xlsx&amp;sheet=A0&amp;row=47&amp;col=7&amp;number=859410&amp;sourceID=15","859410")</f>
        <v>859410</v>
      </c>
      <c r="H47" s="4" t="str">
        <f>HYPERLINK("http://141.218.60.56/~jnz1568/getInfo.php?workbook=01_01.xlsx&amp;sheet=A0&amp;row=47&amp;col=8&amp;number=859410&amp;sourceID=15","859410")</f>
        <v>859410</v>
      </c>
      <c r="I47" s="4" t="str">
        <f>HYPERLINK("http://141.218.60.56/~jnz1568/getInfo.php?workbook=01_01.xlsx&amp;sheet=A0&amp;row=47&amp;col=9&amp;number=&amp;sourceID=15","")</f>
        <v/>
      </c>
      <c r="J47" s="4" t="str">
        <f>HYPERLINK("http://141.218.60.56/~jnz1568/getInfo.php?workbook=01_01.xlsx&amp;sheet=A0&amp;row=47&amp;col=10&amp;number=&amp;sourceID=15","")</f>
        <v/>
      </c>
      <c r="K47" s="4" t="str">
        <f>HYPERLINK("http://141.218.60.56/~jnz1568/getInfo.php?workbook=01_01.xlsx&amp;sheet=A0&amp;row=47&amp;col=11&amp;number=&amp;sourceID=15","")</f>
        <v/>
      </c>
      <c r="L47" s="4" t="str">
        <f>HYPERLINK("http://141.218.60.56/~jnz1568/getInfo.php?workbook=01_01.xlsx&amp;sheet=A0&amp;row=47&amp;col=12&amp;number=&amp;sourceID=15","")</f>
        <v/>
      </c>
      <c r="M47" s="4" t="str">
        <f>HYPERLINK("http://141.218.60.56/~jnz1568/getInfo.php?workbook=01_01.xlsx&amp;sheet=A0&amp;row=47&amp;col=13&amp;number=&amp;sourceID=15","")</f>
        <v/>
      </c>
      <c r="N47" s="4" t="str">
        <f>HYPERLINK("http://141.218.60.56/~jnz1568/getInfo.php?workbook=01_01.xlsx&amp;sheet=A0&amp;row=47&amp;col=14&amp;number==&amp;sourceID=11","=")</f>
        <v>=</v>
      </c>
      <c r="O47" s="4" t="str">
        <f>HYPERLINK("http://141.218.60.56/~jnz1568/getInfo.php?workbook=01_01.xlsx&amp;sheet=A0&amp;row=47&amp;col=15&amp;number=859410&amp;sourceID=11","859410")</f>
        <v>859410</v>
      </c>
      <c r="P47" s="4" t="str">
        <f>HYPERLINK("http://141.218.60.56/~jnz1568/getInfo.php?workbook=01_01.xlsx&amp;sheet=A0&amp;row=47&amp;col=16&amp;number=&amp;sourceID=11","")</f>
        <v/>
      </c>
      <c r="Q47" s="4" t="str">
        <f>HYPERLINK("http://141.218.60.56/~jnz1568/getInfo.php?workbook=01_01.xlsx&amp;sheet=A0&amp;row=47&amp;col=17&amp;number=&amp;sourceID=11","")</f>
        <v/>
      </c>
      <c r="R47" s="4" t="str">
        <f>HYPERLINK("http://141.218.60.56/~jnz1568/getInfo.php?workbook=01_01.xlsx&amp;sheet=A0&amp;row=47&amp;col=18&amp;number=&amp;sourceID=11","")</f>
        <v/>
      </c>
      <c r="S47" s="4" t="str">
        <f>HYPERLINK("http://141.218.60.56/~jnz1568/getInfo.php?workbook=01_01.xlsx&amp;sheet=A0&amp;row=47&amp;col=19&amp;number=&amp;sourceID=11","")</f>
        <v/>
      </c>
      <c r="T47" s="4" t="str">
        <f>HYPERLINK("http://141.218.60.56/~jnz1568/getInfo.php?workbook=01_01.xlsx&amp;sheet=A0&amp;row=47&amp;col=20&amp;number=&amp;sourceID=11","")</f>
        <v/>
      </c>
      <c r="U47" s="4" t="str">
        <f>HYPERLINK("http://141.218.60.56/~jnz1568/getInfo.php?workbook=01_01.xlsx&amp;sheet=A0&amp;row=47&amp;col=21&amp;number=859880&amp;sourceID=12","859880")</f>
        <v>859880</v>
      </c>
      <c r="V47" s="4" t="str">
        <f>HYPERLINK("http://141.218.60.56/~jnz1568/getInfo.php?workbook=01_01.xlsx&amp;sheet=A0&amp;row=47&amp;col=22&amp;number=859880&amp;sourceID=12","859880")</f>
        <v>859880</v>
      </c>
      <c r="W47" s="4" t="str">
        <f>HYPERLINK("http://141.218.60.56/~jnz1568/getInfo.php?workbook=01_01.xlsx&amp;sheet=A0&amp;row=47&amp;col=23&amp;number=&amp;sourceID=12","")</f>
        <v/>
      </c>
      <c r="X47" s="4" t="str">
        <f>HYPERLINK("http://141.218.60.56/~jnz1568/getInfo.php?workbook=01_01.xlsx&amp;sheet=A0&amp;row=47&amp;col=24&amp;number=&amp;sourceID=12","")</f>
        <v/>
      </c>
      <c r="Y47" s="4" t="str">
        <f>HYPERLINK("http://141.218.60.56/~jnz1568/getInfo.php?workbook=01_01.xlsx&amp;sheet=A0&amp;row=47&amp;col=25&amp;number=&amp;sourceID=12","")</f>
        <v/>
      </c>
      <c r="Z47" s="4" t="str">
        <f>HYPERLINK("http://141.218.60.56/~jnz1568/getInfo.php?workbook=01_01.xlsx&amp;sheet=A0&amp;row=47&amp;col=26&amp;number=&amp;sourceID=12","")</f>
        <v/>
      </c>
      <c r="AA47" s="4" t="str">
        <f>HYPERLINK("http://141.218.60.56/~jnz1568/getInfo.php?workbook=01_01.xlsx&amp;sheet=A0&amp;row=47&amp;col=27&amp;number=&amp;sourceID=12","")</f>
        <v/>
      </c>
      <c r="AB47" s="4" t="str">
        <f>HYPERLINK("http://141.218.60.56/~jnz1568/getInfo.php?workbook=01_01.xlsx&amp;sheet=A0&amp;row=47&amp;col=28&amp;number==&amp;sourceID=18","=")</f>
        <v>=</v>
      </c>
      <c r="AC47" s="4" t="str">
        <f>HYPERLINK("http://141.218.60.56/~jnz1568/getInfo.php?workbook=01_01.xlsx&amp;sheet=A0&amp;row=47&amp;col=29&amp;number=859000&amp;sourceID=18","859000")</f>
        <v>859000</v>
      </c>
      <c r="AD47" s="4" t="str">
        <f>HYPERLINK("http://141.218.60.56/~jnz1568/getInfo.php?workbook=01_01.xlsx&amp;sheet=A0&amp;row=47&amp;col=30&amp;number=&amp;sourceID=18","")</f>
        <v/>
      </c>
      <c r="AE47" s="4" t="str">
        <f>HYPERLINK("http://141.218.60.56/~jnz1568/getInfo.php?workbook=01_01.xlsx&amp;sheet=A0&amp;row=47&amp;col=31&amp;number=&amp;sourceID=18","")</f>
        <v/>
      </c>
      <c r="AF47" s="4" t="str">
        <f>HYPERLINK("http://141.218.60.56/~jnz1568/getInfo.php?workbook=01_01.xlsx&amp;sheet=A0&amp;row=47&amp;col=32&amp;number=&amp;sourceID=18","")</f>
        <v/>
      </c>
      <c r="AG47" s="4" t="str">
        <f>HYPERLINK("http://141.218.60.56/~jnz1568/getInfo.php?workbook=01_01.xlsx&amp;sheet=A0&amp;row=47&amp;col=33&amp;number=&amp;sourceID=18","")</f>
        <v/>
      </c>
      <c r="AH47" s="4" t="str">
        <f>HYPERLINK("http://141.218.60.56/~jnz1568/getInfo.php?workbook=01_01.xlsx&amp;sheet=A0&amp;row=47&amp;col=34&amp;number=&amp;sourceID=20","")</f>
        <v/>
      </c>
    </row>
    <row r="48" spans="1:34">
      <c r="A48" s="3">
        <v>1</v>
      </c>
      <c r="B48" s="3">
        <v>1</v>
      </c>
      <c r="C48" s="3">
        <v>11</v>
      </c>
      <c r="D48" s="3">
        <v>3</v>
      </c>
      <c r="E48" s="3">
        <f>((1/(INDEX(E0!J$4:J$28,C48,1)-INDEX(E0!J$4:J$28,D48,1))))*100000000</f>
        <v>0</v>
      </c>
      <c r="F48" s="4" t="str">
        <f>HYPERLINK("http://141.218.60.56/~jnz1568/getInfo.php?workbook=01_01.xlsx&amp;sheet=A0&amp;row=48&amp;col=6&amp;number=&amp;sourceID=18","")</f>
        <v/>
      </c>
      <c r="G48" s="4" t="str">
        <f>HYPERLINK("http://141.218.60.56/~jnz1568/getInfo.php?workbook=01_01.xlsx&amp;sheet=A0&amp;row=48&amp;col=7&amp;number=&amp;sourceID=15","")</f>
        <v/>
      </c>
      <c r="H48" s="4" t="str">
        <f>HYPERLINK("http://141.218.60.56/~jnz1568/getInfo.php?workbook=01_01.xlsx&amp;sheet=A0&amp;row=48&amp;col=8&amp;number=&amp;sourceID=15","")</f>
        <v/>
      </c>
      <c r="I48" s="4" t="str">
        <f>HYPERLINK("http://141.218.60.56/~jnz1568/getInfo.php?workbook=01_01.xlsx&amp;sheet=A0&amp;row=48&amp;col=9&amp;number=&amp;sourceID=15","")</f>
        <v/>
      </c>
      <c r="J48" s="4" t="str">
        <f>HYPERLINK("http://141.218.60.56/~jnz1568/getInfo.php?workbook=01_01.xlsx&amp;sheet=A0&amp;row=48&amp;col=10&amp;number=&amp;sourceID=15","")</f>
        <v/>
      </c>
      <c r="K48" s="4" t="str">
        <f>HYPERLINK("http://141.218.60.56/~jnz1568/getInfo.php?workbook=01_01.xlsx&amp;sheet=A0&amp;row=48&amp;col=11&amp;number=&amp;sourceID=15","")</f>
        <v/>
      </c>
      <c r="L48" s="4" t="str">
        <f>HYPERLINK("http://141.218.60.56/~jnz1568/getInfo.php?workbook=01_01.xlsx&amp;sheet=A0&amp;row=48&amp;col=12&amp;number=&amp;sourceID=15","")</f>
        <v/>
      </c>
      <c r="M48" s="4" t="str">
        <f>HYPERLINK("http://141.218.60.56/~jnz1568/getInfo.php?workbook=01_01.xlsx&amp;sheet=A0&amp;row=48&amp;col=13&amp;number=&amp;sourceID=15","")</f>
        <v/>
      </c>
      <c r="N48" s="4" t="str">
        <f>HYPERLINK("http://141.218.60.56/~jnz1568/getInfo.php?workbook=01_01.xlsx&amp;sheet=A0&amp;row=48&amp;col=14&amp;number==&amp;sourceID=11","=")</f>
        <v>=</v>
      </c>
      <c r="O48" s="4" t="str">
        <f>HYPERLINK("http://141.218.60.56/~jnz1568/getInfo.php?workbook=01_01.xlsx&amp;sheet=A0&amp;row=48&amp;col=15&amp;number=&amp;sourceID=11","")</f>
        <v/>
      </c>
      <c r="P48" s="4" t="str">
        <f>HYPERLINK("http://141.218.60.56/~jnz1568/getInfo.php?workbook=01_01.xlsx&amp;sheet=A0&amp;row=48&amp;col=16&amp;number=&amp;sourceID=11","")</f>
        <v/>
      </c>
      <c r="Q48" s="4" t="str">
        <f>HYPERLINK("http://141.218.60.56/~jnz1568/getInfo.php?workbook=01_01.xlsx&amp;sheet=A0&amp;row=48&amp;col=17&amp;number=&amp;sourceID=11","")</f>
        <v/>
      </c>
      <c r="R48" s="4" t="str">
        <f>HYPERLINK("http://141.218.60.56/~jnz1568/getInfo.php?workbook=01_01.xlsx&amp;sheet=A0&amp;row=48&amp;col=18&amp;number=1.6144e-09&amp;sourceID=11","1.6144e-09")</f>
        <v>1.6144e-09</v>
      </c>
      <c r="S48" s="4" t="str">
        <f>HYPERLINK("http://141.218.60.56/~jnz1568/getInfo.php?workbook=01_01.xlsx&amp;sheet=A0&amp;row=48&amp;col=19&amp;number=&amp;sourceID=11","")</f>
        <v/>
      </c>
      <c r="T48" s="4" t="str">
        <f>HYPERLINK("http://141.218.60.56/~jnz1568/getInfo.php?workbook=01_01.xlsx&amp;sheet=A0&amp;row=48&amp;col=20&amp;number=&amp;sourceID=11","")</f>
        <v/>
      </c>
      <c r="U48" s="4" t="str">
        <f>HYPERLINK("http://141.218.60.56/~jnz1568/getInfo.php?workbook=01_01.xlsx&amp;sheet=A0&amp;row=48&amp;col=21&amp;number=1.6353e-09&amp;sourceID=12","1.6353e-09")</f>
        <v>1.6353e-09</v>
      </c>
      <c r="V48" s="4" t="str">
        <f>HYPERLINK("http://141.218.60.56/~jnz1568/getInfo.php?workbook=01_01.xlsx&amp;sheet=A0&amp;row=48&amp;col=22&amp;number=&amp;sourceID=12","")</f>
        <v/>
      </c>
      <c r="W48" s="4" t="str">
        <f>HYPERLINK("http://141.218.60.56/~jnz1568/getInfo.php?workbook=01_01.xlsx&amp;sheet=A0&amp;row=48&amp;col=23&amp;number=&amp;sourceID=12","")</f>
        <v/>
      </c>
      <c r="X48" s="4" t="str">
        <f>HYPERLINK("http://141.218.60.56/~jnz1568/getInfo.php?workbook=01_01.xlsx&amp;sheet=A0&amp;row=48&amp;col=24&amp;number=&amp;sourceID=12","")</f>
        <v/>
      </c>
      <c r="Y48" s="4" t="str">
        <f>HYPERLINK("http://141.218.60.56/~jnz1568/getInfo.php?workbook=01_01.xlsx&amp;sheet=A0&amp;row=48&amp;col=25&amp;number=1.6353e-09&amp;sourceID=12","1.6353e-09")</f>
        <v>1.6353e-09</v>
      </c>
      <c r="Z48" s="4" t="str">
        <f>HYPERLINK("http://141.218.60.56/~jnz1568/getInfo.php?workbook=01_01.xlsx&amp;sheet=A0&amp;row=48&amp;col=26&amp;number=&amp;sourceID=12","")</f>
        <v/>
      </c>
      <c r="AA48" s="4" t="str">
        <f>HYPERLINK("http://141.218.60.56/~jnz1568/getInfo.php?workbook=01_01.xlsx&amp;sheet=A0&amp;row=48&amp;col=27&amp;number=&amp;sourceID=12","")</f>
        <v/>
      </c>
      <c r="AB48" s="4" t="str">
        <f>HYPERLINK("http://141.218.60.56/~jnz1568/getInfo.php?workbook=01_01.xlsx&amp;sheet=A0&amp;row=48&amp;col=28&amp;number==&amp;sourceID=18","=")</f>
        <v>=</v>
      </c>
      <c r="AC48" s="4" t="str">
        <f>HYPERLINK("http://141.218.60.56/~jnz1568/getInfo.php?workbook=01_01.xlsx&amp;sheet=A0&amp;row=48&amp;col=29&amp;number=&amp;sourceID=18","")</f>
        <v/>
      </c>
      <c r="AD48" s="4" t="str">
        <f>HYPERLINK("http://141.218.60.56/~jnz1568/getInfo.php?workbook=01_01.xlsx&amp;sheet=A0&amp;row=48&amp;col=30&amp;number=&amp;sourceID=18","")</f>
        <v/>
      </c>
      <c r="AE48" s="4" t="str">
        <f>HYPERLINK("http://141.218.60.56/~jnz1568/getInfo.php?workbook=01_01.xlsx&amp;sheet=A0&amp;row=48&amp;col=31&amp;number=&amp;sourceID=18","")</f>
        <v/>
      </c>
      <c r="AF48" s="4" t="str">
        <f>HYPERLINK("http://141.218.60.56/~jnz1568/getInfo.php?workbook=01_01.xlsx&amp;sheet=A0&amp;row=48&amp;col=32&amp;number=1.62e-09&amp;sourceID=18","1.62e-09")</f>
        <v>1.62e-09</v>
      </c>
      <c r="AG48" s="4" t="str">
        <f>HYPERLINK("http://141.218.60.56/~jnz1568/getInfo.php?workbook=01_01.xlsx&amp;sheet=A0&amp;row=48&amp;col=33&amp;number=&amp;sourceID=18","")</f>
        <v/>
      </c>
      <c r="AH48" s="4" t="str">
        <f>HYPERLINK("http://141.218.60.56/~jnz1568/getInfo.php?workbook=01_01.xlsx&amp;sheet=A0&amp;row=48&amp;col=34&amp;number=&amp;sourceID=20","")</f>
        <v/>
      </c>
    </row>
    <row r="49" spans="1:34">
      <c r="A49" s="3">
        <v>1</v>
      </c>
      <c r="B49" s="3">
        <v>1</v>
      </c>
      <c r="C49" s="3">
        <v>11</v>
      </c>
      <c r="D49" s="3">
        <v>4</v>
      </c>
      <c r="E49" s="3">
        <f>((1/(INDEX(E0!J$4:J$28,C49,1)-INDEX(E0!J$4:J$28,D49,1))))*100000000</f>
        <v>0</v>
      </c>
      <c r="F49" s="4" t="str">
        <f>HYPERLINK("http://141.218.60.56/~jnz1568/getInfo.php?workbook=01_01.xlsx&amp;sheet=A0&amp;row=49&amp;col=6&amp;number=&amp;sourceID=18","")</f>
        <v/>
      </c>
      <c r="G49" s="4" t="str">
        <f>HYPERLINK("http://141.218.60.56/~jnz1568/getInfo.php?workbook=01_01.xlsx&amp;sheet=A0&amp;row=49&amp;col=7&amp;number=1719000&amp;sourceID=15","1719000")</f>
        <v>1719000</v>
      </c>
      <c r="H49" s="4" t="str">
        <f>HYPERLINK("http://141.218.60.56/~jnz1568/getInfo.php?workbook=01_01.xlsx&amp;sheet=A0&amp;row=49&amp;col=8&amp;number=1719000&amp;sourceID=15","1719000")</f>
        <v>1719000</v>
      </c>
      <c r="I49" s="4" t="str">
        <f>HYPERLINK("http://141.218.60.56/~jnz1568/getInfo.php?workbook=01_01.xlsx&amp;sheet=A0&amp;row=49&amp;col=9&amp;number=&amp;sourceID=15","")</f>
        <v/>
      </c>
      <c r="J49" s="4" t="str">
        <f>HYPERLINK("http://141.218.60.56/~jnz1568/getInfo.php?workbook=01_01.xlsx&amp;sheet=A0&amp;row=49&amp;col=10&amp;number=&amp;sourceID=15","")</f>
        <v/>
      </c>
      <c r="K49" s="4" t="str">
        <f>HYPERLINK("http://141.218.60.56/~jnz1568/getInfo.php?workbook=01_01.xlsx&amp;sheet=A0&amp;row=49&amp;col=11&amp;number=&amp;sourceID=15","")</f>
        <v/>
      </c>
      <c r="L49" s="4" t="str">
        <f>HYPERLINK("http://141.218.60.56/~jnz1568/getInfo.php?workbook=01_01.xlsx&amp;sheet=A0&amp;row=49&amp;col=12&amp;number=&amp;sourceID=15","")</f>
        <v/>
      </c>
      <c r="M49" s="4" t="str">
        <f>HYPERLINK("http://141.218.60.56/~jnz1568/getInfo.php?workbook=01_01.xlsx&amp;sheet=A0&amp;row=49&amp;col=13&amp;number=&amp;sourceID=15","")</f>
        <v/>
      </c>
      <c r="N49" s="4" t="str">
        <f>HYPERLINK("http://141.218.60.56/~jnz1568/getInfo.php?workbook=01_01.xlsx&amp;sheet=A0&amp;row=49&amp;col=14&amp;number==&amp;sourceID=11","=")</f>
        <v>=</v>
      </c>
      <c r="O49" s="4" t="str">
        <f>HYPERLINK("http://141.218.60.56/~jnz1568/getInfo.php?workbook=01_01.xlsx&amp;sheet=A0&amp;row=49&amp;col=15&amp;number=1719000&amp;sourceID=11","1719000")</f>
        <v>1719000</v>
      </c>
      <c r="P49" s="4" t="str">
        <f>HYPERLINK("http://141.218.60.56/~jnz1568/getInfo.php?workbook=01_01.xlsx&amp;sheet=A0&amp;row=49&amp;col=16&amp;number=&amp;sourceID=11","")</f>
        <v/>
      </c>
      <c r="Q49" s="4" t="str">
        <f>HYPERLINK("http://141.218.60.56/~jnz1568/getInfo.php?workbook=01_01.xlsx&amp;sheet=A0&amp;row=49&amp;col=17&amp;number=&amp;sourceID=11","")</f>
        <v/>
      </c>
      <c r="R49" s="4" t="str">
        <f>HYPERLINK("http://141.218.60.56/~jnz1568/getInfo.php?workbook=01_01.xlsx&amp;sheet=A0&amp;row=49&amp;col=18&amp;number=&amp;sourceID=11","")</f>
        <v/>
      </c>
      <c r="S49" s="4" t="str">
        <f>HYPERLINK("http://141.218.60.56/~jnz1568/getInfo.php?workbook=01_01.xlsx&amp;sheet=A0&amp;row=49&amp;col=19&amp;number=8.0332e-06&amp;sourceID=11","8.0332e-06")</f>
        <v>8.0332e-06</v>
      </c>
      <c r="T49" s="4" t="str">
        <f>HYPERLINK("http://141.218.60.56/~jnz1568/getInfo.php?workbook=01_01.xlsx&amp;sheet=A0&amp;row=49&amp;col=20&amp;number=&amp;sourceID=11","")</f>
        <v/>
      </c>
      <c r="U49" s="4" t="str">
        <f>HYPERLINK("http://141.218.60.56/~jnz1568/getInfo.php?workbook=01_01.xlsx&amp;sheet=A0&amp;row=49&amp;col=21&amp;number=1719900&amp;sourceID=12","1719900")</f>
        <v>1719900</v>
      </c>
      <c r="V49" s="4" t="str">
        <f>HYPERLINK("http://141.218.60.56/~jnz1568/getInfo.php?workbook=01_01.xlsx&amp;sheet=A0&amp;row=49&amp;col=22&amp;number=1719900&amp;sourceID=12","1719900")</f>
        <v>1719900</v>
      </c>
      <c r="W49" s="4" t="str">
        <f>HYPERLINK("http://141.218.60.56/~jnz1568/getInfo.php?workbook=01_01.xlsx&amp;sheet=A0&amp;row=49&amp;col=23&amp;number=&amp;sourceID=12","")</f>
        <v/>
      </c>
      <c r="X49" s="4" t="str">
        <f>HYPERLINK("http://141.218.60.56/~jnz1568/getInfo.php?workbook=01_01.xlsx&amp;sheet=A0&amp;row=49&amp;col=24&amp;number=&amp;sourceID=12","")</f>
        <v/>
      </c>
      <c r="Y49" s="4" t="str">
        <f>HYPERLINK("http://141.218.60.56/~jnz1568/getInfo.php?workbook=01_01.xlsx&amp;sheet=A0&amp;row=49&amp;col=25&amp;number=&amp;sourceID=12","")</f>
        <v/>
      </c>
      <c r="Z49" s="4" t="str">
        <f>HYPERLINK("http://141.218.60.56/~jnz1568/getInfo.php?workbook=01_01.xlsx&amp;sheet=A0&amp;row=49&amp;col=26&amp;number=8.0375e-06&amp;sourceID=12","8.0375e-06")</f>
        <v>8.0375e-06</v>
      </c>
      <c r="AA49" s="4" t="str">
        <f>HYPERLINK("http://141.218.60.56/~jnz1568/getInfo.php?workbook=01_01.xlsx&amp;sheet=A0&amp;row=49&amp;col=27&amp;number=&amp;sourceID=12","")</f>
        <v/>
      </c>
      <c r="AB49" s="4" t="str">
        <f>HYPERLINK("http://141.218.60.56/~jnz1568/getInfo.php?workbook=01_01.xlsx&amp;sheet=A0&amp;row=49&amp;col=28&amp;number==&amp;sourceID=18","=")</f>
        <v>=</v>
      </c>
      <c r="AC49" s="4" t="str">
        <f>HYPERLINK("http://141.218.60.56/~jnz1568/getInfo.php?workbook=01_01.xlsx&amp;sheet=A0&amp;row=49&amp;col=29&amp;number=1720000&amp;sourceID=18","1720000")</f>
        <v>1720000</v>
      </c>
      <c r="AD49" s="4" t="str">
        <f>HYPERLINK("http://141.218.60.56/~jnz1568/getInfo.php?workbook=01_01.xlsx&amp;sheet=A0&amp;row=49&amp;col=30&amp;number=&amp;sourceID=18","")</f>
        <v/>
      </c>
      <c r="AE49" s="4" t="str">
        <f>HYPERLINK("http://141.218.60.56/~jnz1568/getInfo.php?workbook=01_01.xlsx&amp;sheet=A0&amp;row=49&amp;col=31&amp;number=&amp;sourceID=18","")</f>
        <v/>
      </c>
      <c r="AF49" s="4" t="str">
        <f>HYPERLINK("http://141.218.60.56/~jnz1568/getInfo.php?workbook=01_01.xlsx&amp;sheet=A0&amp;row=49&amp;col=32&amp;number=&amp;sourceID=18","")</f>
        <v/>
      </c>
      <c r="AG49" s="4" t="str">
        <f>HYPERLINK("http://141.218.60.56/~jnz1568/getInfo.php?workbook=01_01.xlsx&amp;sheet=A0&amp;row=49&amp;col=33&amp;number=&amp;sourceID=18","")</f>
        <v/>
      </c>
      <c r="AH49" s="4" t="str">
        <f>HYPERLINK("http://141.218.60.56/~jnz1568/getInfo.php?workbook=01_01.xlsx&amp;sheet=A0&amp;row=49&amp;col=34&amp;number=&amp;sourceID=20","")</f>
        <v/>
      </c>
    </row>
    <row r="50" spans="1:34">
      <c r="A50" s="3">
        <v>1</v>
      </c>
      <c r="B50" s="3">
        <v>1</v>
      </c>
      <c r="C50" s="3">
        <v>11</v>
      </c>
      <c r="D50" s="3">
        <v>5</v>
      </c>
      <c r="E50" s="3">
        <f>((1/(INDEX(E0!J$4:J$28,C50,1)-INDEX(E0!J$4:J$28,D50,1))))*100000000</f>
        <v>0</v>
      </c>
      <c r="F50" s="4" t="str">
        <f>HYPERLINK("http://141.218.60.56/~jnz1568/getInfo.php?workbook=01_01.xlsx&amp;sheet=A0&amp;row=50&amp;col=6&amp;number=&amp;sourceID=18","")</f>
        <v/>
      </c>
      <c r="G50" s="4" t="str">
        <f>HYPERLINK("http://141.218.60.56/~jnz1568/getInfo.php?workbook=01_01.xlsx&amp;sheet=A0&amp;row=50&amp;col=7&amp;number=611820&amp;sourceID=15","611820")</f>
        <v>611820</v>
      </c>
      <c r="H50" s="4" t="str">
        <f>HYPERLINK("http://141.218.60.56/~jnz1568/getInfo.php?workbook=01_01.xlsx&amp;sheet=A0&amp;row=50&amp;col=8&amp;number=611820&amp;sourceID=15","611820")</f>
        <v>611820</v>
      </c>
      <c r="I50" s="4" t="str">
        <f>HYPERLINK("http://141.218.60.56/~jnz1568/getInfo.php?workbook=01_01.xlsx&amp;sheet=A0&amp;row=50&amp;col=9&amp;number=&amp;sourceID=15","")</f>
        <v/>
      </c>
      <c r="J50" s="4" t="str">
        <f>HYPERLINK("http://141.218.60.56/~jnz1568/getInfo.php?workbook=01_01.xlsx&amp;sheet=A0&amp;row=50&amp;col=10&amp;number=&amp;sourceID=15","")</f>
        <v/>
      </c>
      <c r="K50" s="4" t="str">
        <f>HYPERLINK("http://141.218.60.56/~jnz1568/getInfo.php?workbook=01_01.xlsx&amp;sheet=A0&amp;row=50&amp;col=11&amp;number=&amp;sourceID=15","")</f>
        <v/>
      </c>
      <c r="L50" s="4" t="str">
        <f>HYPERLINK("http://141.218.60.56/~jnz1568/getInfo.php?workbook=01_01.xlsx&amp;sheet=A0&amp;row=50&amp;col=12&amp;number=&amp;sourceID=15","")</f>
        <v/>
      </c>
      <c r="M50" s="4" t="str">
        <f>HYPERLINK("http://141.218.60.56/~jnz1568/getInfo.php?workbook=01_01.xlsx&amp;sheet=A0&amp;row=50&amp;col=13&amp;number=&amp;sourceID=15","")</f>
        <v/>
      </c>
      <c r="N50" s="4" t="str">
        <f>HYPERLINK("http://141.218.60.56/~jnz1568/getInfo.php?workbook=01_01.xlsx&amp;sheet=A0&amp;row=50&amp;col=14&amp;number==&amp;sourceID=11","=")</f>
        <v>=</v>
      </c>
      <c r="O50" s="4" t="str">
        <f>HYPERLINK("http://141.218.60.56/~jnz1568/getInfo.php?workbook=01_01.xlsx&amp;sheet=A0&amp;row=50&amp;col=15&amp;number=611820&amp;sourceID=11","611820")</f>
        <v>611820</v>
      </c>
      <c r="P50" s="4" t="str">
        <f>HYPERLINK("http://141.218.60.56/~jnz1568/getInfo.php?workbook=01_01.xlsx&amp;sheet=A0&amp;row=50&amp;col=16&amp;number=&amp;sourceID=11","")</f>
        <v/>
      </c>
      <c r="Q50" s="4" t="str">
        <f>HYPERLINK("http://141.218.60.56/~jnz1568/getInfo.php?workbook=01_01.xlsx&amp;sheet=A0&amp;row=50&amp;col=17&amp;number=&amp;sourceID=11","")</f>
        <v/>
      </c>
      <c r="R50" s="4" t="str">
        <f>HYPERLINK("http://141.218.60.56/~jnz1568/getInfo.php?workbook=01_01.xlsx&amp;sheet=A0&amp;row=50&amp;col=18&amp;number=&amp;sourceID=11","")</f>
        <v/>
      </c>
      <c r="S50" s="4" t="str">
        <f>HYPERLINK("http://141.218.60.56/~jnz1568/getInfo.php?workbook=01_01.xlsx&amp;sheet=A0&amp;row=50&amp;col=19&amp;number=&amp;sourceID=11","")</f>
        <v/>
      </c>
      <c r="T50" s="4" t="str">
        <f>HYPERLINK("http://141.218.60.56/~jnz1568/getInfo.php?workbook=01_01.xlsx&amp;sheet=A0&amp;row=50&amp;col=20&amp;number=&amp;sourceID=11","")</f>
        <v/>
      </c>
      <c r="U50" s="4" t="str">
        <f>HYPERLINK("http://141.218.60.56/~jnz1568/getInfo.php?workbook=01_01.xlsx&amp;sheet=A0&amp;row=50&amp;col=21&amp;number=612160&amp;sourceID=12","612160")</f>
        <v>612160</v>
      </c>
      <c r="V50" s="4" t="str">
        <f>HYPERLINK("http://141.218.60.56/~jnz1568/getInfo.php?workbook=01_01.xlsx&amp;sheet=A0&amp;row=50&amp;col=22&amp;number=612160&amp;sourceID=12","612160")</f>
        <v>612160</v>
      </c>
      <c r="W50" s="4" t="str">
        <f>HYPERLINK("http://141.218.60.56/~jnz1568/getInfo.php?workbook=01_01.xlsx&amp;sheet=A0&amp;row=50&amp;col=23&amp;number=&amp;sourceID=12","")</f>
        <v/>
      </c>
      <c r="X50" s="4" t="str">
        <f>HYPERLINK("http://141.218.60.56/~jnz1568/getInfo.php?workbook=01_01.xlsx&amp;sheet=A0&amp;row=50&amp;col=24&amp;number=&amp;sourceID=12","")</f>
        <v/>
      </c>
      <c r="Y50" s="4" t="str">
        <f>HYPERLINK("http://141.218.60.56/~jnz1568/getInfo.php?workbook=01_01.xlsx&amp;sheet=A0&amp;row=50&amp;col=25&amp;number=&amp;sourceID=12","")</f>
        <v/>
      </c>
      <c r="Z50" s="4" t="str">
        <f>HYPERLINK("http://141.218.60.56/~jnz1568/getInfo.php?workbook=01_01.xlsx&amp;sheet=A0&amp;row=50&amp;col=26&amp;number=&amp;sourceID=12","")</f>
        <v/>
      </c>
      <c r="AA50" s="4" t="str">
        <f>HYPERLINK("http://141.218.60.56/~jnz1568/getInfo.php?workbook=01_01.xlsx&amp;sheet=A0&amp;row=50&amp;col=27&amp;number=&amp;sourceID=12","")</f>
        <v/>
      </c>
      <c r="AB50" s="4" t="str">
        <f>HYPERLINK("http://141.218.60.56/~jnz1568/getInfo.php?workbook=01_01.xlsx&amp;sheet=A0&amp;row=50&amp;col=28&amp;number==&amp;sourceID=18","=")</f>
        <v>=</v>
      </c>
      <c r="AC50" s="4" t="str">
        <f>HYPERLINK("http://141.218.60.56/~jnz1568/getInfo.php?workbook=01_01.xlsx&amp;sheet=A0&amp;row=50&amp;col=29&amp;number=612000&amp;sourceID=18","612000")</f>
        <v>612000</v>
      </c>
      <c r="AD50" s="4" t="str">
        <f>HYPERLINK("http://141.218.60.56/~jnz1568/getInfo.php?workbook=01_01.xlsx&amp;sheet=A0&amp;row=50&amp;col=30&amp;number=&amp;sourceID=18","")</f>
        <v/>
      </c>
      <c r="AE50" s="4" t="str">
        <f>HYPERLINK("http://141.218.60.56/~jnz1568/getInfo.php?workbook=01_01.xlsx&amp;sheet=A0&amp;row=50&amp;col=31&amp;number=&amp;sourceID=18","")</f>
        <v/>
      </c>
      <c r="AF50" s="4" t="str">
        <f>HYPERLINK("http://141.218.60.56/~jnz1568/getInfo.php?workbook=01_01.xlsx&amp;sheet=A0&amp;row=50&amp;col=32&amp;number=&amp;sourceID=18","")</f>
        <v/>
      </c>
      <c r="AG50" s="4" t="str">
        <f>HYPERLINK("http://141.218.60.56/~jnz1568/getInfo.php?workbook=01_01.xlsx&amp;sheet=A0&amp;row=50&amp;col=33&amp;number=&amp;sourceID=18","")</f>
        <v/>
      </c>
      <c r="AH50" s="4" t="str">
        <f>HYPERLINK("http://141.218.60.56/~jnz1568/getInfo.php?workbook=01_01.xlsx&amp;sheet=A0&amp;row=50&amp;col=34&amp;number=&amp;sourceID=20","")</f>
        <v/>
      </c>
    </row>
    <row r="51" spans="1:34">
      <c r="A51" s="3">
        <v>1</v>
      </c>
      <c r="B51" s="3">
        <v>1</v>
      </c>
      <c r="C51" s="3">
        <v>11</v>
      </c>
      <c r="D51" s="3">
        <v>6</v>
      </c>
      <c r="E51" s="3">
        <f>((1/(INDEX(E0!J$4:J$28,C51,1)-INDEX(E0!J$4:J$28,D51,1))))*100000000</f>
        <v>0</v>
      </c>
      <c r="F51" s="4" t="str">
        <f>HYPERLINK("http://141.218.60.56/~jnz1568/getInfo.php?workbook=01_01.xlsx&amp;sheet=A0&amp;row=51&amp;col=6&amp;number=&amp;sourceID=18","")</f>
        <v/>
      </c>
      <c r="G51" s="4" t="str">
        <f>HYPERLINK("http://141.218.60.56/~jnz1568/getInfo.php?workbook=01_01.xlsx&amp;sheet=A0&amp;row=51&amp;col=7&amp;number=&amp;sourceID=15","")</f>
        <v/>
      </c>
      <c r="H51" s="4" t="str">
        <f>HYPERLINK("http://141.218.60.56/~jnz1568/getInfo.php?workbook=01_01.xlsx&amp;sheet=A0&amp;row=51&amp;col=8&amp;number=&amp;sourceID=15","")</f>
        <v/>
      </c>
      <c r="I51" s="4" t="str">
        <f>HYPERLINK("http://141.218.60.56/~jnz1568/getInfo.php?workbook=01_01.xlsx&amp;sheet=A0&amp;row=51&amp;col=9&amp;number=&amp;sourceID=15","")</f>
        <v/>
      </c>
      <c r="J51" s="4" t="str">
        <f>HYPERLINK("http://141.218.60.56/~jnz1568/getInfo.php?workbook=01_01.xlsx&amp;sheet=A0&amp;row=51&amp;col=10&amp;number=&amp;sourceID=15","")</f>
        <v/>
      </c>
      <c r="K51" s="4" t="str">
        <f>HYPERLINK("http://141.218.60.56/~jnz1568/getInfo.php?workbook=01_01.xlsx&amp;sheet=A0&amp;row=51&amp;col=11&amp;number=&amp;sourceID=15","")</f>
        <v/>
      </c>
      <c r="L51" s="4" t="str">
        <f>HYPERLINK("http://141.218.60.56/~jnz1568/getInfo.php?workbook=01_01.xlsx&amp;sheet=A0&amp;row=51&amp;col=12&amp;number=&amp;sourceID=15","")</f>
        <v/>
      </c>
      <c r="M51" s="4" t="str">
        <f>HYPERLINK("http://141.218.60.56/~jnz1568/getInfo.php?workbook=01_01.xlsx&amp;sheet=A0&amp;row=51&amp;col=13&amp;number=&amp;sourceID=15","")</f>
        <v/>
      </c>
      <c r="N51" s="4" t="str">
        <f>HYPERLINK("http://141.218.60.56/~jnz1568/getInfo.php?workbook=01_01.xlsx&amp;sheet=A0&amp;row=51&amp;col=14&amp;number==&amp;sourceID=11","=")</f>
        <v>=</v>
      </c>
      <c r="O51" s="4" t="str">
        <f>HYPERLINK("http://141.218.60.56/~jnz1568/getInfo.php?workbook=01_01.xlsx&amp;sheet=A0&amp;row=51&amp;col=15&amp;number=&amp;sourceID=11","")</f>
        <v/>
      </c>
      <c r="P51" s="4" t="str">
        <f>HYPERLINK("http://141.218.60.56/~jnz1568/getInfo.php?workbook=01_01.xlsx&amp;sheet=A0&amp;row=51&amp;col=16&amp;number=&amp;sourceID=11","")</f>
        <v/>
      </c>
      <c r="Q51" s="4" t="str">
        <f>HYPERLINK("http://141.218.60.56/~jnz1568/getInfo.php?workbook=01_01.xlsx&amp;sheet=A0&amp;row=51&amp;col=17&amp;number=&amp;sourceID=11","")</f>
        <v/>
      </c>
      <c r="R51" s="4" t="str">
        <f>HYPERLINK("http://141.218.60.56/~jnz1568/getInfo.php?workbook=01_01.xlsx&amp;sheet=A0&amp;row=51&amp;col=18&amp;number=2.0464e-11&amp;sourceID=11","2.0464e-11")</f>
        <v>2.0464e-11</v>
      </c>
      <c r="S51" s="4" t="str">
        <f>HYPERLINK("http://141.218.60.56/~jnz1568/getInfo.php?workbook=01_01.xlsx&amp;sheet=A0&amp;row=51&amp;col=19&amp;number=&amp;sourceID=11","")</f>
        <v/>
      </c>
      <c r="T51" s="4" t="str">
        <f>HYPERLINK("http://141.218.60.56/~jnz1568/getInfo.php?workbook=01_01.xlsx&amp;sheet=A0&amp;row=51&amp;col=20&amp;number=&amp;sourceID=11","")</f>
        <v/>
      </c>
      <c r="U51" s="4" t="str">
        <f>HYPERLINK("http://141.218.60.56/~jnz1568/getInfo.php?workbook=01_01.xlsx&amp;sheet=A0&amp;row=51&amp;col=21&amp;number=2.0466e-11&amp;sourceID=12","2.0466e-11")</f>
        <v>2.0466e-11</v>
      </c>
      <c r="V51" s="4" t="str">
        <f>HYPERLINK("http://141.218.60.56/~jnz1568/getInfo.php?workbook=01_01.xlsx&amp;sheet=A0&amp;row=51&amp;col=22&amp;number=&amp;sourceID=12","")</f>
        <v/>
      </c>
      <c r="W51" s="4" t="str">
        <f>HYPERLINK("http://141.218.60.56/~jnz1568/getInfo.php?workbook=01_01.xlsx&amp;sheet=A0&amp;row=51&amp;col=23&amp;number=&amp;sourceID=12","")</f>
        <v/>
      </c>
      <c r="X51" s="4" t="str">
        <f>HYPERLINK("http://141.218.60.56/~jnz1568/getInfo.php?workbook=01_01.xlsx&amp;sheet=A0&amp;row=51&amp;col=24&amp;number=&amp;sourceID=12","")</f>
        <v/>
      </c>
      <c r="Y51" s="4" t="str">
        <f>HYPERLINK("http://141.218.60.56/~jnz1568/getInfo.php?workbook=01_01.xlsx&amp;sheet=A0&amp;row=51&amp;col=25&amp;number=2.0466e-11&amp;sourceID=12","2.0466e-11")</f>
        <v>2.0466e-11</v>
      </c>
      <c r="Z51" s="4" t="str">
        <f>HYPERLINK("http://141.218.60.56/~jnz1568/getInfo.php?workbook=01_01.xlsx&amp;sheet=A0&amp;row=51&amp;col=26&amp;number=&amp;sourceID=12","")</f>
        <v/>
      </c>
      <c r="AA51" s="4" t="str">
        <f>HYPERLINK("http://141.218.60.56/~jnz1568/getInfo.php?workbook=01_01.xlsx&amp;sheet=A0&amp;row=51&amp;col=27&amp;number=&amp;sourceID=12","")</f>
        <v/>
      </c>
      <c r="AB51" s="4" t="str">
        <f>HYPERLINK("http://141.218.60.56/~jnz1568/getInfo.php?workbook=01_01.xlsx&amp;sheet=A0&amp;row=51&amp;col=28&amp;number==&amp;sourceID=18","=")</f>
        <v>=</v>
      </c>
      <c r="AC51" s="4" t="str">
        <f>HYPERLINK("http://141.218.60.56/~jnz1568/getInfo.php?workbook=01_01.xlsx&amp;sheet=A0&amp;row=51&amp;col=29&amp;number=&amp;sourceID=18","")</f>
        <v/>
      </c>
      <c r="AD51" s="4" t="str">
        <f>HYPERLINK("http://141.218.60.56/~jnz1568/getInfo.php?workbook=01_01.xlsx&amp;sheet=A0&amp;row=51&amp;col=30&amp;number=&amp;sourceID=18","")</f>
        <v/>
      </c>
      <c r="AE51" s="4" t="str">
        <f>HYPERLINK("http://141.218.60.56/~jnz1568/getInfo.php?workbook=01_01.xlsx&amp;sheet=A0&amp;row=51&amp;col=31&amp;number=&amp;sourceID=18","")</f>
        <v/>
      </c>
      <c r="AF51" s="4" t="str">
        <f>HYPERLINK("http://141.218.60.56/~jnz1568/getInfo.php?workbook=01_01.xlsx&amp;sheet=A0&amp;row=51&amp;col=32&amp;number=2.05e-11&amp;sourceID=18","2.05e-11")</f>
        <v>2.05e-11</v>
      </c>
      <c r="AG51" s="4" t="str">
        <f>HYPERLINK("http://141.218.60.56/~jnz1568/getInfo.php?workbook=01_01.xlsx&amp;sheet=A0&amp;row=51&amp;col=33&amp;number=&amp;sourceID=18","")</f>
        <v/>
      </c>
      <c r="AH51" s="4" t="str">
        <f>HYPERLINK("http://141.218.60.56/~jnz1568/getInfo.php?workbook=01_01.xlsx&amp;sheet=A0&amp;row=51&amp;col=34&amp;number=&amp;sourceID=20","")</f>
        <v/>
      </c>
    </row>
    <row r="52" spans="1:34">
      <c r="A52" s="3">
        <v>1</v>
      </c>
      <c r="B52" s="3">
        <v>1</v>
      </c>
      <c r="C52" s="3">
        <v>11</v>
      </c>
      <c r="D52" s="3">
        <v>7</v>
      </c>
      <c r="E52" s="3">
        <f>((1/(INDEX(E0!J$4:J$28,C52,1)-INDEX(E0!J$4:J$28,D52,1))))*100000000</f>
        <v>0</v>
      </c>
      <c r="F52" s="4" t="str">
        <f>HYPERLINK("http://141.218.60.56/~jnz1568/getInfo.php?workbook=01_01.xlsx&amp;sheet=A0&amp;row=52&amp;col=6&amp;number=&amp;sourceID=18","")</f>
        <v/>
      </c>
      <c r="G52" s="4" t="str">
        <f>HYPERLINK("http://141.218.60.56/~jnz1568/getInfo.php?workbook=01_01.xlsx&amp;sheet=A0&amp;row=52&amp;col=7&amp;number=&amp;sourceID=15","")</f>
        <v/>
      </c>
      <c r="H52" s="4" t="str">
        <f>HYPERLINK("http://141.218.60.56/~jnz1568/getInfo.php?workbook=01_01.xlsx&amp;sheet=A0&amp;row=52&amp;col=8&amp;number=&amp;sourceID=15","")</f>
        <v/>
      </c>
      <c r="I52" s="4" t="str">
        <f>HYPERLINK("http://141.218.60.56/~jnz1568/getInfo.php?workbook=01_01.xlsx&amp;sheet=A0&amp;row=52&amp;col=9&amp;number=&amp;sourceID=15","")</f>
        <v/>
      </c>
      <c r="J52" s="4" t="str">
        <f>HYPERLINK("http://141.218.60.56/~jnz1568/getInfo.php?workbook=01_01.xlsx&amp;sheet=A0&amp;row=52&amp;col=10&amp;number=&amp;sourceID=15","")</f>
        <v/>
      </c>
      <c r="K52" s="4" t="str">
        <f>HYPERLINK("http://141.218.60.56/~jnz1568/getInfo.php?workbook=01_01.xlsx&amp;sheet=A0&amp;row=52&amp;col=11&amp;number=&amp;sourceID=15","")</f>
        <v/>
      </c>
      <c r="L52" s="4" t="str">
        <f>HYPERLINK("http://141.218.60.56/~jnz1568/getInfo.php?workbook=01_01.xlsx&amp;sheet=A0&amp;row=52&amp;col=12&amp;number=&amp;sourceID=15","")</f>
        <v/>
      </c>
      <c r="M52" s="4" t="str">
        <f>HYPERLINK("http://141.218.60.56/~jnz1568/getInfo.php?workbook=01_01.xlsx&amp;sheet=A0&amp;row=52&amp;col=13&amp;number=&amp;sourceID=15","")</f>
        <v/>
      </c>
      <c r="N52" s="4" t="str">
        <f>HYPERLINK("http://141.218.60.56/~jnz1568/getInfo.php?workbook=01_01.xlsx&amp;sheet=A0&amp;row=52&amp;col=14&amp;number==&amp;sourceID=11","=")</f>
        <v>=</v>
      </c>
      <c r="O52" s="4" t="str">
        <f>HYPERLINK("http://141.218.60.56/~jnz1568/getInfo.php?workbook=01_01.xlsx&amp;sheet=A0&amp;row=52&amp;col=15&amp;number=&amp;sourceID=11","")</f>
        <v/>
      </c>
      <c r="P52" s="4" t="str">
        <f>HYPERLINK("http://141.218.60.56/~jnz1568/getInfo.php?workbook=01_01.xlsx&amp;sheet=A0&amp;row=52&amp;col=16&amp;number=0.41128&amp;sourceID=11","0.41128")</f>
        <v>0.41128</v>
      </c>
      <c r="Q52" s="4" t="str">
        <f>HYPERLINK("http://141.218.60.56/~jnz1568/getInfo.php?workbook=01_01.xlsx&amp;sheet=A0&amp;row=52&amp;col=17&amp;number=&amp;sourceID=11","")</f>
        <v/>
      </c>
      <c r="R52" s="4" t="str">
        <f>HYPERLINK("http://141.218.60.56/~jnz1568/getInfo.php?workbook=01_01.xlsx&amp;sheet=A0&amp;row=52&amp;col=18&amp;number=1.3e-14&amp;sourceID=11","1.3e-14")</f>
        <v>1.3e-14</v>
      </c>
      <c r="S52" s="4" t="str">
        <f>HYPERLINK("http://141.218.60.56/~jnz1568/getInfo.php?workbook=01_01.xlsx&amp;sheet=A0&amp;row=52&amp;col=19&amp;number=&amp;sourceID=11","")</f>
        <v/>
      </c>
      <c r="T52" s="4" t="str">
        <f>HYPERLINK("http://141.218.60.56/~jnz1568/getInfo.php?workbook=01_01.xlsx&amp;sheet=A0&amp;row=52&amp;col=20&amp;number=&amp;sourceID=11","")</f>
        <v/>
      </c>
      <c r="U52" s="4" t="str">
        <f>HYPERLINK("http://141.218.60.56/~jnz1568/getInfo.php?workbook=01_01.xlsx&amp;sheet=A0&amp;row=52&amp;col=21&amp;number=0.4115&amp;sourceID=12","0.4115")</f>
        <v>0.4115</v>
      </c>
      <c r="V52" s="4" t="str">
        <f>HYPERLINK("http://141.218.60.56/~jnz1568/getInfo.php?workbook=01_01.xlsx&amp;sheet=A0&amp;row=52&amp;col=22&amp;number=&amp;sourceID=12","")</f>
        <v/>
      </c>
      <c r="W52" s="4" t="str">
        <f>HYPERLINK("http://141.218.60.56/~jnz1568/getInfo.php?workbook=01_01.xlsx&amp;sheet=A0&amp;row=52&amp;col=23&amp;number=0.4115&amp;sourceID=12","0.4115")</f>
        <v>0.4115</v>
      </c>
      <c r="X52" s="4" t="str">
        <f>HYPERLINK("http://141.218.60.56/~jnz1568/getInfo.php?workbook=01_01.xlsx&amp;sheet=A0&amp;row=52&amp;col=24&amp;number=&amp;sourceID=12","")</f>
        <v/>
      </c>
      <c r="Y52" s="4" t="str">
        <f>HYPERLINK("http://141.218.60.56/~jnz1568/getInfo.php?workbook=01_01.xlsx&amp;sheet=A0&amp;row=52&amp;col=25&amp;number=7e-15&amp;sourceID=12","7e-15")</f>
        <v>7e-15</v>
      </c>
      <c r="Z52" s="4" t="str">
        <f>HYPERLINK("http://141.218.60.56/~jnz1568/getInfo.php?workbook=01_01.xlsx&amp;sheet=A0&amp;row=52&amp;col=26&amp;number=&amp;sourceID=12","")</f>
        <v/>
      </c>
      <c r="AA52" s="4" t="str">
        <f>HYPERLINK("http://141.218.60.56/~jnz1568/getInfo.php?workbook=01_01.xlsx&amp;sheet=A0&amp;row=52&amp;col=27&amp;number=&amp;sourceID=12","")</f>
        <v/>
      </c>
      <c r="AB52" s="4" t="str">
        <f>HYPERLINK("http://141.218.60.56/~jnz1568/getInfo.php?workbook=01_01.xlsx&amp;sheet=A0&amp;row=52&amp;col=28&amp;number==&amp;sourceID=18","=")</f>
        <v>=</v>
      </c>
      <c r="AC52" s="4" t="str">
        <f>HYPERLINK("http://141.218.60.56/~jnz1568/getInfo.php?workbook=01_01.xlsx&amp;sheet=A0&amp;row=52&amp;col=29&amp;number=&amp;sourceID=18","")</f>
        <v/>
      </c>
      <c r="AD52" s="4" t="str">
        <f>HYPERLINK("http://141.218.60.56/~jnz1568/getInfo.php?workbook=01_01.xlsx&amp;sheet=A0&amp;row=52&amp;col=30&amp;number=0.412&amp;sourceID=18","0.412")</f>
        <v>0.412</v>
      </c>
      <c r="AE52" s="4" t="str">
        <f>HYPERLINK("http://141.218.60.56/~jnz1568/getInfo.php?workbook=01_01.xlsx&amp;sheet=A0&amp;row=52&amp;col=31&amp;number=&amp;sourceID=18","")</f>
        <v/>
      </c>
      <c r="AF52" s="4" t="str">
        <f>HYPERLINK("http://141.218.60.56/~jnz1568/getInfo.php?workbook=01_01.xlsx&amp;sheet=A0&amp;row=52&amp;col=32&amp;number=2e-15&amp;sourceID=18","2e-15")</f>
        <v>2e-15</v>
      </c>
      <c r="AG52" s="4" t="str">
        <f>HYPERLINK("http://141.218.60.56/~jnz1568/getInfo.php?workbook=01_01.xlsx&amp;sheet=A0&amp;row=52&amp;col=33&amp;number=&amp;sourceID=18","")</f>
        <v/>
      </c>
      <c r="AH52" s="4" t="str">
        <f>HYPERLINK("http://141.218.60.56/~jnz1568/getInfo.php?workbook=01_01.xlsx&amp;sheet=A0&amp;row=52&amp;col=34&amp;number=&amp;sourceID=20","")</f>
        <v/>
      </c>
    </row>
    <row r="53" spans="1:34">
      <c r="A53" s="3">
        <v>1</v>
      </c>
      <c r="B53" s="3">
        <v>1</v>
      </c>
      <c r="C53" s="3">
        <v>11</v>
      </c>
      <c r="D53" s="3">
        <v>8</v>
      </c>
      <c r="E53" s="3">
        <f>((1/(INDEX(E0!J$4:J$28,C53,1)-INDEX(E0!J$4:J$28,D53,1))))*100000000</f>
        <v>0</v>
      </c>
      <c r="F53" s="4" t="str">
        <f>HYPERLINK("http://141.218.60.56/~jnz1568/getInfo.php?workbook=01_01.xlsx&amp;sheet=A0&amp;row=53&amp;col=6&amp;number=&amp;sourceID=18","")</f>
        <v/>
      </c>
      <c r="G53" s="4" t="str">
        <f>HYPERLINK("http://141.218.60.56/~jnz1568/getInfo.php?workbook=01_01.xlsx&amp;sheet=A0&amp;row=53&amp;col=7&amp;number=1223800&amp;sourceID=15","1223800")</f>
        <v>1223800</v>
      </c>
      <c r="H53" s="4" t="str">
        <f>HYPERLINK("http://141.218.60.56/~jnz1568/getInfo.php?workbook=01_01.xlsx&amp;sheet=A0&amp;row=53&amp;col=8&amp;number=1223800&amp;sourceID=15","1223800")</f>
        <v>1223800</v>
      </c>
      <c r="I53" s="4" t="str">
        <f>HYPERLINK("http://141.218.60.56/~jnz1568/getInfo.php?workbook=01_01.xlsx&amp;sheet=A0&amp;row=53&amp;col=9&amp;number=&amp;sourceID=15","")</f>
        <v/>
      </c>
      <c r="J53" s="4" t="str">
        <f>HYPERLINK("http://141.218.60.56/~jnz1568/getInfo.php?workbook=01_01.xlsx&amp;sheet=A0&amp;row=53&amp;col=10&amp;number=&amp;sourceID=15","")</f>
        <v/>
      </c>
      <c r="K53" s="4" t="str">
        <f>HYPERLINK("http://141.218.60.56/~jnz1568/getInfo.php?workbook=01_01.xlsx&amp;sheet=A0&amp;row=53&amp;col=11&amp;number=&amp;sourceID=15","")</f>
        <v/>
      </c>
      <c r="L53" s="4" t="str">
        <f>HYPERLINK("http://141.218.60.56/~jnz1568/getInfo.php?workbook=01_01.xlsx&amp;sheet=A0&amp;row=53&amp;col=12&amp;number=&amp;sourceID=15","")</f>
        <v/>
      </c>
      <c r="M53" s="4" t="str">
        <f>HYPERLINK("http://141.218.60.56/~jnz1568/getInfo.php?workbook=01_01.xlsx&amp;sheet=A0&amp;row=53&amp;col=13&amp;number=&amp;sourceID=15","")</f>
        <v/>
      </c>
      <c r="N53" s="4" t="str">
        <f>HYPERLINK("http://141.218.60.56/~jnz1568/getInfo.php?workbook=01_01.xlsx&amp;sheet=A0&amp;row=53&amp;col=14&amp;number==&amp;sourceID=11","=")</f>
        <v>=</v>
      </c>
      <c r="O53" s="4" t="str">
        <f>HYPERLINK("http://141.218.60.56/~jnz1568/getInfo.php?workbook=01_01.xlsx&amp;sheet=A0&amp;row=53&amp;col=15&amp;number=1223800&amp;sourceID=11","1223800")</f>
        <v>1223800</v>
      </c>
      <c r="P53" s="4" t="str">
        <f>HYPERLINK("http://141.218.60.56/~jnz1568/getInfo.php?workbook=01_01.xlsx&amp;sheet=A0&amp;row=53&amp;col=16&amp;number=&amp;sourceID=11","")</f>
        <v/>
      </c>
      <c r="Q53" s="4" t="str">
        <f>HYPERLINK("http://141.218.60.56/~jnz1568/getInfo.php?workbook=01_01.xlsx&amp;sheet=A0&amp;row=53&amp;col=17&amp;number=&amp;sourceID=11","")</f>
        <v/>
      </c>
      <c r="R53" s="4" t="str">
        <f>HYPERLINK("http://141.218.60.56/~jnz1568/getInfo.php?workbook=01_01.xlsx&amp;sheet=A0&amp;row=53&amp;col=18&amp;number=&amp;sourceID=11","")</f>
        <v/>
      </c>
      <c r="S53" s="4" t="str">
        <f>HYPERLINK("http://141.218.60.56/~jnz1568/getInfo.php?workbook=01_01.xlsx&amp;sheet=A0&amp;row=53&amp;col=19&amp;number=3.8439e-07&amp;sourceID=11","3.8439e-07")</f>
        <v>3.8439e-07</v>
      </c>
      <c r="T53" s="4" t="str">
        <f>HYPERLINK("http://141.218.60.56/~jnz1568/getInfo.php?workbook=01_01.xlsx&amp;sheet=A0&amp;row=53&amp;col=20&amp;number=&amp;sourceID=11","")</f>
        <v/>
      </c>
      <c r="U53" s="4" t="str">
        <f>HYPERLINK("http://141.218.60.56/~jnz1568/getInfo.php?workbook=01_01.xlsx&amp;sheet=A0&amp;row=53&amp;col=21&amp;number=1224400&amp;sourceID=12","1224400")</f>
        <v>1224400</v>
      </c>
      <c r="V53" s="4" t="str">
        <f>HYPERLINK("http://141.218.60.56/~jnz1568/getInfo.php?workbook=01_01.xlsx&amp;sheet=A0&amp;row=53&amp;col=22&amp;number=1224400&amp;sourceID=12","1224400")</f>
        <v>1224400</v>
      </c>
      <c r="W53" s="4" t="str">
        <f>HYPERLINK("http://141.218.60.56/~jnz1568/getInfo.php?workbook=01_01.xlsx&amp;sheet=A0&amp;row=53&amp;col=23&amp;number=&amp;sourceID=12","")</f>
        <v/>
      </c>
      <c r="X53" s="4" t="str">
        <f>HYPERLINK("http://141.218.60.56/~jnz1568/getInfo.php?workbook=01_01.xlsx&amp;sheet=A0&amp;row=53&amp;col=24&amp;number=&amp;sourceID=12","")</f>
        <v/>
      </c>
      <c r="Y53" s="4" t="str">
        <f>HYPERLINK("http://141.218.60.56/~jnz1568/getInfo.php?workbook=01_01.xlsx&amp;sheet=A0&amp;row=53&amp;col=25&amp;number=&amp;sourceID=12","")</f>
        <v/>
      </c>
      <c r="Z53" s="4" t="str">
        <f>HYPERLINK("http://141.218.60.56/~jnz1568/getInfo.php?workbook=01_01.xlsx&amp;sheet=A0&amp;row=53&amp;col=26&amp;number=3.846e-07&amp;sourceID=12","3.846e-07")</f>
        <v>3.846e-07</v>
      </c>
      <c r="AA53" s="4" t="str">
        <f>HYPERLINK("http://141.218.60.56/~jnz1568/getInfo.php?workbook=01_01.xlsx&amp;sheet=A0&amp;row=53&amp;col=27&amp;number=&amp;sourceID=12","")</f>
        <v/>
      </c>
      <c r="AB53" s="4" t="str">
        <f>HYPERLINK("http://141.218.60.56/~jnz1568/getInfo.php?workbook=01_01.xlsx&amp;sheet=A0&amp;row=53&amp;col=28&amp;number==&amp;sourceID=18","=")</f>
        <v>=</v>
      </c>
      <c r="AC53" s="4" t="str">
        <f>HYPERLINK("http://141.218.60.56/~jnz1568/getInfo.php?workbook=01_01.xlsx&amp;sheet=A0&amp;row=53&amp;col=29&amp;number=1220000&amp;sourceID=18","1220000")</f>
        <v>1220000</v>
      </c>
      <c r="AD53" s="4" t="str">
        <f>HYPERLINK("http://141.218.60.56/~jnz1568/getInfo.php?workbook=01_01.xlsx&amp;sheet=A0&amp;row=53&amp;col=30&amp;number=&amp;sourceID=18","")</f>
        <v/>
      </c>
      <c r="AE53" s="4" t="str">
        <f>HYPERLINK("http://141.218.60.56/~jnz1568/getInfo.php?workbook=01_01.xlsx&amp;sheet=A0&amp;row=53&amp;col=31&amp;number=&amp;sourceID=18","")</f>
        <v/>
      </c>
      <c r="AF53" s="4" t="str">
        <f>HYPERLINK("http://141.218.60.56/~jnz1568/getInfo.php?workbook=01_01.xlsx&amp;sheet=A0&amp;row=53&amp;col=32&amp;number=&amp;sourceID=18","")</f>
        <v/>
      </c>
      <c r="AG53" s="4" t="str">
        <f>HYPERLINK("http://141.218.60.56/~jnz1568/getInfo.php?workbook=01_01.xlsx&amp;sheet=A0&amp;row=53&amp;col=33&amp;number=&amp;sourceID=18","")</f>
        <v/>
      </c>
      <c r="AH53" s="4" t="str">
        <f>HYPERLINK("http://141.218.60.56/~jnz1568/getInfo.php?workbook=01_01.xlsx&amp;sheet=A0&amp;row=53&amp;col=34&amp;number=&amp;sourceID=20","")</f>
        <v/>
      </c>
    </row>
    <row r="54" spans="1:34">
      <c r="A54" s="3">
        <v>1</v>
      </c>
      <c r="B54" s="3">
        <v>1</v>
      </c>
      <c r="C54" s="3">
        <v>11</v>
      </c>
      <c r="D54" s="3">
        <v>9</v>
      </c>
      <c r="E54" s="3">
        <f>((1/(INDEX(E0!J$4:J$28,C54,1)-INDEX(E0!J$4:J$28,D54,1))))*100000000</f>
        <v>0</v>
      </c>
      <c r="F54" s="4" t="str">
        <f>HYPERLINK("http://141.218.60.56/~jnz1568/getInfo.php?workbook=01_01.xlsx&amp;sheet=A0&amp;row=54&amp;col=6&amp;number=&amp;sourceID=18","")</f>
        <v/>
      </c>
      <c r="G54" s="4" t="str">
        <f>HYPERLINK("http://141.218.60.56/~jnz1568/getInfo.php?workbook=01_01.xlsx&amp;sheet=A0&amp;row=54&amp;col=7&amp;number=&amp;sourceID=15","")</f>
        <v/>
      </c>
      <c r="H54" s="4" t="str">
        <f>HYPERLINK("http://141.218.60.56/~jnz1568/getInfo.php?workbook=01_01.xlsx&amp;sheet=A0&amp;row=54&amp;col=8&amp;number=&amp;sourceID=15","")</f>
        <v/>
      </c>
      <c r="I54" s="4" t="str">
        <f>HYPERLINK("http://141.218.60.56/~jnz1568/getInfo.php?workbook=01_01.xlsx&amp;sheet=A0&amp;row=54&amp;col=9&amp;number=&amp;sourceID=15","")</f>
        <v/>
      </c>
      <c r="J54" s="4" t="str">
        <f>HYPERLINK("http://141.218.60.56/~jnz1568/getInfo.php?workbook=01_01.xlsx&amp;sheet=A0&amp;row=54&amp;col=10&amp;number=&amp;sourceID=15","")</f>
        <v/>
      </c>
      <c r="K54" s="4" t="str">
        <f>HYPERLINK("http://141.218.60.56/~jnz1568/getInfo.php?workbook=01_01.xlsx&amp;sheet=A0&amp;row=54&amp;col=11&amp;number=&amp;sourceID=15","")</f>
        <v/>
      </c>
      <c r="L54" s="4" t="str">
        <f>HYPERLINK("http://141.218.60.56/~jnz1568/getInfo.php?workbook=01_01.xlsx&amp;sheet=A0&amp;row=54&amp;col=12&amp;number=&amp;sourceID=15","")</f>
        <v/>
      </c>
      <c r="M54" s="4" t="str">
        <f>HYPERLINK("http://141.218.60.56/~jnz1568/getInfo.php?workbook=01_01.xlsx&amp;sheet=A0&amp;row=54&amp;col=13&amp;number=&amp;sourceID=15","")</f>
        <v/>
      </c>
      <c r="N54" s="4" t="str">
        <f>HYPERLINK("http://141.218.60.56/~jnz1568/getInfo.php?workbook=01_01.xlsx&amp;sheet=A0&amp;row=54&amp;col=14&amp;number==&amp;sourceID=11","=")</f>
        <v>=</v>
      </c>
      <c r="O54" s="4" t="str">
        <f>HYPERLINK("http://141.218.60.56/~jnz1568/getInfo.php?workbook=01_01.xlsx&amp;sheet=A0&amp;row=54&amp;col=15&amp;number=&amp;sourceID=11","")</f>
        <v/>
      </c>
      <c r="P54" s="4" t="str">
        <f>HYPERLINK("http://141.218.60.56/~jnz1568/getInfo.php?workbook=01_01.xlsx&amp;sheet=A0&amp;row=54&amp;col=16&amp;number=0.61692&amp;sourceID=11","0.61692")</f>
        <v>0.61692</v>
      </c>
      <c r="Q54" s="4" t="str">
        <f>HYPERLINK("http://141.218.60.56/~jnz1568/getInfo.php?workbook=01_01.xlsx&amp;sheet=A0&amp;row=54&amp;col=17&amp;number=&amp;sourceID=11","")</f>
        <v/>
      </c>
      <c r="R54" s="4" t="str">
        <f>HYPERLINK("http://141.218.60.56/~jnz1568/getInfo.php?workbook=01_01.xlsx&amp;sheet=A0&amp;row=54&amp;col=18&amp;number=&amp;sourceID=11","")</f>
        <v/>
      </c>
      <c r="S54" s="4" t="str">
        <f>HYPERLINK("http://141.218.60.56/~jnz1568/getInfo.php?workbook=01_01.xlsx&amp;sheet=A0&amp;row=54&amp;col=19&amp;number=&amp;sourceID=11","")</f>
        <v/>
      </c>
      <c r="T54" s="4" t="str">
        <f>HYPERLINK("http://141.218.60.56/~jnz1568/getInfo.php?workbook=01_01.xlsx&amp;sheet=A0&amp;row=54&amp;col=20&amp;number=2.3e-13&amp;sourceID=11","2.3e-13")</f>
        <v>2.3e-13</v>
      </c>
      <c r="U54" s="4" t="str">
        <f>HYPERLINK("http://141.218.60.56/~jnz1568/getInfo.php?workbook=01_01.xlsx&amp;sheet=A0&amp;row=54&amp;col=21&amp;number=0.61726&amp;sourceID=12","0.61726")</f>
        <v>0.61726</v>
      </c>
      <c r="V54" s="4" t="str">
        <f>HYPERLINK("http://141.218.60.56/~jnz1568/getInfo.php?workbook=01_01.xlsx&amp;sheet=A0&amp;row=54&amp;col=22&amp;number=&amp;sourceID=12","")</f>
        <v/>
      </c>
      <c r="W54" s="4" t="str">
        <f>HYPERLINK("http://141.218.60.56/~jnz1568/getInfo.php?workbook=01_01.xlsx&amp;sheet=A0&amp;row=54&amp;col=23&amp;number=0.61726&amp;sourceID=12","0.61726")</f>
        <v>0.61726</v>
      </c>
      <c r="X54" s="4" t="str">
        <f>HYPERLINK("http://141.218.60.56/~jnz1568/getInfo.php?workbook=01_01.xlsx&amp;sheet=A0&amp;row=54&amp;col=24&amp;number=&amp;sourceID=12","")</f>
        <v/>
      </c>
      <c r="Y54" s="4" t="str">
        <f>HYPERLINK("http://141.218.60.56/~jnz1568/getInfo.php?workbook=01_01.xlsx&amp;sheet=A0&amp;row=54&amp;col=25&amp;number=&amp;sourceID=12","")</f>
        <v/>
      </c>
      <c r="Z54" s="4" t="str">
        <f>HYPERLINK("http://141.218.60.56/~jnz1568/getInfo.php?workbook=01_01.xlsx&amp;sheet=A0&amp;row=54&amp;col=26&amp;number=&amp;sourceID=12","")</f>
        <v/>
      </c>
      <c r="AA54" s="4" t="str">
        <f>HYPERLINK("http://141.218.60.56/~jnz1568/getInfo.php?workbook=01_01.xlsx&amp;sheet=A0&amp;row=54&amp;col=27&amp;number=2.3e-13&amp;sourceID=12","2.3e-13")</f>
        <v>2.3e-13</v>
      </c>
      <c r="AB54" s="4" t="str">
        <f>HYPERLINK("http://141.218.60.56/~jnz1568/getInfo.php?workbook=01_01.xlsx&amp;sheet=A0&amp;row=54&amp;col=28&amp;number==&amp;sourceID=18","=")</f>
        <v>=</v>
      </c>
      <c r="AC54" s="4" t="str">
        <f>HYPERLINK("http://141.218.60.56/~jnz1568/getInfo.php?workbook=01_01.xlsx&amp;sheet=A0&amp;row=54&amp;col=29&amp;number=&amp;sourceID=18","")</f>
        <v/>
      </c>
      <c r="AD54" s="4" t="str">
        <f>HYPERLINK("http://141.218.60.56/~jnz1568/getInfo.php?workbook=01_01.xlsx&amp;sheet=A0&amp;row=54&amp;col=30&amp;number=0.617&amp;sourceID=18","0.617")</f>
        <v>0.617</v>
      </c>
      <c r="AE54" s="4" t="str">
        <f>HYPERLINK("http://141.218.60.56/~jnz1568/getInfo.php?workbook=01_01.xlsx&amp;sheet=A0&amp;row=54&amp;col=31&amp;number=&amp;sourceID=18","")</f>
        <v/>
      </c>
      <c r="AF54" s="4" t="str">
        <f>HYPERLINK("http://141.218.60.56/~jnz1568/getInfo.php?workbook=01_01.xlsx&amp;sheet=A0&amp;row=54&amp;col=32&amp;number=&amp;sourceID=18","")</f>
        <v/>
      </c>
      <c r="AG54" s="4" t="str">
        <f>HYPERLINK("http://141.218.60.56/~jnz1568/getInfo.php?workbook=01_01.xlsx&amp;sheet=A0&amp;row=54&amp;col=33&amp;number=&amp;sourceID=18","")</f>
        <v/>
      </c>
      <c r="AH54" s="4" t="str">
        <f>HYPERLINK("http://141.218.60.56/~jnz1568/getInfo.php?workbook=01_01.xlsx&amp;sheet=A0&amp;row=54&amp;col=34&amp;number=&amp;sourceID=20","")</f>
        <v/>
      </c>
    </row>
    <row r="55" spans="1:34">
      <c r="A55" s="3">
        <v>1</v>
      </c>
      <c r="B55" s="3">
        <v>1</v>
      </c>
      <c r="C55" s="3">
        <v>12</v>
      </c>
      <c r="D55" s="3">
        <v>1</v>
      </c>
      <c r="E55" s="3">
        <f>((1/(INDEX(E0!J$4:J$28,C55,1)-INDEX(E0!J$4:J$28,D55,1))))*100000000</f>
        <v>0</v>
      </c>
      <c r="F55" s="4" t="str">
        <f>HYPERLINK("http://141.218.60.56/~jnz1568/getInfo.php?workbook=01_01.xlsx&amp;sheet=A0&amp;row=55&amp;col=6&amp;number=&amp;sourceID=18","")</f>
        <v/>
      </c>
      <c r="G55" s="4" t="str">
        <f>HYPERLINK("http://141.218.60.56/~jnz1568/getInfo.php?workbook=01_01.xlsx&amp;sheet=A0&amp;row=55&amp;col=7&amp;number=&amp;sourceID=15","")</f>
        <v/>
      </c>
      <c r="H55" s="4" t="str">
        <f>HYPERLINK("http://141.218.60.56/~jnz1568/getInfo.php?workbook=01_01.xlsx&amp;sheet=A0&amp;row=55&amp;col=8&amp;number=&amp;sourceID=15","")</f>
        <v/>
      </c>
      <c r="I55" s="4" t="str">
        <f>HYPERLINK("http://141.218.60.56/~jnz1568/getInfo.php?workbook=01_01.xlsx&amp;sheet=A0&amp;row=55&amp;col=9&amp;number=&amp;sourceID=15","")</f>
        <v/>
      </c>
      <c r="J55" s="4" t="str">
        <f>HYPERLINK("http://141.218.60.56/~jnz1568/getInfo.php?workbook=01_01.xlsx&amp;sheet=A0&amp;row=55&amp;col=10&amp;number=&amp;sourceID=15","")</f>
        <v/>
      </c>
      <c r="K55" s="4" t="str">
        <f>HYPERLINK("http://141.218.60.56/~jnz1568/getInfo.php?workbook=01_01.xlsx&amp;sheet=A0&amp;row=55&amp;col=11&amp;number=&amp;sourceID=15","")</f>
        <v/>
      </c>
      <c r="L55" s="4" t="str">
        <f>HYPERLINK("http://141.218.60.56/~jnz1568/getInfo.php?workbook=01_01.xlsx&amp;sheet=A0&amp;row=55&amp;col=12&amp;number=&amp;sourceID=15","")</f>
        <v/>
      </c>
      <c r="M55" s="4" t="str">
        <f>HYPERLINK("http://141.218.60.56/~jnz1568/getInfo.php?workbook=01_01.xlsx&amp;sheet=A0&amp;row=55&amp;col=13&amp;number=&amp;sourceID=15","")</f>
        <v/>
      </c>
      <c r="N55" s="4" t="str">
        <f>HYPERLINK("http://141.218.60.56/~jnz1568/getInfo.php?workbook=01_01.xlsx&amp;sheet=A0&amp;row=55&amp;col=14&amp;number==&amp;sourceID=11","=")</f>
        <v>=</v>
      </c>
      <c r="O55" s="4" t="str">
        <f>HYPERLINK("http://141.218.60.56/~jnz1568/getInfo.php?workbook=01_01.xlsx&amp;sheet=A0&amp;row=55&amp;col=15&amp;number=&amp;sourceID=11","")</f>
        <v/>
      </c>
      <c r="P55" s="4" t="str">
        <f>HYPERLINK("http://141.218.60.56/~jnz1568/getInfo.php?workbook=01_01.xlsx&amp;sheet=A0&amp;row=55&amp;col=16&amp;number=326.79&amp;sourceID=11","326.79")</f>
        <v>326.79</v>
      </c>
      <c r="Q55" s="4" t="str">
        <f>HYPERLINK("http://141.218.60.56/~jnz1568/getInfo.php?workbook=01_01.xlsx&amp;sheet=A0&amp;row=55&amp;col=17&amp;number=&amp;sourceID=11","")</f>
        <v/>
      </c>
      <c r="R55" s="4" t="str">
        <f>HYPERLINK("http://141.218.60.56/~jnz1568/getInfo.php?workbook=01_01.xlsx&amp;sheet=A0&amp;row=55&amp;col=18&amp;number=4.3213e-09&amp;sourceID=11","4.3213e-09")</f>
        <v>4.3213e-09</v>
      </c>
      <c r="S55" s="4" t="str">
        <f>HYPERLINK("http://141.218.60.56/~jnz1568/getInfo.php?workbook=01_01.xlsx&amp;sheet=A0&amp;row=55&amp;col=19&amp;number=&amp;sourceID=11","")</f>
        <v/>
      </c>
      <c r="T55" s="4" t="str">
        <f>HYPERLINK("http://141.218.60.56/~jnz1568/getInfo.php?workbook=01_01.xlsx&amp;sheet=A0&amp;row=55&amp;col=20&amp;number=&amp;sourceID=11","")</f>
        <v/>
      </c>
      <c r="U55" s="4" t="str">
        <f>HYPERLINK("http://141.218.60.56/~jnz1568/getInfo.php?workbook=01_01.xlsx&amp;sheet=A0&amp;row=55&amp;col=21&amp;number=326.97&amp;sourceID=12","326.97")</f>
        <v>326.97</v>
      </c>
      <c r="V55" s="4" t="str">
        <f>HYPERLINK("http://141.218.60.56/~jnz1568/getInfo.php?workbook=01_01.xlsx&amp;sheet=A0&amp;row=55&amp;col=22&amp;number=&amp;sourceID=12","")</f>
        <v/>
      </c>
      <c r="W55" s="4" t="str">
        <f>HYPERLINK("http://141.218.60.56/~jnz1568/getInfo.php?workbook=01_01.xlsx&amp;sheet=A0&amp;row=55&amp;col=23&amp;number=326.97&amp;sourceID=12","326.97")</f>
        <v>326.97</v>
      </c>
      <c r="X55" s="4" t="str">
        <f>HYPERLINK("http://141.218.60.56/~jnz1568/getInfo.php?workbook=01_01.xlsx&amp;sheet=A0&amp;row=55&amp;col=24&amp;number=&amp;sourceID=12","")</f>
        <v/>
      </c>
      <c r="Y55" s="4" t="str">
        <f>HYPERLINK("http://141.218.60.56/~jnz1568/getInfo.php?workbook=01_01.xlsx&amp;sheet=A0&amp;row=55&amp;col=25&amp;number=4.8205e-09&amp;sourceID=12","4.8205e-09")</f>
        <v>4.8205e-09</v>
      </c>
      <c r="Z55" s="4" t="str">
        <f>HYPERLINK("http://141.218.60.56/~jnz1568/getInfo.php?workbook=01_01.xlsx&amp;sheet=A0&amp;row=55&amp;col=26&amp;number=&amp;sourceID=12","")</f>
        <v/>
      </c>
      <c r="AA55" s="4" t="str">
        <f>HYPERLINK("http://141.218.60.56/~jnz1568/getInfo.php?workbook=01_01.xlsx&amp;sheet=A0&amp;row=55&amp;col=27&amp;number=&amp;sourceID=12","")</f>
        <v/>
      </c>
      <c r="AB55" s="4" t="str">
        <f>HYPERLINK("http://141.218.60.56/~jnz1568/getInfo.php?workbook=01_01.xlsx&amp;sheet=A0&amp;row=55&amp;col=28&amp;number==&amp;sourceID=18","=")</f>
        <v>=</v>
      </c>
      <c r="AC55" s="4" t="str">
        <f>HYPERLINK("http://141.218.60.56/~jnz1568/getInfo.php?workbook=01_01.xlsx&amp;sheet=A0&amp;row=55&amp;col=29&amp;number=&amp;sourceID=18","")</f>
        <v/>
      </c>
      <c r="AD55" s="4" t="str">
        <f>HYPERLINK("http://141.218.60.56/~jnz1568/getInfo.php?workbook=01_01.xlsx&amp;sheet=A0&amp;row=55&amp;col=30&amp;number=327&amp;sourceID=18","327")</f>
        <v>327</v>
      </c>
      <c r="AE55" s="4" t="str">
        <f>HYPERLINK("http://141.218.60.56/~jnz1568/getInfo.php?workbook=01_01.xlsx&amp;sheet=A0&amp;row=55&amp;col=31&amp;number=&amp;sourceID=18","")</f>
        <v/>
      </c>
      <c r="AF55" s="4" t="str">
        <f>HYPERLINK("http://141.218.60.56/~jnz1568/getInfo.php?workbook=01_01.xlsx&amp;sheet=A0&amp;row=55&amp;col=32&amp;number=1.23e-08&amp;sourceID=18","1.23e-08")</f>
        <v>1.23e-08</v>
      </c>
      <c r="AG55" s="4" t="str">
        <f>HYPERLINK("http://141.218.60.56/~jnz1568/getInfo.php?workbook=01_01.xlsx&amp;sheet=A0&amp;row=55&amp;col=33&amp;number=&amp;sourceID=18","")</f>
        <v/>
      </c>
      <c r="AH55" s="4" t="str">
        <f>HYPERLINK("http://141.218.60.56/~jnz1568/getInfo.php?workbook=01_01.xlsx&amp;sheet=A0&amp;row=55&amp;col=34&amp;number=&amp;sourceID=20","")</f>
        <v/>
      </c>
    </row>
    <row r="56" spans="1:34">
      <c r="A56" s="3">
        <v>1</v>
      </c>
      <c r="B56" s="3">
        <v>1</v>
      </c>
      <c r="C56" s="3">
        <v>12</v>
      </c>
      <c r="D56" s="3">
        <v>2</v>
      </c>
      <c r="E56" s="3">
        <f>((1/(INDEX(E0!J$4:J$28,C56,1)-INDEX(E0!J$4:J$28,D56,1))))*100000000</f>
        <v>0</v>
      </c>
      <c r="F56" s="4" t="str">
        <f>HYPERLINK("http://141.218.60.56/~jnz1568/getInfo.php?workbook=01_01.xlsx&amp;sheet=A0&amp;row=56&amp;col=6&amp;number=&amp;sourceID=18","")</f>
        <v/>
      </c>
      <c r="G56" s="4" t="str">
        <f>HYPERLINK("http://141.218.60.56/~jnz1568/getInfo.php?workbook=01_01.xlsx&amp;sheet=A0&amp;row=56&amp;col=7&amp;number=17188000&amp;sourceID=15","17188000")</f>
        <v>17188000</v>
      </c>
      <c r="H56" s="4" t="str">
        <f>HYPERLINK("http://141.218.60.56/~jnz1568/getInfo.php?workbook=01_01.xlsx&amp;sheet=A0&amp;row=56&amp;col=8&amp;number=17188000&amp;sourceID=15","17188000")</f>
        <v>17188000</v>
      </c>
      <c r="I56" s="4" t="str">
        <f>HYPERLINK("http://141.218.60.56/~jnz1568/getInfo.php?workbook=01_01.xlsx&amp;sheet=A0&amp;row=56&amp;col=9&amp;number=&amp;sourceID=15","")</f>
        <v/>
      </c>
      <c r="J56" s="4" t="str">
        <f>HYPERLINK("http://141.218.60.56/~jnz1568/getInfo.php?workbook=01_01.xlsx&amp;sheet=A0&amp;row=56&amp;col=10&amp;number=&amp;sourceID=15","")</f>
        <v/>
      </c>
      <c r="K56" s="4" t="str">
        <f>HYPERLINK("http://141.218.60.56/~jnz1568/getInfo.php?workbook=01_01.xlsx&amp;sheet=A0&amp;row=56&amp;col=11&amp;number=&amp;sourceID=15","")</f>
        <v/>
      </c>
      <c r="L56" s="4" t="str">
        <f>HYPERLINK("http://141.218.60.56/~jnz1568/getInfo.php?workbook=01_01.xlsx&amp;sheet=A0&amp;row=56&amp;col=12&amp;number=&amp;sourceID=15","")</f>
        <v/>
      </c>
      <c r="M56" s="4" t="str">
        <f>HYPERLINK("http://141.218.60.56/~jnz1568/getInfo.php?workbook=01_01.xlsx&amp;sheet=A0&amp;row=56&amp;col=13&amp;number=&amp;sourceID=15","")</f>
        <v/>
      </c>
      <c r="N56" s="4" t="str">
        <f>HYPERLINK("http://141.218.60.56/~jnz1568/getInfo.php?workbook=01_01.xlsx&amp;sheet=A0&amp;row=56&amp;col=14&amp;number==&amp;sourceID=11","=")</f>
        <v>=</v>
      </c>
      <c r="O56" s="4" t="str">
        <f>HYPERLINK("http://141.218.60.56/~jnz1568/getInfo.php?workbook=01_01.xlsx&amp;sheet=A0&amp;row=56&amp;col=15&amp;number=17188000&amp;sourceID=11","17188000")</f>
        <v>17188000</v>
      </c>
      <c r="P56" s="4" t="str">
        <f>HYPERLINK("http://141.218.60.56/~jnz1568/getInfo.php?workbook=01_01.xlsx&amp;sheet=A0&amp;row=56&amp;col=16&amp;number=&amp;sourceID=11","")</f>
        <v/>
      </c>
      <c r="Q56" s="4" t="str">
        <f>HYPERLINK("http://141.218.60.56/~jnz1568/getInfo.php?workbook=01_01.xlsx&amp;sheet=A0&amp;row=56&amp;col=17&amp;number=&amp;sourceID=11","")</f>
        <v/>
      </c>
      <c r="R56" s="4" t="str">
        <f>HYPERLINK("http://141.218.60.56/~jnz1568/getInfo.php?workbook=01_01.xlsx&amp;sheet=A0&amp;row=56&amp;col=18&amp;number=&amp;sourceID=11","")</f>
        <v/>
      </c>
      <c r="S56" s="4" t="str">
        <f>HYPERLINK("http://141.218.60.56/~jnz1568/getInfo.php?workbook=01_01.xlsx&amp;sheet=A0&amp;row=56&amp;col=19&amp;number=3.213e-06&amp;sourceID=11","3.213e-06")</f>
        <v>3.213e-06</v>
      </c>
      <c r="T56" s="4" t="str">
        <f>HYPERLINK("http://141.218.60.56/~jnz1568/getInfo.php?workbook=01_01.xlsx&amp;sheet=A0&amp;row=56&amp;col=20&amp;number=&amp;sourceID=11","")</f>
        <v/>
      </c>
      <c r="U56" s="4" t="str">
        <f>HYPERLINK("http://141.218.60.56/~jnz1568/getInfo.php?workbook=01_01.xlsx&amp;sheet=A0&amp;row=56&amp;col=21&amp;number=17198000&amp;sourceID=12","17198000")</f>
        <v>17198000</v>
      </c>
      <c r="V56" s="4" t="str">
        <f>HYPERLINK("http://141.218.60.56/~jnz1568/getInfo.php?workbook=01_01.xlsx&amp;sheet=A0&amp;row=56&amp;col=22&amp;number=17198000&amp;sourceID=12","17198000")</f>
        <v>17198000</v>
      </c>
      <c r="W56" s="4" t="str">
        <f>HYPERLINK("http://141.218.60.56/~jnz1568/getInfo.php?workbook=01_01.xlsx&amp;sheet=A0&amp;row=56&amp;col=23&amp;number=&amp;sourceID=12","")</f>
        <v/>
      </c>
      <c r="X56" s="4" t="str">
        <f>HYPERLINK("http://141.218.60.56/~jnz1568/getInfo.php?workbook=01_01.xlsx&amp;sheet=A0&amp;row=56&amp;col=24&amp;number=&amp;sourceID=12","")</f>
        <v/>
      </c>
      <c r="Y56" s="4" t="str">
        <f>HYPERLINK("http://141.218.60.56/~jnz1568/getInfo.php?workbook=01_01.xlsx&amp;sheet=A0&amp;row=56&amp;col=25&amp;number=&amp;sourceID=12","")</f>
        <v/>
      </c>
      <c r="Z56" s="4" t="str">
        <f>HYPERLINK("http://141.218.60.56/~jnz1568/getInfo.php?workbook=01_01.xlsx&amp;sheet=A0&amp;row=56&amp;col=26&amp;number=3.2147e-06&amp;sourceID=12","3.2147e-06")</f>
        <v>3.2147e-06</v>
      </c>
      <c r="AA56" s="4" t="str">
        <f>HYPERLINK("http://141.218.60.56/~jnz1568/getInfo.php?workbook=01_01.xlsx&amp;sheet=A0&amp;row=56&amp;col=27&amp;number=&amp;sourceID=12","")</f>
        <v/>
      </c>
      <c r="AB56" s="4" t="str">
        <f>HYPERLINK("http://141.218.60.56/~jnz1568/getInfo.php?workbook=01_01.xlsx&amp;sheet=A0&amp;row=56&amp;col=28&amp;number==&amp;sourceID=18","=")</f>
        <v>=</v>
      </c>
      <c r="AC56" s="4" t="str">
        <f>HYPERLINK("http://141.218.60.56/~jnz1568/getInfo.php?workbook=01_01.xlsx&amp;sheet=A0&amp;row=56&amp;col=29&amp;number=17200000&amp;sourceID=18","17200000")</f>
        <v>17200000</v>
      </c>
      <c r="AD56" s="4" t="str">
        <f>HYPERLINK("http://141.218.60.56/~jnz1568/getInfo.php?workbook=01_01.xlsx&amp;sheet=A0&amp;row=56&amp;col=30&amp;number=&amp;sourceID=18","")</f>
        <v/>
      </c>
      <c r="AE56" s="4" t="str">
        <f>HYPERLINK("http://141.218.60.56/~jnz1568/getInfo.php?workbook=01_01.xlsx&amp;sheet=A0&amp;row=56&amp;col=31&amp;number=&amp;sourceID=18","")</f>
        <v/>
      </c>
      <c r="AF56" s="4" t="str">
        <f>HYPERLINK("http://141.218.60.56/~jnz1568/getInfo.php?workbook=01_01.xlsx&amp;sheet=A0&amp;row=56&amp;col=32&amp;number=&amp;sourceID=18","")</f>
        <v/>
      </c>
      <c r="AG56" s="4" t="str">
        <f>HYPERLINK("http://141.218.60.56/~jnz1568/getInfo.php?workbook=01_01.xlsx&amp;sheet=A0&amp;row=56&amp;col=33&amp;number=&amp;sourceID=18","")</f>
        <v/>
      </c>
      <c r="AH56" s="4" t="str">
        <f>HYPERLINK("http://141.218.60.56/~jnz1568/getInfo.php?workbook=01_01.xlsx&amp;sheet=A0&amp;row=56&amp;col=34&amp;number=&amp;sourceID=20","")</f>
        <v/>
      </c>
    </row>
    <row r="57" spans="1:34">
      <c r="A57" s="3">
        <v>1</v>
      </c>
      <c r="B57" s="3">
        <v>1</v>
      </c>
      <c r="C57" s="3">
        <v>12</v>
      </c>
      <c r="D57" s="3">
        <v>3</v>
      </c>
      <c r="E57" s="3">
        <f>((1/(INDEX(E0!J$4:J$28,C57,1)-INDEX(E0!J$4:J$28,D57,1))))*100000000</f>
        <v>0</v>
      </c>
      <c r="F57" s="4" t="str">
        <f>HYPERLINK("http://141.218.60.56/~jnz1568/getInfo.php?workbook=01_01.xlsx&amp;sheet=A0&amp;row=57&amp;col=6&amp;number=&amp;sourceID=18","")</f>
        <v/>
      </c>
      <c r="G57" s="4" t="str">
        <f>HYPERLINK("http://141.218.60.56/~jnz1568/getInfo.php?workbook=01_01.xlsx&amp;sheet=A0&amp;row=57&amp;col=7&amp;number=&amp;sourceID=15","")</f>
        <v/>
      </c>
      <c r="H57" s="4" t="str">
        <f>HYPERLINK("http://141.218.60.56/~jnz1568/getInfo.php?workbook=01_01.xlsx&amp;sheet=A0&amp;row=57&amp;col=8&amp;number=&amp;sourceID=15","")</f>
        <v/>
      </c>
      <c r="I57" s="4" t="str">
        <f>HYPERLINK("http://141.218.60.56/~jnz1568/getInfo.php?workbook=01_01.xlsx&amp;sheet=A0&amp;row=57&amp;col=9&amp;number=&amp;sourceID=15","")</f>
        <v/>
      </c>
      <c r="J57" s="4" t="str">
        <f>HYPERLINK("http://141.218.60.56/~jnz1568/getInfo.php?workbook=01_01.xlsx&amp;sheet=A0&amp;row=57&amp;col=10&amp;number=&amp;sourceID=15","")</f>
        <v/>
      </c>
      <c r="K57" s="4" t="str">
        <f>HYPERLINK("http://141.218.60.56/~jnz1568/getInfo.php?workbook=01_01.xlsx&amp;sheet=A0&amp;row=57&amp;col=11&amp;number=&amp;sourceID=15","")</f>
        <v/>
      </c>
      <c r="L57" s="4" t="str">
        <f>HYPERLINK("http://141.218.60.56/~jnz1568/getInfo.php?workbook=01_01.xlsx&amp;sheet=A0&amp;row=57&amp;col=12&amp;number=&amp;sourceID=15","")</f>
        <v/>
      </c>
      <c r="M57" s="4" t="str">
        <f>HYPERLINK("http://141.218.60.56/~jnz1568/getInfo.php?workbook=01_01.xlsx&amp;sheet=A0&amp;row=57&amp;col=13&amp;number=&amp;sourceID=15","")</f>
        <v/>
      </c>
      <c r="N57" s="4" t="str">
        <f>HYPERLINK("http://141.218.60.56/~jnz1568/getInfo.php?workbook=01_01.xlsx&amp;sheet=A0&amp;row=57&amp;col=14&amp;number==&amp;sourceID=11","=")</f>
        <v>=</v>
      </c>
      <c r="O57" s="4" t="str">
        <f>HYPERLINK("http://141.218.60.56/~jnz1568/getInfo.php?workbook=01_01.xlsx&amp;sheet=A0&amp;row=57&amp;col=15&amp;number=&amp;sourceID=11","")</f>
        <v/>
      </c>
      <c r="P57" s="4" t="str">
        <f>HYPERLINK("http://141.218.60.56/~jnz1568/getInfo.php?workbook=01_01.xlsx&amp;sheet=A0&amp;row=57&amp;col=16&amp;number=5.1491&amp;sourceID=11","5.1491")</f>
        <v>5.1491</v>
      </c>
      <c r="Q57" s="4" t="str">
        <f>HYPERLINK("http://141.218.60.56/~jnz1568/getInfo.php?workbook=01_01.xlsx&amp;sheet=A0&amp;row=57&amp;col=17&amp;number=&amp;sourceID=11","")</f>
        <v/>
      </c>
      <c r="R57" s="4" t="str">
        <f>HYPERLINK("http://141.218.60.56/~jnz1568/getInfo.php?workbook=01_01.xlsx&amp;sheet=A0&amp;row=57&amp;col=18&amp;number=6.0462e-11&amp;sourceID=11","6.0462e-11")</f>
        <v>6.0462e-11</v>
      </c>
      <c r="S57" s="4" t="str">
        <f>HYPERLINK("http://141.218.60.56/~jnz1568/getInfo.php?workbook=01_01.xlsx&amp;sheet=A0&amp;row=57&amp;col=19&amp;number=&amp;sourceID=11","")</f>
        <v/>
      </c>
      <c r="T57" s="4" t="str">
        <f>HYPERLINK("http://141.218.60.56/~jnz1568/getInfo.php?workbook=01_01.xlsx&amp;sheet=A0&amp;row=57&amp;col=20&amp;number=&amp;sourceID=11","")</f>
        <v/>
      </c>
      <c r="U57" s="4" t="str">
        <f>HYPERLINK("http://141.218.60.56/~jnz1568/getInfo.php?workbook=01_01.xlsx&amp;sheet=A0&amp;row=57&amp;col=21&amp;number=5.1519&amp;sourceID=12","5.1519")</f>
        <v>5.1519</v>
      </c>
      <c r="V57" s="4" t="str">
        <f>HYPERLINK("http://141.218.60.56/~jnz1568/getInfo.php?workbook=01_01.xlsx&amp;sheet=A0&amp;row=57&amp;col=22&amp;number=&amp;sourceID=12","")</f>
        <v/>
      </c>
      <c r="W57" s="4" t="str">
        <f>HYPERLINK("http://141.218.60.56/~jnz1568/getInfo.php?workbook=01_01.xlsx&amp;sheet=A0&amp;row=57&amp;col=23&amp;number=5.1519&amp;sourceID=12","5.1519")</f>
        <v>5.1519</v>
      </c>
      <c r="X57" s="4" t="str">
        <f>HYPERLINK("http://141.218.60.56/~jnz1568/getInfo.php?workbook=01_01.xlsx&amp;sheet=A0&amp;row=57&amp;col=24&amp;number=&amp;sourceID=12","")</f>
        <v/>
      </c>
      <c r="Y57" s="4" t="str">
        <f>HYPERLINK("http://141.218.60.56/~jnz1568/getInfo.php?workbook=01_01.xlsx&amp;sheet=A0&amp;row=57&amp;col=25&amp;number=6.1245e-11&amp;sourceID=12","6.1245e-11")</f>
        <v>6.1245e-11</v>
      </c>
      <c r="Z57" s="4" t="str">
        <f>HYPERLINK("http://141.218.60.56/~jnz1568/getInfo.php?workbook=01_01.xlsx&amp;sheet=A0&amp;row=57&amp;col=26&amp;number=&amp;sourceID=12","")</f>
        <v/>
      </c>
      <c r="AA57" s="4" t="str">
        <f>HYPERLINK("http://141.218.60.56/~jnz1568/getInfo.php?workbook=01_01.xlsx&amp;sheet=A0&amp;row=57&amp;col=27&amp;number=&amp;sourceID=12","")</f>
        <v/>
      </c>
      <c r="AB57" s="4" t="str">
        <f>HYPERLINK("http://141.218.60.56/~jnz1568/getInfo.php?workbook=01_01.xlsx&amp;sheet=A0&amp;row=57&amp;col=28&amp;number==&amp;sourceID=18","=")</f>
        <v>=</v>
      </c>
      <c r="AC57" s="4" t="str">
        <f>HYPERLINK("http://141.218.60.56/~jnz1568/getInfo.php?workbook=01_01.xlsx&amp;sheet=A0&amp;row=57&amp;col=29&amp;number=&amp;sourceID=18","")</f>
        <v/>
      </c>
      <c r="AD57" s="4" t="str">
        <f>HYPERLINK("http://141.218.60.56/~jnz1568/getInfo.php?workbook=01_01.xlsx&amp;sheet=A0&amp;row=57&amp;col=30&amp;number=5.15&amp;sourceID=18","5.15")</f>
        <v>5.15</v>
      </c>
      <c r="AE57" s="4" t="str">
        <f>HYPERLINK("http://141.218.60.56/~jnz1568/getInfo.php?workbook=01_01.xlsx&amp;sheet=A0&amp;row=57&amp;col=31&amp;number=&amp;sourceID=18","")</f>
        <v/>
      </c>
      <c r="AF57" s="4" t="str">
        <f>HYPERLINK("http://141.218.60.56/~jnz1568/getInfo.php?workbook=01_01.xlsx&amp;sheet=A0&amp;row=57&amp;col=32&amp;number=1.31e-10&amp;sourceID=18","1.31e-10")</f>
        <v>1.31e-10</v>
      </c>
      <c r="AG57" s="4" t="str">
        <f>HYPERLINK("http://141.218.60.56/~jnz1568/getInfo.php?workbook=01_01.xlsx&amp;sheet=A0&amp;row=57&amp;col=33&amp;number=&amp;sourceID=18","")</f>
        <v/>
      </c>
      <c r="AH57" s="4" t="str">
        <f>HYPERLINK("http://141.218.60.56/~jnz1568/getInfo.php?workbook=01_01.xlsx&amp;sheet=A0&amp;row=57&amp;col=34&amp;number=&amp;sourceID=20","")</f>
        <v/>
      </c>
    </row>
    <row r="58" spans="1:34">
      <c r="A58" s="3">
        <v>1</v>
      </c>
      <c r="B58" s="3">
        <v>1</v>
      </c>
      <c r="C58" s="3">
        <v>12</v>
      </c>
      <c r="D58" s="3">
        <v>4</v>
      </c>
      <c r="E58" s="3">
        <f>((1/(INDEX(E0!J$4:J$28,C58,1)-INDEX(E0!J$4:J$28,D58,1))))*100000000</f>
        <v>0</v>
      </c>
      <c r="F58" s="4" t="str">
        <f>HYPERLINK("http://141.218.60.56/~jnz1568/getInfo.php?workbook=01_01.xlsx&amp;sheet=A0&amp;row=58&amp;col=6&amp;number=&amp;sourceID=18","")</f>
        <v/>
      </c>
      <c r="G58" s="4" t="str">
        <f>HYPERLINK("http://141.218.60.56/~jnz1568/getInfo.php?workbook=01_01.xlsx&amp;sheet=A0&amp;row=58&amp;col=7&amp;number=3437500&amp;sourceID=15","3437500")</f>
        <v>3437500</v>
      </c>
      <c r="H58" s="4" t="str">
        <f>HYPERLINK("http://141.218.60.56/~jnz1568/getInfo.php?workbook=01_01.xlsx&amp;sheet=A0&amp;row=58&amp;col=8&amp;number=3437500&amp;sourceID=15","3437500")</f>
        <v>3437500</v>
      </c>
      <c r="I58" s="4" t="str">
        <f>HYPERLINK("http://141.218.60.56/~jnz1568/getInfo.php?workbook=01_01.xlsx&amp;sheet=A0&amp;row=58&amp;col=9&amp;number=&amp;sourceID=15","")</f>
        <v/>
      </c>
      <c r="J58" s="4" t="str">
        <f>HYPERLINK("http://141.218.60.56/~jnz1568/getInfo.php?workbook=01_01.xlsx&amp;sheet=A0&amp;row=58&amp;col=10&amp;number=&amp;sourceID=15","")</f>
        <v/>
      </c>
      <c r="K58" s="4" t="str">
        <f>HYPERLINK("http://141.218.60.56/~jnz1568/getInfo.php?workbook=01_01.xlsx&amp;sheet=A0&amp;row=58&amp;col=11&amp;number=&amp;sourceID=15","")</f>
        <v/>
      </c>
      <c r="L58" s="4" t="str">
        <f>HYPERLINK("http://141.218.60.56/~jnz1568/getInfo.php?workbook=01_01.xlsx&amp;sheet=A0&amp;row=58&amp;col=12&amp;number=&amp;sourceID=15","")</f>
        <v/>
      </c>
      <c r="M58" s="4" t="str">
        <f>HYPERLINK("http://141.218.60.56/~jnz1568/getInfo.php?workbook=01_01.xlsx&amp;sheet=A0&amp;row=58&amp;col=13&amp;number=&amp;sourceID=15","")</f>
        <v/>
      </c>
      <c r="N58" s="4" t="str">
        <f>HYPERLINK("http://141.218.60.56/~jnz1568/getInfo.php?workbook=01_01.xlsx&amp;sheet=A0&amp;row=58&amp;col=14&amp;number==&amp;sourceID=11","=")</f>
        <v>=</v>
      </c>
      <c r="O58" s="4" t="str">
        <f>HYPERLINK("http://141.218.60.56/~jnz1568/getInfo.php?workbook=01_01.xlsx&amp;sheet=A0&amp;row=58&amp;col=15&amp;number=3437500&amp;sourceID=11","3437500")</f>
        <v>3437500</v>
      </c>
      <c r="P58" s="4" t="str">
        <f>HYPERLINK("http://141.218.60.56/~jnz1568/getInfo.php?workbook=01_01.xlsx&amp;sheet=A0&amp;row=58&amp;col=16&amp;number=&amp;sourceID=11","")</f>
        <v/>
      </c>
      <c r="Q58" s="4" t="str">
        <f>HYPERLINK("http://141.218.60.56/~jnz1568/getInfo.php?workbook=01_01.xlsx&amp;sheet=A0&amp;row=58&amp;col=17&amp;number=3e-15&amp;sourceID=11","3e-15")</f>
        <v>3e-15</v>
      </c>
      <c r="R58" s="4" t="str">
        <f>HYPERLINK("http://141.218.60.56/~jnz1568/getInfo.php?workbook=01_01.xlsx&amp;sheet=A0&amp;row=58&amp;col=18&amp;number=&amp;sourceID=11","")</f>
        <v/>
      </c>
      <c r="S58" s="4" t="str">
        <f>HYPERLINK("http://141.218.60.56/~jnz1568/getInfo.php?workbook=01_01.xlsx&amp;sheet=A0&amp;row=58&amp;col=19&amp;number=&amp;sourceID=11","")</f>
        <v/>
      </c>
      <c r="T58" s="4" t="str">
        <f>HYPERLINK("http://141.218.60.56/~jnz1568/getInfo.php?workbook=01_01.xlsx&amp;sheet=A0&amp;row=58&amp;col=20&amp;number=&amp;sourceID=11","")</f>
        <v/>
      </c>
      <c r="U58" s="4" t="str">
        <f>HYPERLINK("http://141.218.60.56/~jnz1568/getInfo.php?workbook=01_01.xlsx&amp;sheet=A0&amp;row=58&amp;col=21&amp;number=3439400&amp;sourceID=12","3439400")</f>
        <v>3439400</v>
      </c>
      <c r="V58" s="4" t="str">
        <f>HYPERLINK("http://141.218.60.56/~jnz1568/getInfo.php?workbook=01_01.xlsx&amp;sheet=A0&amp;row=58&amp;col=22&amp;number=3439400&amp;sourceID=12","3439400")</f>
        <v>3439400</v>
      </c>
      <c r="W58" s="4" t="str">
        <f>HYPERLINK("http://141.218.60.56/~jnz1568/getInfo.php?workbook=01_01.xlsx&amp;sheet=A0&amp;row=58&amp;col=23&amp;number=&amp;sourceID=12","")</f>
        <v/>
      </c>
      <c r="X58" s="4" t="str">
        <f>HYPERLINK("http://141.218.60.56/~jnz1568/getInfo.php?workbook=01_01.xlsx&amp;sheet=A0&amp;row=58&amp;col=24&amp;number=3e-15&amp;sourceID=12","3e-15")</f>
        <v>3e-15</v>
      </c>
      <c r="Y58" s="4" t="str">
        <f>HYPERLINK("http://141.218.60.56/~jnz1568/getInfo.php?workbook=01_01.xlsx&amp;sheet=A0&amp;row=58&amp;col=25&amp;number=&amp;sourceID=12","")</f>
        <v/>
      </c>
      <c r="Z58" s="4" t="str">
        <f>HYPERLINK("http://141.218.60.56/~jnz1568/getInfo.php?workbook=01_01.xlsx&amp;sheet=A0&amp;row=58&amp;col=26&amp;number=&amp;sourceID=12","")</f>
        <v/>
      </c>
      <c r="AA58" s="4" t="str">
        <f>HYPERLINK("http://141.218.60.56/~jnz1568/getInfo.php?workbook=01_01.xlsx&amp;sheet=A0&amp;row=58&amp;col=27&amp;number=&amp;sourceID=12","")</f>
        <v/>
      </c>
      <c r="AB58" s="4" t="str">
        <f>HYPERLINK("http://141.218.60.56/~jnz1568/getInfo.php?workbook=01_01.xlsx&amp;sheet=A0&amp;row=58&amp;col=28&amp;number==&amp;sourceID=18","=")</f>
        <v>=</v>
      </c>
      <c r="AC58" s="4" t="str">
        <f>HYPERLINK("http://141.218.60.56/~jnz1568/getInfo.php?workbook=01_01.xlsx&amp;sheet=A0&amp;row=58&amp;col=29&amp;number=3440000&amp;sourceID=18","3440000")</f>
        <v>3440000</v>
      </c>
      <c r="AD58" s="4" t="str">
        <f>HYPERLINK("http://141.218.60.56/~jnz1568/getInfo.php?workbook=01_01.xlsx&amp;sheet=A0&amp;row=58&amp;col=30&amp;number=&amp;sourceID=18","")</f>
        <v/>
      </c>
      <c r="AE58" s="4" t="str">
        <f>HYPERLINK("http://141.218.60.56/~jnz1568/getInfo.php?workbook=01_01.xlsx&amp;sheet=A0&amp;row=58&amp;col=31&amp;number=&amp;sourceID=18","")</f>
        <v/>
      </c>
      <c r="AF58" s="4" t="str">
        <f>HYPERLINK("http://141.218.60.56/~jnz1568/getInfo.php?workbook=01_01.xlsx&amp;sheet=A0&amp;row=58&amp;col=32&amp;number=&amp;sourceID=18","")</f>
        <v/>
      </c>
      <c r="AG58" s="4" t="str">
        <f>HYPERLINK("http://141.218.60.56/~jnz1568/getInfo.php?workbook=01_01.xlsx&amp;sheet=A0&amp;row=58&amp;col=33&amp;number=&amp;sourceID=18","")</f>
        <v/>
      </c>
      <c r="AH58" s="4" t="str">
        <f>HYPERLINK("http://141.218.60.56/~jnz1568/getInfo.php?workbook=01_01.xlsx&amp;sheet=A0&amp;row=58&amp;col=34&amp;number=&amp;sourceID=20","")</f>
        <v/>
      </c>
    </row>
    <row r="59" spans="1:34">
      <c r="A59" s="3">
        <v>1</v>
      </c>
      <c r="B59" s="3">
        <v>1</v>
      </c>
      <c r="C59" s="3">
        <v>12</v>
      </c>
      <c r="D59" s="3">
        <v>5</v>
      </c>
      <c r="E59" s="3">
        <f>((1/(INDEX(E0!J$4:J$28,C59,1)-INDEX(E0!J$4:J$28,D59,1))))*100000000</f>
        <v>0</v>
      </c>
      <c r="F59" s="4" t="str">
        <f>HYPERLINK("http://141.218.60.56/~jnz1568/getInfo.php?workbook=01_01.xlsx&amp;sheet=A0&amp;row=59&amp;col=6&amp;number=&amp;sourceID=18","")</f>
        <v/>
      </c>
      <c r="G59" s="4" t="str">
        <f>HYPERLINK("http://141.218.60.56/~jnz1568/getInfo.php?workbook=01_01.xlsx&amp;sheet=A0&amp;row=59&amp;col=7&amp;number=5864700&amp;sourceID=15","5864700")</f>
        <v>5864700</v>
      </c>
      <c r="H59" s="4" t="str">
        <f>HYPERLINK("http://141.218.60.56/~jnz1568/getInfo.php?workbook=01_01.xlsx&amp;sheet=A0&amp;row=59&amp;col=8&amp;number=5864700&amp;sourceID=15","5864700")</f>
        <v>5864700</v>
      </c>
      <c r="I59" s="4" t="str">
        <f>HYPERLINK("http://141.218.60.56/~jnz1568/getInfo.php?workbook=01_01.xlsx&amp;sheet=A0&amp;row=59&amp;col=9&amp;number=&amp;sourceID=15","")</f>
        <v/>
      </c>
      <c r="J59" s="4" t="str">
        <f>HYPERLINK("http://141.218.60.56/~jnz1568/getInfo.php?workbook=01_01.xlsx&amp;sheet=A0&amp;row=59&amp;col=10&amp;number=&amp;sourceID=15","")</f>
        <v/>
      </c>
      <c r="K59" s="4" t="str">
        <f>HYPERLINK("http://141.218.60.56/~jnz1568/getInfo.php?workbook=01_01.xlsx&amp;sheet=A0&amp;row=59&amp;col=11&amp;number=&amp;sourceID=15","")</f>
        <v/>
      </c>
      <c r="L59" s="4" t="str">
        <f>HYPERLINK("http://141.218.60.56/~jnz1568/getInfo.php?workbook=01_01.xlsx&amp;sheet=A0&amp;row=59&amp;col=12&amp;number=&amp;sourceID=15","")</f>
        <v/>
      </c>
      <c r="M59" s="4" t="str">
        <f>HYPERLINK("http://141.218.60.56/~jnz1568/getInfo.php?workbook=01_01.xlsx&amp;sheet=A0&amp;row=59&amp;col=13&amp;number=&amp;sourceID=15","")</f>
        <v/>
      </c>
      <c r="N59" s="4" t="str">
        <f>HYPERLINK("http://141.218.60.56/~jnz1568/getInfo.php?workbook=01_01.xlsx&amp;sheet=A0&amp;row=59&amp;col=14&amp;number==&amp;sourceID=11","=")</f>
        <v>=</v>
      </c>
      <c r="O59" s="4" t="str">
        <f>HYPERLINK("http://141.218.60.56/~jnz1568/getInfo.php?workbook=01_01.xlsx&amp;sheet=A0&amp;row=59&amp;col=15&amp;number=5864700&amp;sourceID=11","5864700")</f>
        <v>5864700</v>
      </c>
      <c r="P59" s="4" t="str">
        <f>HYPERLINK("http://141.218.60.56/~jnz1568/getInfo.php?workbook=01_01.xlsx&amp;sheet=A0&amp;row=59&amp;col=16&amp;number=&amp;sourceID=11","")</f>
        <v/>
      </c>
      <c r="Q59" s="4" t="str">
        <f>HYPERLINK("http://141.218.60.56/~jnz1568/getInfo.php?workbook=01_01.xlsx&amp;sheet=A0&amp;row=59&amp;col=17&amp;number=&amp;sourceID=11","")</f>
        <v/>
      </c>
      <c r="R59" s="4" t="str">
        <f>HYPERLINK("http://141.218.60.56/~jnz1568/getInfo.php?workbook=01_01.xlsx&amp;sheet=A0&amp;row=59&amp;col=18&amp;number=&amp;sourceID=11","")</f>
        <v/>
      </c>
      <c r="S59" s="4" t="str">
        <f>HYPERLINK("http://141.218.60.56/~jnz1568/getInfo.php?workbook=01_01.xlsx&amp;sheet=A0&amp;row=59&amp;col=19&amp;number=7.3688e-08&amp;sourceID=11","7.3688e-08")</f>
        <v>7.3688e-08</v>
      </c>
      <c r="T59" s="4" t="str">
        <f>HYPERLINK("http://141.218.60.56/~jnz1568/getInfo.php?workbook=01_01.xlsx&amp;sheet=A0&amp;row=59&amp;col=20&amp;number=&amp;sourceID=11","")</f>
        <v/>
      </c>
      <c r="U59" s="4" t="str">
        <f>HYPERLINK("http://141.218.60.56/~jnz1568/getInfo.php?workbook=01_01.xlsx&amp;sheet=A0&amp;row=59&amp;col=21&amp;number=5867900&amp;sourceID=12","5867900")</f>
        <v>5867900</v>
      </c>
      <c r="V59" s="4" t="str">
        <f>HYPERLINK("http://141.218.60.56/~jnz1568/getInfo.php?workbook=01_01.xlsx&amp;sheet=A0&amp;row=59&amp;col=22&amp;number=5867900&amp;sourceID=12","5867900")</f>
        <v>5867900</v>
      </c>
      <c r="W59" s="4" t="str">
        <f>HYPERLINK("http://141.218.60.56/~jnz1568/getInfo.php?workbook=01_01.xlsx&amp;sheet=A0&amp;row=59&amp;col=23&amp;number=&amp;sourceID=12","")</f>
        <v/>
      </c>
      <c r="X59" s="4" t="str">
        <f>HYPERLINK("http://141.218.60.56/~jnz1568/getInfo.php?workbook=01_01.xlsx&amp;sheet=A0&amp;row=59&amp;col=24&amp;number=&amp;sourceID=12","")</f>
        <v/>
      </c>
      <c r="Y59" s="4" t="str">
        <f>HYPERLINK("http://141.218.60.56/~jnz1568/getInfo.php?workbook=01_01.xlsx&amp;sheet=A0&amp;row=59&amp;col=25&amp;number=&amp;sourceID=12","")</f>
        <v/>
      </c>
      <c r="Z59" s="4" t="str">
        <f>HYPERLINK("http://141.218.60.56/~jnz1568/getInfo.php?workbook=01_01.xlsx&amp;sheet=A0&amp;row=59&amp;col=26&amp;number=7.3728e-08&amp;sourceID=12","7.3728e-08")</f>
        <v>7.3728e-08</v>
      </c>
      <c r="AA59" s="4" t="str">
        <f>HYPERLINK("http://141.218.60.56/~jnz1568/getInfo.php?workbook=01_01.xlsx&amp;sheet=A0&amp;row=59&amp;col=27&amp;number=&amp;sourceID=12","")</f>
        <v/>
      </c>
      <c r="AB59" s="4" t="str">
        <f>HYPERLINK("http://141.218.60.56/~jnz1568/getInfo.php?workbook=01_01.xlsx&amp;sheet=A0&amp;row=59&amp;col=28&amp;number==&amp;sourceID=18","=")</f>
        <v>=</v>
      </c>
      <c r="AC59" s="4" t="str">
        <f>HYPERLINK("http://141.218.60.56/~jnz1568/getInfo.php?workbook=01_01.xlsx&amp;sheet=A0&amp;row=59&amp;col=29&amp;number=5870000&amp;sourceID=18","5870000")</f>
        <v>5870000</v>
      </c>
      <c r="AD59" s="4" t="str">
        <f>HYPERLINK("http://141.218.60.56/~jnz1568/getInfo.php?workbook=01_01.xlsx&amp;sheet=A0&amp;row=59&amp;col=30&amp;number=&amp;sourceID=18","")</f>
        <v/>
      </c>
      <c r="AE59" s="4" t="str">
        <f>HYPERLINK("http://141.218.60.56/~jnz1568/getInfo.php?workbook=01_01.xlsx&amp;sheet=A0&amp;row=59&amp;col=31&amp;number=&amp;sourceID=18","")</f>
        <v/>
      </c>
      <c r="AF59" s="4" t="str">
        <f>HYPERLINK("http://141.218.60.56/~jnz1568/getInfo.php?workbook=01_01.xlsx&amp;sheet=A0&amp;row=59&amp;col=32&amp;number=&amp;sourceID=18","")</f>
        <v/>
      </c>
      <c r="AG59" s="4" t="str">
        <f>HYPERLINK("http://141.218.60.56/~jnz1568/getInfo.php?workbook=01_01.xlsx&amp;sheet=A0&amp;row=59&amp;col=33&amp;number=&amp;sourceID=18","")</f>
        <v/>
      </c>
      <c r="AH59" s="4" t="str">
        <f>HYPERLINK("http://141.218.60.56/~jnz1568/getInfo.php?workbook=01_01.xlsx&amp;sheet=A0&amp;row=59&amp;col=34&amp;number=&amp;sourceID=20","")</f>
        <v/>
      </c>
    </row>
    <row r="60" spans="1:34">
      <c r="A60" s="3">
        <v>1</v>
      </c>
      <c r="B60" s="3">
        <v>1</v>
      </c>
      <c r="C60" s="3">
        <v>12</v>
      </c>
      <c r="D60" s="3">
        <v>6</v>
      </c>
      <c r="E60" s="3">
        <f>((1/(INDEX(E0!J$4:J$28,C60,1)-INDEX(E0!J$4:J$28,D60,1))))*100000000</f>
        <v>0</v>
      </c>
      <c r="F60" s="4" t="str">
        <f>HYPERLINK("http://141.218.60.56/~jnz1568/getInfo.php?workbook=01_01.xlsx&amp;sheet=A0&amp;row=60&amp;col=6&amp;number=&amp;sourceID=18","")</f>
        <v/>
      </c>
      <c r="G60" s="4" t="str">
        <f>HYPERLINK("http://141.218.60.56/~jnz1568/getInfo.php?workbook=01_01.xlsx&amp;sheet=A0&amp;row=60&amp;col=7&amp;number=&amp;sourceID=15","")</f>
        <v/>
      </c>
      <c r="H60" s="4" t="str">
        <f>HYPERLINK("http://141.218.60.56/~jnz1568/getInfo.php?workbook=01_01.xlsx&amp;sheet=A0&amp;row=60&amp;col=8&amp;number=&amp;sourceID=15","")</f>
        <v/>
      </c>
      <c r="I60" s="4" t="str">
        <f>HYPERLINK("http://141.218.60.56/~jnz1568/getInfo.php?workbook=01_01.xlsx&amp;sheet=A0&amp;row=60&amp;col=9&amp;number=&amp;sourceID=15","")</f>
        <v/>
      </c>
      <c r="J60" s="4" t="str">
        <f>HYPERLINK("http://141.218.60.56/~jnz1568/getInfo.php?workbook=01_01.xlsx&amp;sheet=A0&amp;row=60&amp;col=10&amp;number=&amp;sourceID=15","")</f>
        <v/>
      </c>
      <c r="K60" s="4" t="str">
        <f>HYPERLINK("http://141.218.60.56/~jnz1568/getInfo.php?workbook=01_01.xlsx&amp;sheet=A0&amp;row=60&amp;col=11&amp;number=&amp;sourceID=15","")</f>
        <v/>
      </c>
      <c r="L60" s="4" t="str">
        <f>HYPERLINK("http://141.218.60.56/~jnz1568/getInfo.php?workbook=01_01.xlsx&amp;sheet=A0&amp;row=60&amp;col=12&amp;number=&amp;sourceID=15","")</f>
        <v/>
      </c>
      <c r="M60" s="4" t="str">
        <f>HYPERLINK("http://141.218.60.56/~jnz1568/getInfo.php?workbook=01_01.xlsx&amp;sheet=A0&amp;row=60&amp;col=13&amp;number=&amp;sourceID=15","")</f>
        <v/>
      </c>
      <c r="N60" s="4" t="str">
        <f>HYPERLINK("http://141.218.60.56/~jnz1568/getInfo.php?workbook=01_01.xlsx&amp;sheet=A0&amp;row=60&amp;col=14&amp;number==&amp;sourceID=11","=")</f>
        <v>=</v>
      </c>
      <c r="O60" s="4" t="str">
        <f>HYPERLINK("http://141.218.60.56/~jnz1568/getInfo.php?workbook=01_01.xlsx&amp;sheet=A0&amp;row=60&amp;col=15&amp;number=&amp;sourceID=11","")</f>
        <v/>
      </c>
      <c r="P60" s="4" t="str">
        <f>HYPERLINK("http://141.218.60.56/~jnz1568/getInfo.php?workbook=01_01.xlsx&amp;sheet=A0&amp;row=60&amp;col=16&amp;number=3.7596&amp;sourceID=11","3.7596")</f>
        <v>3.7596</v>
      </c>
      <c r="Q60" s="4" t="str">
        <f>HYPERLINK("http://141.218.60.56/~jnz1568/getInfo.php?workbook=01_01.xlsx&amp;sheet=A0&amp;row=60&amp;col=17&amp;number=&amp;sourceID=11","")</f>
        <v/>
      </c>
      <c r="R60" s="4" t="str">
        <f>HYPERLINK("http://141.218.60.56/~jnz1568/getInfo.php?workbook=01_01.xlsx&amp;sheet=A0&amp;row=60&amp;col=18&amp;number=5.4e-13&amp;sourceID=11","5.4e-13")</f>
        <v>5.4e-13</v>
      </c>
      <c r="S60" s="4" t="str">
        <f>HYPERLINK("http://141.218.60.56/~jnz1568/getInfo.php?workbook=01_01.xlsx&amp;sheet=A0&amp;row=60&amp;col=19&amp;number=&amp;sourceID=11","")</f>
        <v/>
      </c>
      <c r="T60" s="4" t="str">
        <f>HYPERLINK("http://141.218.60.56/~jnz1568/getInfo.php?workbook=01_01.xlsx&amp;sheet=A0&amp;row=60&amp;col=20&amp;number=&amp;sourceID=11","")</f>
        <v/>
      </c>
      <c r="U60" s="4" t="str">
        <f>HYPERLINK("http://141.218.60.56/~jnz1568/getInfo.php?workbook=01_01.xlsx&amp;sheet=A0&amp;row=60&amp;col=21&amp;number=3.7617&amp;sourceID=12","3.7617")</f>
        <v>3.7617</v>
      </c>
      <c r="V60" s="4" t="str">
        <f>HYPERLINK("http://141.218.60.56/~jnz1568/getInfo.php?workbook=01_01.xlsx&amp;sheet=A0&amp;row=60&amp;col=22&amp;number=&amp;sourceID=12","")</f>
        <v/>
      </c>
      <c r="W60" s="4" t="str">
        <f>HYPERLINK("http://141.218.60.56/~jnz1568/getInfo.php?workbook=01_01.xlsx&amp;sheet=A0&amp;row=60&amp;col=23&amp;number=3.7617&amp;sourceID=12","3.7617")</f>
        <v>3.7617</v>
      </c>
      <c r="X60" s="4" t="str">
        <f>HYPERLINK("http://141.218.60.56/~jnz1568/getInfo.php?workbook=01_01.xlsx&amp;sheet=A0&amp;row=60&amp;col=24&amp;number=&amp;sourceID=12","")</f>
        <v/>
      </c>
      <c r="Y60" s="4" t="str">
        <f>HYPERLINK("http://141.218.60.56/~jnz1568/getInfo.php?workbook=01_01.xlsx&amp;sheet=A0&amp;row=60&amp;col=25&amp;number=5.4e-13&amp;sourceID=12","5.4e-13")</f>
        <v>5.4e-13</v>
      </c>
      <c r="Z60" s="4" t="str">
        <f>HYPERLINK("http://141.218.60.56/~jnz1568/getInfo.php?workbook=01_01.xlsx&amp;sheet=A0&amp;row=60&amp;col=26&amp;number=&amp;sourceID=12","")</f>
        <v/>
      </c>
      <c r="AA60" s="4" t="str">
        <f>HYPERLINK("http://141.218.60.56/~jnz1568/getInfo.php?workbook=01_01.xlsx&amp;sheet=A0&amp;row=60&amp;col=27&amp;number=&amp;sourceID=12","")</f>
        <v/>
      </c>
      <c r="AB60" s="4" t="str">
        <f>HYPERLINK("http://141.218.60.56/~jnz1568/getInfo.php?workbook=01_01.xlsx&amp;sheet=A0&amp;row=60&amp;col=28&amp;number==&amp;sourceID=18","=")</f>
        <v>=</v>
      </c>
      <c r="AC60" s="4" t="str">
        <f>HYPERLINK("http://141.218.60.56/~jnz1568/getInfo.php?workbook=01_01.xlsx&amp;sheet=A0&amp;row=60&amp;col=29&amp;number=&amp;sourceID=18","")</f>
        <v/>
      </c>
      <c r="AD60" s="4" t="str">
        <f>HYPERLINK("http://141.218.60.56/~jnz1568/getInfo.php?workbook=01_01.xlsx&amp;sheet=A0&amp;row=60&amp;col=30&amp;number=3.76&amp;sourceID=18","3.76")</f>
        <v>3.76</v>
      </c>
      <c r="AE60" s="4" t="str">
        <f>HYPERLINK("http://141.218.60.56/~jnz1568/getInfo.php?workbook=01_01.xlsx&amp;sheet=A0&amp;row=60&amp;col=31&amp;number=&amp;sourceID=18","")</f>
        <v/>
      </c>
      <c r="AF60" s="4" t="str">
        <f>HYPERLINK("http://141.218.60.56/~jnz1568/getInfo.php?workbook=01_01.xlsx&amp;sheet=A0&amp;row=60&amp;col=32&amp;number=8.59e-13&amp;sourceID=18","8.59e-13")</f>
        <v>8.59e-13</v>
      </c>
      <c r="AG60" s="4" t="str">
        <f>HYPERLINK("http://141.218.60.56/~jnz1568/getInfo.php?workbook=01_01.xlsx&amp;sheet=A0&amp;row=60&amp;col=33&amp;number=&amp;sourceID=18","")</f>
        <v/>
      </c>
      <c r="AH60" s="4" t="str">
        <f>HYPERLINK("http://141.218.60.56/~jnz1568/getInfo.php?workbook=01_01.xlsx&amp;sheet=A0&amp;row=60&amp;col=34&amp;number=&amp;sourceID=20","")</f>
        <v/>
      </c>
    </row>
    <row r="61" spans="1:34">
      <c r="A61" s="3">
        <v>1</v>
      </c>
      <c r="B61" s="3">
        <v>1</v>
      </c>
      <c r="C61" s="3">
        <v>12</v>
      </c>
      <c r="D61" s="3">
        <v>7</v>
      </c>
      <c r="E61" s="3">
        <f>((1/(INDEX(E0!J$4:J$28,C61,1)-INDEX(E0!J$4:J$28,D61,1))))*100000000</f>
        <v>0</v>
      </c>
      <c r="F61" s="4" t="str">
        <f>HYPERLINK("http://141.218.60.56/~jnz1568/getInfo.php?workbook=01_01.xlsx&amp;sheet=A0&amp;row=61&amp;col=6&amp;number=&amp;sourceID=18","")</f>
        <v/>
      </c>
      <c r="G61" s="4" t="str">
        <f>HYPERLINK("http://141.218.60.56/~jnz1568/getInfo.php?workbook=01_01.xlsx&amp;sheet=A0&amp;row=61&amp;col=7&amp;number=&amp;sourceID=15","")</f>
        <v/>
      </c>
      <c r="H61" s="4" t="str">
        <f>HYPERLINK("http://141.218.60.56/~jnz1568/getInfo.php?workbook=01_01.xlsx&amp;sheet=A0&amp;row=61&amp;col=8&amp;number=&amp;sourceID=15","")</f>
        <v/>
      </c>
      <c r="I61" s="4" t="str">
        <f>HYPERLINK("http://141.218.60.56/~jnz1568/getInfo.php?workbook=01_01.xlsx&amp;sheet=A0&amp;row=61&amp;col=9&amp;number=&amp;sourceID=15","")</f>
        <v/>
      </c>
      <c r="J61" s="4" t="str">
        <f>HYPERLINK("http://141.218.60.56/~jnz1568/getInfo.php?workbook=01_01.xlsx&amp;sheet=A0&amp;row=61&amp;col=10&amp;number=&amp;sourceID=15","")</f>
        <v/>
      </c>
      <c r="K61" s="4" t="str">
        <f>HYPERLINK("http://141.218.60.56/~jnz1568/getInfo.php?workbook=01_01.xlsx&amp;sheet=A0&amp;row=61&amp;col=11&amp;number=&amp;sourceID=15","")</f>
        <v/>
      </c>
      <c r="L61" s="4" t="str">
        <f>HYPERLINK("http://141.218.60.56/~jnz1568/getInfo.php?workbook=01_01.xlsx&amp;sheet=A0&amp;row=61&amp;col=12&amp;number=&amp;sourceID=15","")</f>
        <v/>
      </c>
      <c r="M61" s="4" t="str">
        <f>HYPERLINK("http://141.218.60.56/~jnz1568/getInfo.php?workbook=01_01.xlsx&amp;sheet=A0&amp;row=61&amp;col=13&amp;number=&amp;sourceID=15","")</f>
        <v/>
      </c>
      <c r="N61" s="4" t="str">
        <f>HYPERLINK("http://141.218.60.56/~jnz1568/getInfo.php?workbook=01_01.xlsx&amp;sheet=A0&amp;row=61&amp;col=14&amp;number==&amp;sourceID=11","=")</f>
        <v>=</v>
      </c>
      <c r="O61" s="4" t="str">
        <f>HYPERLINK("http://141.218.60.56/~jnz1568/getInfo.php?workbook=01_01.xlsx&amp;sheet=A0&amp;row=61&amp;col=15&amp;number=&amp;sourceID=11","")</f>
        <v/>
      </c>
      <c r="P61" s="4" t="str">
        <f>HYPERLINK("http://141.218.60.56/~jnz1568/getInfo.php?workbook=01_01.xlsx&amp;sheet=A0&amp;row=61&amp;col=16&amp;number=0.83281&amp;sourceID=11","0.83281")</f>
        <v>0.83281</v>
      </c>
      <c r="Q61" s="4" t="str">
        <f>HYPERLINK("http://141.218.60.56/~jnz1568/getInfo.php?workbook=01_01.xlsx&amp;sheet=A0&amp;row=61&amp;col=17&amp;number=&amp;sourceID=11","")</f>
        <v/>
      </c>
      <c r="R61" s="4" t="str">
        <f>HYPERLINK("http://141.218.60.56/~jnz1568/getInfo.php?workbook=01_01.xlsx&amp;sheet=A0&amp;row=61&amp;col=18&amp;number=1.8451e-11&amp;sourceID=11","1.8451e-11")</f>
        <v>1.8451e-11</v>
      </c>
      <c r="S61" s="4" t="str">
        <f>HYPERLINK("http://141.218.60.56/~jnz1568/getInfo.php?workbook=01_01.xlsx&amp;sheet=A0&amp;row=61&amp;col=19&amp;number=&amp;sourceID=11","")</f>
        <v/>
      </c>
      <c r="T61" s="4" t="str">
        <f>HYPERLINK("http://141.218.60.56/~jnz1568/getInfo.php?workbook=01_01.xlsx&amp;sheet=A0&amp;row=61&amp;col=20&amp;number=1.1e-14&amp;sourceID=11","1.1e-14")</f>
        <v>1.1e-14</v>
      </c>
      <c r="U61" s="4" t="str">
        <f>HYPERLINK("http://141.218.60.56/~jnz1568/getInfo.php?workbook=01_01.xlsx&amp;sheet=A0&amp;row=61&amp;col=21&amp;number=0.83326&amp;sourceID=12","0.83326")</f>
        <v>0.83326</v>
      </c>
      <c r="V61" s="4" t="str">
        <f>HYPERLINK("http://141.218.60.56/~jnz1568/getInfo.php?workbook=01_01.xlsx&amp;sheet=A0&amp;row=61&amp;col=22&amp;number=&amp;sourceID=12","")</f>
        <v/>
      </c>
      <c r="W61" s="4" t="str">
        <f>HYPERLINK("http://141.218.60.56/~jnz1568/getInfo.php?workbook=01_01.xlsx&amp;sheet=A0&amp;row=61&amp;col=23&amp;number=0.83326&amp;sourceID=12","0.83326")</f>
        <v>0.83326</v>
      </c>
      <c r="X61" s="4" t="str">
        <f>HYPERLINK("http://141.218.60.56/~jnz1568/getInfo.php?workbook=01_01.xlsx&amp;sheet=A0&amp;row=61&amp;col=24&amp;number=&amp;sourceID=12","")</f>
        <v/>
      </c>
      <c r="Y61" s="4" t="str">
        <f>HYPERLINK("http://141.218.60.56/~jnz1568/getInfo.php?workbook=01_01.xlsx&amp;sheet=A0&amp;row=61&amp;col=25&amp;number=1.824e-11&amp;sourceID=12","1.824e-11")</f>
        <v>1.824e-11</v>
      </c>
      <c r="Z61" s="4" t="str">
        <f>HYPERLINK("http://141.218.60.56/~jnz1568/getInfo.php?workbook=01_01.xlsx&amp;sheet=A0&amp;row=61&amp;col=26&amp;number=&amp;sourceID=12","")</f>
        <v/>
      </c>
      <c r="AA61" s="4" t="str">
        <f>HYPERLINK("http://141.218.60.56/~jnz1568/getInfo.php?workbook=01_01.xlsx&amp;sheet=A0&amp;row=61&amp;col=27&amp;number=1.1e-14&amp;sourceID=12","1.1e-14")</f>
        <v>1.1e-14</v>
      </c>
      <c r="AB61" s="4" t="str">
        <f>HYPERLINK("http://141.218.60.56/~jnz1568/getInfo.php?workbook=01_01.xlsx&amp;sheet=A0&amp;row=61&amp;col=28&amp;number==&amp;sourceID=18","=")</f>
        <v>=</v>
      </c>
      <c r="AC61" s="4" t="str">
        <f>HYPERLINK("http://141.218.60.56/~jnz1568/getInfo.php?workbook=01_01.xlsx&amp;sheet=A0&amp;row=61&amp;col=29&amp;number=&amp;sourceID=18","")</f>
        <v/>
      </c>
      <c r="AD61" s="4" t="str">
        <f>HYPERLINK("http://141.218.60.56/~jnz1568/getInfo.php?workbook=01_01.xlsx&amp;sheet=A0&amp;row=61&amp;col=30&amp;number=0.833&amp;sourceID=18","0.833")</f>
        <v>0.833</v>
      </c>
      <c r="AE61" s="4" t="str">
        <f>HYPERLINK("http://141.218.60.56/~jnz1568/getInfo.php?workbook=01_01.xlsx&amp;sheet=A0&amp;row=61&amp;col=31&amp;number=&amp;sourceID=18","")</f>
        <v/>
      </c>
      <c r="AF61" s="4" t="str">
        <f>HYPERLINK("http://141.218.60.56/~jnz1568/getInfo.php?workbook=01_01.xlsx&amp;sheet=A0&amp;row=61&amp;col=32&amp;number=1.82e-11&amp;sourceID=18","1.82e-11")</f>
        <v>1.82e-11</v>
      </c>
      <c r="AG61" s="4" t="str">
        <f>HYPERLINK("http://141.218.60.56/~jnz1568/getInfo.php?workbook=01_01.xlsx&amp;sheet=A0&amp;row=61&amp;col=33&amp;number=&amp;sourceID=18","")</f>
        <v/>
      </c>
      <c r="AH61" s="4" t="str">
        <f>HYPERLINK("http://141.218.60.56/~jnz1568/getInfo.php?workbook=01_01.xlsx&amp;sheet=A0&amp;row=61&amp;col=34&amp;number=&amp;sourceID=20","")</f>
        <v/>
      </c>
    </row>
    <row r="62" spans="1:34">
      <c r="A62" s="3">
        <v>1</v>
      </c>
      <c r="B62" s="3">
        <v>1</v>
      </c>
      <c r="C62" s="3">
        <v>12</v>
      </c>
      <c r="D62" s="3">
        <v>8</v>
      </c>
      <c r="E62" s="3">
        <f>((1/(INDEX(E0!J$4:J$28,C62,1)-INDEX(E0!J$4:J$28,D62,1))))*100000000</f>
        <v>0</v>
      </c>
      <c r="F62" s="4" t="str">
        <f>HYPERLINK("http://141.218.60.56/~jnz1568/getInfo.php?workbook=01_01.xlsx&amp;sheet=A0&amp;row=62&amp;col=6&amp;number=&amp;sourceID=18","")</f>
        <v/>
      </c>
      <c r="G62" s="4" t="str">
        <f>HYPERLINK("http://141.218.60.56/~jnz1568/getInfo.php?workbook=01_01.xlsx&amp;sheet=A0&amp;row=62&amp;col=7&amp;number=1172900&amp;sourceID=15","1172900")</f>
        <v>1172900</v>
      </c>
      <c r="H62" s="4" t="str">
        <f>HYPERLINK("http://141.218.60.56/~jnz1568/getInfo.php?workbook=01_01.xlsx&amp;sheet=A0&amp;row=62&amp;col=8&amp;number=1172900&amp;sourceID=15","1172900")</f>
        <v>1172900</v>
      </c>
      <c r="I62" s="4" t="str">
        <f>HYPERLINK("http://141.218.60.56/~jnz1568/getInfo.php?workbook=01_01.xlsx&amp;sheet=A0&amp;row=62&amp;col=9&amp;number=&amp;sourceID=15","")</f>
        <v/>
      </c>
      <c r="J62" s="4" t="str">
        <f>HYPERLINK("http://141.218.60.56/~jnz1568/getInfo.php?workbook=01_01.xlsx&amp;sheet=A0&amp;row=62&amp;col=10&amp;number=&amp;sourceID=15","")</f>
        <v/>
      </c>
      <c r="K62" s="4" t="str">
        <f>HYPERLINK("http://141.218.60.56/~jnz1568/getInfo.php?workbook=01_01.xlsx&amp;sheet=A0&amp;row=62&amp;col=11&amp;number=&amp;sourceID=15","")</f>
        <v/>
      </c>
      <c r="L62" s="4" t="str">
        <f>HYPERLINK("http://141.218.60.56/~jnz1568/getInfo.php?workbook=01_01.xlsx&amp;sheet=A0&amp;row=62&amp;col=12&amp;number=&amp;sourceID=15","")</f>
        <v/>
      </c>
      <c r="M62" s="4" t="str">
        <f>HYPERLINK("http://141.218.60.56/~jnz1568/getInfo.php?workbook=01_01.xlsx&amp;sheet=A0&amp;row=62&amp;col=13&amp;number=&amp;sourceID=15","")</f>
        <v/>
      </c>
      <c r="N62" s="4" t="str">
        <f>HYPERLINK("http://141.218.60.56/~jnz1568/getInfo.php?workbook=01_01.xlsx&amp;sheet=A0&amp;row=62&amp;col=14&amp;number==&amp;sourceID=11","=")</f>
        <v>=</v>
      </c>
      <c r="O62" s="4" t="str">
        <f>HYPERLINK("http://141.218.60.56/~jnz1568/getInfo.php?workbook=01_01.xlsx&amp;sheet=A0&amp;row=62&amp;col=15&amp;number=1172900&amp;sourceID=11","1172900")</f>
        <v>1172900</v>
      </c>
      <c r="P62" s="4" t="str">
        <f>HYPERLINK("http://141.218.60.56/~jnz1568/getInfo.php?workbook=01_01.xlsx&amp;sheet=A0&amp;row=62&amp;col=16&amp;number=&amp;sourceID=11","")</f>
        <v/>
      </c>
      <c r="Q62" s="4" t="str">
        <f>HYPERLINK("http://141.218.60.56/~jnz1568/getInfo.php?workbook=01_01.xlsx&amp;sheet=A0&amp;row=62&amp;col=17&amp;number=1.257e-06&amp;sourceID=11","1.257e-06")</f>
        <v>1.257e-06</v>
      </c>
      <c r="R62" s="4" t="str">
        <f>HYPERLINK("http://141.218.60.56/~jnz1568/getInfo.php?workbook=01_01.xlsx&amp;sheet=A0&amp;row=62&amp;col=18&amp;number=&amp;sourceID=11","")</f>
        <v/>
      </c>
      <c r="S62" s="4" t="str">
        <f>HYPERLINK("http://141.218.60.56/~jnz1568/getInfo.php?workbook=01_01.xlsx&amp;sheet=A0&amp;row=62&amp;col=19&amp;number=&amp;sourceID=11","")</f>
        <v/>
      </c>
      <c r="T62" s="4" t="str">
        <f>HYPERLINK("http://141.218.60.56/~jnz1568/getInfo.php?workbook=01_01.xlsx&amp;sheet=A0&amp;row=62&amp;col=20&amp;number=&amp;sourceID=11","")</f>
        <v/>
      </c>
      <c r="U62" s="4" t="str">
        <f>HYPERLINK("http://141.218.60.56/~jnz1568/getInfo.php?workbook=01_01.xlsx&amp;sheet=A0&amp;row=62&amp;col=21&amp;number=1173600&amp;sourceID=12","1173600")</f>
        <v>1173600</v>
      </c>
      <c r="V62" s="4" t="str">
        <f>HYPERLINK("http://141.218.60.56/~jnz1568/getInfo.php?workbook=01_01.xlsx&amp;sheet=A0&amp;row=62&amp;col=22&amp;number=1173600&amp;sourceID=12","1173600")</f>
        <v>1173600</v>
      </c>
      <c r="W62" s="4" t="str">
        <f>HYPERLINK("http://141.218.60.56/~jnz1568/getInfo.php?workbook=01_01.xlsx&amp;sheet=A0&amp;row=62&amp;col=23&amp;number=&amp;sourceID=12","")</f>
        <v/>
      </c>
      <c r="X62" s="4" t="str">
        <f>HYPERLINK("http://141.218.60.56/~jnz1568/getInfo.php?workbook=01_01.xlsx&amp;sheet=A0&amp;row=62&amp;col=24&amp;number=1.2577e-06&amp;sourceID=12","1.2577e-06")</f>
        <v>1.2577e-06</v>
      </c>
      <c r="Y62" s="4" t="str">
        <f>HYPERLINK("http://141.218.60.56/~jnz1568/getInfo.php?workbook=01_01.xlsx&amp;sheet=A0&amp;row=62&amp;col=25&amp;number=&amp;sourceID=12","")</f>
        <v/>
      </c>
      <c r="Z62" s="4" t="str">
        <f>HYPERLINK("http://141.218.60.56/~jnz1568/getInfo.php?workbook=01_01.xlsx&amp;sheet=A0&amp;row=62&amp;col=26&amp;number=&amp;sourceID=12","")</f>
        <v/>
      </c>
      <c r="AA62" s="4" t="str">
        <f>HYPERLINK("http://141.218.60.56/~jnz1568/getInfo.php?workbook=01_01.xlsx&amp;sheet=A0&amp;row=62&amp;col=27&amp;number=&amp;sourceID=12","")</f>
        <v/>
      </c>
      <c r="AB62" s="4" t="str">
        <f>HYPERLINK("http://141.218.60.56/~jnz1568/getInfo.php?workbook=01_01.xlsx&amp;sheet=A0&amp;row=62&amp;col=28&amp;number==&amp;sourceID=18","=")</f>
        <v>=</v>
      </c>
      <c r="AC62" s="4" t="str">
        <f>HYPERLINK("http://141.218.60.56/~jnz1568/getInfo.php?workbook=01_01.xlsx&amp;sheet=A0&amp;row=62&amp;col=29&amp;number=1170000&amp;sourceID=18","1170000")</f>
        <v>1170000</v>
      </c>
      <c r="AD62" s="4" t="str">
        <f>HYPERLINK("http://141.218.60.56/~jnz1568/getInfo.php?workbook=01_01.xlsx&amp;sheet=A0&amp;row=62&amp;col=30&amp;number=&amp;sourceID=18","")</f>
        <v/>
      </c>
      <c r="AE62" s="4" t="str">
        <f>HYPERLINK("http://141.218.60.56/~jnz1568/getInfo.php?workbook=01_01.xlsx&amp;sheet=A0&amp;row=62&amp;col=31&amp;number=&amp;sourceID=18","")</f>
        <v/>
      </c>
      <c r="AF62" s="4" t="str">
        <f>HYPERLINK("http://141.218.60.56/~jnz1568/getInfo.php?workbook=01_01.xlsx&amp;sheet=A0&amp;row=62&amp;col=32&amp;number=&amp;sourceID=18","")</f>
        <v/>
      </c>
      <c r="AG62" s="4" t="str">
        <f>HYPERLINK("http://141.218.60.56/~jnz1568/getInfo.php?workbook=01_01.xlsx&amp;sheet=A0&amp;row=62&amp;col=33&amp;number=&amp;sourceID=18","")</f>
        <v/>
      </c>
      <c r="AH62" s="4" t="str">
        <f>HYPERLINK("http://141.218.60.56/~jnz1568/getInfo.php?workbook=01_01.xlsx&amp;sheet=A0&amp;row=62&amp;col=34&amp;number=&amp;sourceID=20","")</f>
        <v/>
      </c>
    </row>
    <row r="63" spans="1:34">
      <c r="A63" s="3">
        <v>1</v>
      </c>
      <c r="B63" s="3">
        <v>1</v>
      </c>
      <c r="C63" s="3">
        <v>12</v>
      </c>
      <c r="D63" s="3">
        <v>9</v>
      </c>
      <c r="E63" s="3">
        <f>((1/(INDEX(E0!J$4:J$28,C63,1)-INDEX(E0!J$4:J$28,D63,1))))*100000000</f>
        <v>0</v>
      </c>
      <c r="F63" s="4" t="str">
        <f>HYPERLINK("http://141.218.60.56/~jnz1568/getInfo.php?workbook=01_01.xlsx&amp;sheet=A0&amp;row=63&amp;col=6&amp;number=&amp;sourceID=18","")</f>
        <v/>
      </c>
      <c r="G63" s="4" t="str">
        <f>HYPERLINK("http://141.218.60.56/~jnz1568/getInfo.php?workbook=01_01.xlsx&amp;sheet=A0&amp;row=63&amp;col=7&amp;number=&amp;sourceID=15","")</f>
        <v/>
      </c>
      <c r="H63" s="4" t="str">
        <f>HYPERLINK("http://141.218.60.56/~jnz1568/getInfo.php?workbook=01_01.xlsx&amp;sheet=A0&amp;row=63&amp;col=8&amp;number=&amp;sourceID=15","")</f>
        <v/>
      </c>
      <c r="I63" s="4" t="str">
        <f>HYPERLINK("http://141.218.60.56/~jnz1568/getInfo.php?workbook=01_01.xlsx&amp;sheet=A0&amp;row=63&amp;col=9&amp;number=&amp;sourceID=15","")</f>
        <v/>
      </c>
      <c r="J63" s="4" t="str">
        <f>HYPERLINK("http://141.218.60.56/~jnz1568/getInfo.php?workbook=01_01.xlsx&amp;sheet=A0&amp;row=63&amp;col=10&amp;number=&amp;sourceID=15","")</f>
        <v/>
      </c>
      <c r="K63" s="4" t="str">
        <f>HYPERLINK("http://141.218.60.56/~jnz1568/getInfo.php?workbook=01_01.xlsx&amp;sheet=A0&amp;row=63&amp;col=11&amp;number=&amp;sourceID=15","")</f>
        <v/>
      </c>
      <c r="L63" s="4" t="str">
        <f>HYPERLINK("http://141.218.60.56/~jnz1568/getInfo.php?workbook=01_01.xlsx&amp;sheet=A0&amp;row=63&amp;col=12&amp;number=&amp;sourceID=15","")</f>
        <v/>
      </c>
      <c r="M63" s="4" t="str">
        <f>HYPERLINK("http://141.218.60.56/~jnz1568/getInfo.php?workbook=01_01.xlsx&amp;sheet=A0&amp;row=63&amp;col=13&amp;number=&amp;sourceID=15","")</f>
        <v/>
      </c>
      <c r="N63" s="4" t="str">
        <f>HYPERLINK("http://141.218.60.56/~jnz1568/getInfo.php?workbook=01_01.xlsx&amp;sheet=A0&amp;row=63&amp;col=14&amp;number==&amp;sourceID=11","=")</f>
        <v>=</v>
      </c>
      <c r="O63" s="4" t="str">
        <f>HYPERLINK("http://141.218.60.56/~jnz1568/getInfo.php?workbook=01_01.xlsx&amp;sheet=A0&amp;row=63&amp;col=15&amp;number=&amp;sourceID=11","")</f>
        <v/>
      </c>
      <c r="P63" s="4" t="str">
        <f>HYPERLINK("http://141.218.60.56/~jnz1568/getInfo.php?workbook=01_01.xlsx&amp;sheet=A0&amp;row=63&amp;col=16&amp;number=0.35692&amp;sourceID=11","0.35692")</f>
        <v>0.35692</v>
      </c>
      <c r="Q63" s="4" t="str">
        <f>HYPERLINK("http://141.218.60.56/~jnz1568/getInfo.php?workbook=01_01.xlsx&amp;sheet=A0&amp;row=63&amp;col=17&amp;number=&amp;sourceID=11","")</f>
        <v/>
      </c>
      <c r="R63" s="4" t="str">
        <f>HYPERLINK("http://141.218.60.56/~jnz1568/getInfo.php?workbook=01_01.xlsx&amp;sheet=A0&amp;row=63&amp;col=18&amp;number=5.45e-11&amp;sourceID=11","5.45e-11")</f>
        <v>5.45e-11</v>
      </c>
      <c r="S63" s="4" t="str">
        <f>HYPERLINK("http://141.218.60.56/~jnz1568/getInfo.php?workbook=01_01.xlsx&amp;sheet=A0&amp;row=63&amp;col=19&amp;number=&amp;sourceID=11","")</f>
        <v/>
      </c>
      <c r="T63" s="4" t="str">
        <f>HYPERLINK("http://141.218.60.56/~jnz1568/getInfo.php?workbook=01_01.xlsx&amp;sheet=A0&amp;row=63&amp;col=20&amp;number=8e-15&amp;sourceID=11","8e-15")</f>
        <v>8e-15</v>
      </c>
      <c r="U63" s="4" t="str">
        <f>HYPERLINK("http://141.218.60.56/~jnz1568/getInfo.php?workbook=01_01.xlsx&amp;sheet=A0&amp;row=63&amp;col=21&amp;number=0.35711&amp;sourceID=12","0.35711")</f>
        <v>0.35711</v>
      </c>
      <c r="V63" s="4" t="str">
        <f>HYPERLINK("http://141.218.60.56/~jnz1568/getInfo.php?workbook=01_01.xlsx&amp;sheet=A0&amp;row=63&amp;col=22&amp;number=&amp;sourceID=12","")</f>
        <v/>
      </c>
      <c r="W63" s="4" t="str">
        <f>HYPERLINK("http://141.218.60.56/~jnz1568/getInfo.php?workbook=01_01.xlsx&amp;sheet=A0&amp;row=63&amp;col=23&amp;number=0.35711&amp;sourceID=12","0.35711")</f>
        <v>0.35711</v>
      </c>
      <c r="X63" s="4" t="str">
        <f>HYPERLINK("http://141.218.60.56/~jnz1568/getInfo.php?workbook=01_01.xlsx&amp;sheet=A0&amp;row=63&amp;col=24&amp;number=&amp;sourceID=12","")</f>
        <v/>
      </c>
      <c r="Y63" s="4" t="str">
        <f>HYPERLINK("http://141.218.60.56/~jnz1568/getInfo.php?workbook=01_01.xlsx&amp;sheet=A0&amp;row=63&amp;col=25&amp;number=5.4461e-11&amp;sourceID=12","5.4461e-11")</f>
        <v>5.4461e-11</v>
      </c>
      <c r="Z63" s="4" t="str">
        <f>HYPERLINK("http://141.218.60.56/~jnz1568/getInfo.php?workbook=01_01.xlsx&amp;sheet=A0&amp;row=63&amp;col=26&amp;number=&amp;sourceID=12","")</f>
        <v/>
      </c>
      <c r="AA63" s="4" t="str">
        <f>HYPERLINK("http://141.218.60.56/~jnz1568/getInfo.php?workbook=01_01.xlsx&amp;sheet=A0&amp;row=63&amp;col=27&amp;number=8e-15&amp;sourceID=12","8e-15")</f>
        <v>8e-15</v>
      </c>
      <c r="AB63" s="4" t="str">
        <f>HYPERLINK("http://141.218.60.56/~jnz1568/getInfo.php?workbook=01_01.xlsx&amp;sheet=A0&amp;row=63&amp;col=28&amp;number==&amp;sourceID=18","=")</f>
        <v>=</v>
      </c>
      <c r="AC63" s="4" t="str">
        <f>HYPERLINK("http://141.218.60.56/~jnz1568/getInfo.php?workbook=01_01.xlsx&amp;sheet=A0&amp;row=63&amp;col=29&amp;number=&amp;sourceID=18","")</f>
        <v/>
      </c>
      <c r="AD63" s="4" t="str">
        <f>HYPERLINK("http://141.218.60.56/~jnz1568/getInfo.php?workbook=01_01.xlsx&amp;sheet=A0&amp;row=63&amp;col=30&amp;number=0.357&amp;sourceID=18","0.357")</f>
        <v>0.357</v>
      </c>
      <c r="AE63" s="4" t="str">
        <f>HYPERLINK("http://141.218.60.56/~jnz1568/getInfo.php?workbook=01_01.xlsx&amp;sheet=A0&amp;row=63&amp;col=31&amp;number=&amp;sourceID=18","")</f>
        <v/>
      </c>
      <c r="AF63" s="4" t="str">
        <f>HYPERLINK("http://141.218.60.56/~jnz1568/getInfo.php?workbook=01_01.xlsx&amp;sheet=A0&amp;row=63&amp;col=32&amp;number=5.95e-11&amp;sourceID=18","5.95e-11")</f>
        <v>5.95e-11</v>
      </c>
      <c r="AG63" s="4" t="str">
        <f>HYPERLINK("http://141.218.60.56/~jnz1568/getInfo.php?workbook=01_01.xlsx&amp;sheet=A0&amp;row=63&amp;col=33&amp;number=&amp;sourceID=18","")</f>
        <v/>
      </c>
      <c r="AH63" s="4" t="str">
        <f>HYPERLINK("http://141.218.60.56/~jnz1568/getInfo.php?workbook=01_01.xlsx&amp;sheet=A0&amp;row=63&amp;col=34&amp;number=&amp;sourceID=20","")</f>
        <v/>
      </c>
    </row>
    <row r="64" spans="1:34">
      <c r="A64" s="3">
        <v>1</v>
      </c>
      <c r="B64" s="3">
        <v>1</v>
      </c>
      <c r="C64" s="3">
        <v>12</v>
      </c>
      <c r="D64" s="3">
        <v>10</v>
      </c>
      <c r="E64" s="3">
        <f>((1/(INDEX(E0!J$4:J$28,C64,1)-INDEX(E0!J$4:J$28,D64,1))))*100000000</f>
        <v>0</v>
      </c>
      <c r="F64" s="4" t="str">
        <f>HYPERLINK("http://141.218.60.56/~jnz1568/getInfo.php?workbook=01_01.xlsx&amp;sheet=A0&amp;row=64&amp;col=6&amp;number=&amp;sourceID=18","")</f>
        <v/>
      </c>
      <c r="G64" s="4" t="str">
        <f>HYPERLINK("http://141.218.60.56/~jnz1568/getInfo.php?workbook=01_01.xlsx&amp;sheet=A0&amp;row=64&amp;col=7&amp;number=&amp;sourceID=15","")</f>
        <v/>
      </c>
      <c r="H64" s="4" t="str">
        <f>HYPERLINK("http://141.218.60.56/~jnz1568/getInfo.php?workbook=01_01.xlsx&amp;sheet=A0&amp;row=64&amp;col=8&amp;number=&amp;sourceID=15","")</f>
        <v/>
      </c>
      <c r="I64" s="4" t="str">
        <f>HYPERLINK("http://141.218.60.56/~jnz1568/getInfo.php?workbook=01_01.xlsx&amp;sheet=A0&amp;row=64&amp;col=9&amp;number=&amp;sourceID=15","")</f>
        <v/>
      </c>
      <c r="J64" s="4" t="str">
        <f>HYPERLINK("http://141.218.60.56/~jnz1568/getInfo.php?workbook=01_01.xlsx&amp;sheet=A0&amp;row=64&amp;col=10&amp;number=&amp;sourceID=15","")</f>
        <v/>
      </c>
      <c r="K64" s="4" t="str">
        <f>HYPERLINK("http://141.218.60.56/~jnz1568/getInfo.php?workbook=01_01.xlsx&amp;sheet=A0&amp;row=64&amp;col=11&amp;number=&amp;sourceID=15","")</f>
        <v/>
      </c>
      <c r="L64" s="4" t="str">
        <f>HYPERLINK("http://141.218.60.56/~jnz1568/getInfo.php?workbook=01_01.xlsx&amp;sheet=A0&amp;row=64&amp;col=12&amp;number=&amp;sourceID=15","")</f>
        <v/>
      </c>
      <c r="M64" s="4" t="str">
        <f>HYPERLINK("http://141.218.60.56/~jnz1568/getInfo.php?workbook=01_01.xlsx&amp;sheet=A0&amp;row=64&amp;col=13&amp;number=&amp;sourceID=15","")</f>
        <v/>
      </c>
      <c r="N64" s="4" t="str">
        <f>HYPERLINK("http://141.218.60.56/~jnz1568/getInfo.php?workbook=01_01.xlsx&amp;sheet=A0&amp;row=64&amp;col=14&amp;number==&amp;sourceID=11","=")</f>
        <v>=</v>
      </c>
      <c r="O64" s="4" t="str">
        <f>HYPERLINK("http://141.218.60.56/~jnz1568/getInfo.php?workbook=01_01.xlsx&amp;sheet=A0&amp;row=64&amp;col=15&amp;number=2.775e-08&amp;sourceID=11","2.775e-08")</f>
        <v>2.775e-08</v>
      </c>
      <c r="P64" s="4" t="str">
        <f>HYPERLINK("http://141.218.60.56/~jnz1568/getInfo.php?workbook=01_01.xlsx&amp;sheet=A0&amp;row=64&amp;col=16&amp;number=&amp;sourceID=11","")</f>
        <v/>
      </c>
      <c r="Q64" s="4" t="str">
        <f>HYPERLINK("http://141.218.60.56/~jnz1568/getInfo.php?workbook=01_01.xlsx&amp;sheet=A0&amp;row=64&amp;col=17&amp;number=&amp;sourceID=11","")</f>
        <v/>
      </c>
      <c r="R64" s="4" t="str">
        <f>HYPERLINK("http://141.218.60.56/~jnz1568/getInfo.php?workbook=01_01.xlsx&amp;sheet=A0&amp;row=64&amp;col=18&amp;number=&amp;sourceID=11","")</f>
        <v/>
      </c>
      <c r="S64" s="4" t="str">
        <f>HYPERLINK("http://141.218.60.56/~jnz1568/getInfo.php?workbook=01_01.xlsx&amp;sheet=A0&amp;row=64&amp;col=19&amp;number=0&amp;sourceID=11","0")</f>
        <v>0</v>
      </c>
      <c r="T64" s="4" t="str">
        <f>HYPERLINK("http://141.218.60.56/~jnz1568/getInfo.php?workbook=01_01.xlsx&amp;sheet=A0&amp;row=64&amp;col=20&amp;number=&amp;sourceID=11","")</f>
        <v/>
      </c>
      <c r="U64" s="4" t="str">
        <f>HYPERLINK("http://141.218.60.56/~jnz1568/getInfo.php?workbook=01_01.xlsx&amp;sheet=A0&amp;row=64&amp;col=21&amp;number=2.7792e-08&amp;sourceID=12","2.7792e-08")</f>
        <v>2.7792e-08</v>
      </c>
      <c r="V64" s="4" t="str">
        <f>HYPERLINK("http://141.218.60.56/~jnz1568/getInfo.php?workbook=01_01.xlsx&amp;sheet=A0&amp;row=64&amp;col=22&amp;number=2.7792e-08&amp;sourceID=12","2.7792e-08")</f>
        <v>2.7792e-08</v>
      </c>
      <c r="W64" s="4" t="str">
        <f>HYPERLINK("http://141.218.60.56/~jnz1568/getInfo.php?workbook=01_01.xlsx&amp;sheet=A0&amp;row=64&amp;col=23&amp;number=&amp;sourceID=12","")</f>
        <v/>
      </c>
      <c r="X64" s="4" t="str">
        <f>HYPERLINK("http://141.218.60.56/~jnz1568/getInfo.php?workbook=01_01.xlsx&amp;sheet=A0&amp;row=64&amp;col=24&amp;number=&amp;sourceID=12","")</f>
        <v/>
      </c>
      <c r="Y64" s="4" t="str">
        <f>HYPERLINK("http://141.218.60.56/~jnz1568/getInfo.php?workbook=01_01.xlsx&amp;sheet=A0&amp;row=64&amp;col=25&amp;number=&amp;sourceID=12","")</f>
        <v/>
      </c>
      <c r="Z64" s="4" t="str">
        <f>HYPERLINK("http://141.218.60.56/~jnz1568/getInfo.php?workbook=01_01.xlsx&amp;sheet=A0&amp;row=64&amp;col=26&amp;number=0&amp;sourceID=12","0")</f>
        <v>0</v>
      </c>
      <c r="AA64" s="4" t="str">
        <f>HYPERLINK("http://141.218.60.56/~jnz1568/getInfo.php?workbook=01_01.xlsx&amp;sheet=A0&amp;row=64&amp;col=27&amp;number=&amp;sourceID=12","")</f>
        <v/>
      </c>
      <c r="AB64" s="4" t="str">
        <f>HYPERLINK("http://141.218.60.56/~jnz1568/getInfo.php?workbook=01_01.xlsx&amp;sheet=A0&amp;row=64&amp;col=28&amp;number=&amp;sourceID=18","")</f>
        <v/>
      </c>
      <c r="AC64" s="4" t="str">
        <f>HYPERLINK("http://141.218.60.56/~jnz1568/getInfo.php?workbook=01_01.xlsx&amp;sheet=A0&amp;row=64&amp;col=29&amp;number=&amp;sourceID=18","")</f>
        <v/>
      </c>
      <c r="AD64" s="4" t="str">
        <f>HYPERLINK("http://141.218.60.56/~jnz1568/getInfo.php?workbook=01_01.xlsx&amp;sheet=A0&amp;row=64&amp;col=30&amp;number=&amp;sourceID=18","")</f>
        <v/>
      </c>
      <c r="AE64" s="4" t="str">
        <f>HYPERLINK("http://141.218.60.56/~jnz1568/getInfo.php?workbook=01_01.xlsx&amp;sheet=A0&amp;row=64&amp;col=31&amp;number=&amp;sourceID=18","")</f>
        <v/>
      </c>
      <c r="AF64" s="4" t="str">
        <f>HYPERLINK("http://141.218.60.56/~jnz1568/getInfo.php?workbook=01_01.xlsx&amp;sheet=A0&amp;row=64&amp;col=32&amp;number=&amp;sourceID=18","")</f>
        <v/>
      </c>
      <c r="AG64" s="4" t="str">
        <f>HYPERLINK("http://141.218.60.56/~jnz1568/getInfo.php?workbook=01_01.xlsx&amp;sheet=A0&amp;row=64&amp;col=33&amp;number=&amp;sourceID=18","")</f>
        <v/>
      </c>
      <c r="AH64" s="4" t="str">
        <f>HYPERLINK("http://141.218.60.56/~jnz1568/getInfo.php?workbook=01_01.xlsx&amp;sheet=A0&amp;row=64&amp;col=34&amp;number=&amp;sourceID=20","")</f>
        <v/>
      </c>
    </row>
    <row r="65" spans="1:34">
      <c r="A65" s="3">
        <v>1</v>
      </c>
      <c r="B65" s="3">
        <v>1</v>
      </c>
      <c r="C65" s="3">
        <v>12</v>
      </c>
      <c r="D65" s="3">
        <v>11</v>
      </c>
      <c r="E65" s="3">
        <f>((1/(INDEX(E0!J$4:J$28,C65,1)-INDEX(E0!J$4:J$28,D65,1))))*100000000</f>
        <v>0</v>
      </c>
      <c r="F65" s="4" t="str">
        <f>HYPERLINK("http://141.218.60.56/~jnz1568/getInfo.php?workbook=01_01.xlsx&amp;sheet=A0&amp;row=65&amp;col=6&amp;number=&amp;sourceID=18","")</f>
        <v/>
      </c>
      <c r="G65" s="4" t="str">
        <f>HYPERLINK("http://141.218.60.56/~jnz1568/getInfo.php?workbook=01_01.xlsx&amp;sheet=A0&amp;row=65&amp;col=7&amp;number=&amp;sourceID=15","")</f>
        <v/>
      </c>
      <c r="H65" s="4" t="str">
        <f>HYPERLINK("http://141.218.60.56/~jnz1568/getInfo.php?workbook=01_01.xlsx&amp;sheet=A0&amp;row=65&amp;col=8&amp;number=&amp;sourceID=15","")</f>
        <v/>
      </c>
      <c r="I65" s="4" t="str">
        <f>HYPERLINK("http://141.218.60.56/~jnz1568/getInfo.php?workbook=01_01.xlsx&amp;sheet=A0&amp;row=65&amp;col=9&amp;number=&amp;sourceID=15","")</f>
        <v/>
      </c>
      <c r="J65" s="4" t="str">
        <f>HYPERLINK("http://141.218.60.56/~jnz1568/getInfo.php?workbook=01_01.xlsx&amp;sheet=A0&amp;row=65&amp;col=10&amp;number=&amp;sourceID=15","")</f>
        <v/>
      </c>
      <c r="K65" s="4" t="str">
        <f>HYPERLINK("http://141.218.60.56/~jnz1568/getInfo.php?workbook=01_01.xlsx&amp;sheet=A0&amp;row=65&amp;col=11&amp;number=&amp;sourceID=15","")</f>
        <v/>
      </c>
      <c r="L65" s="4" t="str">
        <f>HYPERLINK("http://141.218.60.56/~jnz1568/getInfo.php?workbook=01_01.xlsx&amp;sheet=A0&amp;row=65&amp;col=12&amp;number=&amp;sourceID=15","")</f>
        <v/>
      </c>
      <c r="M65" s="4" t="str">
        <f>HYPERLINK("http://141.218.60.56/~jnz1568/getInfo.php?workbook=01_01.xlsx&amp;sheet=A0&amp;row=65&amp;col=13&amp;number=&amp;sourceID=15","")</f>
        <v/>
      </c>
      <c r="N65" s="4" t="str">
        <f>HYPERLINK("http://141.218.60.56/~jnz1568/getInfo.php?workbook=01_01.xlsx&amp;sheet=A0&amp;row=65&amp;col=14&amp;number==&amp;sourceID=11","=")</f>
        <v>=</v>
      </c>
      <c r="O65" s="4" t="str">
        <f>HYPERLINK("http://141.218.60.56/~jnz1568/getInfo.php?workbook=01_01.xlsx&amp;sheet=A0&amp;row=65&amp;col=15&amp;number=&amp;sourceID=11","")</f>
        <v/>
      </c>
      <c r="P65" s="4" t="str">
        <f>HYPERLINK("http://141.218.60.56/~jnz1568/getInfo.php?workbook=01_01.xlsx&amp;sheet=A0&amp;row=65&amp;col=16&amp;number=0&amp;sourceID=11","0")</f>
        <v>0</v>
      </c>
      <c r="Q65" s="4" t="str">
        <f>HYPERLINK("http://141.218.60.56/~jnz1568/getInfo.php?workbook=01_01.xlsx&amp;sheet=A0&amp;row=65&amp;col=17&amp;number=&amp;sourceID=11","")</f>
        <v/>
      </c>
      <c r="R65" s="4" t="str">
        <f>HYPERLINK("http://141.218.60.56/~jnz1568/getInfo.php?workbook=01_01.xlsx&amp;sheet=A0&amp;row=65&amp;col=18&amp;number=0&amp;sourceID=11","0")</f>
        <v>0</v>
      </c>
      <c r="S65" s="4" t="str">
        <f>HYPERLINK("http://141.218.60.56/~jnz1568/getInfo.php?workbook=01_01.xlsx&amp;sheet=A0&amp;row=65&amp;col=19&amp;number=&amp;sourceID=11","")</f>
        <v/>
      </c>
      <c r="T65" s="4" t="str">
        <f>HYPERLINK("http://141.218.60.56/~jnz1568/getInfo.php?workbook=01_01.xlsx&amp;sheet=A0&amp;row=65&amp;col=20&amp;number=&amp;sourceID=11","")</f>
        <v/>
      </c>
      <c r="U65" s="4" t="str">
        <f>HYPERLINK("http://141.218.60.56/~jnz1568/getInfo.php?workbook=01_01.xlsx&amp;sheet=A0&amp;row=65&amp;col=21&amp;number=0&amp;sourceID=12","0")</f>
        <v>0</v>
      </c>
      <c r="V65" s="4" t="str">
        <f>HYPERLINK("http://141.218.60.56/~jnz1568/getInfo.php?workbook=01_01.xlsx&amp;sheet=A0&amp;row=65&amp;col=22&amp;number=&amp;sourceID=12","")</f>
        <v/>
      </c>
      <c r="W65" s="4" t="str">
        <f>HYPERLINK("http://141.218.60.56/~jnz1568/getInfo.php?workbook=01_01.xlsx&amp;sheet=A0&amp;row=65&amp;col=23&amp;number=0&amp;sourceID=12","0")</f>
        <v>0</v>
      </c>
      <c r="X65" s="4" t="str">
        <f>HYPERLINK("http://141.218.60.56/~jnz1568/getInfo.php?workbook=01_01.xlsx&amp;sheet=A0&amp;row=65&amp;col=24&amp;number=&amp;sourceID=12","")</f>
        <v/>
      </c>
      <c r="Y65" s="4" t="str">
        <f>HYPERLINK("http://141.218.60.56/~jnz1568/getInfo.php?workbook=01_01.xlsx&amp;sheet=A0&amp;row=65&amp;col=25&amp;number=0&amp;sourceID=12","0")</f>
        <v>0</v>
      </c>
      <c r="Z65" s="4" t="str">
        <f>HYPERLINK("http://141.218.60.56/~jnz1568/getInfo.php?workbook=01_01.xlsx&amp;sheet=A0&amp;row=65&amp;col=26&amp;number=&amp;sourceID=12","")</f>
        <v/>
      </c>
      <c r="AA65" s="4" t="str">
        <f>HYPERLINK("http://141.218.60.56/~jnz1568/getInfo.php?workbook=01_01.xlsx&amp;sheet=A0&amp;row=65&amp;col=27&amp;number=&amp;sourceID=12","")</f>
        <v/>
      </c>
      <c r="AB65" s="4" t="str">
        <f>HYPERLINK("http://141.218.60.56/~jnz1568/getInfo.php?workbook=01_01.xlsx&amp;sheet=A0&amp;row=65&amp;col=28&amp;number=&amp;sourceID=18","")</f>
        <v/>
      </c>
      <c r="AC65" s="4" t="str">
        <f>HYPERLINK("http://141.218.60.56/~jnz1568/getInfo.php?workbook=01_01.xlsx&amp;sheet=A0&amp;row=65&amp;col=29&amp;number=&amp;sourceID=18","")</f>
        <v/>
      </c>
      <c r="AD65" s="4" t="str">
        <f>HYPERLINK("http://141.218.60.56/~jnz1568/getInfo.php?workbook=01_01.xlsx&amp;sheet=A0&amp;row=65&amp;col=30&amp;number=&amp;sourceID=18","")</f>
        <v/>
      </c>
      <c r="AE65" s="4" t="str">
        <f>HYPERLINK("http://141.218.60.56/~jnz1568/getInfo.php?workbook=01_01.xlsx&amp;sheet=A0&amp;row=65&amp;col=31&amp;number=&amp;sourceID=18","")</f>
        <v/>
      </c>
      <c r="AF65" s="4" t="str">
        <f>HYPERLINK("http://141.218.60.56/~jnz1568/getInfo.php?workbook=01_01.xlsx&amp;sheet=A0&amp;row=65&amp;col=32&amp;number=&amp;sourceID=18","")</f>
        <v/>
      </c>
      <c r="AG65" s="4" t="str">
        <f>HYPERLINK("http://141.218.60.56/~jnz1568/getInfo.php?workbook=01_01.xlsx&amp;sheet=A0&amp;row=65&amp;col=33&amp;number=&amp;sourceID=18","")</f>
        <v/>
      </c>
      <c r="AH65" s="4" t="str">
        <f>HYPERLINK("http://141.218.60.56/~jnz1568/getInfo.php?workbook=01_01.xlsx&amp;sheet=A0&amp;row=65&amp;col=34&amp;number=&amp;sourceID=20","")</f>
        <v/>
      </c>
    </row>
    <row r="66" spans="1:34">
      <c r="A66" s="3">
        <v>1</v>
      </c>
      <c r="B66" s="3">
        <v>1</v>
      </c>
      <c r="C66" s="3">
        <v>13</v>
      </c>
      <c r="D66" s="3">
        <v>1</v>
      </c>
      <c r="E66" s="3">
        <f>((1/(INDEX(E0!J$4:J$28,C66,1)-INDEX(E0!J$4:J$28,D66,1))))*100000000</f>
        <v>0</v>
      </c>
      <c r="F66" s="4" t="str">
        <f>HYPERLINK("http://141.218.60.56/~jnz1568/getInfo.php?workbook=01_01.xlsx&amp;sheet=A0&amp;row=66&amp;col=6&amp;number=&amp;sourceID=18","")</f>
        <v/>
      </c>
      <c r="G66" s="4" t="str">
        <f>HYPERLINK("http://141.218.60.56/~jnz1568/getInfo.php?workbook=01_01.xlsx&amp;sheet=A0&amp;row=66&amp;col=7&amp;number=68186000&amp;sourceID=15","68186000")</f>
        <v>68186000</v>
      </c>
      <c r="H66" s="4" t="str">
        <f>HYPERLINK("http://141.218.60.56/~jnz1568/getInfo.php?workbook=01_01.xlsx&amp;sheet=A0&amp;row=66&amp;col=8&amp;number=68186000&amp;sourceID=15","68186000")</f>
        <v>68186000</v>
      </c>
      <c r="I66" s="4" t="str">
        <f>HYPERLINK("http://141.218.60.56/~jnz1568/getInfo.php?workbook=01_01.xlsx&amp;sheet=A0&amp;row=66&amp;col=9&amp;number=&amp;sourceID=15","")</f>
        <v/>
      </c>
      <c r="J66" s="4" t="str">
        <f>HYPERLINK("http://141.218.60.56/~jnz1568/getInfo.php?workbook=01_01.xlsx&amp;sheet=A0&amp;row=66&amp;col=10&amp;number=&amp;sourceID=15","")</f>
        <v/>
      </c>
      <c r="K66" s="4" t="str">
        <f>HYPERLINK("http://141.218.60.56/~jnz1568/getInfo.php?workbook=01_01.xlsx&amp;sheet=A0&amp;row=66&amp;col=11&amp;number=&amp;sourceID=15","")</f>
        <v/>
      </c>
      <c r="L66" s="4" t="str">
        <f>HYPERLINK("http://141.218.60.56/~jnz1568/getInfo.php?workbook=01_01.xlsx&amp;sheet=A0&amp;row=66&amp;col=12&amp;number=&amp;sourceID=15","")</f>
        <v/>
      </c>
      <c r="M66" s="4" t="str">
        <f>HYPERLINK("http://141.218.60.56/~jnz1568/getInfo.php?workbook=01_01.xlsx&amp;sheet=A0&amp;row=66&amp;col=13&amp;number=&amp;sourceID=15","")</f>
        <v/>
      </c>
      <c r="N66" s="4" t="str">
        <f>HYPERLINK("http://141.218.60.56/~jnz1568/getInfo.php?workbook=01_01.xlsx&amp;sheet=A0&amp;row=66&amp;col=14&amp;number==&amp;sourceID=11","=")</f>
        <v>=</v>
      </c>
      <c r="O66" s="4" t="str">
        <f>HYPERLINK("http://141.218.60.56/~jnz1568/getInfo.php?workbook=01_01.xlsx&amp;sheet=A0&amp;row=66&amp;col=15&amp;number=68186000&amp;sourceID=11","68186000")</f>
        <v>68186000</v>
      </c>
      <c r="P66" s="4" t="str">
        <f>HYPERLINK("http://141.218.60.56/~jnz1568/getInfo.php?workbook=01_01.xlsx&amp;sheet=A0&amp;row=66&amp;col=16&amp;number=&amp;sourceID=11","")</f>
        <v/>
      </c>
      <c r="Q66" s="4" t="str">
        <f>HYPERLINK("http://141.218.60.56/~jnz1568/getInfo.php?workbook=01_01.xlsx&amp;sheet=A0&amp;row=66&amp;col=17&amp;number=&amp;sourceID=11","")</f>
        <v/>
      </c>
      <c r="R66" s="4" t="str">
        <f>HYPERLINK("http://141.218.60.56/~jnz1568/getInfo.php?workbook=01_01.xlsx&amp;sheet=A0&amp;row=66&amp;col=18&amp;number=&amp;sourceID=11","")</f>
        <v/>
      </c>
      <c r="S66" s="4" t="str">
        <f>HYPERLINK("http://141.218.60.56/~jnz1568/getInfo.php?workbook=01_01.xlsx&amp;sheet=A0&amp;row=66&amp;col=19&amp;number=0.0079661&amp;sourceID=11","0.0079661")</f>
        <v>0.0079661</v>
      </c>
      <c r="T66" s="4" t="str">
        <f>HYPERLINK("http://141.218.60.56/~jnz1568/getInfo.php?workbook=01_01.xlsx&amp;sheet=A0&amp;row=66&amp;col=20&amp;number=&amp;sourceID=11","")</f>
        <v/>
      </c>
      <c r="U66" s="4" t="str">
        <f>HYPERLINK("http://141.218.60.56/~jnz1568/getInfo.php?workbook=01_01.xlsx&amp;sheet=A0&amp;row=66&amp;col=21&amp;number=68223000&amp;sourceID=12","68223000")</f>
        <v>68223000</v>
      </c>
      <c r="V66" s="4" t="str">
        <f>HYPERLINK("http://141.218.60.56/~jnz1568/getInfo.php?workbook=01_01.xlsx&amp;sheet=A0&amp;row=66&amp;col=22&amp;number=68223000&amp;sourceID=12","68223000")</f>
        <v>68223000</v>
      </c>
      <c r="W66" s="4" t="str">
        <f>HYPERLINK("http://141.218.60.56/~jnz1568/getInfo.php?workbook=01_01.xlsx&amp;sheet=A0&amp;row=66&amp;col=23&amp;number=&amp;sourceID=12","")</f>
        <v/>
      </c>
      <c r="X66" s="4" t="str">
        <f>HYPERLINK("http://141.218.60.56/~jnz1568/getInfo.php?workbook=01_01.xlsx&amp;sheet=A0&amp;row=66&amp;col=24&amp;number=&amp;sourceID=12","")</f>
        <v/>
      </c>
      <c r="Y66" s="4" t="str">
        <f>HYPERLINK("http://141.218.60.56/~jnz1568/getInfo.php?workbook=01_01.xlsx&amp;sheet=A0&amp;row=66&amp;col=25&amp;number=&amp;sourceID=12","")</f>
        <v/>
      </c>
      <c r="Z66" s="4" t="str">
        <f>HYPERLINK("http://141.218.60.56/~jnz1568/getInfo.php?workbook=01_01.xlsx&amp;sheet=A0&amp;row=66&amp;col=26&amp;number=0.0079705&amp;sourceID=12","0.0079705")</f>
        <v>0.0079705</v>
      </c>
      <c r="AA66" s="4" t="str">
        <f>HYPERLINK("http://141.218.60.56/~jnz1568/getInfo.php?workbook=01_01.xlsx&amp;sheet=A0&amp;row=66&amp;col=27&amp;number=&amp;sourceID=12","")</f>
        <v/>
      </c>
      <c r="AB66" s="4" t="str">
        <f>HYPERLINK("http://141.218.60.56/~jnz1568/getInfo.php?workbook=01_01.xlsx&amp;sheet=A0&amp;row=66&amp;col=28&amp;number==SUM(AC66:AG66)&amp;sourceID=18","=SUM(AC66:AG66)")</f>
        <v>=SUM(AC66:AG66)</v>
      </c>
      <c r="AC66" s="4" t="str">
        <f>HYPERLINK("http://141.218.60.56/~jnz1568/getInfo.php?workbook=01_01.xlsx&amp;sheet=A0&amp;row=66&amp;col=29&amp;number=68200000&amp;sourceID=18","68200000")</f>
        <v>68200000</v>
      </c>
      <c r="AD66" s="4" t="str">
        <f>HYPERLINK("http://141.218.60.56/~jnz1568/getInfo.php?workbook=01_01.xlsx&amp;sheet=A0&amp;row=66&amp;col=30&amp;number=&amp;sourceID=18","")</f>
        <v/>
      </c>
      <c r="AE66" s="4" t="str">
        <f>HYPERLINK("http://141.218.60.56/~jnz1568/getInfo.php?workbook=01_01.xlsx&amp;sheet=A0&amp;row=66&amp;col=31&amp;number=&amp;sourceID=18","")</f>
        <v/>
      </c>
      <c r="AF66" s="4" t="str">
        <f>HYPERLINK("http://141.218.60.56/~jnz1568/getInfo.php?workbook=01_01.xlsx&amp;sheet=A0&amp;row=66&amp;col=32&amp;number=&amp;sourceID=18","")</f>
        <v/>
      </c>
      <c r="AG66" s="4" t="str">
        <f>HYPERLINK("http://141.218.60.56/~jnz1568/getInfo.php?workbook=01_01.xlsx&amp;sheet=A0&amp;row=66&amp;col=33&amp;number=&amp;sourceID=18","")</f>
        <v/>
      </c>
      <c r="AH66" s="4" t="str">
        <f>HYPERLINK("http://141.218.60.56/~jnz1568/getInfo.php?workbook=01_01.xlsx&amp;sheet=A0&amp;row=66&amp;col=34&amp;number=68186000&amp;sourceID=20","68186000")</f>
        <v>68186000</v>
      </c>
    </row>
    <row r="67" spans="1:34">
      <c r="A67" s="3">
        <v>1</v>
      </c>
      <c r="B67" s="3">
        <v>1</v>
      </c>
      <c r="C67" s="3">
        <v>13</v>
      </c>
      <c r="D67" s="3">
        <v>2</v>
      </c>
      <c r="E67" s="3">
        <f>((1/(INDEX(E0!J$4:J$28,C67,1)-INDEX(E0!J$4:J$28,D67,1))))*100000000</f>
        <v>0</v>
      </c>
      <c r="F67" s="4" t="str">
        <f>HYPERLINK("http://141.218.60.56/~jnz1568/getInfo.php?workbook=01_01.xlsx&amp;sheet=A0&amp;row=67&amp;col=6&amp;number=&amp;sourceID=18","")</f>
        <v/>
      </c>
      <c r="G67" s="4" t="str">
        <f>HYPERLINK("http://141.218.60.56/~jnz1568/getInfo.php?workbook=01_01.xlsx&amp;sheet=A0&amp;row=67&amp;col=7&amp;number=&amp;sourceID=15","")</f>
        <v/>
      </c>
      <c r="H67" s="4" t="str">
        <f>HYPERLINK("http://141.218.60.56/~jnz1568/getInfo.php?workbook=01_01.xlsx&amp;sheet=A0&amp;row=67&amp;col=8&amp;number=&amp;sourceID=15","")</f>
        <v/>
      </c>
      <c r="I67" s="4" t="str">
        <f>HYPERLINK("http://141.218.60.56/~jnz1568/getInfo.php?workbook=01_01.xlsx&amp;sheet=A0&amp;row=67&amp;col=9&amp;number=&amp;sourceID=15","")</f>
        <v/>
      </c>
      <c r="J67" s="4" t="str">
        <f>HYPERLINK("http://141.218.60.56/~jnz1568/getInfo.php?workbook=01_01.xlsx&amp;sheet=A0&amp;row=67&amp;col=10&amp;number=&amp;sourceID=15","")</f>
        <v/>
      </c>
      <c r="K67" s="4" t="str">
        <f>HYPERLINK("http://141.218.60.56/~jnz1568/getInfo.php?workbook=01_01.xlsx&amp;sheet=A0&amp;row=67&amp;col=11&amp;number=&amp;sourceID=15","")</f>
        <v/>
      </c>
      <c r="L67" s="4" t="str">
        <f>HYPERLINK("http://141.218.60.56/~jnz1568/getInfo.php?workbook=01_01.xlsx&amp;sheet=A0&amp;row=67&amp;col=12&amp;number=&amp;sourceID=15","")</f>
        <v/>
      </c>
      <c r="M67" s="4" t="str">
        <f>HYPERLINK("http://141.218.60.56/~jnz1568/getInfo.php?workbook=01_01.xlsx&amp;sheet=A0&amp;row=67&amp;col=13&amp;number=&amp;sourceID=15","")</f>
        <v/>
      </c>
      <c r="N67" s="4" t="str">
        <f>HYPERLINK("http://141.218.60.56/~jnz1568/getInfo.php?workbook=01_01.xlsx&amp;sheet=A0&amp;row=67&amp;col=14&amp;number==&amp;sourceID=11","=")</f>
        <v>=</v>
      </c>
      <c r="O67" s="4" t="str">
        <f>HYPERLINK("http://141.218.60.56/~jnz1568/getInfo.php?workbook=01_01.xlsx&amp;sheet=A0&amp;row=67&amp;col=15&amp;number=&amp;sourceID=11","")</f>
        <v/>
      </c>
      <c r="P67" s="4" t="str">
        <f>HYPERLINK("http://141.218.60.56/~jnz1568/getInfo.php?workbook=01_01.xlsx&amp;sheet=A0&amp;row=67&amp;col=16&amp;number=5.1485&amp;sourceID=11","5.1485")</f>
        <v>5.1485</v>
      </c>
      <c r="Q67" s="4" t="str">
        <f>HYPERLINK("http://141.218.60.56/~jnz1568/getInfo.php?workbook=01_01.xlsx&amp;sheet=A0&amp;row=67&amp;col=17&amp;number=&amp;sourceID=11","")</f>
        <v/>
      </c>
      <c r="R67" s="4" t="str">
        <f>HYPERLINK("http://141.218.60.56/~jnz1568/getInfo.php?workbook=01_01.xlsx&amp;sheet=A0&amp;row=67&amp;col=18&amp;number=1.7386e-09&amp;sourceID=11","1.7386e-09")</f>
        <v>1.7386e-09</v>
      </c>
      <c r="S67" s="4" t="str">
        <f>HYPERLINK("http://141.218.60.56/~jnz1568/getInfo.php?workbook=01_01.xlsx&amp;sheet=A0&amp;row=67&amp;col=19&amp;number=&amp;sourceID=11","")</f>
        <v/>
      </c>
      <c r="T67" s="4" t="str">
        <f>HYPERLINK("http://141.218.60.56/~jnz1568/getInfo.php?workbook=01_01.xlsx&amp;sheet=A0&amp;row=67&amp;col=20&amp;number=&amp;sourceID=11","")</f>
        <v/>
      </c>
      <c r="U67" s="4" t="str">
        <f>HYPERLINK("http://141.218.60.56/~jnz1568/getInfo.php?workbook=01_01.xlsx&amp;sheet=A0&amp;row=67&amp;col=21&amp;number=5.1514&amp;sourceID=12","5.1514")</f>
        <v>5.1514</v>
      </c>
      <c r="V67" s="4" t="str">
        <f>HYPERLINK("http://141.218.60.56/~jnz1568/getInfo.php?workbook=01_01.xlsx&amp;sheet=A0&amp;row=67&amp;col=22&amp;number=&amp;sourceID=12","")</f>
        <v/>
      </c>
      <c r="W67" s="4" t="str">
        <f>HYPERLINK("http://141.218.60.56/~jnz1568/getInfo.php?workbook=01_01.xlsx&amp;sheet=A0&amp;row=67&amp;col=23&amp;number=5.1514&amp;sourceID=12","5.1514")</f>
        <v>5.1514</v>
      </c>
      <c r="X67" s="4" t="str">
        <f>HYPERLINK("http://141.218.60.56/~jnz1568/getInfo.php?workbook=01_01.xlsx&amp;sheet=A0&amp;row=67&amp;col=24&amp;number=&amp;sourceID=12","")</f>
        <v/>
      </c>
      <c r="Y67" s="4" t="str">
        <f>HYPERLINK("http://141.218.60.56/~jnz1568/getInfo.php?workbook=01_01.xlsx&amp;sheet=A0&amp;row=67&amp;col=25&amp;number=1.7351e-09&amp;sourceID=12","1.7351e-09")</f>
        <v>1.7351e-09</v>
      </c>
      <c r="Z67" s="4" t="str">
        <f>HYPERLINK("http://141.218.60.56/~jnz1568/getInfo.php?workbook=01_01.xlsx&amp;sheet=A0&amp;row=67&amp;col=26&amp;number=&amp;sourceID=12","")</f>
        <v/>
      </c>
      <c r="AA67" s="4" t="str">
        <f>HYPERLINK("http://141.218.60.56/~jnz1568/getInfo.php?workbook=01_01.xlsx&amp;sheet=A0&amp;row=67&amp;col=27&amp;number=&amp;sourceID=12","")</f>
        <v/>
      </c>
      <c r="AB67" s="4" t="str">
        <f>HYPERLINK("http://141.218.60.56/~jnz1568/getInfo.php?workbook=01_01.xlsx&amp;sheet=A0&amp;row=67&amp;col=28&amp;number==&amp;sourceID=18","=")</f>
        <v>=</v>
      </c>
      <c r="AC67" s="4" t="str">
        <f>HYPERLINK("http://141.218.60.56/~jnz1568/getInfo.php?workbook=01_01.xlsx&amp;sheet=A0&amp;row=67&amp;col=29&amp;number=&amp;sourceID=18","")</f>
        <v/>
      </c>
      <c r="AD67" s="4" t="str">
        <f>HYPERLINK("http://141.218.60.56/~jnz1568/getInfo.php?workbook=01_01.xlsx&amp;sheet=A0&amp;row=67&amp;col=30&amp;number=5.15&amp;sourceID=18","5.15")</f>
        <v>5.15</v>
      </c>
      <c r="AE67" s="4" t="str">
        <f>HYPERLINK("http://141.218.60.56/~jnz1568/getInfo.php?workbook=01_01.xlsx&amp;sheet=A0&amp;row=67&amp;col=31&amp;number=&amp;sourceID=18","")</f>
        <v/>
      </c>
      <c r="AF67" s="4" t="str">
        <f>HYPERLINK("http://141.218.60.56/~jnz1568/getInfo.php?workbook=01_01.xlsx&amp;sheet=A0&amp;row=67&amp;col=32&amp;number=1.45e-09&amp;sourceID=18","1.45e-09")</f>
        <v>1.45e-09</v>
      </c>
      <c r="AG67" s="4" t="str">
        <f>HYPERLINK("http://141.218.60.56/~jnz1568/getInfo.php?workbook=01_01.xlsx&amp;sheet=A0&amp;row=67&amp;col=33&amp;number=&amp;sourceID=18","")</f>
        <v/>
      </c>
      <c r="AH67" s="4" t="str">
        <f>HYPERLINK("http://141.218.60.56/~jnz1568/getInfo.php?workbook=01_01.xlsx&amp;sheet=A0&amp;row=67&amp;col=34&amp;number=&amp;sourceID=20","")</f>
        <v/>
      </c>
    </row>
    <row r="68" spans="1:34">
      <c r="A68" s="3">
        <v>1</v>
      </c>
      <c r="B68" s="3">
        <v>1</v>
      </c>
      <c r="C68" s="3">
        <v>13</v>
      </c>
      <c r="D68" s="3">
        <v>3</v>
      </c>
      <c r="E68" s="3">
        <f>((1/(INDEX(E0!J$4:J$28,C68,1)-INDEX(E0!J$4:J$28,D68,1))))*100000000</f>
        <v>0</v>
      </c>
      <c r="F68" s="4" t="str">
        <f>HYPERLINK("http://141.218.60.56/~jnz1568/getInfo.php?workbook=01_01.xlsx&amp;sheet=A0&amp;row=68&amp;col=6&amp;number=&amp;sourceID=18","")</f>
        <v/>
      </c>
      <c r="G68" s="4" t="str">
        <f>HYPERLINK("http://141.218.60.56/~jnz1568/getInfo.php?workbook=01_01.xlsx&amp;sheet=A0&amp;row=68&amp;col=7&amp;number=9668000&amp;sourceID=15","9668000")</f>
        <v>9668000</v>
      </c>
      <c r="H68" s="4" t="str">
        <f>HYPERLINK("http://141.218.60.56/~jnz1568/getInfo.php?workbook=01_01.xlsx&amp;sheet=A0&amp;row=68&amp;col=8&amp;number=9668000&amp;sourceID=15","9668000")</f>
        <v>9668000</v>
      </c>
      <c r="I68" s="4" t="str">
        <f>HYPERLINK("http://141.218.60.56/~jnz1568/getInfo.php?workbook=01_01.xlsx&amp;sheet=A0&amp;row=68&amp;col=9&amp;number=&amp;sourceID=15","")</f>
        <v/>
      </c>
      <c r="J68" s="4" t="str">
        <f>HYPERLINK("http://141.218.60.56/~jnz1568/getInfo.php?workbook=01_01.xlsx&amp;sheet=A0&amp;row=68&amp;col=10&amp;number=&amp;sourceID=15","")</f>
        <v/>
      </c>
      <c r="K68" s="4" t="str">
        <f>HYPERLINK("http://141.218.60.56/~jnz1568/getInfo.php?workbook=01_01.xlsx&amp;sheet=A0&amp;row=68&amp;col=11&amp;number=&amp;sourceID=15","")</f>
        <v/>
      </c>
      <c r="L68" s="4" t="str">
        <f>HYPERLINK("http://141.218.60.56/~jnz1568/getInfo.php?workbook=01_01.xlsx&amp;sheet=A0&amp;row=68&amp;col=12&amp;number=&amp;sourceID=15","")</f>
        <v/>
      </c>
      <c r="M68" s="4" t="str">
        <f>HYPERLINK("http://141.218.60.56/~jnz1568/getInfo.php?workbook=01_01.xlsx&amp;sheet=A0&amp;row=68&amp;col=13&amp;number=&amp;sourceID=15","")</f>
        <v/>
      </c>
      <c r="N68" s="4" t="str">
        <f>HYPERLINK("http://141.218.60.56/~jnz1568/getInfo.php?workbook=01_01.xlsx&amp;sheet=A0&amp;row=68&amp;col=14&amp;number==&amp;sourceID=11","=")</f>
        <v>=</v>
      </c>
      <c r="O68" s="4" t="str">
        <f>HYPERLINK("http://141.218.60.56/~jnz1568/getInfo.php?workbook=01_01.xlsx&amp;sheet=A0&amp;row=68&amp;col=15&amp;number=9668000&amp;sourceID=11","9668000")</f>
        <v>9668000</v>
      </c>
      <c r="P68" s="4" t="str">
        <f>HYPERLINK("http://141.218.60.56/~jnz1568/getInfo.php?workbook=01_01.xlsx&amp;sheet=A0&amp;row=68&amp;col=16&amp;number=&amp;sourceID=11","")</f>
        <v/>
      </c>
      <c r="Q68" s="4" t="str">
        <f>HYPERLINK("http://141.218.60.56/~jnz1568/getInfo.php?workbook=01_01.xlsx&amp;sheet=A0&amp;row=68&amp;col=17&amp;number=&amp;sourceID=11","")</f>
        <v/>
      </c>
      <c r="R68" s="4" t="str">
        <f>HYPERLINK("http://141.218.60.56/~jnz1568/getInfo.php?workbook=01_01.xlsx&amp;sheet=A0&amp;row=68&amp;col=18&amp;number=&amp;sourceID=11","")</f>
        <v/>
      </c>
      <c r="S68" s="4" t="str">
        <f>HYPERLINK("http://141.218.60.56/~jnz1568/getInfo.php?workbook=01_01.xlsx&amp;sheet=A0&amp;row=68&amp;col=19&amp;number=4.5182e-05&amp;sourceID=11","4.5182e-05")</f>
        <v>4.5182e-05</v>
      </c>
      <c r="T68" s="4" t="str">
        <f>HYPERLINK("http://141.218.60.56/~jnz1568/getInfo.php?workbook=01_01.xlsx&amp;sheet=A0&amp;row=68&amp;col=20&amp;number=&amp;sourceID=11","")</f>
        <v/>
      </c>
      <c r="U68" s="4" t="str">
        <f>HYPERLINK("http://141.218.60.56/~jnz1568/getInfo.php?workbook=01_01.xlsx&amp;sheet=A0&amp;row=68&amp;col=21&amp;number=9673300&amp;sourceID=12","9673300")</f>
        <v>9673300</v>
      </c>
      <c r="V68" s="4" t="str">
        <f>HYPERLINK("http://141.218.60.56/~jnz1568/getInfo.php?workbook=01_01.xlsx&amp;sheet=A0&amp;row=68&amp;col=22&amp;number=9673300&amp;sourceID=12","9673300")</f>
        <v>9673300</v>
      </c>
      <c r="W68" s="4" t="str">
        <f>HYPERLINK("http://141.218.60.56/~jnz1568/getInfo.php?workbook=01_01.xlsx&amp;sheet=A0&amp;row=68&amp;col=23&amp;number=&amp;sourceID=12","")</f>
        <v/>
      </c>
      <c r="X68" s="4" t="str">
        <f>HYPERLINK("http://141.218.60.56/~jnz1568/getInfo.php?workbook=01_01.xlsx&amp;sheet=A0&amp;row=68&amp;col=24&amp;number=&amp;sourceID=12","")</f>
        <v/>
      </c>
      <c r="Y68" s="4" t="str">
        <f>HYPERLINK("http://141.218.60.56/~jnz1568/getInfo.php?workbook=01_01.xlsx&amp;sheet=A0&amp;row=68&amp;col=25&amp;number=&amp;sourceID=12","")</f>
        <v/>
      </c>
      <c r="Z68" s="4" t="str">
        <f>HYPERLINK("http://141.218.60.56/~jnz1568/getInfo.php?workbook=01_01.xlsx&amp;sheet=A0&amp;row=68&amp;col=26&amp;number=4.5206e-05&amp;sourceID=12","4.5206e-05")</f>
        <v>4.5206e-05</v>
      </c>
      <c r="AA68" s="4" t="str">
        <f>HYPERLINK("http://141.218.60.56/~jnz1568/getInfo.php?workbook=01_01.xlsx&amp;sheet=A0&amp;row=68&amp;col=27&amp;number=&amp;sourceID=12","")</f>
        <v/>
      </c>
      <c r="AB68" s="4" t="str">
        <f>HYPERLINK("http://141.218.60.56/~jnz1568/getInfo.php?workbook=01_01.xlsx&amp;sheet=A0&amp;row=68&amp;col=28&amp;number==&amp;sourceID=18","=")</f>
        <v>=</v>
      </c>
      <c r="AC68" s="4" t="str">
        <f>HYPERLINK("http://141.218.60.56/~jnz1568/getInfo.php?workbook=01_01.xlsx&amp;sheet=A0&amp;row=68&amp;col=29&amp;number=9670000&amp;sourceID=18","9670000")</f>
        <v>9670000</v>
      </c>
      <c r="AD68" s="4" t="str">
        <f>HYPERLINK("http://141.218.60.56/~jnz1568/getInfo.php?workbook=01_01.xlsx&amp;sheet=A0&amp;row=68&amp;col=30&amp;number=&amp;sourceID=18","")</f>
        <v/>
      </c>
      <c r="AE68" s="4" t="str">
        <f>HYPERLINK("http://141.218.60.56/~jnz1568/getInfo.php?workbook=01_01.xlsx&amp;sheet=A0&amp;row=68&amp;col=31&amp;number=&amp;sourceID=18","")</f>
        <v/>
      </c>
      <c r="AF68" s="4" t="str">
        <f>HYPERLINK("http://141.218.60.56/~jnz1568/getInfo.php?workbook=01_01.xlsx&amp;sheet=A0&amp;row=68&amp;col=32&amp;number=&amp;sourceID=18","")</f>
        <v/>
      </c>
      <c r="AG68" s="4" t="str">
        <f>HYPERLINK("http://141.218.60.56/~jnz1568/getInfo.php?workbook=01_01.xlsx&amp;sheet=A0&amp;row=68&amp;col=33&amp;number=&amp;sourceID=18","")</f>
        <v/>
      </c>
      <c r="AH68" s="4" t="str">
        <f>HYPERLINK("http://141.218.60.56/~jnz1568/getInfo.php?workbook=01_01.xlsx&amp;sheet=A0&amp;row=68&amp;col=34&amp;number=&amp;sourceID=20","")</f>
        <v/>
      </c>
    </row>
    <row r="69" spans="1:34">
      <c r="A69" s="3">
        <v>1</v>
      </c>
      <c r="B69" s="3">
        <v>1</v>
      </c>
      <c r="C69" s="3">
        <v>13</v>
      </c>
      <c r="D69" s="3">
        <v>4</v>
      </c>
      <c r="E69" s="3">
        <f>((1/(INDEX(E0!J$4:J$28,C69,1)-INDEX(E0!J$4:J$28,D69,1))))*100000000</f>
        <v>0</v>
      </c>
      <c r="F69" s="4" t="str">
        <f>HYPERLINK("http://141.218.60.56/~jnz1568/getInfo.php?workbook=01_01.xlsx&amp;sheet=A0&amp;row=69&amp;col=6&amp;number=&amp;sourceID=18","")</f>
        <v/>
      </c>
      <c r="G69" s="4" t="str">
        <f>HYPERLINK("http://141.218.60.56/~jnz1568/getInfo.php?workbook=01_01.xlsx&amp;sheet=A0&amp;row=69&amp;col=7&amp;number=&amp;sourceID=15","")</f>
        <v/>
      </c>
      <c r="H69" s="4" t="str">
        <f>HYPERLINK("http://141.218.60.56/~jnz1568/getInfo.php?workbook=01_01.xlsx&amp;sheet=A0&amp;row=69&amp;col=8&amp;number=&amp;sourceID=15","")</f>
        <v/>
      </c>
      <c r="I69" s="4" t="str">
        <f>HYPERLINK("http://141.218.60.56/~jnz1568/getInfo.php?workbook=01_01.xlsx&amp;sheet=A0&amp;row=69&amp;col=9&amp;number=&amp;sourceID=15","")</f>
        <v/>
      </c>
      <c r="J69" s="4" t="str">
        <f>HYPERLINK("http://141.218.60.56/~jnz1568/getInfo.php?workbook=01_01.xlsx&amp;sheet=A0&amp;row=69&amp;col=10&amp;number=&amp;sourceID=15","")</f>
        <v/>
      </c>
      <c r="K69" s="4" t="str">
        <f>HYPERLINK("http://141.218.60.56/~jnz1568/getInfo.php?workbook=01_01.xlsx&amp;sheet=A0&amp;row=69&amp;col=11&amp;number=&amp;sourceID=15","")</f>
        <v/>
      </c>
      <c r="L69" s="4" t="str">
        <f>HYPERLINK("http://141.218.60.56/~jnz1568/getInfo.php?workbook=01_01.xlsx&amp;sheet=A0&amp;row=69&amp;col=12&amp;number=&amp;sourceID=15","")</f>
        <v/>
      </c>
      <c r="M69" s="4" t="str">
        <f>HYPERLINK("http://141.218.60.56/~jnz1568/getInfo.php?workbook=01_01.xlsx&amp;sheet=A0&amp;row=69&amp;col=13&amp;number=&amp;sourceID=15","")</f>
        <v/>
      </c>
      <c r="N69" s="4" t="str">
        <f>HYPERLINK("http://141.218.60.56/~jnz1568/getInfo.php?workbook=01_01.xlsx&amp;sheet=A0&amp;row=69&amp;col=14&amp;number==&amp;sourceID=11","=")</f>
        <v>=</v>
      </c>
      <c r="O69" s="4" t="str">
        <f>HYPERLINK("http://141.218.60.56/~jnz1568/getInfo.php?workbook=01_01.xlsx&amp;sheet=A0&amp;row=69&amp;col=15&amp;number=&amp;sourceID=11","")</f>
        <v/>
      </c>
      <c r="P69" s="4" t="str">
        <f>HYPERLINK("http://141.218.60.56/~jnz1568/getInfo.php?workbook=01_01.xlsx&amp;sheet=A0&amp;row=69&amp;col=16&amp;number=5.1483&amp;sourceID=11","5.1483")</f>
        <v>5.1483</v>
      </c>
      <c r="Q69" s="4" t="str">
        <f>HYPERLINK("http://141.218.60.56/~jnz1568/getInfo.php?workbook=01_01.xlsx&amp;sheet=A0&amp;row=69&amp;col=17&amp;number=&amp;sourceID=11","")</f>
        <v/>
      </c>
      <c r="R69" s="4" t="str">
        <f>HYPERLINK("http://141.218.60.56/~jnz1568/getInfo.php?workbook=01_01.xlsx&amp;sheet=A0&amp;row=69&amp;col=18&amp;number=2.77e-09&amp;sourceID=11","2.77e-09")</f>
        <v>2.77e-09</v>
      </c>
      <c r="S69" s="4" t="str">
        <f>HYPERLINK("http://141.218.60.56/~jnz1568/getInfo.php?workbook=01_01.xlsx&amp;sheet=A0&amp;row=69&amp;col=19&amp;number=&amp;sourceID=11","")</f>
        <v/>
      </c>
      <c r="T69" s="4" t="str">
        <f>HYPERLINK("http://141.218.60.56/~jnz1568/getInfo.php?workbook=01_01.xlsx&amp;sheet=A0&amp;row=69&amp;col=20&amp;number=5.1325e-11&amp;sourceID=11","5.1325e-11")</f>
        <v>5.1325e-11</v>
      </c>
      <c r="U69" s="4" t="str">
        <f>HYPERLINK("http://141.218.60.56/~jnz1568/getInfo.php?workbook=01_01.xlsx&amp;sheet=A0&amp;row=69&amp;col=21&amp;number=5.1511&amp;sourceID=12","5.1511")</f>
        <v>5.1511</v>
      </c>
      <c r="V69" s="4" t="str">
        <f>HYPERLINK("http://141.218.60.56/~jnz1568/getInfo.php?workbook=01_01.xlsx&amp;sheet=A0&amp;row=69&amp;col=22&amp;number=&amp;sourceID=12","")</f>
        <v/>
      </c>
      <c r="W69" s="4" t="str">
        <f>HYPERLINK("http://141.218.60.56/~jnz1568/getInfo.php?workbook=01_01.xlsx&amp;sheet=A0&amp;row=69&amp;col=23&amp;number=5.1511&amp;sourceID=12","5.1511")</f>
        <v>5.1511</v>
      </c>
      <c r="X69" s="4" t="str">
        <f>HYPERLINK("http://141.218.60.56/~jnz1568/getInfo.php?workbook=01_01.xlsx&amp;sheet=A0&amp;row=69&amp;col=24&amp;number=&amp;sourceID=12","")</f>
        <v/>
      </c>
      <c r="Y69" s="4" t="str">
        <f>HYPERLINK("http://141.218.60.56/~jnz1568/getInfo.php?workbook=01_01.xlsx&amp;sheet=A0&amp;row=69&amp;col=25&amp;number=2.7839e-09&amp;sourceID=12","2.7839e-09")</f>
        <v>2.7839e-09</v>
      </c>
      <c r="Z69" s="4" t="str">
        <f>HYPERLINK("http://141.218.60.56/~jnz1568/getInfo.php?workbook=01_01.xlsx&amp;sheet=A0&amp;row=69&amp;col=26&amp;number=&amp;sourceID=12","")</f>
        <v/>
      </c>
      <c r="AA69" s="4" t="str">
        <f>HYPERLINK("http://141.218.60.56/~jnz1568/getInfo.php?workbook=01_01.xlsx&amp;sheet=A0&amp;row=69&amp;col=27&amp;number=5.1353e-11&amp;sourceID=12","5.1353e-11")</f>
        <v>5.1353e-11</v>
      </c>
      <c r="AB69" s="4" t="str">
        <f>HYPERLINK("http://141.218.60.56/~jnz1568/getInfo.php?workbook=01_01.xlsx&amp;sheet=A0&amp;row=69&amp;col=28&amp;number==&amp;sourceID=18","=")</f>
        <v>=</v>
      </c>
      <c r="AC69" s="4" t="str">
        <f>HYPERLINK("http://141.218.60.56/~jnz1568/getInfo.php?workbook=01_01.xlsx&amp;sheet=A0&amp;row=69&amp;col=29&amp;number=&amp;sourceID=18","")</f>
        <v/>
      </c>
      <c r="AD69" s="4" t="str">
        <f>HYPERLINK("http://141.218.60.56/~jnz1568/getInfo.php?workbook=01_01.xlsx&amp;sheet=A0&amp;row=69&amp;col=30&amp;number=5.15&amp;sourceID=18","5.15")</f>
        <v>5.15</v>
      </c>
      <c r="AE69" s="4" t="str">
        <f>HYPERLINK("http://141.218.60.56/~jnz1568/getInfo.php?workbook=01_01.xlsx&amp;sheet=A0&amp;row=69&amp;col=31&amp;number=&amp;sourceID=18","")</f>
        <v/>
      </c>
      <c r="AF69" s="4" t="str">
        <f>HYPERLINK("http://141.218.60.56/~jnz1568/getInfo.php?workbook=01_01.xlsx&amp;sheet=A0&amp;row=69&amp;col=32&amp;number=2.77e-09&amp;sourceID=18","2.77e-09")</f>
        <v>2.77e-09</v>
      </c>
      <c r="AG69" s="4" t="str">
        <f>HYPERLINK("http://141.218.60.56/~jnz1568/getInfo.php?workbook=01_01.xlsx&amp;sheet=A0&amp;row=69&amp;col=33&amp;number=&amp;sourceID=18","")</f>
        <v/>
      </c>
      <c r="AH69" s="4" t="str">
        <f>HYPERLINK("http://141.218.60.56/~jnz1568/getInfo.php?workbook=01_01.xlsx&amp;sheet=A0&amp;row=69&amp;col=34&amp;number=&amp;sourceID=20","")</f>
        <v/>
      </c>
    </row>
    <row r="70" spans="1:34">
      <c r="A70" s="3">
        <v>1</v>
      </c>
      <c r="B70" s="3">
        <v>1</v>
      </c>
      <c r="C70" s="3">
        <v>13</v>
      </c>
      <c r="D70" s="3">
        <v>5</v>
      </c>
      <c r="E70" s="3">
        <f>((1/(INDEX(E0!J$4:J$28,C70,1)-INDEX(E0!J$4:J$28,D70,1))))*100000000</f>
        <v>0</v>
      </c>
      <c r="F70" s="4" t="str">
        <f>HYPERLINK("http://141.218.60.56/~jnz1568/getInfo.php?workbook=01_01.xlsx&amp;sheet=A0&amp;row=70&amp;col=6&amp;number=&amp;sourceID=18","")</f>
        <v/>
      </c>
      <c r="G70" s="4" t="str">
        <f>HYPERLINK("http://141.218.60.56/~jnz1568/getInfo.php?workbook=01_01.xlsx&amp;sheet=A0&amp;row=70&amp;col=7&amp;number=&amp;sourceID=15","")</f>
        <v/>
      </c>
      <c r="H70" s="4" t="str">
        <f>HYPERLINK("http://141.218.60.56/~jnz1568/getInfo.php?workbook=01_01.xlsx&amp;sheet=A0&amp;row=70&amp;col=8&amp;number=&amp;sourceID=15","")</f>
        <v/>
      </c>
      <c r="I70" s="4" t="str">
        <f>HYPERLINK("http://141.218.60.56/~jnz1568/getInfo.php?workbook=01_01.xlsx&amp;sheet=A0&amp;row=70&amp;col=9&amp;number=&amp;sourceID=15","")</f>
        <v/>
      </c>
      <c r="J70" s="4" t="str">
        <f>HYPERLINK("http://141.218.60.56/~jnz1568/getInfo.php?workbook=01_01.xlsx&amp;sheet=A0&amp;row=70&amp;col=10&amp;number=&amp;sourceID=15","")</f>
        <v/>
      </c>
      <c r="K70" s="4" t="str">
        <f>HYPERLINK("http://141.218.60.56/~jnz1568/getInfo.php?workbook=01_01.xlsx&amp;sheet=A0&amp;row=70&amp;col=11&amp;number=&amp;sourceID=15","")</f>
        <v/>
      </c>
      <c r="L70" s="4" t="str">
        <f>HYPERLINK("http://141.218.60.56/~jnz1568/getInfo.php?workbook=01_01.xlsx&amp;sheet=A0&amp;row=70&amp;col=12&amp;number=&amp;sourceID=15","")</f>
        <v/>
      </c>
      <c r="M70" s="4" t="str">
        <f>HYPERLINK("http://141.218.60.56/~jnz1568/getInfo.php?workbook=01_01.xlsx&amp;sheet=A0&amp;row=70&amp;col=13&amp;number=&amp;sourceID=15","")</f>
        <v/>
      </c>
      <c r="N70" s="4" t="str">
        <f>HYPERLINK("http://141.218.60.56/~jnz1568/getInfo.php?workbook=01_01.xlsx&amp;sheet=A0&amp;row=70&amp;col=14&amp;number==SUM(O70:T70)&amp;sourceID=11","=SUM(O70:T70)")</f>
        <v>=SUM(O70:T70)</v>
      </c>
      <c r="O70" s="4" t="str">
        <f>HYPERLINK("http://141.218.60.56/~jnz1568/getInfo.php?workbook=01_01.xlsx&amp;sheet=A0&amp;row=70&amp;col=15&amp;number=&amp;sourceID=11","")</f>
        <v/>
      </c>
      <c r="P70" s="4" t="str">
        <f>HYPERLINK("http://141.218.60.56/~jnz1568/getInfo.php?workbook=01_01.xlsx&amp;sheet=A0&amp;row=70&amp;col=16&amp;number=1.2748&amp;sourceID=11","1.2748")</f>
        <v>1.2748</v>
      </c>
      <c r="Q70" s="4" t="str">
        <f>HYPERLINK("http://141.218.60.56/~jnz1568/getInfo.php?workbook=01_01.xlsx&amp;sheet=A0&amp;row=70&amp;col=17&amp;number=&amp;sourceID=11","")</f>
        <v/>
      </c>
      <c r="R70" s="4" t="str">
        <f>HYPERLINK("http://141.218.60.56/~jnz1568/getInfo.php?workbook=01_01.xlsx&amp;sheet=A0&amp;row=70&amp;col=18&amp;number=1.9206e-10&amp;sourceID=11","1.9206e-10")</f>
        <v>1.9206e-10</v>
      </c>
      <c r="S70" s="4" t="str">
        <f>HYPERLINK("http://141.218.60.56/~jnz1568/getInfo.php?workbook=01_01.xlsx&amp;sheet=A0&amp;row=70&amp;col=19&amp;number=&amp;sourceID=11","")</f>
        <v/>
      </c>
      <c r="T70" s="4" t="str">
        <f>HYPERLINK("http://141.218.60.56/~jnz1568/getInfo.php?workbook=01_01.xlsx&amp;sheet=A0&amp;row=70&amp;col=20&amp;number=&amp;sourceID=11","")</f>
        <v/>
      </c>
      <c r="U70" s="4" t="str">
        <f>HYPERLINK("http://141.218.60.56/~jnz1568/getInfo.php?workbook=01_01.xlsx&amp;sheet=A0&amp;row=70&amp;col=21&amp;number=1.2755&amp;sourceID=12","1.2755")</f>
        <v>1.2755</v>
      </c>
      <c r="V70" s="4" t="str">
        <f>HYPERLINK("http://141.218.60.56/~jnz1568/getInfo.php?workbook=01_01.xlsx&amp;sheet=A0&amp;row=70&amp;col=22&amp;number=&amp;sourceID=12","")</f>
        <v/>
      </c>
      <c r="W70" s="4" t="str">
        <f>HYPERLINK("http://141.218.60.56/~jnz1568/getInfo.php?workbook=01_01.xlsx&amp;sheet=A0&amp;row=70&amp;col=23&amp;number=1.2755&amp;sourceID=12","1.2755")</f>
        <v>1.2755</v>
      </c>
      <c r="X70" s="4" t="str">
        <f>HYPERLINK("http://141.218.60.56/~jnz1568/getInfo.php?workbook=01_01.xlsx&amp;sheet=A0&amp;row=70&amp;col=24&amp;number=&amp;sourceID=12","")</f>
        <v/>
      </c>
      <c r="Y70" s="4" t="str">
        <f>HYPERLINK("http://141.218.60.56/~jnz1568/getInfo.php?workbook=01_01.xlsx&amp;sheet=A0&amp;row=70&amp;col=25&amp;number=1.9206e-10&amp;sourceID=12","1.9206e-10")</f>
        <v>1.9206e-10</v>
      </c>
      <c r="Z70" s="4" t="str">
        <f>HYPERLINK("http://141.218.60.56/~jnz1568/getInfo.php?workbook=01_01.xlsx&amp;sheet=A0&amp;row=70&amp;col=26&amp;number=&amp;sourceID=12","")</f>
        <v/>
      </c>
      <c r="AA70" s="4" t="str">
        <f>HYPERLINK("http://141.218.60.56/~jnz1568/getInfo.php?workbook=01_01.xlsx&amp;sheet=A0&amp;row=70&amp;col=27&amp;number=&amp;sourceID=12","")</f>
        <v/>
      </c>
      <c r="AB70" s="4" t="str">
        <f>HYPERLINK("http://141.218.60.56/~jnz1568/getInfo.php?workbook=01_01.xlsx&amp;sheet=A0&amp;row=70&amp;col=28&amp;number==&amp;sourceID=18","=")</f>
        <v>=</v>
      </c>
      <c r="AC70" s="4" t="str">
        <f>HYPERLINK("http://141.218.60.56/~jnz1568/getInfo.php?workbook=01_01.xlsx&amp;sheet=A0&amp;row=70&amp;col=29&amp;number=&amp;sourceID=18","")</f>
        <v/>
      </c>
      <c r="AD70" s="4" t="str">
        <f>HYPERLINK("http://141.218.60.56/~jnz1568/getInfo.php?workbook=01_01.xlsx&amp;sheet=A0&amp;row=70&amp;col=30&amp;number=1.27&amp;sourceID=18","1.27")</f>
        <v>1.27</v>
      </c>
      <c r="AE70" s="4" t="str">
        <f>HYPERLINK("http://141.218.60.56/~jnz1568/getInfo.php?workbook=01_01.xlsx&amp;sheet=A0&amp;row=70&amp;col=31&amp;number=&amp;sourceID=18","")</f>
        <v/>
      </c>
      <c r="AF70" s="4" t="str">
        <f>HYPERLINK("http://141.218.60.56/~jnz1568/getInfo.php?workbook=01_01.xlsx&amp;sheet=A0&amp;row=70&amp;col=32&amp;number=1.83e-10&amp;sourceID=18","1.83e-10")</f>
        <v>1.83e-10</v>
      </c>
      <c r="AG70" s="4" t="str">
        <f>HYPERLINK("http://141.218.60.56/~jnz1568/getInfo.php?workbook=01_01.xlsx&amp;sheet=A0&amp;row=70&amp;col=33&amp;number=&amp;sourceID=18","")</f>
        <v/>
      </c>
      <c r="AH70" s="4" t="str">
        <f>HYPERLINK("http://141.218.60.56/~jnz1568/getInfo.php?workbook=01_01.xlsx&amp;sheet=A0&amp;row=70&amp;col=34&amp;number=&amp;sourceID=20","")</f>
        <v/>
      </c>
    </row>
    <row r="71" spans="1:34">
      <c r="A71" s="3">
        <v>1</v>
      </c>
      <c r="B71" s="3">
        <v>1</v>
      </c>
      <c r="C71" s="3">
        <v>13</v>
      </c>
      <c r="D71" s="3">
        <v>6</v>
      </c>
      <c r="E71" s="3">
        <f>((1/(INDEX(E0!J$4:J$28,C71,1)-INDEX(E0!J$4:J$28,D71,1))))*100000000</f>
        <v>0</v>
      </c>
      <c r="F71" s="4" t="str">
        <f>HYPERLINK("http://141.218.60.56/~jnz1568/getInfo.php?workbook=01_01.xlsx&amp;sheet=A0&amp;row=71&amp;col=6&amp;number=&amp;sourceID=18","")</f>
        <v/>
      </c>
      <c r="G71" s="4" t="str">
        <f>HYPERLINK("http://141.218.60.56/~jnz1568/getInfo.php?workbook=01_01.xlsx&amp;sheet=A0&amp;row=71&amp;col=7&amp;number=3065000&amp;sourceID=15","3065000")</f>
        <v>3065000</v>
      </c>
      <c r="H71" s="4" t="str">
        <f>HYPERLINK("http://141.218.60.56/~jnz1568/getInfo.php?workbook=01_01.xlsx&amp;sheet=A0&amp;row=71&amp;col=8&amp;number=3065000&amp;sourceID=15","3065000")</f>
        <v>3065000</v>
      </c>
      <c r="I71" s="4" t="str">
        <f>HYPERLINK("http://141.218.60.56/~jnz1568/getInfo.php?workbook=01_01.xlsx&amp;sheet=A0&amp;row=71&amp;col=9&amp;number=&amp;sourceID=15","")</f>
        <v/>
      </c>
      <c r="J71" s="4" t="str">
        <f>HYPERLINK("http://141.218.60.56/~jnz1568/getInfo.php?workbook=01_01.xlsx&amp;sheet=A0&amp;row=71&amp;col=10&amp;number=&amp;sourceID=15","")</f>
        <v/>
      </c>
      <c r="K71" s="4" t="str">
        <f>HYPERLINK("http://141.218.60.56/~jnz1568/getInfo.php?workbook=01_01.xlsx&amp;sheet=A0&amp;row=71&amp;col=11&amp;number=&amp;sourceID=15","")</f>
        <v/>
      </c>
      <c r="L71" s="4" t="str">
        <f>HYPERLINK("http://141.218.60.56/~jnz1568/getInfo.php?workbook=01_01.xlsx&amp;sheet=A0&amp;row=71&amp;col=12&amp;number=&amp;sourceID=15","")</f>
        <v/>
      </c>
      <c r="M71" s="4" t="str">
        <f>HYPERLINK("http://141.218.60.56/~jnz1568/getInfo.php?workbook=01_01.xlsx&amp;sheet=A0&amp;row=71&amp;col=13&amp;number=&amp;sourceID=15","")</f>
        <v/>
      </c>
      <c r="N71" s="4" t="str">
        <f>HYPERLINK("http://141.218.60.56/~jnz1568/getInfo.php?workbook=01_01.xlsx&amp;sheet=A0&amp;row=71&amp;col=14&amp;number==&amp;sourceID=11","=")</f>
        <v>=</v>
      </c>
      <c r="O71" s="4" t="str">
        <f>HYPERLINK("http://141.218.60.56/~jnz1568/getInfo.php?workbook=01_01.xlsx&amp;sheet=A0&amp;row=71&amp;col=15&amp;number=3065000&amp;sourceID=11","3065000")</f>
        <v>3065000</v>
      </c>
      <c r="P71" s="4" t="str">
        <f>HYPERLINK("http://141.218.60.56/~jnz1568/getInfo.php?workbook=01_01.xlsx&amp;sheet=A0&amp;row=71&amp;col=16&amp;number=&amp;sourceID=11","")</f>
        <v/>
      </c>
      <c r="Q71" s="4" t="str">
        <f>HYPERLINK("http://141.218.60.56/~jnz1568/getInfo.php?workbook=01_01.xlsx&amp;sheet=A0&amp;row=71&amp;col=17&amp;number=&amp;sourceID=11","")</f>
        <v/>
      </c>
      <c r="R71" s="4" t="str">
        <f>HYPERLINK("http://141.218.60.56/~jnz1568/getInfo.php?workbook=01_01.xlsx&amp;sheet=A0&amp;row=71&amp;col=18&amp;number=&amp;sourceID=11","")</f>
        <v/>
      </c>
      <c r="S71" s="4" t="str">
        <f>HYPERLINK("http://141.218.60.56/~jnz1568/getInfo.php?workbook=01_01.xlsx&amp;sheet=A0&amp;row=71&amp;col=19&amp;number=9.6279e-07&amp;sourceID=11","9.6279e-07")</f>
        <v>9.6279e-07</v>
      </c>
      <c r="T71" s="4" t="str">
        <f>HYPERLINK("http://141.218.60.56/~jnz1568/getInfo.php?workbook=01_01.xlsx&amp;sheet=A0&amp;row=71&amp;col=20&amp;number=&amp;sourceID=11","")</f>
        <v/>
      </c>
      <c r="U71" s="4" t="str">
        <f>HYPERLINK("http://141.218.60.56/~jnz1568/getInfo.php?workbook=01_01.xlsx&amp;sheet=A0&amp;row=71&amp;col=21&amp;number=3066700&amp;sourceID=12","3066700")</f>
        <v>3066700</v>
      </c>
      <c r="V71" s="4" t="str">
        <f>HYPERLINK("http://141.218.60.56/~jnz1568/getInfo.php?workbook=01_01.xlsx&amp;sheet=A0&amp;row=71&amp;col=22&amp;number=3066700&amp;sourceID=12","3066700")</f>
        <v>3066700</v>
      </c>
      <c r="W71" s="4" t="str">
        <f>HYPERLINK("http://141.218.60.56/~jnz1568/getInfo.php?workbook=01_01.xlsx&amp;sheet=A0&amp;row=71&amp;col=23&amp;number=&amp;sourceID=12","")</f>
        <v/>
      </c>
      <c r="X71" s="4" t="str">
        <f>HYPERLINK("http://141.218.60.56/~jnz1568/getInfo.php?workbook=01_01.xlsx&amp;sheet=A0&amp;row=71&amp;col=24&amp;number=&amp;sourceID=12","")</f>
        <v/>
      </c>
      <c r="Y71" s="4" t="str">
        <f>HYPERLINK("http://141.218.60.56/~jnz1568/getInfo.php?workbook=01_01.xlsx&amp;sheet=A0&amp;row=71&amp;col=25&amp;number=&amp;sourceID=12","")</f>
        <v/>
      </c>
      <c r="Z71" s="4" t="str">
        <f>HYPERLINK("http://141.218.60.56/~jnz1568/getInfo.php?workbook=01_01.xlsx&amp;sheet=A0&amp;row=71&amp;col=26&amp;number=9.6332e-07&amp;sourceID=12","9.6332e-07")</f>
        <v>9.6332e-07</v>
      </c>
      <c r="AA71" s="4" t="str">
        <f>HYPERLINK("http://141.218.60.56/~jnz1568/getInfo.php?workbook=01_01.xlsx&amp;sheet=A0&amp;row=71&amp;col=27&amp;number=&amp;sourceID=12","")</f>
        <v/>
      </c>
      <c r="AB71" s="4" t="str">
        <f>HYPERLINK("http://141.218.60.56/~jnz1568/getInfo.php?workbook=01_01.xlsx&amp;sheet=A0&amp;row=71&amp;col=28&amp;number==&amp;sourceID=18","=")</f>
        <v>=</v>
      </c>
      <c r="AC71" s="4" t="str">
        <f>HYPERLINK("http://141.218.60.56/~jnz1568/getInfo.php?workbook=01_01.xlsx&amp;sheet=A0&amp;row=71&amp;col=29&amp;number=3060000&amp;sourceID=18","3060000")</f>
        <v>3060000</v>
      </c>
      <c r="AD71" s="4" t="str">
        <f>HYPERLINK("http://141.218.60.56/~jnz1568/getInfo.php?workbook=01_01.xlsx&amp;sheet=A0&amp;row=71&amp;col=30&amp;number=&amp;sourceID=18","")</f>
        <v/>
      </c>
      <c r="AE71" s="4" t="str">
        <f>HYPERLINK("http://141.218.60.56/~jnz1568/getInfo.php?workbook=01_01.xlsx&amp;sheet=A0&amp;row=71&amp;col=31&amp;number=&amp;sourceID=18","")</f>
        <v/>
      </c>
      <c r="AF71" s="4" t="str">
        <f>HYPERLINK("http://141.218.60.56/~jnz1568/getInfo.php?workbook=01_01.xlsx&amp;sheet=A0&amp;row=71&amp;col=32&amp;number=&amp;sourceID=18","")</f>
        <v/>
      </c>
      <c r="AG71" s="4" t="str">
        <f>HYPERLINK("http://141.218.60.56/~jnz1568/getInfo.php?workbook=01_01.xlsx&amp;sheet=A0&amp;row=71&amp;col=33&amp;number=&amp;sourceID=18","")</f>
        <v/>
      </c>
      <c r="AH71" s="4" t="str">
        <f>HYPERLINK("http://141.218.60.56/~jnz1568/getInfo.php?workbook=01_01.xlsx&amp;sheet=A0&amp;row=71&amp;col=34&amp;number=&amp;sourceID=20","")</f>
        <v/>
      </c>
    </row>
    <row r="72" spans="1:34">
      <c r="A72" s="3">
        <v>1</v>
      </c>
      <c r="B72" s="3">
        <v>1</v>
      </c>
      <c r="C72" s="3">
        <v>13</v>
      </c>
      <c r="D72" s="3">
        <v>7</v>
      </c>
      <c r="E72" s="3">
        <f>((1/(INDEX(E0!J$4:J$28,C72,1)-INDEX(E0!J$4:J$28,D72,1))))*100000000</f>
        <v>0</v>
      </c>
      <c r="F72" s="4" t="str">
        <f>HYPERLINK("http://141.218.60.56/~jnz1568/getInfo.php?workbook=01_01.xlsx&amp;sheet=A0&amp;row=72&amp;col=6&amp;number=&amp;sourceID=18","")</f>
        <v/>
      </c>
      <c r="G72" s="4" t="str">
        <f>HYPERLINK("http://141.218.60.56/~jnz1568/getInfo.php?workbook=01_01.xlsx&amp;sheet=A0&amp;row=72&amp;col=7&amp;number=34754&amp;sourceID=15","34754")</f>
        <v>34754</v>
      </c>
      <c r="H72" s="4" t="str">
        <f>HYPERLINK("http://141.218.60.56/~jnz1568/getInfo.php?workbook=01_01.xlsx&amp;sheet=A0&amp;row=72&amp;col=8&amp;number=34754&amp;sourceID=15","34754")</f>
        <v>34754</v>
      </c>
      <c r="I72" s="4" t="str">
        <f>HYPERLINK("http://141.218.60.56/~jnz1568/getInfo.php?workbook=01_01.xlsx&amp;sheet=A0&amp;row=72&amp;col=9&amp;number=&amp;sourceID=15","")</f>
        <v/>
      </c>
      <c r="J72" s="4" t="str">
        <f>HYPERLINK("http://141.218.60.56/~jnz1568/getInfo.php?workbook=01_01.xlsx&amp;sheet=A0&amp;row=72&amp;col=10&amp;number=&amp;sourceID=15","")</f>
        <v/>
      </c>
      <c r="K72" s="4" t="str">
        <f>HYPERLINK("http://141.218.60.56/~jnz1568/getInfo.php?workbook=01_01.xlsx&amp;sheet=A0&amp;row=72&amp;col=11&amp;number=&amp;sourceID=15","")</f>
        <v/>
      </c>
      <c r="L72" s="4" t="str">
        <f>HYPERLINK("http://141.218.60.56/~jnz1568/getInfo.php?workbook=01_01.xlsx&amp;sheet=A0&amp;row=72&amp;col=12&amp;number=&amp;sourceID=15","")</f>
        <v/>
      </c>
      <c r="M72" s="4" t="str">
        <f>HYPERLINK("http://141.218.60.56/~jnz1568/getInfo.php?workbook=01_01.xlsx&amp;sheet=A0&amp;row=72&amp;col=13&amp;number=&amp;sourceID=15","")</f>
        <v/>
      </c>
      <c r="N72" s="4" t="str">
        <f>HYPERLINK("http://141.218.60.56/~jnz1568/getInfo.php?workbook=01_01.xlsx&amp;sheet=A0&amp;row=72&amp;col=14&amp;number==&amp;sourceID=11","=")</f>
        <v>=</v>
      </c>
      <c r="O72" s="4" t="str">
        <f>HYPERLINK("http://141.218.60.56/~jnz1568/getInfo.php?workbook=01_01.xlsx&amp;sheet=A0&amp;row=72&amp;col=15&amp;number=34754&amp;sourceID=11","34754")</f>
        <v>34754</v>
      </c>
      <c r="P72" s="4" t="str">
        <f>HYPERLINK("http://141.218.60.56/~jnz1568/getInfo.php?workbook=01_01.xlsx&amp;sheet=A0&amp;row=72&amp;col=16&amp;number=&amp;sourceID=11","")</f>
        <v/>
      </c>
      <c r="Q72" s="4" t="str">
        <f>HYPERLINK("http://141.218.60.56/~jnz1568/getInfo.php?workbook=01_01.xlsx&amp;sheet=A0&amp;row=72&amp;col=17&amp;number=2.8167e-07&amp;sourceID=11","2.8167e-07")</f>
        <v>2.8167e-07</v>
      </c>
      <c r="R72" s="4" t="str">
        <f>HYPERLINK("http://141.218.60.56/~jnz1568/getInfo.php?workbook=01_01.xlsx&amp;sheet=A0&amp;row=72&amp;col=18&amp;number=&amp;sourceID=11","")</f>
        <v/>
      </c>
      <c r="S72" s="4" t="str">
        <f>HYPERLINK("http://141.218.60.56/~jnz1568/getInfo.php?workbook=01_01.xlsx&amp;sheet=A0&amp;row=72&amp;col=19&amp;number=&amp;sourceID=11","")</f>
        <v/>
      </c>
      <c r="T72" s="4" t="str">
        <f>HYPERLINK("http://141.218.60.56/~jnz1568/getInfo.php?workbook=01_01.xlsx&amp;sheet=A0&amp;row=72&amp;col=20&amp;number=&amp;sourceID=11","")</f>
        <v/>
      </c>
      <c r="U72" s="4" t="str">
        <f>HYPERLINK("http://141.218.60.56/~jnz1568/getInfo.php?workbook=01_01.xlsx&amp;sheet=A0&amp;row=72&amp;col=21&amp;number=34773&amp;sourceID=12","34773")</f>
        <v>34773</v>
      </c>
      <c r="V72" s="4" t="str">
        <f>HYPERLINK("http://141.218.60.56/~jnz1568/getInfo.php?workbook=01_01.xlsx&amp;sheet=A0&amp;row=72&amp;col=22&amp;number=34773&amp;sourceID=12","34773")</f>
        <v>34773</v>
      </c>
      <c r="W72" s="4" t="str">
        <f>HYPERLINK("http://141.218.60.56/~jnz1568/getInfo.php?workbook=01_01.xlsx&amp;sheet=A0&amp;row=72&amp;col=23&amp;number=&amp;sourceID=12","")</f>
        <v/>
      </c>
      <c r="X72" s="4" t="str">
        <f>HYPERLINK("http://141.218.60.56/~jnz1568/getInfo.php?workbook=01_01.xlsx&amp;sheet=A0&amp;row=72&amp;col=24&amp;number=2.8182e-07&amp;sourceID=12","2.8182e-07")</f>
        <v>2.8182e-07</v>
      </c>
      <c r="Y72" s="4" t="str">
        <f>HYPERLINK("http://141.218.60.56/~jnz1568/getInfo.php?workbook=01_01.xlsx&amp;sheet=A0&amp;row=72&amp;col=25&amp;number=&amp;sourceID=12","")</f>
        <v/>
      </c>
      <c r="Z72" s="4" t="str">
        <f>HYPERLINK("http://141.218.60.56/~jnz1568/getInfo.php?workbook=01_01.xlsx&amp;sheet=A0&amp;row=72&amp;col=26&amp;number=&amp;sourceID=12","")</f>
        <v/>
      </c>
      <c r="AA72" s="4" t="str">
        <f>HYPERLINK("http://141.218.60.56/~jnz1568/getInfo.php?workbook=01_01.xlsx&amp;sheet=A0&amp;row=72&amp;col=27&amp;number=&amp;sourceID=12","")</f>
        <v/>
      </c>
      <c r="AB72" s="4" t="str">
        <f>HYPERLINK("http://141.218.60.56/~jnz1568/getInfo.php?workbook=01_01.xlsx&amp;sheet=A0&amp;row=72&amp;col=28&amp;number==&amp;sourceID=18","=")</f>
        <v>=</v>
      </c>
      <c r="AC72" s="4" t="str">
        <f>HYPERLINK("http://141.218.60.56/~jnz1568/getInfo.php?workbook=01_01.xlsx&amp;sheet=A0&amp;row=72&amp;col=29&amp;number=34800&amp;sourceID=18","34800")</f>
        <v>34800</v>
      </c>
      <c r="AD72" s="4" t="str">
        <f>HYPERLINK("http://141.218.60.56/~jnz1568/getInfo.php?workbook=01_01.xlsx&amp;sheet=A0&amp;row=72&amp;col=30&amp;number=&amp;sourceID=18","")</f>
        <v/>
      </c>
      <c r="AE72" s="4" t="str">
        <f>HYPERLINK("http://141.218.60.56/~jnz1568/getInfo.php?workbook=01_01.xlsx&amp;sheet=A0&amp;row=72&amp;col=31&amp;number=&amp;sourceID=18","")</f>
        <v/>
      </c>
      <c r="AF72" s="4" t="str">
        <f>HYPERLINK("http://141.218.60.56/~jnz1568/getInfo.php?workbook=01_01.xlsx&amp;sheet=A0&amp;row=72&amp;col=32&amp;number=&amp;sourceID=18","")</f>
        <v/>
      </c>
      <c r="AG72" s="4" t="str">
        <f>HYPERLINK("http://141.218.60.56/~jnz1568/getInfo.php?workbook=01_01.xlsx&amp;sheet=A0&amp;row=72&amp;col=33&amp;number=&amp;sourceID=18","")</f>
        <v/>
      </c>
      <c r="AH72" s="4" t="str">
        <f>HYPERLINK("http://141.218.60.56/~jnz1568/getInfo.php?workbook=01_01.xlsx&amp;sheet=A0&amp;row=72&amp;col=34&amp;number=&amp;sourceID=20","")</f>
        <v/>
      </c>
    </row>
    <row r="73" spans="1:34">
      <c r="A73" s="3">
        <v>1</v>
      </c>
      <c r="B73" s="3">
        <v>1</v>
      </c>
      <c r="C73" s="3">
        <v>13</v>
      </c>
      <c r="D73" s="3">
        <v>8</v>
      </c>
      <c r="E73" s="3">
        <f>((1/(INDEX(E0!J$4:J$28,C73,1)-INDEX(E0!J$4:J$28,D73,1))))*100000000</f>
        <v>0</v>
      </c>
      <c r="F73" s="4" t="str">
        <f>HYPERLINK("http://141.218.60.56/~jnz1568/getInfo.php?workbook=01_01.xlsx&amp;sheet=A0&amp;row=73&amp;col=6&amp;number=&amp;sourceID=18","")</f>
        <v/>
      </c>
      <c r="G73" s="4" t="str">
        <f>HYPERLINK("http://141.218.60.56/~jnz1568/getInfo.php?workbook=01_01.xlsx&amp;sheet=A0&amp;row=73&amp;col=7&amp;number=&amp;sourceID=15","")</f>
        <v/>
      </c>
      <c r="H73" s="4" t="str">
        <f>HYPERLINK("http://141.218.60.56/~jnz1568/getInfo.php?workbook=01_01.xlsx&amp;sheet=A0&amp;row=73&amp;col=8&amp;number=&amp;sourceID=15","")</f>
        <v/>
      </c>
      <c r="I73" s="4" t="str">
        <f>HYPERLINK("http://141.218.60.56/~jnz1568/getInfo.php?workbook=01_01.xlsx&amp;sheet=A0&amp;row=73&amp;col=9&amp;number=&amp;sourceID=15","")</f>
        <v/>
      </c>
      <c r="J73" s="4" t="str">
        <f>HYPERLINK("http://141.218.60.56/~jnz1568/getInfo.php?workbook=01_01.xlsx&amp;sheet=A0&amp;row=73&amp;col=10&amp;number=&amp;sourceID=15","")</f>
        <v/>
      </c>
      <c r="K73" s="4" t="str">
        <f>HYPERLINK("http://141.218.60.56/~jnz1568/getInfo.php?workbook=01_01.xlsx&amp;sheet=A0&amp;row=73&amp;col=11&amp;number=&amp;sourceID=15","")</f>
        <v/>
      </c>
      <c r="L73" s="4" t="str">
        <f>HYPERLINK("http://141.218.60.56/~jnz1568/getInfo.php?workbook=01_01.xlsx&amp;sheet=A0&amp;row=73&amp;col=12&amp;number=&amp;sourceID=15","")</f>
        <v/>
      </c>
      <c r="M73" s="4" t="str">
        <f>HYPERLINK("http://141.218.60.56/~jnz1568/getInfo.php?workbook=01_01.xlsx&amp;sheet=A0&amp;row=73&amp;col=13&amp;number=&amp;sourceID=15","")</f>
        <v/>
      </c>
      <c r="N73" s="4" t="str">
        <f>HYPERLINK("http://141.218.60.56/~jnz1568/getInfo.php?workbook=01_01.xlsx&amp;sheet=A0&amp;row=73&amp;col=14&amp;number==&amp;sourceID=11","=")</f>
        <v>=</v>
      </c>
      <c r="O73" s="4" t="str">
        <f>HYPERLINK("http://141.218.60.56/~jnz1568/getInfo.php?workbook=01_01.xlsx&amp;sheet=A0&amp;row=73&amp;col=15&amp;number=&amp;sourceID=11","")</f>
        <v/>
      </c>
      <c r="P73" s="4" t="str">
        <f>HYPERLINK("http://141.218.60.56/~jnz1568/getInfo.php?workbook=01_01.xlsx&amp;sheet=A0&amp;row=73&amp;col=16&amp;number=1.2748&amp;sourceID=11","1.2748")</f>
        <v>1.2748</v>
      </c>
      <c r="Q73" s="4" t="str">
        <f>HYPERLINK("http://141.218.60.56/~jnz1568/getInfo.php?workbook=01_01.xlsx&amp;sheet=A0&amp;row=73&amp;col=17&amp;number=&amp;sourceID=11","")</f>
        <v/>
      </c>
      <c r="R73" s="4" t="str">
        <f>HYPERLINK("http://141.218.60.56/~jnz1568/getInfo.php?workbook=01_01.xlsx&amp;sheet=A0&amp;row=73&amp;col=18&amp;number=4.599e-11&amp;sourceID=11","4.599e-11")</f>
        <v>4.599e-11</v>
      </c>
      <c r="S73" s="4" t="str">
        <f>HYPERLINK("http://141.218.60.56/~jnz1568/getInfo.php?workbook=01_01.xlsx&amp;sheet=A0&amp;row=73&amp;col=19&amp;number=&amp;sourceID=11","")</f>
        <v/>
      </c>
      <c r="T73" s="4" t="str">
        <f>HYPERLINK("http://141.218.60.56/~jnz1568/getInfo.php?workbook=01_01.xlsx&amp;sheet=A0&amp;row=73&amp;col=20&amp;number=8.54e-13&amp;sourceID=11","8.54e-13")</f>
        <v>8.54e-13</v>
      </c>
      <c r="U73" s="4" t="str">
        <f>HYPERLINK("http://141.218.60.56/~jnz1568/getInfo.php?workbook=01_01.xlsx&amp;sheet=A0&amp;row=73&amp;col=21&amp;number=1.2755&amp;sourceID=12","1.2755")</f>
        <v>1.2755</v>
      </c>
      <c r="V73" s="4" t="str">
        <f>HYPERLINK("http://141.218.60.56/~jnz1568/getInfo.php?workbook=01_01.xlsx&amp;sheet=A0&amp;row=73&amp;col=22&amp;number=&amp;sourceID=12","")</f>
        <v/>
      </c>
      <c r="W73" s="4" t="str">
        <f>HYPERLINK("http://141.218.60.56/~jnz1568/getInfo.php?workbook=01_01.xlsx&amp;sheet=A0&amp;row=73&amp;col=23&amp;number=1.2755&amp;sourceID=12","1.2755")</f>
        <v>1.2755</v>
      </c>
      <c r="X73" s="4" t="str">
        <f>HYPERLINK("http://141.218.60.56/~jnz1568/getInfo.php?workbook=01_01.xlsx&amp;sheet=A0&amp;row=73&amp;col=24&amp;number=&amp;sourceID=12","")</f>
        <v/>
      </c>
      <c r="Y73" s="4" t="str">
        <f>HYPERLINK("http://141.218.60.56/~jnz1568/getInfo.php?workbook=01_01.xlsx&amp;sheet=A0&amp;row=73&amp;col=25&amp;number=4.6152e-11&amp;sourceID=12","4.6152e-11")</f>
        <v>4.6152e-11</v>
      </c>
      <c r="Z73" s="4" t="str">
        <f>HYPERLINK("http://141.218.60.56/~jnz1568/getInfo.php?workbook=01_01.xlsx&amp;sheet=A0&amp;row=73&amp;col=26&amp;number=&amp;sourceID=12","")</f>
        <v/>
      </c>
      <c r="AA73" s="4" t="str">
        <f>HYPERLINK("http://141.218.60.56/~jnz1568/getInfo.php?workbook=01_01.xlsx&amp;sheet=A0&amp;row=73&amp;col=27&amp;number=8.55e-13&amp;sourceID=12","8.55e-13")</f>
        <v>8.55e-13</v>
      </c>
      <c r="AB73" s="4" t="str">
        <f>HYPERLINK("http://141.218.60.56/~jnz1568/getInfo.php?workbook=01_01.xlsx&amp;sheet=A0&amp;row=73&amp;col=28&amp;number==&amp;sourceID=18","=")</f>
        <v>=</v>
      </c>
      <c r="AC73" s="4" t="str">
        <f>HYPERLINK("http://141.218.60.56/~jnz1568/getInfo.php?workbook=01_01.xlsx&amp;sheet=A0&amp;row=73&amp;col=29&amp;number=&amp;sourceID=18","")</f>
        <v/>
      </c>
      <c r="AD73" s="4" t="str">
        <f>HYPERLINK("http://141.218.60.56/~jnz1568/getInfo.php?workbook=01_01.xlsx&amp;sheet=A0&amp;row=73&amp;col=30&amp;number=1.27&amp;sourceID=18","1.27")</f>
        <v>1.27</v>
      </c>
      <c r="AE73" s="4" t="str">
        <f>HYPERLINK("http://141.218.60.56/~jnz1568/getInfo.php?workbook=01_01.xlsx&amp;sheet=A0&amp;row=73&amp;col=31&amp;number=&amp;sourceID=18","")</f>
        <v/>
      </c>
      <c r="AF73" s="4" t="str">
        <f>HYPERLINK("http://141.218.60.56/~jnz1568/getInfo.php?workbook=01_01.xlsx&amp;sheet=A0&amp;row=73&amp;col=32&amp;number=4.62e-11&amp;sourceID=18","4.62e-11")</f>
        <v>4.62e-11</v>
      </c>
      <c r="AG73" s="4" t="str">
        <f>HYPERLINK("http://141.218.60.56/~jnz1568/getInfo.php?workbook=01_01.xlsx&amp;sheet=A0&amp;row=73&amp;col=33&amp;number=&amp;sourceID=18","")</f>
        <v/>
      </c>
      <c r="AH73" s="4" t="str">
        <f>HYPERLINK("http://141.218.60.56/~jnz1568/getInfo.php?workbook=01_01.xlsx&amp;sheet=A0&amp;row=73&amp;col=34&amp;number=&amp;sourceID=20","")</f>
        <v/>
      </c>
    </row>
    <row r="74" spans="1:34">
      <c r="A74" s="3">
        <v>1</v>
      </c>
      <c r="B74" s="3">
        <v>1</v>
      </c>
      <c r="C74" s="3">
        <v>13</v>
      </c>
      <c r="D74" s="3">
        <v>9</v>
      </c>
      <c r="E74" s="3">
        <f>((1/(INDEX(E0!J$4:J$28,C74,1)-INDEX(E0!J$4:J$28,D74,1))))*100000000</f>
        <v>0</v>
      </c>
      <c r="F74" s="4" t="str">
        <f>HYPERLINK("http://141.218.60.56/~jnz1568/getInfo.php?workbook=01_01.xlsx&amp;sheet=A0&amp;row=74&amp;col=6&amp;number=&amp;sourceID=18","")</f>
        <v/>
      </c>
      <c r="G74" s="4" t="str">
        <f>HYPERLINK("http://141.218.60.56/~jnz1568/getInfo.php?workbook=01_01.xlsx&amp;sheet=A0&amp;row=74&amp;col=7&amp;number=312800&amp;sourceID=15","312800")</f>
        <v>312800</v>
      </c>
      <c r="H74" s="4" t="str">
        <f>HYPERLINK("http://141.218.60.56/~jnz1568/getInfo.php?workbook=01_01.xlsx&amp;sheet=A0&amp;row=74&amp;col=8&amp;number=312800&amp;sourceID=15","312800")</f>
        <v>312800</v>
      </c>
      <c r="I74" s="4" t="str">
        <f>HYPERLINK("http://141.218.60.56/~jnz1568/getInfo.php?workbook=01_01.xlsx&amp;sheet=A0&amp;row=74&amp;col=9&amp;number=&amp;sourceID=15","")</f>
        <v/>
      </c>
      <c r="J74" s="4" t="str">
        <f>HYPERLINK("http://141.218.60.56/~jnz1568/getInfo.php?workbook=01_01.xlsx&amp;sheet=A0&amp;row=74&amp;col=10&amp;number=&amp;sourceID=15","")</f>
        <v/>
      </c>
      <c r="K74" s="4" t="str">
        <f>HYPERLINK("http://141.218.60.56/~jnz1568/getInfo.php?workbook=01_01.xlsx&amp;sheet=A0&amp;row=74&amp;col=11&amp;number=&amp;sourceID=15","")</f>
        <v/>
      </c>
      <c r="L74" s="4" t="str">
        <f>HYPERLINK("http://141.218.60.56/~jnz1568/getInfo.php?workbook=01_01.xlsx&amp;sheet=A0&amp;row=74&amp;col=12&amp;number=&amp;sourceID=15","")</f>
        <v/>
      </c>
      <c r="M74" s="4" t="str">
        <f>HYPERLINK("http://141.218.60.56/~jnz1568/getInfo.php?workbook=01_01.xlsx&amp;sheet=A0&amp;row=74&amp;col=13&amp;number=&amp;sourceID=15","")</f>
        <v/>
      </c>
      <c r="N74" s="4" t="str">
        <f>HYPERLINK("http://141.218.60.56/~jnz1568/getInfo.php?workbook=01_01.xlsx&amp;sheet=A0&amp;row=74&amp;col=14&amp;number==&amp;sourceID=11","=")</f>
        <v>=</v>
      </c>
      <c r="O74" s="4" t="str">
        <f>HYPERLINK("http://141.218.60.56/~jnz1568/getInfo.php?workbook=01_01.xlsx&amp;sheet=A0&amp;row=74&amp;col=15&amp;number=312800&amp;sourceID=11","312800")</f>
        <v>312800</v>
      </c>
      <c r="P74" s="4" t="str">
        <f>HYPERLINK("http://141.218.60.56/~jnz1568/getInfo.php?workbook=01_01.xlsx&amp;sheet=A0&amp;row=74&amp;col=16&amp;number=&amp;sourceID=11","")</f>
        <v/>
      </c>
      <c r="Q74" s="4" t="str">
        <f>HYPERLINK("http://141.218.60.56/~jnz1568/getInfo.php?workbook=01_01.xlsx&amp;sheet=A0&amp;row=74&amp;col=17&amp;number=1.8778e-07&amp;sourceID=11","1.8778e-07")</f>
        <v>1.8778e-07</v>
      </c>
      <c r="R74" s="4" t="str">
        <f>HYPERLINK("http://141.218.60.56/~jnz1568/getInfo.php?workbook=01_01.xlsx&amp;sheet=A0&amp;row=74&amp;col=18&amp;number=&amp;sourceID=11","")</f>
        <v/>
      </c>
      <c r="S74" s="4" t="str">
        <f>HYPERLINK("http://141.218.60.56/~jnz1568/getInfo.php?workbook=01_01.xlsx&amp;sheet=A0&amp;row=74&amp;col=19&amp;number=1.2736e-07&amp;sourceID=11","1.2736e-07")</f>
        <v>1.2736e-07</v>
      </c>
      <c r="T74" s="4" t="str">
        <f>HYPERLINK("http://141.218.60.56/~jnz1568/getInfo.php?workbook=01_01.xlsx&amp;sheet=A0&amp;row=74&amp;col=20&amp;number=&amp;sourceID=11","")</f>
        <v/>
      </c>
      <c r="U74" s="4" t="str">
        <f>HYPERLINK("http://141.218.60.56/~jnz1568/getInfo.php?workbook=01_01.xlsx&amp;sheet=A0&amp;row=74&amp;col=21&amp;number=312970&amp;sourceID=12","312970")</f>
        <v>312970</v>
      </c>
      <c r="V74" s="4" t="str">
        <f>HYPERLINK("http://141.218.60.56/~jnz1568/getInfo.php?workbook=01_01.xlsx&amp;sheet=A0&amp;row=74&amp;col=22&amp;number=312970&amp;sourceID=12","312970")</f>
        <v>312970</v>
      </c>
      <c r="W74" s="4" t="str">
        <f>HYPERLINK("http://141.218.60.56/~jnz1568/getInfo.php?workbook=01_01.xlsx&amp;sheet=A0&amp;row=74&amp;col=23&amp;number=&amp;sourceID=12","")</f>
        <v/>
      </c>
      <c r="X74" s="4" t="str">
        <f>HYPERLINK("http://141.218.60.56/~jnz1568/getInfo.php?workbook=01_01.xlsx&amp;sheet=A0&amp;row=74&amp;col=24&amp;number=1.8788e-07&amp;sourceID=12","1.8788e-07")</f>
        <v>1.8788e-07</v>
      </c>
      <c r="Y74" s="4" t="str">
        <f>HYPERLINK("http://141.218.60.56/~jnz1568/getInfo.php?workbook=01_01.xlsx&amp;sheet=A0&amp;row=74&amp;col=25&amp;number=&amp;sourceID=12","")</f>
        <v/>
      </c>
      <c r="Z74" s="4" t="str">
        <f>HYPERLINK("http://141.218.60.56/~jnz1568/getInfo.php?workbook=01_01.xlsx&amp;sheet=A0&amp;row=74&amp;col=26&amp;number=1.2743e-07&amp;sourceID=12","1.2743e-07")</f>
        <v>1.2743e-07</v>
      </c>
      <c r="AA74" s="4" t="str">
        <f>HYPERLINK("http://141.218.60.56/~jnz1568/getInfo.php?workbook=01_01.xlsx&amp;sheet=A0&amp;row=74&amp;col=27&amp;number=&amp;sourceID=12","")</f>
        <v/>
      </c>
      <c r="AB74" s="4" t="str">
        <f>HYPERLINK("http://141.218.60.56/~jnz1568/getInfo.php?workbook=01_01.xlsx&amp;sheet=A0&amp;row=74&amp;col=28&amp;number==&amp;sourceID=18","=")</f>
        <v>=</v>
      </c>
      <c r="AC74" s="4" t="str">
        <f>HYPERLINK("http://141.218.60.56/~jnz1568/getInfo.php?workbook=01_01.xlsx&amp;sheet=A0&amp;row=74&amp;col=29&amp;number=313000&amp;sourceID=18","313000")</f>
        <v>313000</v>
      </c>
      <c r="AD74" s="4" t="str">
        <f>HYPERLINK("http://141.218.60.56/~jnz1568/getInfo.php?workbook=01_01.xlsx&amp;sheet=A0&amp;row=74&amp;col=30&amp;number=&amp;sourceID=18","")</f>
        <v/>
      </c>
      <c r="AE74" s="4" t="str">
        <f>HYPERLINK("http://141.218.60.56/~jnz1568/getInfo.php?workbook=01_01.xlsx&amp;sheet=A0&amp;row=74&amp;col=31&amp;number=&amp;sourceID=18","")</f>
        <v/>
      </c>
      <c r="AF74" s="4" t="str">
        <f>HYPERLINK("http://141.218.60.56/~jnz1568/getInfo.php?workbook=01_01.xlsx&amp;sheet=A0&amp;row=74&amp;col=32&amp;number=&amp;sourceID=18","")</f>
        <v/>
      </c>
      <c r="AG74" s="4" t="str">
        <f>HYPERLINK("http://141.218.60.56/~jnz1568/getInfo.php?workbook=01_01.xlsx&amp;sheet=A0&amp;row=74&amp;col=33&amp;number=&amp;sourceID=18","")</f>
        <v/>
      </c>
      <c r="AH74" s="4" t="str">
        <f>HYPERLINK("http://141.218.60.56/~jnz1568/getInfo.php?workbook=01_01.xlsx&amp;sheet=A0&amp;row=74&amp;col=34&amp;number=&amp;sourceID=20","")</f>
        <v/>
      </c>
    </row>
    <row r="75" spans="1:34">
      <c r="A75" s="3">
        <v>1</v>
      </c>
      <c r="B75" s="3">
        <v>1</v>
      </c>
      <c r="C75" s="3">
        <v>13</v>
      </c>
      <c r="D75" s="3">
        <v>10</v>
      </c>
      <c r="E75" s="3">
        <f>((1/(INDEX(E0!J$4:J$28,C75,1)-INDEX(E0!J$4:J$28,D75,1))))*100000000</f>
        <v>0</v>
      </c>
      <c r="F75" s="4" t="str">
        <f>HYPERLINK("http://141.218.60.56/~jnz1568/getInfo.php?workbook=01_01.xlsx&amp;sheet=A0&amp;row=75&amp;col=6&amp;number=&amp;sourceID=18","")</f>
        <v/>
      </c>
      <c r="G75" s="4" t="str">
        <f>HYPERLINK("http://141.218.60.56/~jnz1568/getInfo.php?workbook=01_01.xlsx&amp;sheet=A0&amp;row=75&amp;col=7&amp;number=&amp;sourceID=15","")</f>
        <v/>
      </c>
      <c r="H75" s="4" t="str">
        <f>HYPERLINK("http://141.218.60.56/~jnz1568/getInfo.php?workbook=01_01.xlsx&amp;sheet=A0&amp;row=75&amp;col=8&amp;number=&amp;sourceID=15","")</f>
        <v/>
      </c>
      <c r="I75" s="4" t="str">
        <f>HYPERLINK("http://141.218.60.56/~jnz1568/getInfo.php?workbook=01_01.xlsx&amp;sheet=A0&amp;row=75&amp;col=9&amp;number=&amp;sourceID=15","")</f>
        <v/>
      </c>
      <c r="J75" s="4" t="str">
        <f>HYPERLINK("http://141.218.60.56/~jnz1568/getInfo.php?workbook=01_01.xlsx&amp;sheet=A0&amp;row=75&amp;col=10&amp;number=&amp;sourceID=15","")</f>
        <v/>
      </c>
      <c r="K75" s="4" t="str">
        <f>HYPERLINK("http://141.218.60.56/~jnz1568/getInfo.php?workbook=01_01.xlsx&amp;sheet=A0&amp;row=75&amp;col=11&amp;number=&amp;sourceID=15","")</f>
        <v/>
      </c>
      <c r="L75" s="4" t="str">
        <f>HYPERLINK("http://141.218.60.56/~jnz1568/getInfo.php?workbook=01_01.xlsx&amp;sheet=A0&amp;row=75&amp;col=12&amp;number=&amp;sourceID=15","")</f>
        <v/>
      </c>
      <c r="M75" s="4" t="str">
        <f>HYPERLINK("http://141.218.60.56/~jnz1568/getInfo.php?workbook=01_01.xlsx&amp;sheet=A0&amp;row=75&amp;col=13&amp;number=&amp;sourceID=15","")</f>
        <v/>
      </c>
      <c r="N75" s="4" t="str">
        <f>HYPERLINK("http://141.218.60.56/~jnz1568/getInfo.php?workbook=01_01.xlsx&amp;sheet=A0&amp;row=75&amp;col=14&amp;number==&amp;sourceID=11","=")</f>
        <v>=</v>
      </c>
      <c r="O75" s="4" t="str">
        <f>HYPERLINK("http://141.218.60.56/~jnz1568/getInfo.php?workbook=01_01.xlsx&amp;sheet=A0&amp;row=75&amp;col=15&amp;number=&amp;sourceID=11","")</f>
        <v/>
      </c>
      <c r="P75" s="4" t="str">
        <f>HYPERLINK("http://141.218.60.56/~jnz1568/getInfo.php?workbook=01_01.xlsx&amp;sheet=A0&amp;row=75&amp;col=16&amp;number=0&amp;sourceID=11","0")</f>
        <v>0</v>
      </c>
      <c r="Q75" s="4" t="str">
        <f>HYPERLINK("http://141.218.60.56/~jnz1568/getInfo.php?workbook=01_01.xlsx&amp;sheet=A0&amp;row=75&amp;col=17&amp;number=&amp;sourceID=11","")</f>
        <v/>
      </c>
      <c r="R75" s="4" t="str">
        <f>HYPERLINK("http://141.218.60.56/~jnz1568/getInfo.php?workbook=01_01.xlsx&amp;sheet=A0&amp;row=75&amp;col=18&amp;number=1e-15&amp;sourceID=11","1e-15")</f>
        <v>1e-15</v>
      </c>
      <c r="S75" s="4" t="str">
        <f>HYPERLINK("http://141.218.60.56/~jnz1568/getInfo.php?workbook=01_01.xlsx&amp;sheet=A0&amp;row=75&amp;col=19&amp;number=&amp;sourceID=11","")</f>
        <v/>
      </c>
      <c r="T75" s="4" t="str">
        <f>HYPERLINK("http://141.218.60.56/~jnz1568/getInfo.php?workbook=01_01.xlsx&amp;sheet=A0&amp;row=75&amp;col=20&amp;number=&amp;sourceID=11","")</f>
        <v/>
      </c>
      <c r="U75" s="4" t="str">
        <f>HYPERLINK("http://141.218.60.56/~jnz1568/getInfo.php?workbook=01_01.xlsx&amp;sheet=A0&amp;row=75&amp;col=21&amp;number=1e-15&amp;sourceID=12","1e-15")</f>
        <v>1e-15</v>
      </c>
      <c r="V75" s="4" t="str">
        <f>HYPERLINK("http://141.218.60.56/~jnz1568/getInfo.php?workbook=01_01.xlsx&amp;sheet=A0&amp;row=75&amp;col=22&amp;number=&amp;sourceID=12","")</f>
        <v/>
      </c>
      <c r="W75" s="4" t="str">
        <f>HYPERLINK("http://141.218.60.56/~jnz1568/getInfo.php?workbook=01_01.xlsx&amp;sheet=A0&amp;row=75&amp;col=23&amp;number=0&amp;sourceID=12","0")</f>
        <v>0</v>
      </c>
      <c r="X75" s="4" t="str">
        <f>HYPERLINK("http://141.218.60.56/~jnz1568/getInfo.php?workbook=01_01.xlsx&amp;sheet=A0&amp;row=75&amp;col=24&amp;number=&amp;sourceID=12","")</f>
        <v/>
      </c>
      <c r="Y75" s="4" t="str">
        <f>HYPERLINK("http://141.218.60.56/~jnz1568/getInfo.php?workbook=01_01.xlsx&amp;sheet=A0&amp;row=75&amp;col=25&amp;number=1e-15&amp;sourceID=12","1e-15")</f>
        <v>1e-15</v>
      </c>
      <c r="Z75" s="4" t="str">
        <f>HYPERLINK("http://141.218.60.56/~jnz1568/getInfo.php?workbook=01_01.xlsx&amp;sheet=A0&amp;row=75&amp;col=26&amp;number=&amp;sourceID=12","")</f>
        <v/>
      </c>
      <c r="AA75" s="4" t="str">
        <f>HYPERLINK("http://141.218.60.56/~jnz1568/getInfo.php?workbook=01_01.xlsx&amp;sheet=A0&amp;row=75&amp;col=27&amp;number=&amp;sourceID=12","")</f>
        <v/>
      </c>
      <c r="AB75" s="4" t="str">
        <f>HYPERLINK("http://141.218.60.56/~jnz1568/getInfo.php?workbook=01_01.xlsx&amp;sheet=A0&amp;row=75&amp;col=28&amp;number=&amp;sourceID=18","")</f>
        <v/>
      </c>
      <c r="AC75" s="4" t="str">
        <f>HYPERLINK("http://141.218.60.56/~jnz1568/getInfo.php?workbook=01_01.xlsx&amp;sheet=A0&amp;row=75&amp;col=29&amp;number=&amp;sourceID=18","")</f>
        <v/>
      </c>
      <c r="AD75" s="4" t="str">
        <f>HYPERLINK("http://141.218.60.56/~jnz1568/getInfo.php?workbook=01_01.xlsx&amp;sheet=A0&amp;row=75&amp;col=30&amp;number=&amp;sourceID=18","")</f>
        <v/>
      </c>
      <c r="AE75" s="4" t="str">
        <f>HYPERLINK("http://141.218.60.56/~jnz1568/getInfo.php?workbook=01_01.xlsx&amp;sheet=A0&amp;row=75&amp;col=31&amp;number=&amp;sourceID=18","")</f>
        <v/>
      </c>
      <c r="AF75" s="4" t="str">
        <f>HYPERLINK("http://141.218.60.56/~jnz1568/getInfo.php?workbook=01_01.xlsx&amp;sheet=A0&amp;row=75&amp;col=32&amp;number=&amp;sourceID=18","")</f>
        <v/>
      </c>
      <c r="AG75" s="4" t="str">
        <f>HYPERLINK("http://141.218.60.56/~jnz1568/getInfo.php?workbook=01_01.xlsx&amp;sheet=A0&amp;row=75&amp;col=33&amp;number=&amp;sourceID=18","")</f>
        <v/>
      </c>
      <c r="AH75" s="4" t="str">
        <f>HYPERLINK("http://141.218.60.56/~jnz1568/getInfo.php?workbook=01_01.xlsx&amp;sheet=A0&amp;row=75&amp;col=34&amp;number=&amp;sourceID=20","")</f>
        <v/>
      </c>
    </row>
    <row r="76" spans="1:34">
      <c r="A76" s="3">
        <v>1</v>
      </c>
      <c r="B76" s="3">
        <v>1</v>
      </c>
      <c r="C76" s="3">
        <v>13</v>
      </c>
      <c r="D76" s="3">
        <v>11</v>
      </c>
      <c r="E76" s="3">
        <f>((1/(INDEX(E0!J$4:J$28,C76,1)-INDEX(E0!J$4:J$28,D76,1))))*100000000</f>
        <v>0</v>
      </c>
      <c r="F76" s="4" t="str">
        <f>HYPERLINK("http://141.218.60.56/~jnz1568/getInfo.php?workbook=01_01.xlsx&amp;sheet=A0&amp;row=76&amp;col=6&amp;number=&amp;sourceID=18","")</f>
        <v/>
      </c>
      <c r="G76" s="4" t="str">
        <f>HYPERLINK("http://141.218.60.56/~jnz1568/getInfo.php?workbook=01_01.xlsx&amp;sheet=A0&amp;row=76&amp;col=7&amp;number=&amp;sourceID=15","")</f>
        <v/>
      </c>
      <c r="H76" s="4" t="str">
        <f>HYPERLINK("http://141.218.60.56/~jnz1568/getInfo.php?workbook=01_01.xlsx&amp;sheet=A0&amp;row=76&amp;col=8&amp;number=&amp;sourceID=15","")</f>
        <v/>
      </c>
      <c r="I76" s="4" t="str">
        <f>HYPERLINK("http://141.218.60.56/~jnz1568/getInfo.php?workbook=01_01.xlsx&amp;sheet=A0&amp;row=76&amp;col=9&amp;number=&amp;sourceID=15","")</f>
        <v/>
      </c>
      <c r="J76" s="4" t="str">
        <f>HYPERLINK("http://141.218.60.56/~jnz1568/getInfo.php?workbook=01_01.xlsx&amp;sheet=A0&amp;row=76&amp;col=10&amp;number=&amp;sourceID=15","")</f>
        <v/>
      </c>
      <c r="K76" s="4" t="str">
        <f>HYPERLINK("http://141.218.60.56/~jnz1568/getInfo.php?workbook=01_01.xlsx&amp;sheet=A0&amp;row=76&amp;col=11&amp;number=&amp;sourceID=15","")</f>
        <v/>
      </c>
      <c r="L76" s="4" t="str">
        <f>HYPERLINK("http://141.218.60.56/~jnz1568/getInfo.php?workbook=01_01.xlsx&amp;sheet=A0&amp;row=76&amp;col=12&amp;number=&amp;sourceID=15","")</f>
        <v/>
      </c>
      <c r="M76" s="4" t="str">
        <f>HYPERLINK("http://141.218.60.56/~jnz1568/getInfo.php?workbook=01_01.xlsx&amp;sheet=A0&amp;row=76&amp;col=13&amp;number=&amp;sourceID=15","")</f>
        <v/>
      </c>
      <c r="N76" s="4" t="str">
        <f>HYPERLINK("http://141.218.60.56/~jnz1568/getInfo.php?workbook=01_01.xlsx&amp;sheet=A0&amp;row=76&amp;col=14&amp;number==&amp;sourceID=11","=")</f>
        <v>=</v>
      </c>
      <c r="O76" s="4" t="str">
        <f>HYPERLINK("http://141.218.60.56/~jnz1568/getInfo.php?workbook=01_01.xlsx&amp;sheet=A0&amp;row=76&amp;col=15&amp;number=3.4687e-08&amp;sourceID=11","3.4687e-08")</f>
        <v>3.4687e-08</v>
      </c>
      <c r="P76" s="4" t="str">
        <f>HYPERLINK("http://141.218.60.56/~jnz1568/getInfo.php?workbook=01_01.xlsx&amp;sheet=A0&amp;row=76&amp;col=16&amp;number=&amp;sourceID=11","")</f>
        <v/>
      </c>
      <c r="Q76" s="4" t="str">
        <f>HYPERLINK("http://141.218.60.56/~jnz1568/getInfo.php?workbook=01_01.xlsx&amp;sheet=A0&amp;row=76&amp;col=17&amp;number=&amp;sourceID=11","")</f>
        <v/>
      </c>
      <c r="R76" s="4" t="str">
        <f>HYPERLINK("http://141.218.60.56/~jnz1568/getInfo.php?workbook=01_01.xlsx&amp;sheet=A0&amp;row=76&amp;col=18&amp;number=&amp;sourceID=11","")</f>
        <v/>
      </c>
      <c r="S76" s="4" t="str">
        <f>HYPERLINK("http://141.218.60.56/~jnz1568/getInfo.php?workbook=01_01.xlsx&amp;sheet=A0&amp;row=76&amp;col=19&amp;number=0&amp;sourceID=11","0")</f>
        <v>0</v>
      </c>
      <c r="T76" s="4" t="str">
        <f>HYPERLINK("http://141.218.60.56/~jnz1568/getInfo.php?workbook=01_01.xlsx&amp;sheet=A0&amp;row=76&amp;col=20&amp;number=&amp;sourceID=11","")</f>
        <v/>
      </c>
      <c r="U76" s="4" t="str">
        <f>HYPERLINK("http://141.218.60.56/~jnz1568/getInfo.php?workbook=01_01.xlsx&amp;sheet=A0&amp;row=76&amp;col=21&amp;number=3.474e-08&amp;sourceID=12","3.474e-08")</f>
        <v>3.474e-08</v>
      </c>
      <c r="V76" s="4" t="str">
        <f>HYPERLINK("http://141.218.60.56/~jnz1568/getInfo.php?workbook=01_01.xlsx&amp;sheet=A0&amp;row=76&amp;col=22&amp;number=3.474e-08&amp;sourceID=12","3.474e-08")</f>
        <v>3.474e-08</v>
      </c>
      <c r="W76" s="4" t="str">
        <f>HYPERLINK("http://141.218.60.56/~jnz1568/getInfo.php?workbook=01_01.xlsx&amp;sheet=A0&amp;row=76&amp;col=23&amp;number=&amp;sourceID=12","")</f>
        <v/>
      </c>
      <c r="X76" s="4" t="str">
        <f>HYPERLINK("http://141.218.60.56/~jnz1568/getInfo.php?workbook=01_01.xlsx&amp;sheet=A0&amp;row=76&amp;col=24&amp;number=&amp;sourceID=12","")</f>
        <v/>
      </c>
      <c r="Y76" s="4" t="str">
        <f>HYPERLINK("http://141.218.60.56/~jnz1568/getInfo.php?workbook=01_01.xlsx&amp;sheet=A0&amp;row=76&amp;col=25&amp;number=&amp;sourceID=12","")</f>
        <v/>
      </c>
      <c r="Z76" s="4" t="str">
        <f>HYPERLINK("http://141.218.60.56/~jnz1568/getInfo.php?workbook=01_01.xlsx&amp;sheet=A0&amp;row=76&amp;col=26&amp;number=0&amp;sourceID=12","0")</f>
        <v>0</v>
      </c>
      <c r="AA76" s="4" t="str">
        <f>HYPERLINK("http://141.218.60.56/~jnz1568/getInfo.php?workbook=01_01.xlsx&amp;sheet=A0&amp;row=76&amp;col=27&amp;number=&amp;sourceID=12","")</f>
        <v/>
      </c>
      <c r="AB76" s="4" t="str">
        <f>HYPERLINK("http://141.218.60.56/~jnz1568/getInfo.php?workbook=01_01.xlsx&amp;sheet=A0&amp;row=76&amp;col=28&amp;number=&amp;sourceID=18","")</f>
        <v/>
      </c>
      <c r="AC76" s="4" t="str">
        <f>HYPERLINK("http://141.218.60.56/~jnz1568/getInfo.php?workbook=01_01.xlsx&amp;sheet=A0&amp;row=76&amp;col=29&amp;number=&amp;sourceID=18","")</f>
        <v/>
      </c>
      <c r="AD76" s="4" t="str">
        <f>HYPERLINK("http://141.218.60.56/~jnz1568/getInfo.php?workbook=01_01.xlsx&amp;sheet=A0&amp;row=76&amp;col=30&amp;number=&amp;sourceID=18","")</f>
        <v/>
      </c>
      <c r="AE76" s="4" t="str">
        <f>HYPERLINK("http://141.218.60.56/~jnz1568/getInfo.php?workbook=01_01.xlsx&amp;sheet=A0&amp;row=76&amp;col=31&amp;number=&amp;sourceID=18","")</f>
        <v/>
      </c>
      <c r="AF76" s="4" t="str">
        <f>HYPERLINK("http://141.218.60.56/~jnz1568/getInfo.php?workbook=01_01.xlsx&amp;sheet=A0&amp;row=76&amp;col=32&amp;number=&amp;sourceID=18","")</f>
        <v/>
      </c>
      <c r="AG76" s="4" t="str">
        <f>HYPERLINK("http://141.218.60.56/~jnz1568/getInfo.php?workbook=01_01.xlsx&amp;sheet=A0&amp;row=76&amp;col=33&amp;number=&amp;sourceID=18","")</f>
        <v/>
      </c>
      <c r="AH76" s="4" t="str">
        <f>HYPERLINK("http://141.218.60.56/~jnz1568/getInfo.php?workbook=01_01.xlsx&amp;sheet=A0&amp;row=76&amp;col=34&amp;number=&amp;sourceID=20","")</f>
        <v/>
      </c>
    </row>
    <row r="77" spans="1:34">
      <c r="A77" s="3">
        <v>1</v>
      </c>
      <c r="B77" s="3">
        <v>1</v>
      </c>
      <c r="C77" s="3">
        <v>14</v>
      </c>
      <c r="D77" s="3">
        <v>1</v>
      </c>
      <c r="E77" s="3">
        <f>((1/(INDEX(E0!J$4:J$28,C77,1)-INDEX(E0!J$4:J$28,D77,1))))*100000000</f>
        <v>0</v>
      </c>
      <c r="F77" s="4" t="str">
        <f>HYPERLINK("http://141.218.60.56/~jnz1568/getInfo.php?workbook=01_01.xlsx&amp;sheet=A0&amp;row=77&amp;col=6&amp;number=&amp;sourceID=18","")</f>
        <v/>
      </c>
      <c r="G77" s="4" t="str">
        <f>HYPERLINK("http://141.218.60.56/~jnz1568/getInfo.php?workbook=01_01.xlsx&amp;sheet=A0&amp;row=77&amp;col=7&amp;number=&amp;sourceID=15","")</f>
        <v/>
      </c>
      <c r="H77" s="4" t="str">
        <f>HYPERLINK("http://141.218.60.56/~jnz1568/getInfo.php?workbook=01_01.xlsx&amp;sheet=A0&amp;row=77&amp;col=8&amp;number=&amp;sourceID=15","")</f>
        <v/>
      </c>
      <c r="I77" s="4" t="str">
        <f>HYPERLINK("http://141.218.60.56/~jnz1568/getInfo.php?workbook=01_01.xlsx&amp;sheet=A0&amp;row=77&amp;col=9&amp;number=&amp;sourceID=15","")</f>
        <v/>
      </c>
      <c r="J77" s="4" t="str">
        <f>HYPERLINK("http://141.218.60.56/~jnz1568/getInfo.php?workbook=01_01.xlsx&amp;sheet=A0&amp;row=77&amp;col=10&amp;number=&amp;sourceID=15","")</f>
        <v/>
      </c>
      <c r="K77" s="4" t="str">
        <f>HYPERLINK("http://141.218.60.56/~jnz1568/getInfo.php?workbook=01_01.xlsx&amp;sheet=A0&amp;row=77&amp;col=11&amp;number=&amp;sourceID=15","")</f>
        <v/>
      </c>
      <c r="L77" s="4" t="str">
        <f>HYPERLINK("http://141.218.60.56/~jnz1568/getInfo.php?workbook=01_01.xlsx&amp;sheet=A0&amp;row=77&amp;col=12&amp;number=&amp;sourceID=15","")</f>
        <v/>
      </c>
      <c r="M77" s="4" t="str">
        <f>HYPERLINK("http://141.218.60.56/~jnz1568/getInfo.php?workbook=01_01.xlsx&amp;sheet=A0&amp;row=77&amp;col=13&amp;number=&amp;sourceID=15","")</f>
        <v/>
      </c>
      <c r="N77" s="4" t="str">
        <f>HYPERLINK("http://141.218.60.56/~jnz1568/getInfo.php?workbook=01_01.xlsx&amp;sheet=A0&amp;row=77&amp;col=14&amp;number==&amp;sourceID=11","=")</f>
        <v>=</v>
      </c>
      <c r="O77" s="4" t="str">
        <f>HYPERLINK("http://141.218.60.56/~jnz1568/getInfo.php?workbook=01_01.xlsx&amp;sheet=A0&amp;row=77&amp;col=15&amp;number=&amp;sourceID=11","")</f>
        <v/>
      </c>
      <c r="P77" s="4" t="str">
        <f>HYPERLINK("http://141.218.60.56/~jnz1568/getInfo.php?workbook=01_01.xlsx&amp;sheet=A0&amp;row=77&amp;col=16&amp;number=326.78&amp;sourceID=11","326.78")</f>
        <v>326.78</v>
      </c>
      <c r="Q77" s="4" t="str">
        <f>HYPERLINK("http://141.218.60.56/~jnz1568/getInfo.php?workbook=01_01.xlsx&amp;sheet=A0&amp;row=77&amp;col=17&amp;number=&amp;sourceID=11","")</f>
        <v/>
      </c>
      <c r="R77" s="4" t="str">
        <f>HYPERLINK("http://141.218.60.56/~jnz1568/getInfo.php?workbook=01_01.xlsx&amp;sheet=A0&amp;row=77&amp;col=18&amp;number=&amp;sourceID=11","")</f>
        <v/>
      </c>
      <c r="S77" s="4" t="str">
        <f>HYPERLINK("http://141.218.60.56/~jnz1568/getInfo.php?workbook=01_01.xlsx&amp;sheet=A0&amp;row=77&amp;col=19&amp;number=&amp;sourceID=11","")</f>
        <v/>
      </c>
      <c r="T77" s="4" t="str">
        <f>HYPERLINK("http://141.218.60.56/~jnz1568/getInfo.php?workbook=01_01.xlsx&amp;sheet=A0&amp;row=77&amp;col=20&amp;number=4.5248e-08&amp;sourceID=11","4.5248e-08")</f>
        <v>4.5248e-08</v>
      </c>
      <c r="U77" s="4" t="str">
        <f>HYPERLINK("http://141.218.60.56/~jnz1568/getInfo.php?workbook=01_01.xlsx&amp;sheet=A0&amp;row=77&amp;col=21&amp;number=326.96&amp;sourceID=12","326.96")</f>
        <v>326.96</v>
      </c>
      <c r="V77" s="4" t="str">
        <f>HYPERLINK("http://141.218.60.56/~jnz1568/getInfo.php?workbook=01_01.xlsx&amp;sheet=A0&amp;row=77&amp;col=22&amp;number=&amp;sourceID=12","")</f>
        <v/>
      </c>
      <c r="W77" s="4" t="str">
        <f>HYPERLINK("http://141.218.60.56/~jnz1568/getInfo.php?workbook=01_01.xlsx&amp;sheet=A0&amp;row=77&amp;col=23&amp;number=326.96&amp;sourceID=12","326.96")</f>
        <v>326.96</v>
      </c>
      <c r="X77" s="4" t="str">
        <f>HYPERLINK("http://141.218.60.56/~jnz1568/getInfo.php?workbook=01_01.xlsx&amp;sheet=A0&amp;row=77&amp;col=24&amp;number=&amp;sourceID=12","")</f>
        <v/>
      </c>
      <c r="Y77" s="4" t="str">
        <f>HYPERLINK("http://141.218.60.56/~jnz1568/getInfo.php?workbook=01_01.xlsx&amp;sheet=A0&amp;row=77&amp;col=25&amp;number=&amp;sourceID=12","")</f>
        <v/>
      </c>
      <c r="Z77" s="4" t="str">
        <f>HYPERLINK("http://141.218.60.56/~jnz1568/getInfo.php?workbook=01_01.xlsx&amp;sheet=A0&amp;row=77&amp;col=26&amp;number=&amp;sourceID=12","")</f>
        <v/>
      </c>
      <c r="AA77" s="4" t="str">
        <f>HYPERLINK("http://141.218.60.56/~jnz1568/getInfo.php?workbook=01_01.xlsx&amp;sheet=A0&amp;row=77&amp;col=27&amp;number=4.5273e-08&amp;sourceID=12","4.5273e-08")</f>
        <v>4.5273e-08</v>
      </c>
      <c r="AB77" s="4" t="str">
        <f>HYPERLINK("http://141.218.60.56/~jnz1568/getInfo.php?workbook=01_01.xlsx&amp;sheet=A0&amp;row=77&amp;col=28&amp;number==SUM(AC77:AG77)&amp;sourceID=18","=SUM(AC77:AG77)")</f>
        <v>=SUM(AC77:AG77)</v>
      </c>
      <c r="AC77" s="4" t="str">
        <f>HYPERLINK("http://141.218.60.56/~jnz1568/getInfo.php?workbook=01_01.xlsx&amp;sheet=A0&amp;row=77&amp;col=29&amp;number=&amp;sourceID=18","")</f>
        <v/>
      </c>
      <c r="AD77" s="4" t="str">
        <f>HYPERLINK("http://141.218.60.56/~jnz1568/getInfo.php?workbook=01_01.xlsx&amp;sheet=A0&amp;row=77&amp;col=30&amp;number=327&amp;sourceID=18","327")</f>
        <v>327</v>
      </c>
      <c r="AE77" s="4" t="str">
        <f>HYPERLINK("http://141.218.60.56/~jnz1568/getInfo.php?workbook=01_01.xlsx&amp;sheet=A0&amp;row=77&amp;col=31&amp;number=&amp;sourceID=18","")</f>
        <v/>
      </c>
      <c r="AF77" s="4" t="str">
        <f>HYPERLINK("http://141.218.60.56/~jnz1568/getInfo.php?workbook=01_01.xlsx&amp;sheet=A0&amp;row=77&amp;col=32&amp;number=&amp;sourceID=18","")</f>
        <v/>
      </c>
      <c r="AG77" s="4" t="str">
        <f>HYPERLINK("http://141.218.60.56/~jnz1568/getInfo.php?workbook=01_01.xlsx&amp;sheet=A0&amp;row=77&amp;col=33&amp;number=&amp;sourceID=18","")</f>
        <v/>
      </c>
      <c r="AH77" s="4" t="str">
        <f>HYPERLINK("http://141.218.60.56/~jnz1568/getInfo.php?workbook=01_01.xlsx&amp;sheet=A0&amp;row=77&amp;col=34&amp;number=&amp;sourceID=20","")</f>
        <v/>
      </c>
    </row>
    <row r="78" spans="1:34">
      <c r="A78" s="3">
        <v>1</v>
      </c>
      <c r="B78" s="3">
        <v>1</v>
      </c>
      <c r="C78" s="3">
        <v>14</v>
      </c>
      <c r="D78" s="3">
        <v>2</v>
      </c>
      <c r="E78" s="3">
        <f>((1/(INDEX(E0!J$4:J$28,C78,1)-INDEX(E0!J$4:J$28,D78,1))))*100000000</f>
        <v>0</v>
      </c>
      <c r="F78" s="4" t="str">
        <f>HYPERLINK("http://141.218.60.56/~jnz1568/getInfo.php?workbook=01_01.xlsx&amp;sheet=A0&amp;row=78&amp;col=6&amp;number=&amp;sourceID=18","")</f>
        <v/>
      </c>
      <c r="G78" s="4" t="str">
        <f>HYPERLINK("http://141.218.60.56/~jnz1568/getInfo.php?workbook=01_01.xlsx&amp;sheet=A0&amp;row=78&amp;col=7&amp;number=&amp;sourceID=15","")</f>
        <v/>
      </c>
      <c r="H78" s="4" t="str">
        <f>HYPERLINK("http://141.218.60.56/~jnz1568/getInfo.php?workbook=01_01.xlsx&amp;sheet=A0&amp;row=78&amp;col=8&amp;number=&amp;sourceID=15","")</f>
        <v/>
      </c>
      <c r="I78" s="4" t="str">
        <f>HYPERLINK("http://141.218.60.56/~jnz1568/getInfo.php?workbook=01_01.xlsx&amp;sheet=A0&amp;row=78&amp;col=9&amp;number=&amp;sourceID=15","")</f>
        <v/>
      </c>
      <c r="J78" s="4" t="str">
        <f>HYPERLINK("http://141.218.60.56/~jnz1568/getInfo.php?workbook=01_01.xlsx&amp;sheet=A0&amp;row=78&amp;col=10&amp;number=&amp;sourceID=15","")</f>
        <v/>
      </c>
      <c r="K78" s="4" t="str">
        <f>HYPERLINK("http://141.218.60.56/~jnz1568/getInfo.php?workbook=01_01.xlsx&amp;sheet=A0&amp;row=78&amp;col=11&amp;number=&amp;sourceID=15","")</f>
        <v/>
      </c>
      <c r="L78" s="4" t="str">
        <f>HYPERLINK("http://141.218.60.56/~jnz1568/getInfo.php?workbook=01_01.xlsx&amp;sheet=A0&amp;row=78&amp;col=12&amp;number=&amp;sourceID=15","")</f>
        <v/>
      </c>
      <c r="M78" s="4" t="str">
        <f>HYPERLINK("http://141.218.60.56/~jnz1568/getInfo.php?workbook=01_01.xlsx&amp;sheet=A0&amp;row=78&amp;col=13&amp;number=&amp;sourceID=15","")</f>
        <v/>
      </c>
      <c r="N78" s="4" t="str">
        <f>HYPERLINK("http://141.218.60.56/~jnz1568/getInfo.php?workbook=01_01.xlsx&amp;sheet=A0&amp;row=78&amp;col=14&amp;number==&amp;sourceID=11","=")</f>
        <v>=</v>
      </c>
      <c r="O78" s="4" t="str">
        <f>HYPERLINK("http://141.218.60.56/~jnz1568/getInfo.php?workbook=01_01.xlsx&amp;sheet=A0&amp;row=78&amp;col=15&amp;number=&amp;sourceID=11","")</f>
        <v/>
      </c>
      <c r="P78" s="4" t="str">
        <f>HYPERLINK("http://141.218.60.56/~jnz1568/getInfo.php?workbook=01_01.xlsx&amp;sheet=A0&amp;row=78&amp;col=16&amp;number=&amp;sourceID=11","")</f>
        <v/>
      </c>
      <c r="Q78" s="4" t="str">
        <f>HYPERLINK("http://141.218.60.56/~jnz1568/getInfo.php?workbook=01_01.xlsx&amp;sheet=A0&amp;row=78&amp;col=17&amp;number=1.8e-14&amp;sourceID=11","1.8e-14")</f>
        <v>1.8e-14</v>
      </c>
      <c r="R78" s="4" t="str">
        <f>HYPERLINK("http://141.218.60.56/~jnz1568/getInfo.php?workbook=01_01.xlsx&amp;sheet=A0&amp;row=78&amp;col=18&amp;number=&amp;sourceID=11","")</f>
        <v/>
      </c>
      <c r="S78" s="4" t="str">
        <f>HYPERLINK("http://141.218.60.56/~jnz1568/getInfo.php?workbook=01_01.xlsx&amp;sheet=A0&amp;row=78&amp;col=19&amp;number=2.2848e-05&amp;sourceID=11","2.2848e-05")</f>
        <v>2.2848e-05</v>
      </c>
      <c r="T78" s="4" t="str">
        <f>HYPERLINK("http://141.218.60.56/~jnz1568/getInfo.php?workbook=01_01.xlsx&amp;sheet=A0&amp;row=78&amp;col=20&amp;number=&amp;sourceID=11","")</f>
        <v/>
      </c>
      <c r="U78" s="4" t="str">
        <f>HYPERLINK("http://141.218.60.56/~jnz1568/getInfo.php?workbook=01_01.xlsx&amp;sheet=A0&amp;row=78&amp;col=21&amp;number=2.2861e-05&amp;sourceID=12","2.2861e-05")</f>
        <v>2.2861e-05</v>
      </c>
      <c r="V78" s="4" t="str">
        <f>HYPERLINK("http://141.218.60.56/~jnz1568/getInfo.php?workbook=01_01.xlsx&amp;sheet=A0&amp;row=78&amp;col=22&amp;number=&amp;sourceID=12","")</f>
        <v/>
      </c>
      <c r="W78" s="4" t="str">
        <f>HYPERLINK("http://141.218.60.56/~jnz1568/getInfo.php?workbook=01_01.xlsx&amp;sheet=A0&amp;row=78&amp;col=23&amp;number=&amp;sourceID=12","")</f>
        <v/>
      </c>
      <c r="X78" s="4" t="str">
        <f>HYPERLINK("http://141.218.60.56/~jnz1568/getInfo.php?workbook=01_01.xlsx&amp;sheet=A0&amp;row=78&amp;col=24&amp;number=1.8e-14&amp;sourceID=12","1.8e-14")</f>
        <v>1.8e-14</v>
      </c>
      <c r="Y78" s="4" t="str">
        <f>HYPERLINK("http://141.218.60.56/~jnz1568/getInfo.php?workbook=01_01.xlsx&amp;sheet=A0&amp;row=78&amp;col=25&amp;number=&amp;sourceID=12","")</f>
        <v/>
      </c>
      <c r="Z78" s="4" t="str">
        <f>HYPERLINK("http://141.218.60.56/~jnz1568/getInfo.php?workbook=01_01.xlsx&amp;sheet=A0&amp;row=78&amp;col=26&amp;number=2.2861e-05&amp;sourceID=12","2.2861e-05")</f>
        <v>2.2861e-05</v>
      </c>
      <c r="AA78" s="4" t="str">
        <f>HYPERLINK("http://141.218.60.56/~jnz1568/getInfo.php?workbook=01_01.xlsx&amp;sheet=A0&amp;row=78&amp;col=27&amp;number=&amp;sourceID=12","")</f>
        <v/>
      </c>
      <c r="AB78" s="4" t="str">
        <f>HYPERLINK("http://141.218.60.56/~jnz1568/getInfo.php?workbook=01_01.xlsx&amp;sheet=A0&amp;row=78&amp;col=28&amp;number==&amp;sourceID=18","=")</f>
        <v>=</v>
      </c>
      <c r="AC78" s="4" t="str">
        <f>HYPERLINK("http://141.218.60.56/~jnz1568/getInfo.php?workbook=01_01.xlsx&amp;sheet=A0&amp;row=78&amp;col=29&amp;number=&amp;sourceID=18","")</f>
        <v/>
      </c>
      <c r="AD78" s="4" t="str">
        <f>HYPERLINK("http://141.218.60.56/~jnz1568/getInfo.php?workbook=01_01.xlsx&amp;sheet=A0&amp;row=78&amp;col=30&amp;number=&amp;sourceID=18","")</f>
        <v/>
      </c>
      <c r="AE78" s="4" t="str">
        <f>HYPERLINK("http://141.218.60.56/~jnz1568/getInfo.php?workbook=01_01.xlsx&amp;sheet=A0&amp;row=78&amp;col=31&amp;number=4.06e-12&amp;sourceID=18","4.06e-12")</f>
        <v>4.06e-12</v>
      </c>
      <c r="AF78" s="4" t="str">
        <f>HYPERLINK("http://141.218.60.56/~jnz1568/getInfo.php?workbook=01_01.xlsx&amp;sheet=A0&amp;row=78&amp;col=32&amp;number=&amp;sourceID=18","")</f>
        <v/>
      </c>
      <c r="AG78" s="4" t="str">
        <f>HYPERLINK("http://141.218.60.56/~jnz1568/getInfo.php?workbook=01_01.xlsx&amp;sheet=A0&amp;row=78&amp;col=33&amp;number=9.14e-05&amp;sourceID=18","9.14e-05")</f>
        <v>9.14e-05</v>
      </c>
      <c r="AH78" s="4" t="str">
        <f>HYPERLINK("http://141.218.60.56/~jnz1568/getInfo.php?workbook=01_01.xlsx&amp;sheet=A0&amp;row=78&amp;col=34&amp;number=&amp;sourceID=20","")</f>
        <v/>
      </c>
    </row>
    <row r="79" spans="1:34">
      <c r="A79" s="3">
        <v>1</v>
      </c>
      <c r="B79" s="3">
        <v>1</v>
      </c>
      <c r="C79" s="3">
        <v>14</v>
      </c>
      <c r="D79" s="3">
        <v>3</v>
      </c>
      <c r="E79" s="3">
        <f>((1/(INDEX(E0!J$4:J$28,C79,1)-INDEX(E0!J$4:J$28,D79,1))))*100000000</f>
        <v>0</v>
      </c>
      <c r="F79" s="4" t="str">
        <f>HYPERLINK("http://141.218.60.56/~jnz1568/getInfo.php?workbook=01_01.xlsx&amp;sheet=A0&amp;row=79&amp;col=6&amp;number=&amp;sourceID=18","")</f>
        <v/>
      </c>
      <c r="G79" s="4" t="str">
        <f>HYPERLINK("http://141.218.60.56/~jnz1568/getInfo.php?workbook=01_01.xlsx&amp;sheet=A0&amp;row=79&amp;col=7&amp;number=&amp;sourceID=15","")</f>
        <v/>
      </c>
      <c r="H79" s="4" t="str">
        <f>HYPERLINK("http://141.218.60.56/~jnz1568/getInfo.php?workbook=01_01.xlsx&amp;sheet=A0&amp;row=79&amp;col=8&amp;number=&amp;sourceID=15","")</f>
        <v/>
      </c>
      <c r="I79" s="4" t="str">
        <f>HYPERLINK("http://141.218.60.56/~jnz1568/getInfo.php?workbook=01_01.xlsx&amp;sheet=A0&amp;row=79&amp;col=9&amp;number=&amp;sourceID=15","")</f>
        <v/>
      </c>
      <c r="J79" s="4" t="str">
        <f>HYPERLINK("http://141.218.60.56/~jnz1568/getInfo.php?workbook=01_01.xlsx&amp;sheet=A0&amp;row=79&amp;col=10&amp;number=&amp;sourceID=15","")</f>
        <v/>
      </c>
      <c r="K79" s="4" t="str">
        <f>HYPERLINK("http://141.218.60.56/~jnz1568/getInfo.php?workbook=01_01.xlsx&amp;sheet=A0&amp;row=79&amp;col=11&amp;number=&amp;sourceID=15","")</f>
        <v/>
      </c>
      <c r="L79" s="4" t="str">
        <f>HYPERLINK("http://141.218.60.56/~jnz1568/getInfo.php?workbook=01_01.xlsx&amp;sheet=A0&amp;row=79&amp;col=12&amp;number=&amp;sourceID=15","")</f>
        <v/>
      </c>
      <c r="M79" s="4" t="str">
        <f>HYPERLINK("http://141.218.60.56/~jnz1568/getInfo.php?workbook=01_01.xlsx&amp;sheet=A0&amp;row=79&amp;col=13&amp;number=&amp;sourceID=15","")</f>
        <v/>
      </c>
      <c r="N79" s="4" t="str">
        <f>HYPERLINK("http://141.218.60.56/~jnz1568/getInfo.php?workbook=01_01.xlsx&amp;sheet=A0&amp;row=79&amp;col=14&amp;number==&amp;sourceID=11","=")</f>
        <v>=</v>
      </c>
      <c r="O79" s="4" t="str">
        <f>HYPERLINK("http://141.218.60.56/~jnz1568/getInfo.php?workbook=01_01.xlsx&amp;sheet=A0&amp;row=79&amp;col=15&amp;number=&amp;sourceID=11","")</f>
        <v/>
      </c>
      <c r="P79" s="4" t="str">
        <f>HYPERLINK("http://141.218.60.56/~jnz1568/getInfo.php?workbook=01_01.xlsx&amp;sheet=A0&amp;row=79&amp;col=16&amp;number=5.1493&amp;sourceID=11","5.1493")</f>
        <v>5.1493</v>
      </c>
      <c r="Q79" s="4" t="str">
        <f>HYPERLINK("http://141.218.60.56/~jnz1568/getInfo.php?workbook=01_01.xlsx&amp;sheet=A0&amp;row=79&amp;col=17&amp;number=&amp;sourceID=11","")</f>
        <v/>
      </c>
      <c r="R79" s="4" t="str">
        <f>HYPERLINK("http://141.218.60.56/~jnz1568/getInfo.php?workbook=01_01.xlsx&amp;sheet=A0&amp;row=79&amp;col=18&amp;number=&amp;sourceID=11","")</f>
        <v/>
      </c>
      <c r="S79" s="4" t="str">
        <f>HYPERLINK("http://141.218.60.56/~jnz1568/getInfo.php?workbook=01_01.xlsx&amp;sheet=A0&amp;row=79&amp;col=19&amp;number=&amp;sourceID=11","")</f>
        <v/>
      </c>
      <c r="T79" s="4" t="str">
        <f>HYPERLINK("http://141.218.60.56/~jnz1568/getInfo.php?workbook=01_01.xlsx&amp;sheet=A0&amp;row=79&amp;col=20&amp;number=2.852e-11&amp;sourceID=11","2.852e-11")</f>
        <v>2.852e-11</v>
      </c>
      <c r="U79" s="4" t="str">
        <f>HYPERLINK("http://141.218.60.56/~jnz1568/getInfo.php?workbook=01_01.xlsx&amp;sheet=A0&amp;row=79&amp;col=21&amp;number=5.1521&amp;sourceID=12","5.1521")</f>
        <v>5.1521</v>
      </c>
      <c r="V79" s="4" t="str">
        <f>HYPERLINK("http://141.218.60.56/~jnz1568/getInfo.php?workbook=01_01.xlsx&amp;sheet=A0&amp;row=79&amp;col=22&amp;number=&amp;sourceID=12","")</f>
        <v/>
      </c>
      <c r="W79" s="4" t="str">
        <f>HYPERLINK("http://141.218.60.56/~jnz1568/getInfo.php?workbook=01_01.xlsx&amp;sheet=A0&amp;row=79&amp;col=23&amp;number=5.1521&amp;sourceID=12","5.1521")</f>
        <v>5.1521</v>
      </c>
      <c r="X79" s="4" t="str">
        <f>HYPERLINK("http://141.218.60.56/~jnz1568/getInfo.php?workbook=01_01.xlsx&amp;sheet=A0&amp;row=79&amp;col=24&amp;number=&amp;sourceID=12","")</f>
        <v/>
      </c>
      <c r="Y79" s="4" t="str">
        <f>HYPERLINK("http://141.218.60.56/~jnz1568/getInfo.php?workbook=01_01.xlsx&amp;sheet=A0&amp;row=79&amp;col=25&amp;number=&amp;sourceID=12","")</f>
        <v/>
      </c>
      <c r="Z79" s="4" t="str">
        <f>HYPERLINK("http://141.218.60.56/~jnz1568/getInfo.php?workbook=01_01.xlsx&amp;sheet=A0&amp;row=79&amp;col=26&amp;number=&amp;sourceID=12","")</f>
        <v/>
      </c>
      <c r="AA79" s="4" t="str">
        <f>HYPERLINK("http://141.218.60.56/~jnz1568/getInfo.php?workbook=01_01.xlsx&amp;sheet=A0&amp;row=79&amp;col=27&amp;number=2.8536e-11&amp;sourceID=12","2.8536e-11")</f>
        <v>2.8536e-11</v>
      </c>
      <c r="AB79" s="4" t="str">
        <f>HYPERLINK("http://141.218.60.56/~jnz1568/getInfo.php?workbook=01_01.xlsx&amp;sheet=A0&amp;row=79&amp;col=28&amp;number==&amp;sourceID=18","=")</f>
        <v>=</v>
      </c>
      <c r="AC79" s="4" t="str">
        <f>HYPERLINK("http://141.218.60.56/~jnz1568/getInfo.php?workbook=01_01.xlsx&amp;sheet=A0&amp;row=79&amp;col=29&amp;number=&amp;sourceID=18","")</f>
        <v/>
      </c>
      <c r="AD79" s="4" t="str">
        <f>HYPERLINK("http://141.218.60.56/~jnz1568/getInfo.php?workbook=01_01.xlsx&amp;sheet=A0&amp;row=79&amp;col=30&amp;number=5.15&amp;sourceID=18","5.15")</f>
        <v>5.15</v>
      </c>
      <c r="AE79" s="4" t="str">
        <f>HYPERLINK("http://141.218.60.56/~jnz1568/getInfo.php?workbook=01_01.xlsx&amp;sheet=A0&amp;row=79&amp;col=31&amp;number=&amp;sourceID=18","")</f>
        <v/>
      </c>
      <c r="AF79" s="4" t="str">
        <f>HYPERLINK("http://141.218.60.56/~jnz1568/getInfo.php?workbook=01_01.xlsx&amp;sheet=A0&amp;row=79&amp;col=32&amp;number=&amp;sourceID=18","")</f>
        <v/>
      </c>
      <c r="AG79" s="4" t="str">
        <f>HYPERLINK("http://141.218.60.56/~jnz1568/getInfo.php?workbook=01_01.xlsx&amp;sheet=A0&amp;row=79&amp;col=33&amp;number=&amp;sourceID=18","")</f>
        <v/>
      </c>
      <c r="AH79" s="4" t="str">
        <f>HYPERLINK("http://141.218.60.56/~jnz1568/getInfo.php?workbook=01_01.xlsx&amp;sheet=A0&amp;row=79&amp;col=34&amp;number=&amp;sourceID=20","")</f>
        <v/>
      </c>
    </row>
    <row r="80" spans="1:34">
      <c r="A80" s="3">
        <v>1</v>
      </c>
      <c r="B80" s="3">
        <v>1</v>
      </c>
      <c r="C80" s="3">
        <v>14</v>
      </c>
      <c r="D80" s="3">
        <v>4</v>
      </c>
      <c r="E80" s="3">
        <f>((1/(INDEX(E0!J$4:J$28,C80,1)-INDEX(E0!J$4:J$28,D80,1))))*100000000</f>
        <v>0</v>
      </c>
      <c r="F80" s="4" t="str">
        <f>HYPERLINK("http://141.218.60.56/~jnz1568/getInfo.php?workbook=01_01.xlsx&amp;sheet=A0&amp;row=80&amp;col=6&amp;number=&amp;sourceID=18","")</f>
        <v/>
      </c>
      <c r="G80" s="4" t="str">
        <f>HYPERLINK("http://141.218.60.56/~jnz1568/getInfo.php?workbook=01_01.xlsx&amp;sheet=A0&amp;row=80&amp;col=7&amp;number=20625000&amp;sourceID=15","20625000")</f>
        <v>20625000</v>
      </c>
      <c r="H80" s="4" t="str">
        <f>HYPERLINK("http://141.218.60.56/~jnz1568/getInfo.php?workbook=01_01.xlsx&amp;sheet=A0&amp;row=80&amp;col=8&amp;number=20625000&amp;sourceID=15","20625000")</f>
        <v>20625000</v>
      </c>
      <c r="I80" s="4" t="str">
        <f>HYPERLINK("http://141.218.60.56/~jnz1568/getInfo.php?workbook=01_01.xlsx&amp;sheet=A0&amp;row=80&amp;col=9&amp;number=&amp;sourceID=15","")</f>
        <v/>
      </c>
      <c r="J80" s="4" t="str">
        <f>HYPERLINK("http://141.218.60.56/~jnz1568/getInfo.php?workbook=01_01.xlsx&amp;sheet=A0&amp;row=80&amp;col=10&amp;number=&amp;sourceID=15","")</f>
        <v/>
      </c>
      <c r="K80" s="4" t="str">
        <f>HYPERLINK("http://141.218.60.56/~jnz1568/getInfo.php?workbook=01_01.xlsx&amp;sheet=A0&amp;row=80&amp;col=11&amp;number=&amp;sourceID=15","")</f>
        <v/>
      </c>
      <c r="L80" s="4" t="str">
        <f>HYPERLINK("http://141.218.60.56/~jnz1568/getInfo.php?workbook=01_01.xlsx&amp;sheet=A0&amp;row=80&amp;col=12&amp;number=&amp;sourceID=15","")</f>
        <v/>
      </c>
      <c r="M80" s="4" t="str">
        <f>HYPERLINK("http://141.218.60.56/~jnz1568/getInfo.php?workbook=01_01.xlsx&amp;sheet=A0&amp;row=80&amp;col=13&amp;number=&amp;sourceID=15","")</f>
        <v/>
      </c>
      <c r="N80" s="4" t="str">
        <f>HYPERLINK("http://141.218.60.56/~jnz1568/getInfo.php?workbook=01_01.xlsx&amp;sheet=A0&amp;row=80&amp;col=14&amp;number==&amp;sourceID=11","=")</f>
        <v>=</v>
      </c>
      <c r="O80" s="4" t="str">
        <f>HYPERLINK("http://141.218.60.56/~jnz1568/getInfo.php?workbook=01_01.xlsx&amp;sheet=A0&amp;row=80&amp;col=15&amp;number=20625000&amp;sourceID=11","20625000")</f>
        <v>20625000</v>
      </c>
      <c r="P80" s="4" t="str">
        <f>HYPERLINK("http://141.218.60.56/~jnz1568/getInfo.php?workbook=01_01.xlsx&amp;sheet=A0&amp;row=80&amp;col=16&amp;number=&amp;sourceID=11","")</f>
        <v/>
      </c>
      <c r="Q80" s="4" t="str">
        <f>HYPERLINK("http://141.218.60.56/~jnz1568/getInfo.php?workbook=01_01.xlsx&amp;sheet=A0&amp;row=80&amp;col=17&amp;number=0&amp;sourceID=11","0")</f>
        <v>0</v>
      </c>
      <c r="R80" s="4" t="str">
        <f>HYPERLINK("http://141.218.60.56/~jnz1568/getInfo.php?workbook=01_01.xlsx&amp;sheet=A0&amp;row=80&amp;col=18&amp;number=&amp;sourceID=11","")</f>
        <v/>
      </c>
      <c r="S80" s="4" t="str">
        <f>HYPERLINK("http://141.218.60.56/~jnz1568/getInfo.php?workbook=01_01.xlsx&amp;sheet=A0&amp;row=80&amp;col=19&amp;number=0.00012494&amp;sourceID=11","0.00012494")</f>
        <v>0.00012494</v>
      </c>
      <c r="T80" s="4" t="str">
        <f>HYPERLINK("http://141.218.60.56/~jnz1568/getInfo.php?workbook=01_01.xlsx&amp;sheet=A0&amp;row=80&amp;col=20&amp;number=&amp;sourceID=11","")</f>
        <v/>
      </c>
      <c r="U80" s="4" t="str">
        <f>HYPERLINK("http://141.218.60.56/~jnz1568/getInfo.php?workbook=01_01.xlsx&amp;sheet=A0&amp;row=80&amp;col=21&amp;number=20636000&amp;sourceID=12","20636000")</f>
        <v>20636000</v>
      </c>
      <c r="V80" s="4" t="str">
        <f>HYPERLINK("http://141.218.60.56/~jnz1568/getInfo.php?workbook=01_01.xlsx&amp;sheet=A0&amp;row=80&amp;col=22&amp;number=20636000&amp;sourceID=12","20636000")</f>
        <v>20636000</v>
      </c>
      <c r="W80" s="4" t="str">
        <f>HYPERLINK("http://141.218.60.56/~jnz1568/getInfo.php?workbook=01_01.xlsx&amp;sheet=A0&amp;row=80&amp;col=23&amp;number=&amp;sourceID=12","")</f>
        <v/>
      </c>
      <c r="X80" s="4" t="str">
        <f>HYPERLINK("http://141.218.60.56/~jnz1568/getInfo.php?workbook=01_01.xlsx&amp;sheet=A0&amp;row=80&amp;col=24&amp;number=0&amp;sourceID=12","0")</f>
        <v>0</v>
      </c>
      <c r="Y80" s="4" t="str">
        <f>HYPERLINK("http://141.218.60.56/~jnz1568/getInfo.php?workbook=01_01.xlsx&amp;sheet=A0&amp;row=80&amp;col=25&amp;number=&amp;sourceID=12","")</f>
        <v/>
      </c>
      <c r="Z80" s="4" t="str">
        <f>HYPERLINK("http://141.218.60.56/~jnz1568/getInfo.php?workbook=01_01.xlsx&amp;sheet=A0&amp;row=80&amp;col=26&amp;number=0.00012501&amp;sourceID=12","0.00012501")</f>
        <v>0.00012501</v>
      </c>
      <c r="AA80" s="4" t="str">
        <f>HYPERLINK("http://141.218.60.56/~jnz1568/getInfo.php?workbook=01_01.xlsx&amp;sheet=A0&amp;row=80&amp;col=27&amp;number=&amp;sourceID=12","")</f>
        <v/>
      </c>
      <c r="AB80" s="4" t="str">
        <f>HYPERLINK("http://141.218.60.56/~jnz1568/getInfo.php?workbook=01_01.xlsx&amp;sheet=A0&amp;row=80&amp;col=28&amp;number==&amp;sourceID=18","=")</f>
        <v>=</v>
      </c>
      <c r="AC80" s="4" t="str">
        <f>HYPERLINK("http://141.218.60.56/~jnz1568/getInfo.php?workbook=01_01.xlsx&amp;sheet=A0&amp;row=80&amp;col=29&amp;number=20600000&amp;sourceID=18","20600000")</f>
        <v>20600000</v>
      </c>
      <c r="AD80" s="4" t="str">
        <f>HYPERLINK("http://141.218.60.56/~jnz1568/getInfo.php?workbook=01_01.xlsx&amp;sheet=A0&amp;row=80&amp;col=30&amp;number=&amp;sourceID=18","")</f>
        <v/>
      </c>
      <c r="AE80" s="4" t="str">
        <f>HYPERLINK("http://141.218.60.56/~jnz1568/getInfo.php?workbook=01_01.xlsx&amp;sheet=A0&amp;row=80&amp;col=31&amp;number=&amp;sourceID=18","")</f>
        <v/>
      </c>
      <c r="AF80" s="4" t="str">
        <f>HYPERLINK("http://141.218.60.56/~jnz1568/getInfo.php?workbook=01_01.xlsx&amp;sheet=A0&amp;row=80&amp;col=32&amp;number=&amp;sourceID=18","")</f>
        <v/>
      </c>
      <c r="AG80" s="4" t="str">
        <f>HYPERLINK("http://141.218.60.56/~jnz1568/getInfo.php?workbook=01_01.xlsx&amp;sheet=A0&amp;row=80&amp;col=33&amp;number=&amp;sourceID=18","")</f>
        <v/>
      </c>
      <c r="AH80" s="4" t="str">
        <f>HYPERLINK("http://141.218.60.56/~jnz1568/getInfo.php?workbook=01_01.xlsx&amp;sheet=A0&amp;row=80&amp;col=34&amp;number=&amp;sourceID=20","")</f>
        <v/>
      </c>
    </row>
    <row r="81" spans="1:34">
      <c r="A81" s="3">
        <v>1</v>
      </c>
      <c r="B81" s="3">
        <v>1</v>
      </c>
      <c r="C81" s="3">
        <v>14</v>
      </c>
      <c r="D81" s="3">
        <v>5</v>
      </c>
      <c r="E81" s="3">
        <f>((1/(INDEX(E0!J$4:J$28,C81,1)-INDEX(E0!J$4:J$28,D81,1))))*100000000</f>
        <v>0</v>
      </c>
      <c r="F81" s="4" t="str">
        <f>HYPERLINK("http://141.218.60.56/~jnz1568/getInfo.php?workbook=01_01.xlsx&amp;sheet=A0&amp;row=81&amp;col=6&amp;number=&amp;sourceID=18","")</f>
        <v/>
      </c>
      <c r="G81" s="4" t="str">
        <f>HYPERLINK("http://141.218.60.56/~jnz1568/getInfo.php?workbook=01_01.xlsx&amp;sheet=A0&amp;row=81&amp;col=7&amp;number=&amp;sourceID=15","")</f>
        <v/>
      </c>
      <c r="H81" s="4" t="str">
        <f>HYPERLINK("http://141.218.60.56/~jnz1568/getInfo.php?workbook=01_01.xlsx&amp;sheet=A0&amp;row=81&amp;col=8&amp;number=&amp;sourceID=15","")</f>
        <v/>
      </c>
      <c r="I81" s="4" t="str">
        <f>HYPERLINK("http://141.218.60.56/~jnz1568/getInfo.php?workbook=01_01.xlsx&amp;sheet=A0&amp;row=81&amp;col=9&amp;number=&amp;sourceID=15","")</f>
        <v/>
      </c>
      <c r="J81" s="4" t="str">
        <f>HYPERLINK("http://141.218.60.56/~jnz1568/getInfo.php?workbook=01_01.xlsx&amp;sheet=A0&amp;row=81&amp;col=10&amp;number=&amp;sourceID=15","")</f>
        <v/>
      </c>
      <c r="K81" s="4" t="str">
        <f>HYPERLINK("http://141.218.60.56/~jnz1568/getInfo.php?workbook=01_01.xlsx&amp;sheet=A0&amp;row=81&amp;col=11&amp;number=&amp;sourceID=15","")</f>
        <v/>
      </c>
      <c r="L81" s="4" t="str">
        <f>HYPERLINK("http://141.218.60.56/~jnz1568/getInfo.php?workbook=01_01.xlsx&amp;sheet=A0&amp;row=81&amp;col=12&amp;number=&amp;sourceID=15","")</f>
        <v/>
      </c>
      <c r="M81" s="4" t="str">
        <f>HYPERLINK("http://141.218.60.56/~jnz1568/getInfo.php?workbook=01_01.xlsx&amp;sheet=A0&amp;row=81&amp;col=13&amp;number=&amp;sourceID=15","")</f>
        <v/>
      </c>
      <c r="N81" s="4" t="str">
        <f>HYPERLINK("http://141.218.60.56/~jnz1568/getInfo.php?workbook=01_01.xlsx&amp;sheet=A0&amp;row=81&amp;col=14&amp;number==&amp;sourceID=11","=")</f>
        <v>=</v>
      </c>
      <c r="O81" s="4" t="str">
        <f>HYPERLINK("http://141.218.60.56/~jnz1568/getInfo.php?workbook=01_01.xlsx&amp;sheet=A0&amp;row=81&amp;col=15&amp;number=&amp;sourceID=11","")</f>
        <v/>
      </c>
      <c r="P81" s="4" t="str">
        <f>HYPERLINK("http://141.218.60.56/~jnz1568/getInfo.php?workbook=01_01.xlsx&amp;sheet=A0&amp;row=81&amp;col=16&amp;number=&amp;sourceID=11","")</f>
        <v/>
      </c>
      <c r="Q81" s="4" t="str">
        <f>HYPERLINK("http://141.218.60.56/~jnz1568/getInfo.php?workbook=01_01.xlsx&amp;sheet=A0&amp;row=81&amp;col=17&amp;number=6.9842e-07&amp;sourceID=11","6.9842e-07")</f>
        <v>6.9842e-07</v>
      </c>
      <c r="R81" s="4" t="str">
        <f>HYPERLINK("http://141.218.60.56/~jnz1568/getInfo.php?workbook=01_01.xlsx&amp;sheet=A0&amp;row=81&amp;col=18&amp;number=&amp;sourceID=11","")</f>
        <v/>
      </c>
      <c r="S81" s="4" t="str">
        <f>HYPERLINK("http://141.218.60.56/~jnz1568/getInfo.php?workbook=01_01.xlsx&amp;sheet=A0&amp;row=81&amp;col=19&amp;number=5.24e-07&amp;sourceID=11","5.24e-07")</f>
        <v>5.24e-07</v>
      </c>
      <c r="T81" s="4" t="str">
        <f>HYPERLINK("http://141.218.60.56/~jnz1568/getInfo.php?workbook=01_01.xlsx&amp;sheet=A0&amp;row=81&amp;col=20&amp;number=&amp;sourceID=11","")</f>
        <v/>
      </c>
      <c r="U81" s="4" t="str">
        <f>HYPERLINK("http://141.218.60.56/~jnz1568/getInfo.php?workbook=01_01.xlsx&amp;sheet=A0&amp;row=81&amp;col=21&amp;number=1.2231e-06&amp;sourceID=12","1.2231e-06")</f>
        <v>1.2231e-06</v>
      </c>
      <c r="V81" s="4" t="str">
        <f>HYPERLINK("http://141.218.60.56/~jnz1568/getInfo.php?workbook=01_01.xlsx&amp;sheet=A0&amp;row=81&amp;col=22&amp;number=&amp;sourceID=12","")</f>
        <v/>
      </c>
      <c r="W81" s="4" t="str">
        <f>HYPERLINK("http://141.218.60.56/~jnz1568/getInfo.php?workbook=01_01.xlsx&amp;sheet=A0&amp;row=81&amp;col=23&amp;number=&amp;sourceID=12","")</f>
        <v/>
      </c>
      <c r="X81" s="4" t="str">
        <f>HYPERLINK("http://141.218.60.56/~jnz1568/getInfo.php?workbook=01_01.xlsx&amp;sheet=A0&amp;row=81&amp;col=24&amp;number=6.988e-07&amp;sourceID=12","6.988e-07")</f>
        <v>6.988e-07</v>
      </c>
      <c r="Y81" s="4" t="str">
        <f>HYPERLINK("http://141.218.60.56/~jnz1568/getInfo.php?workbook=01_01.xlsx&amp;sheet=A0&amp;row=81&amp;col=25&amp;number=&amp;sourceID=12","")</f>
        <v/>
      </c>
      <c r="Z81" s="4" t="str">
        <f>HYPERLINK("http://141.218.60.56/~jnz1568/getInfo.php?workbook=01_01.xlsx&amp;sheet=A0&amp;row=81&amp;col=26&amp;number=5.2429e-07&amp;sourceID=12","5.2429e-07")</f>
        <v>5.2429e-07</v>
      </c>
      <c r="AA81" s="4" t="str">
        <f>HYPERLINK("http://141.218.60.56/~jnz1568/getInfo.php?workbook=01_01.xlsx&amp;sheet=A0&amp;row=81&amp;col=27&amp;number=&amp;sourceID=12","")</f>
        <v/>
      </c>
      <c r="AB81" s="4" t="str">
        <f>HYPERLINK("http://141.218.60.56/~jnz1568/getInfo.php?workbook=01_01.xlsx&amp;sheet=A0&amp;row=81&amp;col=28&amp;number==&amp;sourceID=18","=")</f>
        <v>=</v>
      </c>
      <c r="AC81" s="4" t="str">
        <f>HYPERLINK("http://141.218.60.56/~jnz1568/getInfo.php?workbook=01_01.xlsx&amp;sheet=A0&amp;row=81&amp;col=29&amp;number=&amp;sourceID=18","")</f>
        <v/>
      </c>
      <c r="AD81" s="4" t="str">
        <f>HYPERLINK("http://141.218.60.56/~jnz1568/getInfo.php?workbook=01_01.xlsx&amp;sheet=A0&amp;row=81&amp;col=30&amp;number=&amp;sourceID=18","")</f>
        <v/>
      </c>
      <c r="AE81" s="4" t="str">
        <f>HYPERLINK("http://141.218.60.56/~jnz1568/getInfo.php?workbook=01_01.xlsx&amp;sheet=A0&amp;row=81&amp;col=31&amp;number=1.09e-06&amp;sourceID=18","1.09e-06")</f>
        <v>1.09e-06</v>
      </c>
      <c r="AF81" s="4" t="str">
        <f>HYPERLINK("http://141.218.60.56/~jnz1568/getInfo.php?workbook=01_01.xlsx&amp;sheet=A0&amp;row=81&amp;col=32&amp;number=&amp;sourceID=18","")</f>
        <v/>
      </c>
      <c r="AG81" s="4" t="str">
        <f>HYPERLINK("http://141.218.60.56/~jnz1568/getInfo.php?workbook=01_01.xlsx&amp;sheet=A0&amp;row=81&amp;col=33&amp;number=2.1e-06&amp;sourceID=18","2.1e-06")</f>
        <v>2.1e-06</v>
      </c>
      <c r="AH81" s="4" t="str">
        <f>HYPERLINK("http://141.218.60.56/~jnz1568/getInfo.php?workbook=01_01.xlsx&amp;sheet=A0&amp;row=81&amp;col=34&amp;number=&amp;sourceID=20","")</f>
        <v/>
      </c>
    </row>
    <row r="82" spans="1:34">
      <c r="A82" s="3">
        <v>1</v>
      </c>
      <c r="B82" s="3">
        <v>1</v>
      </c>
      <c r="C82" s="3">
        <v>14</v>
      </c>
      <c r="D82" s="3">
        <v>6</v>
      </c>
      <c r="E82" s="3">
        <f>((1/(INDEX(E0!J$4:J$28,C82,1)-INDEX(E0!J$4:J$28,D82,1))))*100000000</f>
        <v>0</v>
      </c>
      <c r="F82" s="4" t="str">
        <f>HYPERLINK("http://141.218.60.56/~jnz1568/getInfo.php?workbook=01_01.xlsx&amp;sheet=A0&amp;row=82&amp;col=6&amp;number=&amp;sourceID=18","")</f>
        <v/>
      </c>
      <c r="G82" s="4" t="str">
        <f>HYPERLINK("http://141.218.60.56/~jnz1568/getInfo.php?workbook=01_01.xlsx&amp;sheet=A0&amp;row=82&amp;col=7&amp;number=&amp;sourceID=15","")</f>
        <v/>
      </c>
      <c r="H82" s="4" t="str">
        <f>HYPERLINK("http://141.218.60.56/~jnz1568/getInfo.php?workbook=01_01.xlsx&amp;sheet=A0&amp;row=82&amp;col=8&amp;number=&amp;sourceID=15","")</f>
        <v/>
      </c>
      <c r="I82" s="4" t="str">
        <f>HYPERLINK("http://141.218.60.56/~jnz1568/getInfo.php?workbook=01_01.xlsx&amp;sheet=A0&amp;row=82&amp;col=9&amp;number=&amp;sourceID=15","")</f>
        <v/>
      </c>
      <c r="J82" s="4" t="str">
        <f>HYPERLINK("http://141.218.60.56/~jnz1568/getInfo.php?workbook=01_01.xlsx&amp;sheet=A0&amp;row=82&amp;col=10&amp;number=&amp;sourceID=15","")</f>
        <v/>
      </c>
      <c r="K82" s="4" t="str">
        <f>HYPERLINK("http://141.218.60.56/~jnz1568/getInfo.php?workbook=01_01.xlsx&amp;sheet=A0&amp;row=82&amp;col=11&amp;number=&amp;sourceID=15","")</f>
        <v/>
      </c>
      <c r="L82" s="4" t="str">
        <f>HYPERLINK("http://141.218.60.56/~jnz1568/getInfo.php?workbook=01_01.xlsx&amp;sheet=A0&amp;row=82&amp;col=12&amp;number=&amp;sourceID=15","")</f>
        <v/>
      </c>
      <c r="M82" s="4" t="str">
        <f>HYPERLINK("http://141.218.60.56/~jnz1568/getInfo.php?workbook=01_01.xlsx&amp;sheet=A0&amp;row=82&amp;col=13&amp;number=&amp;sourceID=15","")</f>
        <v/>
      </c>
      <c r="N82" s="4" t="str">
        <f>HYPERLINK("http://141.218.60.56/~jnz1568/getInfo.php?workbook=01_01.xlsx&amp;sheet=A0&amp;row=82&amp;col=14&amp;number==&amp;sourceID=11","=")</f>
        <v>=</v>
      </c>
      <c r="O82" s="4" t="str">
        <f>HYPERLINK("http://141.218.60.56/~jnz1568/getInfo.php?workbook=01_01.xlsx&amp;sheet=A0&amp;row=82&amp;col=15&amp;number=&amp;sourceID=11","")</f>
        <v/>
      </c>
      <c r="P82" s="4" t="str">
        <f>HYPERLINK("http://141.218.60.56/~jnz1568/getInfo.php?workbook=01_01.xlsx&amp;sheet=A0&amp;row=82&amp;col=16&amp;number=3.7596&amp;sourceID=11","3.7596")</f>
        <v>3.7596</v>
      </c>
      <c r="Q82" s="4" t="str">
        <f>HYPERLINK("http://141.218.60.56/~jnz1568/getInfo.php?workbook=01_01.xlsx&amp;sheet=A0&amp;row=82&amp;col=17&amp;number=&amp;sourceID=11","")</f>
        <v/>
      </c>
      <c r="R82" s="4" t="str">
        <f>HYPERLINK("http://141.218.60.56/~jnz1568/getInfo.php?workbook=01_01.xlsx&amp;sheet=A0&amp;row=82&amp;col=18&amp;number=&amp;sourceID=11","")</f>
        <v/>
      </c>
      <c r="S82" s="4" t="str">
        <f>HYPERLINK("http://141.218.60.56/~jnz1568/getInfo.php?workbook=01_01.xlsx&amp;sheet=A0&amp;row=82&amp;col=19&amp;number=&amp;sourceID=11","")</f>
        <v/>
      </c>
      <c r="T82" s="4" t="str">
        <f>HYPERLINK("http://141.218.60.56/~jnz1568/getInfo.php?workbook=01_01.xlsx&amp;sheet=A0&amp;row=82&amp;col=20&amp;number=1.4e-12&amp;sourceID=11","1.4e-12")</f>
        <v>1.4e-12</v>
      </c>
      <c r="U82" s="4" t="str">
        <f>HYPERLINK("http://141.218.60.56/~jnz1568/getInfo.php?workbook=01_01.xlsx&amp;sheet=A0&amp;row=82&amp;col=21&amp;number=3.7617&amp;sourceID=12","3.7617")</f>
        <v>3.7617</v>
      </c>
      <c r="V82" s="4" t="str">
        <f>HYPERLINK("http://141.218.60.56/~jnz1568/getInfo.php?workbook=01_01.xlsx&amp;sheet=A0&amp;row=82&amp;col=22&amp;number=&amp;sourceID=12","")</f>
        <v/>
      </c>
      <c r="W82" s="4" t="str">
        <f>HYPERLINK("http://141.218.60.56/~jnz1568/getInfo.php?workbook=01_01.xlsx&amp;sheet=A0&amp;row=82&amp;col=23&amp;number=3.7617&amp;sourceID=12","3.7617")</f>
        <v>3.7617</v>
      </c>
      <c r="X82" s="4" t="str">
        <f>HYPERLINK("http://141.218.60.56/~jnz1568/getInfo.php?workbook=01_01.xlsx&amp;sheet=A0&amp;row=82&amp;col=24&amp;number=&amp;sourceID=12","")</f>
        <v/>
      </c>
      <c r="Y82" s="4" t="str">
        <f>HYPERLINK("http://141.218.60.56/~jnz1568/getInfo.php?workbook=01_01.xlsx&amp;sheet=A0&amp;row=82&amp;col=25&amp;number=&amp;sourceID=12","")</f>
        <v/>
      </c>
      <c r="Z82" s="4" t="str">
        <f>HYPERLINK("http://141.218.60.56/~jnz1568/getInfo.php?workbook=01_01.xlsx&amp;sheet=A0&amp;row=82&amp;col=26&amp;number=&amp;sourceID=12","")</f>
        <v/>
      </c>
      <c r="AA82" s="4" t="str">
        <f>HYPERLINK("http://141.218.60.56/~jnz1568/getInfo.php?workbook=01_01.xlsx&amp;sheet=A0&amp;row=82&amp;col=27&amp;number=1.4e-12&amp;sourceID=12","1.4e-12")</f>
        <v>1.4e-12</v>
      </c>
      <c r="AB82" s="4" t="str">
        <f>HYPERLINK("http://141.218.60.56/~jnz1568/getInfo.php?workbook=01_01.xlsx&amp;sheet=A0&amp;row=82&amp;col=28&amp;number==&amp;sourceID=18","=")</f>
        <v>=</v>
      </c>
      <c r="AC82" s="4" t="str">
        <f>HYPERLINK("http://141.218.60.56/~jnz1568/getInfo.php?workbook=01_01.xlsx&amp;sheet=A0&amp;row=82&amp;col=29&amp;number=&amp;sourceID=18","")</f>
        <v/>
      </c>
      <c r="AD82" s="4" t="str">
        <f>HYPERLINK("http://141.218.60.56/~jnz1568/getInfo.php?workbook=01_01.xlsx&amp;sheet=A0&amp;row=82&amp;col=30&amp;number=3.76&amp;sourceID=18","3.76")</f>
        <v>3.76</v>
      </c>
      <c r="AE82" s="4" t="str">
        <f>HYPERLINK("http://141.218.60.56/~jnz1568/getInfo.php?workbook=01_01.xlsx&amp;sheet=A0&amp;row=82&amp;col=31&amp;number=&amp;sourceID=18","")</f>
        <v/>
      </c>
      <c r="AF82" s="4" t="str">
        <f>HYPERLINK("http://141.218.60.56/~jnz1568/getInfo.php?workbook=01_01.xlsx&amp;sheet=A0&amp;row=82&amp;col=32&amp;number=&amp;sourceID=18","")</f>
        <v/>
      </c>
      <c r="AG82" s="4" t="str">
        <f>HYPERLINK("http://141.218.60.56/~jnz1568/getInfo.php?workbook=01_01.xlsx&amp;sheet=A0&amp;row=82&amp;col=33&amp;number=&amp;sourceID=18","")</f>
        <v/>
      </c>
      <c r="AH82" s="4" t="str">
        <f>HYPERLINK("http://141.218.60.56/~jnz1568/getInfo.php?workbook=01_01.xlsx&amp;sheet=A0&amp;row=82&amp;col=34&amp;number=&amp;sourceID=20","")</f>
        <v/>
      </c>
    </row>
    <row r="83" spans="1:34">
      <c r="A83" s="3">
        <v>1</v>
      </c>
      <c r="B83" s="3">
        <v>1</v>
      </c>
      <c r="C83" s="3">
        <v>14</v>
      </c>
      <c r="D83" s="3">
        <v>7</v>
      </c>
      <c r="E83" s="3">
        <f>((1/(INDEX(E0!J$4:J$28,C83,1)-INDEX(E0!J$4:J$28,D83,1))))*100000000</f>
        <v>0</v>
      </c>
      <c r="F83" s="4" t="str">
        <f>HYPERLINK("http://141.218.60.56/~jnz1568/getInfo.php?workbook=01_01.xlsx&amp;sheet=A0&amp;row=83&amp;col=6&amp;number=&amp;sourceID=18","")</f>
        <v/>
      </c>
      <c r="G83" s="4" t="str">
        <f>HYPERLINK("http://141.218.60.56/~jnz1568/getInfo.php?workbook=01_01.xlsx&amp;sheet=A0&amp;row=83&amp;col=7&amp;number=&amp;sourceID=15","")</f>
        <v/>
      </c>
      <c r="H83" s="4" t="str">
        <f>HYPERLINK("http://141.218.60.56/~jnz1568/getInfo.php?workbook=01_01.xlsx&amp;sheet=A0&amp;row=83&amp;col=8&amp;number=&amp;sourceID=15","")</f>
        <v/>
      </c>
      <c r="I83" s="4" t="str">
        <f>HYPERLINK("http://141.218.60.56/~jnz1568/getInfo.php?workbook=01_01.xlsx&amp;sheet=A0&amp;row=83&amp;col=9&amp;number=&amp;sourceID=15","")</f>
        <v/>
      </c>
      <c r="J83" s="4" t="str">
        <f>HYPERLINK("http://141.218.60.56/~jnz1568/getInfo.php?workbook=01_01.xlsx&amp;sheet=A0&amp;row=83&amp;col=10&amp;number=&amp;sourceID=15","")</f>
        <v/>
      </c>
      <c r="K83" s="4" t="str">
        <f>HYPERLINK("http://141.218.60.56/~jnz1568/getInfo.php?workbook=01_01.xlsx&amp;sheet=A0&amp;row=83&amp;col=11&amp;number=&amp;sourceID=15","")</f>
        <v/>
      </c>
      <c r="L83" s="4" t="str">
        <f>HYPERLINK("http://141.218.60.56/~jnz1568/getInfo.php?workbook=01_01.xlsx&amp;sheet=A0&amp;row=83&amp;col=12&amp;number=&amp;sourceID=15","")</f>
        <v/>
      </c>
      <c r="M83" s="4" t="str">
        <f>HYPERLINK("http://141.218.60.56/~jnz1568/getInfo.php?workbook=01_01.xlsx&amp;sheet=A0&amp;row=83&amp;col=13&amp;number=&amp;sourceID=15","")</f>
        <v/>
      </c>
      <c r="N83" s="4" t="str">
        <f>HYPERLINK("http://141.218.60.56/~jnz1568/getInfo.php?workbook=01_01.xlsx&amp;sheet=A0&amp;row=83&amp;col=14&amp;number==&amp;sourceID=11","=")</f>
        <v>=</v>
      </c>
      <c r="O83" s="4" t="str">
        <f>HYPERLINK("http://141.218.60.56/~jnz1568/getInfo.php?workbook=01_01.xlsx&amp;sheet=A0&amp;row=83&amp;col=15&amp;number=&amp;sourceID=11","")</f>
        <v/>
      </c>
      <c r="P83" s="4" t="str">
        <f>HYPERLINK("http://141.218.60.56/~jnz1568/getInfo.php?workbook=01_01.xlsx&amp;sheet=A0&amp;row=83&amp;col=16&amp;number=0.23795&amp;sourceID=11","0.23795")</f>
        <v>0.23795</v>
      </c>
      <c r="Q83" s="4" t="str">
        <f>HYPERLINK("http://141.218.60.56/~jnz1568/getInfo.php?workbook=01_01.xlsx&amp;sheet=A0&amp;row=83&amp;col=17&amp;number=&amp;sourceID=11","")</f>
        <v/>
      </c>
      <c r="R83" s="4" t="str">
        <f>HYPERLINK("http://141.218.60.56/~jnz1568/getInfo.php?workbook=01_01.xlsx&amp;sheet=A0&amp;row=83&amp;col=18&amp;number=1.4421e-11&amp;sourceID=11","1.4421e-11")</f>
        <v>1.4421e-11</v>
      </c>
      <c r="S83" s="4" t="str">
        <f>HYPERLINK("http://141.218.60.56/~jnz1568/getInfo.php?workbook=01_01.xlsx&amp;sheet=A0&amp;row=83&amp;col=19&amp;number=&amp;sourceID=11","")</f>
        <v/>
      </c>
      <c r="T83" s="4" t="str">
        <f>HYPERLINK("http://141.218.60.56/~jnz1568/getInfo.php?workbook=01_01.xlsx&amp;sheet=A0&amp;row=83&amp;col=20&amp;number=5e-15&amp;sourceID=11","5e-15")</f>
        <v>5e-15</v>
      </c>
      <c r="U83" s="4" t="str">
        <f>HYPERLINK("http://141.218.60.56/~jnz1568/getInfo.php?workbook=01_01.xlsx&amp;sheet=A0&amp;row=83&amp;col=21&amp;number=0.23807&amp;sourceID=12","0.23807")</f>
        <v>0.23807</v>
      </c>
      <c r="V83" s="4" t="str">
        <f>HYPERLINK("http://141.218.60.56/~jnz1568/getInfo.php?workbook=01_01.xlsx&amp;sheet=A0&amp;row=83&amp;col=22&amp;number=&amp;sourceID=12","")</f>
        <v/>
      </c>
      <c r="W83" s="4" t="str">
        <f>HYPERLINK("http://141.218.60.56/~jnz1568/getInfo.php?workbook=01_01.xlsx&amp;sheet=A0&amp;row=83&amp;col=23&amp;number=0.23807&amp;sourceID=12","0.23807")</f>
        <v>0.23807</v>
      </c>
      <c r="X83" s="4" t="str">
        <f>HYPERLINK("http://141.218.60.56/~jnz1568/getInfo.php?workbook=01_01.xlsx&amp;sheet=A0&amp;row=83&amp;col=24&amp;number=&amp;sourceID=12","")</f>
        <v/>
      </c>
      <c r="Y83" s="4" t="str">
        <f>HYPERLINK("http://141.218.60.56/~jnz1568/getInfo.php?workbook=01_01.xlsx&amp;sheet=A0&amp;row=83&amp;col=25&amp;number=1.4318e-11&amp;sourceID=12","1.4318e-11")</f>
        <v>1.4318e-11</v>
      </c>
      <c r="Z83" s="4" t="str">
        <f>HYPERLINK("http://141.218.60.56/~jnz1568/getInfo.php?workbook=01_01.xlsx&amp;sheet=A0&amp;row=83&amp;col=26&amp;number=&amp;sourceID=12","")</f>
        <v/>
      </c>
      <c r="AA83" s="4" t="str">
        <f>HYPERLINK("http://141.218.60.56/~jnz1568/getInfo.php?workbook=01_01.xlsx&amp;sheet=A0&amp;row=83&amp;col=27&amp;number=5e-15&amp;sourceID=12","5e-15")</f>
        <v>5e-15</v>
      </c>
      <c r="AB83" s="4" t="str">
        <f>HYPERLINK("http://141.218.60.56/~jnz1568/getInfo.php?workbook=01_01.xlsx&amp;sheet=A0&amp;row=83&amp;col=28&amp;number==&amp;sourceID=18","=")</f>
        <v>=</v>
      </c>
      <c r="AC83" s="4" t="str">
        <f>HYPERLINK("http://141.218.60.56/~jnz1568/getInfo.php?workbook=01_01.xlsx&amp;sheet=A0&amp;row=83&amp;col=29&amp;number=&amp;sourceID=18","")</f>
        <v/>
      </c>
      <c r="AD83" s="4" t="str">
        <f>HYPERLINK("http://141.218.60.56/~jnz1568/getInfo.php?workbook=01_01.xlsx&amp;sheet=A0&amp;row=83&amp;col=30&amp;number=0.238&amp;sourceID=18","0.238")</f>
        <v>0.238</v>
      </c>
      <c r="AE83" s="4" t="str">
        <f>HYPERLINK("http://141.218.60.56/~jnz1568/getInfo.php?workbook=01_01.xlsx&amp;sheet=A0&amp;row=83&amp;col=31&amp;number=&amp;sourceID=18","")</f>
        <v/>
      </c>
      <c r="AF83" s="4" t="str">
        <f>HYPERLINK("http://141.218.60.56/~jnz1568/getInfo.php?workbook=01_01.xlsx&amp;sheet=A0&amp;row=83&amp;col=32&amp;number=1.23e-11&amp;sourceID=18","1.23e-11")</f>
        <v>1.23e-11</v>
      </c>
      <c r="AG83" s="4" t="str">
        <f>HYPERLINK("http://141.218.60.56/~jnz1568/getInfo.php?workbook=01_01.xlsx&amp;sheet=A0&amp;row=83&amp;col=33&amp;number=&amp;sourceID=18","")</f>
        <v/>
      </c>
      <c r="AH83" s="4" t="str">
        <f>HYPERLINK("http://141.218.60.56/~jnz1568/getInfo.php?workbook=01_01.xlsx&amp;sheet=A0&amp;row=83&amp;col=34&amp;number=&amp;sourceID=20","")</f>
        <v/>
      </c>
    </row>
    <row r="84" spans="1:34">
      <c r="A84" s="3">
        <v>1</v>
      </c>
      <c r="B84" s="3">
        <v>1</v>
      </c>
      <c r="C84" s="3">
        <v>14</v>
      </c>
      <c r="D84" s="3">
        <v>8</v>
      </c>
      <c r="E84" s="3">
        <f>((1/(INDEX(E0!J$4:J$28,C84,1)-INDEX(E0!J$4:J$28,D84,1))))*100000000</f>
        <v>0</v>
      </c>
      <c r="F84" s="4" t="str">
        <f>HYPERLINK("http://141.218.60.56/~jnz1568/getInfo.php?workbook=01_01.xlsx&amp;sheet=A0&amp;row=84&amp;col=6&amp;number=&amp;sourceID=18","")</f>
        <v/>
      </c>
      <c r="G84" s="4" t="str">
        <f>HYPERLINK("http://141.218.60.56/~jnz1568/getInfo.php?workbook=01_01.xlsx&amp;sheet=A0&amp;row=84&amp;col=7&amp;number=7037600&amp;sourceID=15","7037600")</f>
        <v>7037600</v>
      </c>
      <c r="H84" s="4" t="str">
        <f>HYPERLINK("http://141.218.60.56/~jnz1568/getInfo.php?workbook=01_01.xlsx&amp;sheet=A0&amp;row=84&amp;col=8&amp;number=7037600&amp;sourceID=15","7037600")</f>
        <v>7037600</v>
      </c>
      <c r="I84" s="4" t="str">
        <f>HYPERLINK("http://141.218.60.56/~jnz1568/getInfo.php?workbook=01_01.xlsx&amp;sheet=A0&amp;row=84&amp;col=9&amp;number=&amp;sourceID=15","")</f>
        <v/>
      </c>
      <c r="J84" s="4" t="str">
        <f>HYPERLINK("http://141.218.60.56/~jnz1568/getInfo.php?workbook=01_01.xlsx&amp;sheet=A0&amp;row=84&amp;col=10&amp;number=&amp;sourceID=15","")</f>
        <v/>
      </c>
      <c r="K84" s="4" t="str">
        <f>HYPERLINK("http://141.218.60.56/~jnz1568/getInfo.php?workbook=01_01.xlsx&amp;sheet=A0&amp;row=84&amp;col=11&amp;number=&amp;sourceID=15","")</f>
        <v/>
      </c>
      <c r="L84" s="4" t="str">
        <f>HYPERLINK("http://141.218.60.56/~jnz1568/getInfo.php?workbook=01_01.xlsx&amp;sheet=A0&amp;row=84&amp;col=12&amp;number=&amp;sourceID=15","")</f>
        <v/>
      </c>
      <c r="M84" s="4" t="str">
        <f>HYPERLINK("http://141.218.60.56/~jnz1568/getInfo.php?workbook=01_01.xlsx&amp;sheet=A0&amp;row=84&amp;col=13&amp;number=&amp;sourceID=15","")</f>
        <v/>
      </c>
      <c r="N84" s="4" t="str">
        <f>HYPERLINK("http://141.218.60.56/~jnz1568/getInfo.php?workbook=01_01.xlsx&amp;sheet=A0&amp;row=84&amp;col=14&amp;number==&amp;sourceID=11","=")</f>
        <v>=</v>
      </c>
      <c r="O84" s="4" t="str">
        <f>HYPERLINK("http://141.218.60.56/~jnz1568/getInfo.php?workbook=01_01.xlsx&amp;sheet=A0&amp;row=84&amp;col=15&amp;number=7037600&amp;sourceID=11","7037600")</f>
        <v>7037600</v>
      </c>
      <c r="P84" s="4" t="str">
        <f>HYPERLINK("http://141.218.60.56/~jnz1568/getInfo.php?workbook=01_01.xlsx&amp;sheet=A0&amp;row=84&amp;col=16&amp;number=&amp;sourceID=11","")</f>
        <v/>
      </c>
      <c r="Q84" s="4" t="str">
        <f>HYPERLINK("http://141.218.60.56/~jnz1568/getInfo.php?workbook=01_01.xlsx&amp;sheet=A0&amp;row=84&amp;col=17&amp;number=5.5869e-07&amp;sourceID=11","5.5869e-07")</f>
        <v>5.5869e-07</v>
      </c>
      <c r="R84" s="4" t="str">
        <f>HYPERLINK("http://141.218.60.56/~jnz1568/getInfo.php?workbook=01_01.xlsx&amp;sheet=A0&amp;row=84&amp;col=18&amp;number=&amp;sourceID=11","")</f>
        <v/>
      </c>
      <c r="S84" s="4" t="str">
        <f>HYPERLINK("http://141.218.60.56/~jnz1568/getInfo.php?workbook=01_01.xlsx&amp;sheet=A0&amp;row=84&amp;col=19&amp;number=2.8656e-06&amp;sourceID=11","2.8656e-06")</f>
        <v>2.8656e-06</v>
      </c>
      <c r="T84" s="4" t="str">
        <f>HYPERLINK("http://141.218.60.56/~jnz1568/getInfo.php?workbook=01_01.xlsx&amp;sheet=A0&amp;row=84&amp;col=20&amp;number=&amp;sourceID=11","")</f>
        <v/>
      </c>
      <c r="U84" s="4" t="str">
        <f>HYPERLINK("http://141.218.60.56/~jnz1568/getInfo.php?workbook=01_01.xlsx&amp;sheet=A0&amp;row=84&amp;col=21&amp;number=7041400&amp;sourceID=12","7041400")</f>
        <v>7041400</v>
      </c>
      <c r="V84" s="4" t="str">
        <f>HYPERLINK("http://141.218.60.56/~jnz1568/getInfo.php?workbook=01_01.xlsx&amp;sheet=A0&amp;row=84&amp;col=22&amp;number=7041400&amp;sourceID=12","7041400")</f>
        <v>7041400</v>
      </c>
      <c r="W84" s="4" t="str">
        <f>HYPERLINK("http://141.218.60.56/~jnz1568/getInfo.php?workbook=01_01.xlsx&amp;sheet=A0&amp;row=84&amp;col=23&amp;number=&amp;sourceID=12","")</f>
        <v/>
      </c>
      <c r="X84" s="4" t="str">
        <f>HYPERLINK("http://141.218.60.56/~jnz1568/getInfo.php?workbook=01_01.xlsx&amp;sheet=A0&amp;row=84&amp;col=24&amp;number=5.59e-07&amp;sourceID=12","5.59e-07")</f>
        <v>5.59e-07</v>
      </c>
      <c r="Y84" s="4" t="str">
        <f>HYPERLINK("http://141.218.60.56/~jnz1568/getInfo.php?workbook=01_01.xlsx&amp;sheet=A0&amp;row=84&amp;col=25&amp;number=&amp;sourceID=12","")</f>
        <v/>
      </c>
      <c r="Z84" s="4" t="str">
        <f>HYPERLINK("http://141.218.60.56/~jnz1568/getInfo.php?workbook=01_01.xlsx&amp;sheet=A0&amp;row=84&amp;col=26&amp;number=2.8671e-06&amp;sourceID=12","2.8671e-06")</f>
        <v>2.8671e-06</v>
      </c>
      <c r="AA84" s="4" t="str">
        <f>HYPERLINK("http://141.218.60.56/~jnz1568/getInfo.php?workbook=01_01.xlsx&amp;sheet=A0&amp;row=84&amp;col=27&amp;number=&amp;sourceID=12","")</f>
        <v/>
      </c>
      <c r="AB84" s="4" t="str">
        <f>HYPERLINK("http://141.218.60.56/~jnz1568/getInfo.php?workbook=01_01.xlsx&amp;sheet=A0&amp;row=84&amp;col=28&amp;number==&amp;sourceID=18","=")</f>
        <v>=</v>
      </c>
      <c r="AC84" s="4" t="str">
        <f>HYPERLINK("http://141.218.60.56/~jnz1568/getInfo.php?workbook=01_01.xlsx&amp;sheet=A0&amp;row=84&amp;col=29&amp;number=7040000&amp;sourceID=18","7040000")</f>
        <v>7040000</v>
      </c>
      <c r="AD84" s="4" t="str">
        <f>HYPERLINK("http://141.218.60.56/~jnz1568/getInfo.php?workbook=01_01.xlsx&amp;sheet=A0&amp;row=84&amp;col=30&amp;number=&amp;sourceID=18","")</f>
        <v/>
      </c>
      <c r="AE84" s="4" t="str">
        <f>HYPERLINK("http://141.218.60.56/~jnz1568/getInfo.php?workbook=01_01.xlsx&amp;sheet=A0&amp;row=84&amp;col=31&amp;number=&amp;sourceID=18","")</f>
        <v/>
      </c>
      <c r="AF84" s="4" t="str">
        <f>HYPERLINK("http://141.218.60.56/~jnz1568/getInfo.php?workbook=01_01.xlsx&amp;sheet=A0&amp;row=84&amp;col=32&amp;number=&amp;sourceID=18","")</f>
        <v/>
      </c>
      <c r="AG84" s="4" t="str">
        <f>HYPERLINK("http://141.218.60.56/~jnz1568/getInfo.php?workbook=01_01.xlsx&amp;sheet=A0&amp;row=84&amp;col=33&amp;number=&amp;sourceID=18","")</f>
        <v/>
      </c>
      <c r="AH84" s="4" t="str">
        <f>HYPERLINK("http://141.218.60.56/~jnz1568/getInfo.php?workbook=01_01.xlsx&amp;sheet=A0&amp;row=84&amp;col=34&amp;number=&amp;sourceID=20","")</f>
        <v/>
      </c>
    </row>
    <row r="85" spans="1:34">
      <c r="A85" s="3">
        <v>1</v>
      </c>
      <c r="B85" s="3">
        <v>1</v>
      </c>
      <c r="C85" s="3">
        <v>14</v>
      </c>
      <c r="D85" s="3">
        <v>9</v>
      </c>
      <c r="E85" s="3">
        <f>((1/(INDEX(E0!J$4:J$28,C85,1)-INDEX(E0!J$4:J$28,D85,1))))*100000000</f>
        <v>0</v>
      </c>
      <c r="F85" s="4" t="str">
        <f>HYPERLINK("http://141.218.60.56/~jnz1568/getInfo.php?workbook=01_01.xlsx&amp;sheet=A0&amp;row=85&amp;col=6&amp;number=&amp;sourceID=18","")</f>
        <v/>
      </c>
      <c r="G85" s="4" t="str">
        <f>HYPERLINK("http://141.218.60.56/~jnz1568/getInfo.php?workbook=01_01.xlsx&amp;sheet=A0&amp;row=85&amp;col=7&amp;number=&amp;sourceID=15","")</f>
        <v/>
      </c>
      <c r="H85" s="4" t="str">
        <f>HYPERLINK("http://141.218.60.56/~jnz1568/getInfo.php?workbook=01_01.xlsx&amp;sheet=A0&amp;row=85&amp;col=8&amp;number=&amp;sourceID=15","")</f>
        <v/>
      </c>
      <c r="I85" s="4" t="str">
        <f>HYPERLINK("http://141.218.60.56/~jnz1568/getInfo.php?workbook=01_01.xlsx&amp;sheet=A0&amp;row=85&amp;col=9&amp;number=&amp;sourceID=15","")</f>
        <v/>
      </c>
      <c r="J85" s="4" t="str">
        <f>HYPERLINK("http://141.218.60.56/~jnz1568/getInfo.php?workbook=01_01.xlsx&amp;sheet=A0&amp;row=85&amp;col=10&amp;number=&amp;sourceID=15","")</f>
        <v/>
      </c>
      <c r="K85" s="4" t="str">
        <f>HYPERLINK("http://141.218.60.56/~jnz1568/getInfo.php?workbook=01_01.xlsx&amp;sheet=A0&amp;row=85&amp;col=11&amp;number=&amp;sourceID=15","")</f>
        <v/>
      </c>
      <c r="L85" s="4" t="str">
        <f>HYPERLINK("http://141.218.60.56/~jnz1568/getInfo.php?workbook=01_01.xlsx&amp;sheet=A0&amp;row=85&amp;col=12&amp;number=&amp;sourceID=15","")</f>
        <v/>
      </c>
      <c r="M85" s="4" t="str">
        <f>HYPERLINK("http://141.218.60.56/~jnz1568/getInfo.php?workbook=01_01.xlsx&amp;sheet=A0&amp;row=85&amp;col=13&amp;number=&amp;sourceID=15","")</f>
        <v/>
      </c>
      <c r="N85" s="4" t="str">
        <f>HYPERLINK("http://141.218.60.56/~jnz1568/getInfo.php?workbook=01_01.xlsx&amp;sheet=A0&amp;row=85&amp;col=14&amp;number==&amp;sourceID=11","=")</f>
        <v>=</v>
      </c>
      <c r="O85" s="4" t="str">
        <f>HYPERLINK("http://141.218.60.56/~jnz1568/getInfo.php?workbook=01_01.xlsx&amp;sheet=A0&amp;row=85&amp;col=15&amp;number=&amp;sourceID=11","")</f>
        <v/>
      </c>
      <c r="P85" s="4" t="str">
        <f>HYPERLINK("http://141.218.60.56/~jnz1568/getInfo.php?workbook=01_01.xlsx&amp;sheet=A0&amp;row=85&amp;col=16&amp;number=0.95177&amp;sourceID=11","0.95177")</f>
        <v>0.95177</v>
      </c>
      <c r="Q85" s="4" t="str">
        <f>HYPERLINK("http://141.218.60.56/~jnz1568/getInfo.php?workbook=01_01.xlsx&amp;sheet=A0&amp;row=85&amp;col=17&amp;number=&amp;sourceID=11","")</f>
        <v/>
      </c>
      <c r="R85" s="4" t="str">
        <f>HYPERLINK("http://141.218.60.56/~jnz1568/getInfo.php?workbook=01_01.xlsx&amp;sheet=A0&amp;row=85&amp;col=18&amp;number=6.0751e-11&amp;sourceID=11","6.0751e-11")</f>
        <v>6.0751e-11</v>
      </c>
      <c r="S85" s="4" t="str">
        <f>HYPERLINK("http://141.218.60.56/~jnz1568/getInfo.php?workbook=01_01.xlsx&amp;sheet=A0&amp;row=85&amp;col=19&amp;number=&amp;sourceID=11","")</f>
        <v/>
      </c>
      <c r="T85" s="4" t="str">
        <f>HYPERLINK("http://141.218.60.56/~jnz1568/getInfo.php?workbook=01_01.xlsx&amp;sheet=A0&amp;row=85&amp;col=20&amp;number=6.15e-13&amp;sourceID=11","6.15e-13")</f>
        <v>6.15e-13</v>
      </c>
      <c r="U85" s="4" t="str">
        <f>HYPERLINK("http://141.218.60.56/~jnz1568/getInfo.php?workbook=01_01.xlsx&amp;sheet=A0&amp;row=85&amp;col=21&amp;number=0.95229&amp;sourceID=12","0.95229")</f>
        <v>0.95229</v>
      </c>
      <c r="V85" s="4" t="str">
        <f>HYPERLINK("http://141.218.60.56/~jnz1568/getInfo.php?workbook=01_01.xlsx&amp;sheet=A0&amp;row=85&amp;col=22&amp;number=&amp;sourceID=12","")</f>
        <v/>
      </c>
      <c r="W85" s="4" t="str">
        <f>HYPERLINK("http://141.218.60.56/~jnz1568/getInfo.php?workbook=01_01.xlsx&amp;sheet=A0&amp;row=85&amp;col=23&amp;number=0.95229&amp;sourceID=12","0.95229")</f>
        <v>0.95229</v>
      </c>
      <c r="X85" s="4" t="str">
        <f>HYPERLINK("http://141.218.60.56/~jnz1568/getInfo.php?workbook=01_01.xlsx&amp;sheet=A0&amp;row=85&amp;col=24&amp;number=&amp;sourceID=12","")</f>
        <v/>
      </c>
      <c r="Y85" s="4" t="str">
        <f>HYPERLINK("http://141.218.60.56/~jnz1568/getInfo.php?workbook=01_01.xlsx&amp;sheet=A0&amp;row=85&amp;col=25&amp;number=6.0662e-11&amp;sourceID=12","6.0662e-11")</f>
        <v>6.0662e-11</v>
      </c>
      <c r="Z85" s="4" t="str">
        <f>HYPERLINK("http://141.218.60.56/~jnz1568/getInfo.php?workbook=01_01.xlsx&amp;sheet=A0&amp;row=85&amp;col=26&amp;number=&amp;sourceID=12","")</f>
        <v/>
      </c>
      <c r="AA85" s="4" t="str">
        <f>HYPERLINK("http://141.218.60.56/~jnz1568/getInfo.php?workbook=01_01.xlsx&amp;sheet=A0&amp;row=85&amp;col=27&amp;number=6.15e-13&amp;sourceID=12","6.15e-13")</f>
        <v>6.15e-13</v>
      </c>
      <c r="AB85" s="4" t="str">
        <f>HYPERLINK("http://141.218.60.56/~jnz1568/getInfo.php?workbook=01_01.xlsx&amp;sheet=A0&amp;row=85&amp;col=28&amp;number==&amp;sourceID=18","=")</f>
        <v>=</v>
      </c>
      <c r="AC85" s="4" t="str">
        <f>HYPERLINK("http://141.218.60.56/~jnz1568/getInfo.php?workbook=01_01.xlsx&amp;sheet=A0&amp;row=85&amp;col=29&amp;number=&amp;sourceID=18","")</f>
        <v/>
      </c>
      <c r="AD85" s="4" t="str">
        <f>HYPERLINK("http://141.218.60.56/~jnz1568/getInfo.php?workbook=01_01.xlsx&amp;sheet=A0&amp;row=85&amp;col=30&amp;number=0.952&amp;sourceID=18","0.952")</f>
        <v>0.952</v>
      </c>
      <c r="AE85" s="4" t="str">
        <f>HYPERLINK("http://141.218.60.56/~jnz1568/getInfo.php?workbook=01_01.xlsx&amp;sheet=A0&amp;row=85&amp;col=31&amp;number=&amp;sourceID=18","")</f>
        <v/>
      </c>
      <c r="AF85" s="4" t="str">
        <f>HYPERLINK("http://141.218.60.56/~jnz1568/getInfo.php?workbook=01_01.xlsx&amp;sheet=A0&amp;row=85&amp;col=32&amp;number=6.06e-11&amp;sourceID=18","6.06e-11")</f>
        <v>6.06e-11</v>
      </c>
      <c r="AG85" s="4" t="str">
        <f>HYPERLINK("http://141.218.60.56/~jnz1568/getInfo.php?workbook=01_01.xlsx&amp;sheet=A0&amp;row=85&amp;col=33&amp;number=&amp;sourceID=18","")</f>
        <v/>
      </c>
      <c r="AH85" s="4" t="str">
        <f>HYPERLINK("http://141.218.60.56/~jnz1568/getInfo.php?workbook=01_01.xlsx&amp;sheet=A0&amp;row=85&amp;col=34&amp;number=&amp;sourceID=20","")</f>
        <v/>
      </c>
    </row>
    <row r="86" spans="1:34">
      <c r="A86" s="3">
        <v>1</v>
      </c>
      <c r="B86" s="3">
        <v>1</v>
      </c>
      <c r="C86" s="3">
        <v>14</v>
      </c>
      <c r="D86" s="3">
        <v>10</v>
      </c>
      <c r="E86" s="3">
        <f>((1/(INDEX(E0!J$4:J$28,C86,1)-INDEX(E0!J$4:J$28,D86,1))))*100000000</f>
        <v>0</v>
      </c>
      <c r="F86" s="4" t="str">
        <f>HYPERLINK("http://141.218.60.56/~jnz1568/getInfo.php?workbook=01_01.xlsx&amp;sheet=A0&amp;row=86&amp;col=6&amp;number=&amp;sourceID=18","")</f>
        <v/>
      </c>
      <c r="G86" s="4" t="str">
        <f>HYPERLINK("http://141.218.60.56/~jnz1568/getInfo.php?workbook=01_01.xlsx&amp;sheet=A0&amp;row=86&amp;col=7&amp;number=&amp;sourceID=15","")</f>
        <v/>
      </c>
      <c r="H86" s="4" t="str">
        <f>HYPERLINK("http://141.218.60.56/~jnz1568/getInfo.php?workbook=01_01.xlsx&amp;sheet=A0&amp;row=86&amp;col=8&amp;number=&amp;sourceID=15","")</f>
        <v/>
      </c>
      <c r="I86" s="4" t="str">
        <f>HYPERLINK("http://141.218.60.56/~jnz1568/getInfo.php?workbook=01_01.xlsx&amp;sheet=A0&amp;row=86&amp;col=9&amp;number=&amp;sourceID=15","")</f>
        <v/>
      </c>
      <c r="J86" s="4" t="str">
        <f>HYPERLINK("http://141.218.60.56/~jnz1568/getInfo.php?workbook=01_01.xlsx&amp;sheet=A0&amp;row=86&amp;col=10&amp;number=&amp;sourceID=15","")</f>
        <v/>
      </c>
      <c r="K86" s="4" t="str">
        <f>HYPERLINK("http://141.218.60.56/~jnz1568/getInfo.php?workbook=01_01.xlsx&amp;sheet=A0&amp;row=86&amp;col=11&amp;number=&amp;sourceID=15","")</f>
        <v/>
      </c>
      <c r="L86" s="4" t="str">
        <f>HYPERLINK("http://141.218.60.56/~jnz1568/getInfo.php?workbook=01_01.xlsx&amp;sheet=A0&amp;row=86&amp;col=12&amp;number=&amp;sourceID=15","")</f>
        <v/>
      </c>
      <c r="M86" s="4" t="str">
        <f>HYPERLINK("http://141.218.60.56/~jnz1568/getInfo.php?workbook=01_01.xlsx&amp;sheet=A0&amp;row=86&amp;col=13&amp;number=&amp;sourceID=15","")</f>
        <v/>
      </c>
      <c r="N86" s="4" t="str">
        <f>HYPERLINK("http://141.218.60.56/~jnz1568/getInfo.php?workbook=01_01.xlsx&amp;sheet=A0&amp;row=86&amp;col=14&amp;number==&amp;sourceID=11","=")</f>
        <v>=</v>
      </c>
      <c r="O86" s="4" t="str">
        <f>HYPERLINK("http://141.218.60.56/~jnz1568/getInfo.php?workbook=01_01.xlsx&amp;sheet=A0&amp;row=86&amp;col=15&amp;number=&amp;sourceID=11","")</f>
        <v/>
      </c>
      <c r="P86" s="4" t="str">
        <f>HYPERLINK("http://141.218.60.56/~jnz1568/getInfo.php?workbook=01_01.xlsx&amp;sheet=A0&amp;row=86&amp;col=16&amp;number=&amp;sourceID=11","")</f>
        <v/>
      </c>
      <c r="Q86" s="4" t="str">
        <f>HYPERLINK("http://141.218.60.56/~jnz1568/getInfo.php?workbook=01_01.xlsx&amp;sheet=A0&amp;row=86&amp;col=17&amp;number=0&amp;sourceID=11","0")</f>
        <v>0</v>
      </c>
      <c r="R86" s="4" t="str">
        <f>HYPERLINK("http://141.218.60.56/~jnz1568/getInfo.php?workbook=01_01.xlsx&amp;sheet=A0&amp;row=86&amp;col=18&amp;number=&amp;sourceID=11","")</f>
        <v/>
      </c>
      <c r="S86" s="4" t="str">
        <f>HYPERLINK("http://141.218.60.56/~jnz1568/getInfo.php?workbook=01_01.xlsx&amp;sheet=A0&amp;row=86&amp;col=19&amp;number=0&amp;sourceID=11","0")</f>
        <v>0</v>
      </c>
      <c r="T86" s="4" t="str">
        <f>HYPERLINK("http://141.218.60.56/~jnz1568/getInfo.php?workbook=01_01.xlsx&amp;sheet=A0&amp;row=86&amp;col=20&amp;number=&amp;sourceID=11","")</f>
        <v/>
      </c>
      <c r="U86" s="4" t="str">
        <f>HYPERLINK("http://141.218.60.56/~jnz1568/getInfo.php?workbook=01_01.xlsx&amp;sheet=A0&amp;row=86&amp;col=21&amp;number=0&amp;sourceID=12","0")</f>
        <v>0</v>
      </c>
      <c r="V86" s="4" t="str">
        <f>HYPERLINK("http://141.218.60.56/~jnz1568/getInfo.php?workbook=01_01.xlsx&amp;sheet=A0&amp;row=86&amp;col=22&amp;number=&amp;sourceID=12","")</f>
        <v/>
      </c>
      <c r="W86" s="4" t="str">
        <f>HYPERLINK("http://141.218.60.56/~jnz1568/getInfo.php?workbook=01_01.xlsx&amp;sheet=A0&amp;row=86&amp;col=23&amp;number=&amp;sourceID=12","")</f>
        <v/>
      </c>
      <c r="X86" s="4" t="str">
        <f>HYPERLINK("http://141.218.60.56/~jnz1568/getInfo.php?workbook=01_01.xlsx&amp;sheet=A0&amp;row=86&amp;col=24&amp;number=0&amp;sourceID=12","0")</f>
        <v>0</v>
      </c>
      <c r="Y86" s="4" t="str">
        <f>HYPERLINK("http://141.218.60.56/~jnz1568/getInfo.php?workbook=01_01.xlsx&amp;sheet=A0&amp;row=86&amp;col=25&amp;number=&amp;sourceID=12","")</f>
        <v/>
      </c>
      <c r="Z86" s="4" t="str">
        <f>HYPERLINK("http://141.218.60.56/~jnz1568/getInfo.php?workbook=01_01.xlsx&amp;sheet=A0&amp;row=86&amp;col=26&amp;number=0&amp;sourceID=12","0")</f>
        <v>0</v>
      </c>
      <c r="AA86" s="4" t="str">
        <f>HYPERLINK("http://141.218.60.56/~jnz1568/getInfo.php?workbook=01_01.xlsx&amp;sheet=A0&amp;row=86&amp;col=27&amp;number=&amp;sourceID=12","")</f>
        <v/>
      </c>
      <c r="AB86" s="4" t="str">
        <f>HYPERLINK("http://141.218.60.56/~jnz1568/getInfo.php?workbook=01_01.xlsx&amp;sheet=A0&amp;row=86&amp;col=28&amp;number=&amp;sourceID=18","")</f>
        <v/>
      </c>
      <c r="AC86" s="4" t="str">
        <f>HYPERLINK("http://141.218.60.56/~jnz1568/getInfo.php?workbook=01_01.xlsx&amp;sheet=A0&amp;row=86&amp;col=29&amp;number=&amp;sourceID=18","")</f>
        <v/>
      </c>
      <c r="AD86" s="4" t="str">
        <f>HYPERLINK("http://141.218.60.56/~jnz1568/getInfo.php?workbook=01_01.xlsx&amp;sheet=A0&amp;row=86&amp;col=30&amp;number=&amp;sourceID=18","")</f>
        <v/>
      </c>
      <c r="AE86" s="4" t="str">
        <f>HYPERLINK("http://141.218.60.56/~jnz1568/getInfo.php?workbook=01_01.xlsx&amp;sheet=A0&amp;row=86&amp;col=31&amp;number=&amp;sourceID=18","")</f>
        <v/>
      </c>
      <c r="AF86" s="4" t="str">
        <f>HYPERLINK("http://141.218.60.56/~jnz1568/getInfo.php?workbook=01_01.xlsx&amp;sheet=A0&amp;row=86&amp;col=32&amp;number=&amp;sourceID=18","")</f>
        <v/>
      </c>
      <c r="AG86" s="4" t="str">
        <f>HYPERLINK("http://141.218.60.56/~jnz1568/getInfo.php?workbook=01_01.xlsx&amp;sheet=A0&amp;row=86&amp;col=33&amp;number=&amp;sourceID=18","")</f>
        <v/>
      </c>
      <c r="AH86" s="4" t="str">
        <f>HYPERLINK("http://141.218.60.56/~jnz1568/getInfo.php?workbook=01_01.xlsx&amp;sheet=A0&amp;row=86&amp;col=34&amp;number=&amp;sourceID=20","")</f>
        <v/>
      </c>
    </row>
    <row r="87" spans="1:34">
      <c r="A87" s="3">
        <v>1</v>
      </c>
      <c r="B87" s="3">
        <v>1</v>
      </c>
      <c r="C87" s="3">
        <v>14</v>
      </c>
      <c r="D87" s="3">
        <v>11</v>
      </c>
      <c r="E87" s="3">
        <f>((1/(INDEX(E0!J$4:J$28,C87,1)-INDEX(E0!J$4:J$28,D87,1))))*100000000</f>
        <v>0</v>
      </c>
      <c r="F87" s="4" t="str">
        <f>HYPERLINK("http://141.218.60.56/~jnz1568/getInfo.php?workbook=01_01.xlsx&amp;sheet=A0&amp;row=87&amp;col=6&amp;number=&amp;sourceID=18","")</f>
        <v/>
      </c>
      <c r="G87" s="4" t="str">
        <f>HYPERLINK("http://141.218.60.56/~jnz1568/getInfo.php?workbook=01_01.xlsx&amp;sheet=A0&amp;row=87&amp;col=7&amp;number=&amp;sourceID=15","")</f>
        <v/>
      </c>
      <c r="H87" s="4" t="str">
        <f>HYPERLINK("http://141.218.60.56/~jnz1568/getInfo.php?workbook=01_01.xlsx&amp;sheet=A0&amp;row=87&amp;col=8&amp;number=&amp;sourceID=15","")</f>
        <v/>
      </c>
      <c r="I87" s="4" t="str">
        <f>HYPERLINK("http://141.218.60.56/~jnz1568/getInfo.php?workbook=01_01.xlsx&amp;sheet=A0&amp;row=87&amp;col=9&amp;number=&amp;sourceID=15","")</f>
        <v/>
      </c>
      <c r="J87" s="4" t="str">
        <f>HYPERLINK("http://141.218.60.56/~jnz1568/getInfo.php?workbook=01_01.xlsx&amp;sheet=A0&amp;row=87&amp;col=10&amp;number=&amp;sourceID=15","")</f>
        <v/>
      </c>
      <c r="K87" s="4" t="str">
        <f>HYPERLINK("http://141.218.60.56/~jnz1568/getInfo.php?workbook=01_01.xlsx&amp;sheet=A0&amp;row=87&amp;col=11&amp;number=&amp;sourceID=15","")</f>
        <v/>
      </c>
      <c r="L87" s="4" t="str">
        <f>HYPERLINK("http://141.218.60.56/~jnz1568/getInfo.php?workbook=01_01.xlsx&amp;sheet=A0&amp;row=87&amp;col=12&amp;number=&amp;sourceID=15","")</f>
        <v/>
      </c>
      <c r="M87" s="4" t="str">
        <f>HYPERLINK("http://141.218.60.56/~jnz1568/getInfo.php?workbook=01_01.xlsx&amp;sheet=A0&amp;row=87&amp;col=13&amp;number=&amp;sourceID=15","")</f>
        <v/>
      </c>
      <c r="N87" s="4" t="str">
        <f>HYPERLINK("http://141.218.60.56/~jnz1568/getInfo.php?workbook=01_01.xlsx&amp;sheet=A0&amp;row=87&amp;col=14&amp;number==&amp;sourceID=11","=")</f>
        <v>=</v>
      </c>
      <c r="O87" s="4" t="str">
        <f>HYPERLINK("http://141.218.60.56/~jnz1568/getInfo.php?workbook=01_01.xlsx&amp;sheet=A0&amp;row=87&amp;col=15&amp;number=&amp;sourceID=11","")</f>
        <v/>
      </c>
      <c r="P87" s="4" t="str">
        <f>HYPERLINK("http://141.218.60.56/~jnz1568/getInfo.php?workbook=01_01.xlsx&amp;sheet=A0&amp;row=87&amp;col=16&amp;number=0&amp;sourceID=11","0")</f>
        <v>0</v>
      </c>
      <c r="Q87" s="4" t="str">
        <f>HYPERLINK("http://141.218.60.56/~jnz1568/getInfo.php?workbook=01_01.xlsx&amp;sheet=A0&amp;row=87&amp;col=17&amp;number=&amp;sourceID=11","")</f>
        <v/>
      </c>
      <c r="R87" s="4" t="str">
        <f>HYPERLINK("http://141.218.60.56/~jnz1568/getInfo.php?workbook=01_01.xlsx&amp;sheet=A0&amp;row=87&amp;col=18&amp;number=&amp;sourceID=11","")</f>
        <v/>
      </c>
      <c r="S87" s="4" t="str">
        <f>HYPERLINK("http://141.218.60.56/~jnz1568/getInfo.php?workbook=01_01.xlsx&amp;sheet=A0&amp;row=87&amp;col=19&amp;number=&amp;sourceID=11","")</f>
        <v/>
      </c>
      <c r="T87" s="4" t="str">
        <f>HYPERLINK("http://141.218.60.56/~jnz1568/getInfo.php?workbook=01_01.xlsx&amp;sheet=A0&amp;row=87&amp;col=20&amp;number=0&amp;sourceID=11","0")</f>
        <v>0</v>
      </c>
      <c r="U87" s="4" t="str">
        <f>HYPERLINK("http://141.218.60.56/~jnz1568/getInfo.php?workbook=01_01.xlsx&amp;sheet=A0&amp;row=87&amp;col=21&amp;number=0&amp;sourceID=12","0")</f>
        <v>0</v>
      </c>
      <c r="V87" s="4" t="str">
        <f>HYPERLINK("http://141.218.60.56/~jnz1568/getInfo.php?workbook=01_01.xlsx&amp;sheet=A0&amp;row=87&amp;col=22&amp;number=&amp;sourceID=12","")</f>
        <v/>
      </c>
      <c r="W87" s="4" t="str">
        <f>HYPERLINK("http://141.218.60.56/~jnz1568/getInfo.php?workbook=01_01.xlsx&amp;sheet=A0&amp;row=87&amp;col=23&amp;number=0&amp;sourceID=12","0")</f>
        <v>0</v>
      </c>
      <c r="X87" s="4" t="str">
        <f>HYPERLINK("http://141.218.60.56/~jnz1568/getInfo.php?workbook=01_01.xlsx&amp;sheet=A0&amp;row=87&amp;col=24&amp;number=&amp;sourceID=12","")</f>
        <v/>
      </c>
      <c r="Y87" s="4" t="str">
        <f>HYPERLINK("http://141.218.60.56/~jnz1568/getInfo.php?workbook=01_01.xlsx&amp;sheet=A0&amp;row=87&amp;col=25&amp;number=&amp;sourceID=12","")</f>
        <v/>
      </c>
      <c r="Z87" s="4" t="str">
        <f>HYPERLINK("http://141.218.60.56/~jnz1568/getInfo.php?workbook=01_01.xlsx&amp;sheet=A0&amp;row=87&amp;col=26&amp;number=&amp;sourceID=12","")</f>
        <v/>
      </c>
      <c r="AA87" s="4" t="str">
        <f>HYPERLINK("http://141.218.60.56/~jnz1568/getInfo.php?workbook=01_01.xlsx&amp;sheet=A0&amp;row=87&amp;col=27&amp;number=0&amp;sourceID=12","0")</f>
        <v>0</v>
      </c>
      <c r="AB87" s="4" t="str">
        <f>HYPERLINK("http://141.218.60.56/~jnz1568/getInfo.php?workbook=01_01.xlsx&amp;sheet=A0&amp;row=87&amp;col=28&amp;number=&amp;sourceID=18","")</f>
        <v/>
      </c>
      <c r="AC87" s="4" t="str">
        <f>HYPERLINK("http://141.218.60.56/~jnz1568/getInfo.php?workbook=01_01.xlsx&amp;sheet=A0&amp;row=87&amp;col=29&amp;number=&amp;sourceID=18","")</f>
        <v/>
      </c>
      <c r="AD87" s="4" t="str">
        <f>HYPERLINK("http://141.218.60.56/~jnz1568/getInfo.php?workbook=01_01.xlsx&amp;sheet=A0&amp;row=87&amp;col=30&amp;number=&amp;sourceID=18","")</f>
        <v/>
      </c>
      <c r="AE87" s="4" t="str">
        <f>HYPERLINK("http://141.218.60.56/~jnz1568/getInfo.php?workbook=01_01.xlsx&amp;sheet=A0&amp;row=87&amp;col=31&amp;number=&amp;sourceID=18","")</f>
        <v/>
      </c>
      <c r="AF87" s="4" t="str">
        <f>HYPERLINK("http://141.218.60.56/~jnz1568/getInfo.php?workbook=01_01.xlsx&amp;sheet=A0&amp;row=87&amp;col=32&amp;number=&amp;sourceID=18","")</f>
        <v/>
      </c>
      <c r="AG87" s="4" t="str">
        <f>HYPERLINK("http://141.218.60.56/~jnz1568/getInfo.php?workbook=01_01.xlsx&amp;sheet=A0&amp;row=87&amp;col=33&amp;number=&amp;sourceID=18","")</f>
        <v/>
      </c>
      <c r="AH87" s="4" t="str">
        <f>HYPERLINK("http://141.218.60.56/~jnz1568/getInfo.php?workbook=01_01.xlsx&amp;sheet=A0&amp;row=87&amp;col=34&amp;number=&amp;sourceID=20","")</f>
        <v/>
      </c>
    </row>
    <row r="88" spans="1:34">
      <c r="A88" s="3">
        <v>1</v>
      </c>
      <c r="B88" s="3">
        <v>1</v>
      </c>
      <c r="C88" s="3">
        <v>14</v>
      </c>
      <c r="D88" s="3">
        <v>12</v>
      </c>
      <c r="E88" s="3">
        <f>((1/(INDEX(E0!J$4:J$28,C88,1)-INDEX(E0!J$4:J$28,D88,1))))*100000000</f>
        <v>0</v>
      </c>
      <c r="F88" s="4" t="str">
        <f>HYPERLINK("http://141.218.60.56/~jnz1568/getInfo.php?workbook=01_01.xlsx&amp;sheet=A0&amp;row=88&amp;col=6&amp;number=&amp;sourceID=18","")</f>
        <v/>
      </c>
      <c r="G88" s="4" t="str">
        <f>HYPERLINK("http://141.218.60.56/~jnz1568/getInfo.php?workbook=01_01.xlsx&amp;sheet=A0&amp;row=88&amp;col=7&amp;number=&amp;sourceID=15","")</f>
        <v/>
      </c>
      <c r="H88" s="4" t="str">
        <f>HYPERLINK("http://141.218.60.56/~jnz1568/getInfo.php?workbook=01_01.xlsx&amp;sheet=A0&amp;row=88&amp;col=8&amp;number=&amp;sourceID=15","")</f>
        <v/>
      </c>
      <c r="I88" s="4" t="str">
        <f>HYPERLINK("http://141.218.60.56/~jnz1568/getInfo.php?workbook=01_01.xlsx&amp;sheet=A0&amp;row=88&amp;col=9&amp;number=&amp;sourceID=15","")</f>
        <v/>
      </c>
      <c r="J88" s="4" t="str">
        <f>HYPERLINK("http://141.218.60.56/~jnz1568/getInfo.php?workbook=01_01.xlsx&amp;sheet=A0&amp;row=88&amp;col=10&amp;number=&amp;sourceID=15","")</f>
        <v/>
      </c>
      <c r="K88" s="4" t="str">
        <f>HYPERLINK("http://141.218.60.56/~jnz1568/getInfo.php?workbook=01_01.xlsx&amp;sheet=A0&amp;row=88&amp;col=11&amp;number=&amp;sourceID=15","")</f>
        <v/>
      </c>
      <c r="L88" s="4" t="str">
        <f>HYPERLINK("http://141.218.60.56/~jnz1568/getInfo.php?workbook=01_01.xlsx&amp;sheet=A0&amp;row=88&amp;col=12&amp;number=&amp;sourceID=15","")</f>
        <v/>
      </c>
      <c r="M88" s="4" t="str">
        <f>HYPERLINK("http://141.218.60.56/~jnz1568/getInfo.php?workbook=01_01.xlsx&amp;sheet=A0&amp;row=88&amp;col=13&amp;number=&amp;sourceID=15","")</f>
        <v/>
      </c>
      <c r="N88" s="4" t="str">
        <f>HYPERLINK("http://141.218.60.56/~jnz1568/getInfo.php?workbook=01_01.xlsx&amp;sheet=A0&amp;row=88&amp;col=14&amp;number==&amp;sourceID=11","=")</f>
        <v>=</v>
      </c>
      <c r="O88" s="4" t="str">
        <f>HYPERLINK("http://141.218.60.56/~jnz1568/getInfo.php?workbook=01_01.xlsx&amp;sheet=A0&amp;row=88&amp;col=15&amp;number=&amp;sourceID=11","")</f>
        <v/>
      </c>
      <c r="P88" s="4" t="str">
        <f>HYPERLINK("http://141.218.60.56/~jnz1568/getInfo.php?workbook=01_01.xlsx&amp;sheet=A0&amp;row=88&amp;col=16&amp;number=0&amp;sourceID=11","0")</f>
        <v>0</v>
      </c>
      <c r="Q88" s="4" t="str">
        <f>HYPERLINK("http://141.218.60.56/~jnz1568/getInfo.php?workbook=01_01.xlsx&amp;sheet=A0&amp;row=88&amp;col=17&amp;number=&amp;sourceID=11","")</f>
        <v/>
      </c>
      <c r="R88" s="4" t="str">
        <f>HYPERLINK("http://141.218.60.56/~jnz1568/getInfo.php?workbook=01_01.xlsx&amp;sheet=A0&amp;row=88&amp;col=18&amp;number=0&amp;sourceID=11","0")</f>
        <v>0</v>
      </c>
      <c r="S88" s="4" t="str">
        <f>HYPERLINK("http://141.218.60.56/~jnz1568/getInfo.php?workbook=01_01.xlsx&amp;sheet=A0&amp;row=88&amp;col=19&amp;number=&amp;sourceID=11","")</f>
        <v/>
      </c>
      <c r="T88" s="4" t="str">
        <f>HYPERLINK("http://141.218.60.56/~jnz1568/getInfo.php?workbook=01_01.xlsx&amp;sheet=A0&amp;row=88&amp;col=20&amp;number=0&amp;sourceID=11","0")</f>
        <v>0</v>
      </c>
      <c r="U88" s="4" t="str">
        <f>HYPERLINK("http://141.218.60.56/~jnz1568/getInfo.php?workbook=01_01.xlsx&amp;sheet=A0&amp;row=88&amp;col=21&amp;number=0&amp;sourceID=12","0")</f>
        <v>0</v>
      </c>
      <c r="V88" s="4" t="str">
        <f>HYPERLINK("http://141.218.60.56/~jnz1568/getInfo.php?workbook=01_01.xlsx&amp;sheet=A0&amp;row=88&amp;col=22&amp;number=&amp;sourceID=12","")</f>
        <v/>
      </c>
      <c r="W88" s="4" t="str">
        <f>HYPERLINK("http://141.218.60.56/~jnz1568/getInfo.php?workbook=01_01.xlsx&amp;sheet=A0&amp;row=88&amp;col=23&amp;number=0&amp;sourceID=12","0")</f>
        <v>0</v>
      </c>
      <c r="X88" s="4" t="str">
        <f>HYPERLINK("http://141.218.60.56/~jnz1568/getInfo.php?workbook=01_01.xlsx&amp;sheet=A0&amp;row=88&amp;col=24&amp;number=&amp;sourceID=12","")</f>
        <v/>
      </c>
      <c r="Y88" s="4" t="str">
        <f>HYPERLINK("http://141.218.60.56/~jnz1568/getInfo.php?workbook=01_01.xlsx&amp;sheet=A0&amp;row=88&amp;col=25&amp;number=0&amp;sourceID=12","0")</f>
        <v>0</v>
      </c>
      <c r="Z88" s="4" t="str">
        <f>HYPERLINK("http://141.218.60.56/~jnz1568/getInfo.php?workbook=01_01.xlsx&amp;sheet=A0&amp;row=88&amp;col=26&amp;number=&amp;sourceID=12","")</f>
        <v/>
      </c>
      <c r="AA88" s="4" t="str">
        <f>HYPERLINK("http://141.218.60.56/~jnz1568/getInfo.php?workbook=01_01.xlsx&amp;sheet=A0&amp;row=88&amp;col=27&amp;number=0&amp;sourceID=12","0")</f>
        <v>0</v>
      </c>
      <c r="AB88" s="4" t="str">
        <f>HYPERLINK("http://141.218.60.56/~jnz1568/getInfo.php?workbook=01_01.xlsx&amp;sheet=A0&amp;row=88&amp;col=28&amp;number=&amp;sourceID=18","")</f>
        <v/>
      </c>
      <c r="AC88" s="4" t="str">
        <f>HYPERLINK("http://141.218.60.56/~jnz1568/getInfo.php?workbook=01_01.xlsx&amp;sheet=A0&amp;row=88&amp;col=29&amp;number=&amp;sourceID=18","")</f>
        <v/>
      </c>
      <c r="AD88" s="4" t="str">
        <f>HYPERLINK("http://141.218.60.56/~jnz1568/getInfo.php?workbook=01_01.xlsx&amp;sheet=A0&amp;row=88&amp;col=30&amp;number=&amp;sourceID=18","")</f>
        <v/>
      </c>
      <c r="AE88" s="4" t="str">
        <f>HYPERLINK("http://141.218.60.56/~jnz1568/getInfo.php?workbook=01_01.xlsx&amp;sheet=A0&amp;row=88&amp;col=31&amp;number=&amp;sourceID=18","")</f>
        <v/>
      </c>
      <c r="AF88" s="4" t="str">
        <f>HYPERLINK("http://141.218.60.56/~jnz1568/getInfo.php?workbook=01_01.xlsx&amp;sheet=A0&amp;row=88&amp;col=32&amp;number=&amp;sourceID=18","")</f>
        <v/>
      </c>
      <c r="AG88" s="4" t="str">
        <f>HYPERLINK("http://141.218.60.56/~jnz1568/getInfo.php?workbook=01_01.xlsx&amp;sheet=A0&amp;row=88&amp;col=33&amp;number=&amp;sourceID=18","")</f>
        <v/>
      </c>
      <c r="AH88" s="4" t="str">
        <f>HYPERLINK("http://141.218.60.56/~jnz1568/getInfo.php?workbook=01_01.xlsx&amp;sheet=A0&amp;row=88&amp;col=34&amp;number=&amp;sourceID=20","")</f>
        <v/>
      </c>
    </row>
    <row r="89" spans="1:34">
      <c r="A89" s="3">
        <v>1</v>
      </c>
      <c r="B89" s="3">
        <v>1</v>
      </c>
      <c r="C89" s="3">
        <v>14</v>
      </c>
      <c r="D89" s="3">
        <v>13</v>
      </c>
      <c r="E89" s="3">
        <f>((1/(INDEX(E0!J$4:J$28,C89,1)-INDEX(E0!J$4:J$28,D89,1))))*100000000</f>
        <v>0</v>
      </c>
      <c r="F89" s="4" t="str">
        <f>HYPERLINK("http://141.218.60.56/~jnz1568/getInfo.php?workbook=01_01.xlsx&amp;sheet=A0&amp;row=89&amp;col=6&amp;number=&amp;sourceID=18","")</f>
        <v/>
      </c>
      <c r="G89" s="4" t="str">
        <f>HYPERLINK("http://141.218.60.56/~jnz1568/getInfo.php?workbook=01_01.xlsx&amp;sheet=A0&amp;row=89&amp;col=7&amp;number=&amp;sourceID=15","")</f>
        <v/>
      </c>
      <c r="H89" s="4" t="str">
        <f>HYPERLINK("http://141.218.60.56/~jnz1568/getInfo.php?workbook=01_01.xlsx&amp;sheet=A0&amp;row=89&amp;col=8&amp;number=&amp;sourceID=15","")</f>
        <v/>
      </c>
      <c r="I89" s="4" t="str">
        <f>HYPERLINK("http://141.218.60.56/~jnz1568/getInfo.php?workbook=01_01.xlsx&amp;sheet=A0&amp;row=89&amp;col=9&amp;number=&amp;sourceID=15","")</f>
        <v/>
      </c>
      <c r="J89" s="4" t="str">
        <f>HYPERLINK("http://141.218.60.56/~jnz1568/getInfo.php?workbook=01_01.xlsx&amp;sheet=A0&amp;row=89&amp;col=10&amp;number=&amp;sourceID=15","")</f>
        <v/>
      </c>
      <c r="K89" s="4" t="str">
        <f>HYPERLINK("http://141.218.60.56/~jnz1568/getInfo.php?workbook=01_01.xlsx&amp;sheet=A0&amp;row=89&amp;col=11&amp;number=&amp;sourceID=15","")</f>
        <v/>
      </c>
      <c r="L89" s="4" t="str">
        <f>HYPERLINK("http://141.218.60.56/~jnz1568/getInfo.php?workbook=01_01.xlsx&amp;sheet=A0&amp;row=89&amp;col=12&amp;number=&amp;sourceID=15","")</f>
        <v/>
      </c>
      <c r="M89" s="4" t="str">
        <f>HYPERLINK("http://141.218.60.56/~jnz1568/getInfo.php?workbook=01_01.xlsx&amp;sheet=A0&amp;row=89&amp;col=13&amp;number=&amp;sourceID=15","")</f>
        <v/>
      </c>
      <c r="N89" s="4" t="str">
        <f>HYPERLINK("http://141.218.60.56/~jnz1568/getInfo.php?workbook=01_01.xlsx&amp;sheet=A0&amp;row=89&amp;col=14&amp;number==&amp;sourceID=11","=")</f>
        <v>=</v>
      </c>
      <c r="O89" s="4" t="str">
        <f>HYPERLINK("http://141.218.60.56/~jnz1568/getInfo.php?workbook=01_01.xlsx&amp;sheet=A0&amp;row=89&amp;col=15&amp;number=1.2332e-09&amp;sourceID=11","1.2332e-09")</f>
        <v>1.2332e-09</v>
      </c>
      <c r="P89" s="4" t="str">
        <f>HYPERLINK("http://141.218.60.56/~jnz1568/getInfo.php?workbook=01_01.xlsx&amp;sheet=A0&amp;row=89&amp;col=16&amp;number=&amp;sourceID=11","")</f>
        <v/>
      </c>
      <c r="Q89" s="4" t="str">
        <f>HYPERLINK("http://141.218.60.56/~jnz1568/getInfo.php?workbook=01_01.xlsx&amp;sheet=A0&amp;row=89&amp;col=17&amp;number=0&amp;sourceID=11","0")</f>
        <v>0</v>
      </c>
      <c r="R89" s="4" t="str">
        <f>HYPERLINK("http://141.218.60.56/~jnz1568/getInfo.php?workbook=01_01.xlsx&amp;sheet=A0&amp;row=89&amp;col=18&amp;number=&amp;sourceID=11","")</f>
        <v/>
      </c>
      <c r="S89" s="4" t="str">
        <f>HYPERLINK("http://141.218.60.56/~jnz1568/getInfo.php?workbook=01_01.xlsx&amp;sheet=A0&amp;row=89&amp;col=19&amp;number=0&amp;sourceID=11","0")</f>
        <v>0</v>
      </c>
      <c r="T89" s="4" t="str">
        <f>HYPERLINK("http://141.218.60.56/~jnz1568/getInfo.php?workbook=01_01.xlsx&amp;sheet=A0&amp;row=89&amp;col=20&amp;number=&amp;sourceID=11","")</f>
        <v/>
      </c>
      <c r="U89" s="4" t="str">
        <f>HYPERLINK("http://141.218.60.56/~jnz1568/getInfo.php?workbook=01_01.xlsx&amp;sheet=A0&amp;row=89&amp;col=21&amp;number=1.2364e-09&amp;sourceID=12","1.2364e-09")</f>
        <v>1.2364e-09</v>
      </c>
      <c r="V89" s="4" t="str">
        <f>HYPERLINK("http://141.218.60.56/~jnz1568/getInfo.php?workbook=01_01.xlsx&amp;sheet=A0&amp;row=89&amp;col=22&amp;number=1.2364e-09&amp;sourceID=12","1.2364e-09")</f>
        <v>1.2364e-09</v>
      </c>
      <c r="W89" s="4" t="str">
        <f>HYPERLINK("http://141.218.60.56/~jnz1568/getInfo.php?workbook=01_01.xlsx&amp;sheet=A0&amp;row=89&amp;col=23&amp;number=&amp;sourceID=12","")</f>
        <v/>
      </c>
      <c r="X89" s="4" t="str">
        <f>HYPERLINK("http://141.218.60.56/~jnz1568/getInfo.php?workbook=01_01.xlsx&amp;sheet=A0&amp;row=89&amp;col=24&amp;number=0&amp;sourceID=12","0")</f>
        <v>0</v>
      </c>
      <c r="Y89" s="4" t="str">
        <f>HYPERLINK("http://141.218.60.56/~jnz1568/getInfo.php?workbook=01_01.xlsx&amp;sheet=A0&amp;row=89&amp;col=25&amp;number=&amp;sourceID=12","")</f>
        <v/>
      </c>
      <c r="Z89" s="4" t="str">
        <f>HYPERLINK("http://141.218.60.56/~jnz1568/getInfo.php?workbook=01_01.xlsx&amp;sheet=A0&amp;row=89&amp;col=26&amp;number=0&amp;sourceID=12","0")</f>
        <v>0</v>
      </c>
      <c r="AA89" s="4" t="str">
        <f>HYPERLINK("http://141.218.60.56/~jnz1568/getInfo.php?workbook=01_01.xlsx&amp;sheet=A0&amp;row=89&amp;col=27&amp;number=&amp;sourceID=12","")</f>
        <v/>
      </c>
      <c r="AB89" s="4" t="str">
        <f>HYPERLINK("http://141.218.60.56/~jnz1568/getInfo.php?workbook=01_01.xlsx&amp;sheet=A0&amp;row=89&amp;col=28&amp;number=&amp;sourceID=18","")</f>
        <v/>
      </c>
      <c r="AC89" s="4" t="str">
        <f>HYPERLINK("http://141.218.60.56/~jnz1568/getInfo.php?workbook=01_01.xlsx&amp;sheet=A0&amp;row=89&amp;col=29&amp;number=&amp;sourceID=18","")</f>
        <v/>
      </c>
      <c r="AD89" s="4" t="str">
        <f>HYPERLINK("http://141.218.60.56/~jnz1568/getInfo.php?workbook=01_01.xlsx&amp;sheet=A0&amp;row=89&amp;col=30&amp;number=&amp;sourceID=18","")</f>
        <v/>
      </c>
      <c r="AE89" s="4" t="str">
        <f>HYPERLINK("http://141.218.60.56/~jnz1568/getInfo.php?workbook=01_01.xlsx&amp;sheet=A0&amp;row=89&amp;col=31&amp;number=&amp;sourceID=18","")</f>
        <v/>
      </c>
      <c r="AF89" s="4" t="str">
        <f>HYPERLINK("http://141.218.60.56/~jnz1568/getInfo.php?workbook=01_01.xlsx&amp;sheet=A0&amp;row=89&amp;col=32&amp;number=&amp;sourceID=18","")</f>
        <v/>
      </c>
      <c r="AG89" s="4" t="str">
        <f>HYPERLINK("http://141.218.60.56/~jnz1568/getInfo.php?workbook=01_01.xlsx&amp;sheet=A0&amp;row=89&amp;col=33&amp;number=&amp;sourceID=18","")</f>
        <v/>
      </c>
      <c r="AH89" s="4" t="str">
        <f>HYPERLINK("http://141.218.60.56/~jnz1568/getInfo.php?workbook=01_01.xlsx&amp;sheet=A0&amp;row=89&amp;col=34&amp;number=&amp;sourceID=20","")</f>
        <v/>
      </c>
    </row>
    <row r="90" spans="1:34">
      <c r="A90" s="3">
        <v>1</v>
      </c>
      <c r="B90" s="3">
        <v>1</v>
      </c>
      <c r="C90" s="3">
        <v>15</v>
      </c>
      <c r="D90" s="3">
        <v>1</v>
      </c>
      <c r="E90" s="3">
        <f>((1/(INDEX(E0!J$4:J$28,C90,1)-INDEX(E0!J$4:J$28,D90,1))))*100000000</f>
        <v>0</v>
      </c>
      <c r="F90" s="4" t="str">
        <f>HYPERLINK("http://141.218.60.56/~jnz1568/getInfo.php?workbook=01_01.xlsx&amp;sheet=A0&amp;row=90&amp;col=6&amp;number=&amp;sourceID=18","")</f>
        <v/>
      </c>
      <c r="G90" s="4" t="str">
        <f>HYPERLINK("http://141.218.60.56/~jnz1568/getInfo.php?workbook=01_01.xlsx&amp;sheet=A0&amp;row=90&amp;col=7&amp;number=&amp;sourceID=15","")</f>
        <v/>
      </c>
      <c r="H90" s="4" t="str">
        <f>HYPERLINK("http://141.218.60.56/~jnz1568/getInfo.php?workbook=01_01.xlsx&amp;sheet=A0&amp;row=90&amp;col=8&amp;number=&amp;sourceID=15","")</f>
        <v/>
      </c>
      <c r="I90" s="4" t="str">
        <f>HYPERLINK("http://141.218.60.56/~jnz1568/getInfo.php?workbook=01_01.xlsx&amp;sheet=A0&amp;row=90&amp;col=9&amp;number=&amp;sourceID=15","")</f>
        <v/>
      </c>
      <c r="J90" s="4" t="str">
        <f>HYPERLINK("http://141.218.60.56/~jnz1568/getInfo.php?workbook=01_01.xlsx&amp;sheet=A0&amp;row=90&amp;col=10&amp;number=&amp;sourceID=15","")</f>
        <v/>
      </c>
      <c r="K90" s="4" t="str">
        <f>HYPERLINK("http://141.218.60.56/~jnz1568/getInfo.php?workbook=01_01.xlsx&amp;sheet=A0&amp;row=90&amp;col=11&amp;number=&amp;sourceID=15","")</f>
        <v/>
      </c>
      <c r="L90" s="4" t="str">
        <f>HYPERLINK("http://141.218.60.56/~jnz1568/getInfo.php?workbook=01_01.xlsx&amp;sheet=A0&amp;row=90&amp;col=12&amp;number=&amp;sourceID=15","")</f>
        <v/>
      </c>
      <c r="M90" s="4" t="str">
        <f>HYPERLINK("http://141.218.60.56/~jnz1568/getInfo.php?workbook=01_01.xlsx&amp;sheet=A0&amp;row=90&amp;col=13&amp;number=&amp;sourceID=15","")</f>
        <v/>
      </c>
      <c r="N90" s="4" t="str">
        <f>HYPERLINK("http://141.218.60.56/~jnz1568/getInfo.php?workbook=01_01.xlsx&amp;sheet=A0&amp;row=90&amp;col=14&amp;number==&amp;sourceID=11","=")</f>
        <v>=</v>
      </c>
      <c r="O90" s="4" t="str">
        <f>HYPERLINK("http://141.218.60.56/~jnz1568/getInfo.php?workbook=01_01.xlsx&amp;sheet=A0&amp;row=90&amp;col=15&amp;number=&amp;sourceID=11","")</f>
        <v/>
      </c>
      <c r="P90" s="4" t="str">
        <f>HYPERLINK("http://141.218.60.56/~jnz1568/getInfo.php?workbook=01_01.xlsx&amp;sheet=A0&amp;row=90&amp;col=16&amp;number=&amp;sourceID=11","")</f>
        <v/>
      </c>
      <c r="Q90" s="4" t="str">
        <f>HYPERLINK("http://141.218.60.56/~jnz1568/getInfo.php?workbook=01_01.xlsx&amp;sheet=A0&amp;row=90&amp;col=17&amp;number=0.00031074&amp;sourceID=11","0.00031074")</f>
        <v>0.00031074</v>
      </c>
      <c r="R90" s="4" t="str">
        <f>HYPERLINK("http://141.218.60.56/~jnz1568/getInfo.php?workbook=01_01.xlsx&amp;sheet=A0&amp;row=90&amp;col=18&amp;number=&amp;sourceID=11","")</f>
        <v/>
      </c>
      <c r="S90" s="4" t="str">
        <f>HYPERLINK("http://141.218.60.56/~jnz1568/getInfo.php?workbook=01_01.xlsx&amp;sheet=A0&amp;row=90&amp;col=19&amp;number=2e-15&amp;sourceID=11","2e-15")</f>
        <v>2e-15</v>
      </c>
      <c r="T90" s="4" t="str">
        <f>HYPERLINK("http://141.218.60.56/~jnz1568/getInfo.php?workbook=01_01.xlsx&amp;sheet=A0&amp;row=90&amp;col=20&amp;number=&amp;sourceID=11","")</f>
        <v/>
      </c>
      <c r="U90" s="4" t="str">
        <f>HYPERLINK("http://141.218.60.56/~jnz1568/getInfo.php?workbook=01_01.xlsx&amp;sheet=A0&amp;row=90&amp;col=21&amp;number=0.0003109&amp;sourceID=12","0.0003109")</f>
        <v>0.0003109</v>
      </c>
      <c r="V90" s="4" t="str">
        <f>HYPERLINK("http://141.218.60.56/~jnz1568/getInfo.php?workbook=01_01.xlsx&amp;sheet=A0&amp;row=90&amp;col=22&amp;number=&amp;sourceID=12","")</f>
        <v/>
      </c>
      <c r="W90" s="4" t="str">
        <f>HYPERLINK("http://141.218.60.56/~jnz1568/getInfo.php?workbook=01_01.xlsx&amp;sheet=A0&amp;row=90&amp;col=23&amp;number=&amp;sourceID=12","")</f>
        <v/>
      </c>
      <c r="X90" s="4" t="str">
        <f>HYPERLINK("http://141.218.60.56/~jnz1568/getInfo.php?workbook=01_01.xlsx&amp;sheet=A0&amp;row=90&amp;col=24&amp;number=0.0003109&amp;sourceID=12","0.0003109")</f>
        <v>0.0003109</v>
      </c>
      <c r="Y90" s="4" t="str">
        <f>HYPERLINK("http://141.218.60.56/~jnz1568/getInfo.php?workbook=01_01.xlsx&amp;sheet=A0&amp;row=90&amp;col=25&amp;number=&amp;sourceID=12","")</f>
        <v/>
      </c>
      <c r="Z90" s="4" t="str">
        <f>HYPERLINK("http://141.218.60.56/~jnz1568/getInfo.php?workbook=01_01.xlsx&amp;sheet=A0&amp;row=90&amp;col=26&amp;number=0&amp;sourceID=12","0")</f>
        <v>0</v>
      </c>
      <c r="AA90" s="4" t="str">
        <f>HYPERLINK("http://141.218.60.56/~jnz1568/getInfo.php?workbook=01_01.xlsx&amp;sheet=A0&amp;row=90&amp;col=27&amp;number=&amp;sourceID=12","")</f>
        <v/>
      </c>
      <c r="AB90" s="4" t="str">
        <f>HYPERLINK("http://141.218.60.56/~jnz1568/getInfo.php?workbook=01_01.xlsx&amp;sheet=A0&amp;row=90&amp;col=28&amp;number==SUM(AC90:AG90)&amp;sourceID=18","=SUM(AC90:AG90)")</f>
        <v>=SUM(AC90:AG90)</v>
      </c>
      <c r="AC90" s="4" t="str">
        <f>HYPERLINK("http://141.218.60.56/~jnz1568/getInfo.php?workbook=01_01.xlsx&amp;sheet=A0&amp;row=90&amp;col=29&amp;number=&amp;sourceID=18","")</f>
        <v/>
      </c>
      <c r="AD90" s="4" t="str">
        <f>HYPERLINK("http://141.218.60.56/~jnz1568/getInfo.php?workbook=01_01.xlsx&amp;sheet=A0&amp;row=90&amp;col=30&amp;number=&amp;sourceID=18","")</f>
        <v/>
      </c>
      <c r="AE90" s="4" t="str">
        <f>HYPERLINK("http://141.218.60.56/~jnz1568/getInfo.php?workbook=01_01.xlsx&amp;sheet=A0&amp;row=90&amp;col=31&amp;number=0.000308&amp;sourceID=18","0.000308")</f>
        <v>0.000308</v>
      </c>
      <c r="AF90" s="4" t="str">
        <f>HYPERLINK("http://141.218.60.56/~jnz1568/getInfo.php?workbook=01_01.xlsx&amp;sheet=A0&amp;row=90&amp;col=32&amp;number=&amp;sourceID=18","")</f>
        <v/>
      </c>
      <c r="AG90" s="4" t="str">
        <f>HYPERLINK("http://141.218.60.56/~jnz1568/getInfo.php?workbook=01_01.xlsx&amp;sheet=A0&amp;row=90&amp;col=33&amp;number=&amp;sourceID=18","")</f>
        <v/>
      </c>
      <c r="AH90" s="4" t="str">
        <f>HYPERLINK("http://141.218.60.56/~jnz1568/getInfo.php?workbook=01_01.xlsx&amp;sheet=A0&amp;row=90&amp;col=34&amp;number=&amp;sourceID=20","")</f>
        <v/>
      </c>
    </row>
    <row r="91" spans="1:34">
      <c r="A91" s="3">
        <v>1</v>
      </c>
      <c r="B91" s="3">
        <v>1</v>
      </c>
      <c r="C91" s="3">
        <v>15</v>
      </c>
      <c r="D91" s="3">
        <v>2</v>
      </c>
      <c r="E91" s="3">
        <f>((1/(INDEX(E0!J$4:J$28,C91,1)-INDEX(E0!J$4:J$28,D91,1))))*100000000</f>
        <v>0</v>
      </c>
      <c r="F91" s="4" t="str">
        <f>HYPERLINK("http://141.218.60.56/~jnz1568/getInfo.php?workbook=01_01.xlsx&amp;sheet=A0&amp;row=91&amp;col=6&amp;number=&amp;sourceID=18","")</f>
        <v/>
      </c>
      <c r="G91" s="4" t="str">
        <f>HYPERLINK("http://141.218.60.56/~jnz1568/getInfo.php?workbook=01_01.xlsx&amp;sheet=A0&amp;row=91&amp;col=7&amp;number=&amp;sourceID=15","")</f>
        <v/>
      </c>
      <c r="H91" s="4" t="str">
        <f>HYPERLINK("http://141.218.60.56/~jnz1568/getInfo.php?workbook=01_01.xlsx&amp;sheet=A0&amp;row=91&amp;col=8&amp;number=&amp;sourceID=15","")</f>
        <v/>
      </c>
      <c r="I91" s="4" t="str">
        <f>HYPERLINK("http://141.218.60.56/~jnz1568/getInfo.php?workbook=01_01.xlsx&amp;sheet=A0&amp;row=91&amp;col=9&amp;number=&amp;sourceID=15","")</f>
        <v/>
      </c>
      <c r="J91" s="4" t="str">
        <f>HYPERLINK("http://141.218.60.56/~jnz1568/getInfo.php?workbook=01_01.xlsx&amp;sheet=A0&amp;row=91&amp;col=10&amp;number=&amp;sourceID=15","")</f>
        <v/>
      </c>
      <c r="K91" s="4" t="str">
        <f>HYPERLINK("http://141.218.60.56/~jnz1568/getInfo.php?workbook=01_01.xlsx&amp;sheet=A0&amp;row=91&amp;col=11&amp;number=&amp;sourceID=15","")</f>
        <v/>
      </c>
      <c r="L91" s="4" t="str">
        <f>HYPERLINK("http://141.218.60.56/~jnz1568/getInfo.php?workbook=01_01.xlsx&amp;sheet=A0&amp;row=91&amp;col=12&amp;number=&amp;sourceID=15","")</f>
        <v/>
      </c>
      <c r="M91" s="4" t="str">
        <f>HYPERLINK("http://141.218.60.56/~jnz1568/getInfo.php?workbook=01_01.xlsx&amp;sheet=A0&amp;row=91&amp;col=13&amp;number=&amp;sourceID=15","")</f>
        <v/>
      </c>
      <c r="N91" s="4" t="str">
        <f>HYPERLINK("http://141.218.60.56/~jnz1568/getInfo.php?workbook=01_01.xlsx&amp;sheet=A0&amp;row=91&amp;col=14&amp;number==&amp;sourceID=11","=")</f>
        <v>=</v>
      </c>
      <c r="O91" s="4" t="str">
        <f>HYPERLINK("http://141.218.60.56/~jnz1568/getInfo.php?workbook=01_01.xlsx&amp;sheet=A0&amp;row=91&amp;col=15&amp;number=&amp;sourceID=11","")</f>
        <v/>
      </c>
      <c r="P91" s="4" t="str">
        <f>HYPERLINK("http://141.218.60.56/~jnz1568/getInfo.php?workbook=01_01.xlsx&amp;sheet=A0&amp;row=91&amp;col=16&amp;number=48.051&amp;sourceID=11","48.051")</f>
        <v>48.051</v>
      </c>
      <c r="Q91" s="4" t="str">
        <f>HYPERLINK("http://141.218.60.56/~jnz1568/getInfo.php?workbook=01_01.xlsx&amp;sheet=A0&amp;row=91&amp;col=17&amp;number=&amp;sourceID=11","")</f>
        <v/>
      </c>
      <c r="R91" s="4" t="str">
        <f>HYPERLINK("http://141.218.60.56/~jnz1568/getInfo.php?workbook=01_01.xlsx&amp;sheet=A0&amp;row=91&amp;col=18&amp;number=&amp;sourceID=11","")</f>
        <v/>
      </c>
      <c r="S91" s="4" t="str">
        <f>HYPERLINK("http://141.218.60.56/~jnz1568/getInfo.php?workbook=01_01.xlsx&amp;sheet=A0&amp;row=91&amp;col=19&amp;number=&amp;sourceID=11","")</f>
        <v/>
      </c>
      <c r="T91" s="4" t="str">
        <f>HYPERLINK("http://141.218.60.56/~jnz1568/getInfo.php?workbook=01_01.xlsx&amp;sheet=A0&amp;row=91&amp;col=20&amp;number=5.432e-12&amp;sourceID=11","5.432e-12")</f>
        <v>5.432e-12</v>
      </c>
      <c r="U91" s="4" t="str">
        <f>HYPERLINK("http://141.218.60.56/~jnz1568/getInfo.php?workbook=01_01.xlsx&amp;sheet=A0&amp;row=91&amp;col=21&amp;number=48.078&amp;sourceID=12","48.078")</f>
        <v>48.078</v>
      </c>
      <c r="V91" s="4" t="str">
        <f>HYPERLINK("http://141.218.60.56/~jnz1568/getInfo.php?workbook=01_01.xlsx&amp;sheet=A0&amp;row=91&amp;col=22&amp;number=&amp;sourceID=12","")</f>
        <v/>
      </c>
      <c r="W91" s="4" t="str">
        <f>HYPERLINK("http://141.218.60.56/~jnz1568/getInfo.php?workbook=01_01.xlsx&amp;sheet=A0&amp;row=91&amp;col=23&amp;number=48.078&amp;sourceID=12","48.078")</f>
        <v>48.078</v>
      </c>
      <c r="X91" s="4" t="str">
        <f>HYPERLINK("http://141.218.60.56/~jnz1568/getInfo.php?workbook=01_01.xlsx&amp;sheet=A0&amp;row=91&amp;col=24&amp;number=&amp;sourceID=12","")</f>
        <v/>
      </c>
      <c r="Y91" s="4" t="str">
        <f>HYPERLINK("http://141.218.60.56/~jnz1568/getInfo.php?workbook=01_01.xlsx&amp;sheet=A0&amp;row=91&amp;col=25&amp;number=&amp;sourceID=12","")</f>
        <v/>
      </c>
      <c r="Z91" s="4" t="str">
        <f>HYPERLINK("http://141.218.60.56/~jnz1568/getInfo.php?workbook=01_01.xlsx&amp;sheet=A0&amp;row=91&amp;col=26&amp;number=&amp;sourceID=12","")</f>
        <v/>
      </c>
      <c r="AA91" s="4" t="str">
        <f>HYPERLINK("http://141.218.60.56/~jnz1568/getInfo.php?workbook=01_01.xlsx&amp;sheet=A0&amp;row=91&amp;col=27&amp;number=5.434e-12&amp;sourceID=12","5.434e-12")</f>
        <v>5.434e-12</v>
      </c>
      <c r="AB91" s="4" t="str">
        <f>HYPERLINK("http://141.218.60.56/~jnz1568/getInfo.php?workbook=01_01.xlsx&amp;sheet=A0&amp;row=91&amp;col=28&amp;number==&amp;sourceID=18","=")</f>
        <v>=</v>
      </c>
      <c r="AC91" s="4" t="str">
        <f>HYPERLINK("http://141.218.60.56/~jnz1568/getInfo.php?workbook=01_01.xlsx&amp;sheet=A0&amp;row=91&amp;col=29&amp;number=&amp;sourceID=18","")</f>
        <v/>
      </c>
      <c r="AD91" s="4" t="str">
        <f>HYPERLINK("http://141.218.60.56/~jnz1568/getInfo.php?workbook=01_01.xlsx&amp;sheet=A0&amp;row=91&amp;col=30&amp;number=48.1&amp;sourceID=18","48.1")</f>
        <v>48.1</v>
      </c>
      <c r="AE91" s="4" t="str">
        <f>HYPERLINK("http://141.218.60.56/~jnz1568/getInfo.php?workbook=01_01.xlsx&amp;sheet=A0&amp;row=91&amp;col=31&amp;number=&amp;sourceID=18","")</f>
        <v/>
      </c>
      <c r="AF91" s="4" t="str">
        <f>HYPERLINK("http://141.218.60.56/~jnz1568/getInfo.php?workbook=01_01.xlsx&amp;sheet=A0&amp;row=91&amp;col=32&amp;number=&amp;sourceID=18","")</f>
        <v/>
      </c>
      <c r="AG91" s="4" t="str">
        <f>HYPERLINK("http://141.218.60.56/~jnz1568/getInfo.php?workbook=01_01.xlsx&amp;sheet=A0&amp;row=91&amp;col=33&amp;number=&amp;sourceID=18","")</f>
        <v/>
      </c>
      <c r="AH91" s="4" t="str">
        <f>HYPERLINK("http://141.218.60.56/~jnz1568/getInfo.php?workbook=01_01.xlsx&amp;sheet=A0&amp;row=91&amp;col=34&amp;number=&amp;sourceID=20","")</f>
        <v/>
      </c>
    </row>
    <row r="92" spans="1:34">
      <c r="A92" s="3">
        <v>1</v>
      </c>
      <c r="B92" s="3">
        <v>1</v>
      </c>
      <c r="C92" s="3">
        <v>15</v>
      </c>
      <c r="D92" s="3">
        <v>3</v>
      </c>
      <c r="E92" s="3">
        <f>((1/(INDEX(E0!J$4:J$28,C92,1)-INDEX(E0!J$4:J$28,D92,1))))*100000000</f>
        <v>0</v>
      </c>
      <c r="F92" s="4" t="str">
        <f>HYPERLINK("http://141.218.60.56/~jnz1568/getInfo.php?workbook=01_01.xlsx&amp;sheet=A0&amp;row=92&amp;col=6&amp;number=&amp;sourceID=18","")</f>
        <v/>
      </c>
      <c r="G92" s="4" t="str">
        <f>HYPERLINK("http://141.218.60.56/~jnz1568/getInfo.php?workbook=01_01.xlsx&amp;sheet=A0&amp;row=92&amp;col=7&amp;number=&amp;sourceID=15","")</f>
        <v/>
      </c>
      <c r="H92" s="4" t="str">
        <f>HYPERLINK("http://141.218.60.56/~jnz1568/getInfo.php?workbook=01_01.xlsx&amp;sheet=A0&amp;row=92&amp;col=8&amp;number=&amp;sourceID=15","")</f>
        <v/>
      </c>
      <c r="I92" s="4" t="str">
        <f>HYPERLINK("http://141.218.60.56/~jnz1568/getInfo.php?workbook=01_01.xlsx&amp;sheet=A0&amp;row=92&amp;col=9&amp;number=&amp;sourceID=15","")</f>
        <v/>
      </c>
      <c r="J92" s="4" t="str">
        <f>HYPERLINK("http://141.218.60.56/~jnz1568/getInfo.php?workbook=01_01.xlsx&amp;sheet=A0&amp;row=92&amp;col=10&amp;number=&amp;sourceID=15","")</f>
        <v/>
      </c>
      <c r="K92" s="4" t="str">
        <f>HYPERLINK("http://141.218.60.56/~jnz1568/getInfo.php?workbook=01_01.xlsx&amp;sheet=A0&amp;row=92&amp;col=11&amp;number=&amp;sourceID=15","")</f>
        <v/>
      </c>
      <c r="L92" s="4" t="str">
        <f>HYPERLINK("http://141.218.60.56/~jnz1568/getInfo.php?workbook=01_01.xlsx&amp;sheet=A0&amp;row=92&amp;col=12&amp;number=&amp;sourceID=15","")</f>
        <v/>
      </c>
      <c r="M92" s="4" t="str">
        <f>HYPERLINK("http://141.218.60.56/~jnz1568/getInfo.php?workbook=01_01.xlsx&amp;sheet=A0&amp;row=92&amp;col=13&amp;number=&amp;sourceID=15","")</f>
        <v/>
      </c>
      <c r="N92" s="4" t="str">
        <f>HYPERLINK("http://141.218.60.56/~jnz1568/getInfo.php?workbook=01_01.xlsx&amp;sheet=A0&amp;row=92&amp;col=14&amp;number==&amp;sourceID=11","=")</f>
        <v>=</v>
      </c>
      <c r="O92" s="4" t="str">
        <f>HYPERLINK("http://141.218.60.56/~jnz1568/getInfo.php?workbook=01_01.xlsx&amp;sheet=A0&amp;row=92&amp;col=15&amp;number=&amp;sourceID=11","")</f>
        <v/>
      </c>
      <c r="P92" s="4" t="str">
        <f>HYPERLINK("http://141.218.60.56/~jnz1568/getInfo.php?workbook=01_01.xlsx&amp;sheet=A0&amp;row=92&amp;col=16&amp;number=&amp;sourceID=11","")</f>
        <v/>
      </c>
      <c r="Q92" s="4" t="str">
        <f>HYPERLINK("http://141.218.60.56/~jnz1568/getInfo.php?workbook=01_01.xlsx&amp;sheet=A0&amp;row=92&amp;col=17&amp;number=0.0001224&amp;sourceID=11","0.0001224")</f>
        <v>0.0001224</v>
      </c>
      <c r="R92" s="4" t="str">
        <f>HYPERLINK("http://141.218.60.56/~jnz1568/getInfo.php?workbook=01_01.xlsx&amp;sheet=A0&amp;row=92&amp;col=18&amp;number=&amp;sourceID=11","")</f>
        <v/>
      </c>
      <c r="S92" s="4" t="str">
        <f>HYPERLINK("http://141.218.60.56/~jnz1568/getInfo.php?workbook=01_01.xlsx&amp;sheet=A0&amp;row=92&amp;col=19&amp;number=0&amp;sourceID=11","0")</f>
        <v>0</v>
      </c>
      <c r="T92" s="4" t="str">
        <f>HYPERLINK("http://141.218.60.56/~jnz1568/getInfo.php?workbook=01_01.xlsx&amp;sheet=A0&amp;row=92&amp;col=20&amp;number=&amp;sourceID=11","")</f>
        <v/>
      </c>
      <c r="U92" s="4" t="str">
        <f>HYPERLINK("http://141.218.60.56/~jnz1568/getInfo.php?workbook=01_01.xlsx&amp;sheet=A0&amp;row=92&amp;col=21&amp;number=0.00012246&amp;sourceID=12","0.00012246")</f>
        <v>0.00012246</v>
      </c>
      <c r="V92" s="4" t="str">
        <f>HYPERLINK("http://141.218.60.56/~jnz1568/getInfo.php?workbook=01_01.xlsx&amp;sheet=A0&amp;row=92&amp;col=22&amp;number=&amp;sourceID=12","")</f>
        <v/>
      </c>
      <c r="W92" s="4" t="str">
        <f>HYPERLINK("http://141.218.60.56/~jnz1568/getInfo.php?workbook=01_01.xlsx&amp;sheet=A0&amp;row=92&amp;col=23&amp;number=&amp;sourceID=12","")</f>
        <v/>
      </c>
      <c r="X92" s="4" t="str">
        <f>HYPERLINK("http://141.218.60.56/~jnz1568/getInfo.php?workbook=01_01.xlsx&amp;sheet=A0&amp;row=92&amp;col=24&amp;number=0.00012246&amp;sourceID=12","0.00012246")</f>
        <v>0.00012246</v>
      </c>
      <c r="Y92" s="4" t="str">
        <f>HYPERLINK("http://141.218.60.56/~jnz1568/getInfo.php?workbook=01_01.xlsx&amp;sheet=A0&amp;row=92&amp;col=25&amp;number=&amp;sourceID=12","")</f>
        <v/>
      </c>
      <c r="Z92" s="4" t="str">
        <f>HYPERLINK("http://141.218.60.56/~jnz1568/getInfo.php?workbook=01_01.xlsx&amp;sheet=A0&amp;row=92&amp;col=26&amp;number=0&amp;sourceID=12","0")</f>
        <v>0</v>
      </c>
      <c r="AA92" s="4" t="str">
        <f>HYPERLINK("http://141.218.60.56/~jnz1568/getInfo.php?workbook=01_01.xlsx&amp;sheet=A0&amp;row=92&amp;col=27&amp;number=&amp;sourceID=12","")</f>
        <v/>
      </c>
      <c r="AB92" s="4" t="str">
        <f>HYPERLINK("http://141.218.60.56/~jnz1568/getInfo.php?workbook=01_01.xlsx&amp;sheet=A0&amp;row=92&amp;col=28&amp;number==&amp;sourceID=18","=")</f>
        <v>=</v>
      </c>
      <c r="AC92" s="4" t="str">
        <f>HYPERLINK("http://141.218.60.56/~jnz1568/getInfo.php?workbook=01_01.xlsx&amp;sheet=A0&amp;row=92&amp;col=29&amp;number=&amp;sourceID=18","")</f>
        <v/>
      </c>
      <c r="AD92" s="4" t="str">
        <f>HYPERLINK("http://141.218.60.56/~jnz1568/getInfo.php?workbook=01_01.xlsx&amp;sheet=A0&amp;row=92&amp;col=30&amp;number=&amp;sourceID=18","")</f>
        <v/>
      </c>
      <c r="AE92" s="4" t="str">
        <f>HYPERLINK("http://141.218.60.56/~jnz1568/getInfo.php?workbook=01_01.xlsx&amp;sheet=A0&amp;row=92&amp;col=31&amp;number=0.000123&amp;sourceID=18","0.000123")</f>
        <v>0.000123</v>
      </c>
      <c r="AF92" s="4" t="str">
        <f>HYPERLINK("http://141.218.60.56/~jnz1568/getInfo.php?workbook=01_01.xlsx&amp;sheet=A0&amp;row=92&amp;col=32&amp;number=&amp;sourceID=18","")</f>
        <v/>
      </c>
      <c r="AG92" s="4" t="str">
        <f>HYPERLINK("http://141.218.60.56/~jnz1568/getInfo.php?workbook=01_01.xlsx&amp;sheet=A0&amp;row=92&amp;col=33&amp;number=&amp;sourceID=18","")</f>
        <v/>
      </c>
      <c r="AH92" s="4" t="str">
        <f>HYPERLINK("http://141.218.60.56/~jnz1568/getInfo.php?workbook=01_01.xlsx&amp;sheet=A0&amp;row=92&amp;col=34&amp;number=&amp;sourceID=20","")</f>
        <v/>
      </c>
    </row>
    <row r="93" spans="1:34">
      <c r="A93" s="3">
        <v>1</v>
      </c>
      <c r="B93" s="3">
        <v>1</v>
      </c>
      <c r="C93" s="3">
        <v>15</v>
      </c>
      <c r="D93" s="3">
        <v>4</v>
      </c>
      <c r="E93" s="3">
        <f>((1/(INDEX(E0!J$4:J$28,C93,1)-INDEX(E0!J$4:J$28,D93,1))))*100000000</f>
        <v>0</v>
      </c>
      <c r="F93" s="4" t="str">
        <f>HYPERLINK("http://141.218.60.56/~jnz1568/getInfo.php?workbook=01_01.xlsx&amp;sheet=A0&amp;row=93&amp;col=6&amp;number=&amp;sourceID=18","")</f>
        <v/>
      </c>
      <c r="G93" s="4" t="str">
        <f>HYPERLINK("http://141.218.60.56/~jnz1568/getInfo.php?workbook=01_01.xlsx&amp;sheet=A0&amp;row=93&amp;col=7&amp;number=&amp;sourceID=15","")</f>
        <v/>
      </c>
      <c r="H93" s="4" t="str">
        <f>HYPERLINK("http://141.218.60.56/~jnz1568/getInfo.php?workbook=01_01.xlsx&amp;sheet=A0&amp;row=93&amp;col=8&amp;number=&amp;sourceID=15","")</f>
        <v/>
      </c>
      <c r="I93" s="4" t="str">
        <f>HYPERLINK("http://141.218.60.56/~jnz1568/getInfo.php?workbook=01_01.xlsx&amp;sheet=A0&amp;row=93&amp;col=9&amp;number=&amp;sourceID=15","")</f>
        <v/>
      </c>
      <c r="J93" s="4" t="str">
        <f>HYPERLINK("http://141.218.60.56/~jnz1568/getInfo.php?workbook=01_01.xlsx&amp;sheet=A0&amp;row=93&amp;col=10&amp;number=&amp;sourceID=15","")</f>
        <v/>
      </c>
      <c r="K93" s="4" t="str">
        <f>HYPERLINK("http://141.218.60.56/~jnz1568/getInfo.php?workbook=01_01.xlsx&amp;sheet=A0&amp;row=93&amp;col=11&amp;number=&amp;sourceID=15","")</f>
        <v/>
      </c>
      <c r="L93" s="4" t="str">
        <f>HYPERLINK("http://141.218.60.56/~jnz1568/getInfo.php?workbook=01_01.xlsx&amp;sheet=A0&amp;row=93&amp;col=12&amp;number=&amp;sourceID=15","")</f>
        <v/>
      </c>
      <c r="M93" s="4" t="str">
        <f>HYPERLINK("http://141.218.60.56/~jnz1568/getInfo.php?workbook=01_01.xlsx&amp;sheet=A0&amp;row=93&amp;col=13&amp;number=&amp;sourceID=15","")</f>
        <v/>
      </c>
      <c r="N93" s="4" t="str">
        <f>HYPERLINK("http://141.218.60.56/~jnz1568/getInfo.php?workbook=01_01.xlsx&amp;sheet=A0&amp;row=93&amp;col=14&amp;number==&amp;sourceID=11","=")</f>
        <v>=</v>
      </c>
      <c r="O93" s="4" t="str">
        <f>HYPERLINK("http://141.218.60.56/~jnz1568/getInfo.php?workbook=01_01.xlsx&amp;sheet=A0&amp;row=93&amp;col=15&amp;number=&amp;sourceID=11","")</f>
        <v/>
      </c>
      <c r="P93" s="4" t="str">
        <f>HYPERLINK("http://141.218.60.56/~jnz1568/getInfo.php?workbook=01_01.xlsx&amp;sheet=A0&amp;row=93&amp;col=16&amp;number=13.729&amp;sourceID=11","13.729")</f>
        <v>13.729</v>
      </c>
      <c r="Q93" s="4" t="str">
        <f>HYPERLINK("http://141.218.60.56/~jnz1568/getInfo.php?workbook=01_01.xlsx&amp;sheet=A0&amp;row=93&amp;col=17&amp;number=&amp;sourceID=11","")</f>
        <v/>
      </c>
      <c r="R93" s="4" t="str">
        <f>HYPERLINK("http://141.218.60.56/~jnz1568/getInfo.php?workbook=01_01.xlsx&amp;sheet=A0&amp;row=93&amp;col=18&amp;number=4.3994e-11&amp;sourceID=11","4.3994e-11")</f>
        <v>4.3994e-11</v>
      </c>
      <c r="S93" s="4" t="str">
        <f>HYPERLINK("http://141.218.60.56/~jnz1568/getInfo.php?workbook=01_01.xlsx&amp;sheet=A0&amp;row=93&amp;col=19&amp;number=&amp;sourceID=11","")</f>
        <v/>
      </c>
      <c r="T93" s="4" t="str">
        <f>HYPERLINK("http://141.218.60.56/~jnz1568/getInfo.php?workbook=01_01.xlsx&amp;sheet=A0&amp;row=93&amp;col=20&amp;number=1.086e-12&amp;sourceID=11","1.086e-12")</f>
        <v>1.086e-12</v>
      </c>
      <c r="U93" s="4" t="str">
        <f>HYPERLINK("http://141.218.60.56/~jnz1568/getInfo.php?workbook=01_01.xlsx&amp;sheet=A0&amp;row=93&amp;col=21&amp;number=13.736&amp;sourceID=12","13.736")</f>
        <v>13.736</v>
      </c>
      <c r="V93" s="4" t="str">
        <f>HYPERLINK("http://141.218.60.56/~jnz1568/getInfo.php?workbook=01_01.xlsx&amp;sheet=A0&amp;row=93&amp;col=22&amp;number=&amp;sourceID=12","")</f>
        <v/>
      </c>
      <c r="W93" s="4" t="str">
        <f>HYPERLINK("http://141.218.60.56/~jnz1568/getInfo.php?workbook=01_01.xlsx&amp;sheet=A0&amp;row=93&amp;col=23&amp;number=13.736&amp;sourceID=12","13.736")</f>
        <v>13.736</v>
      </c>
      <c r="X93" s="4" t="str">
        <f>HYPERLINK("http://141.218.60.56/~jnz1568/getInfo.php?workbook=01_01.xlsx&amp;sheet=A0&amp;row=93&amp;col=24&amp;number=&amp;sourceID=12","")</f>
        <v/>
      </c>
      <c r="Y93" s="4" t="str">
        <f>HYPERLINK("http://141.218.60.56/~jnz1568/getInfo.php?workbook=01_01.xlsx&amp;sheet=A0&amp;row=93&amp;col=25&amp;number=4.3919e-11&amp;sourceID=12","4.3919e-11")</f>
        <v>4.3919e-11</v>
      </c>
      <c r="Z93" s="4" t="str">
        <f>HYPERLINK("http://141.218.60.56/~jnz1568/getInfo.php?workbook=01_01.xlsx&amp;sheet=A0&amp;row=93&amp;col=26&amp;number=&amp;sourceID=12","")</f>
        <v/>
      </c>
      <c r="AA93" s="4" t="str">
        <f>HYPERLINK("http://141.218.60.56/~jnz1568/getInfo.php?workbook=01_01.xlsx&amp;sheet=A0&amp;row=93&amp;col=27&amp;number=1.087e-12&amp;sourceID=12","1.087e-12")</f>
        <v>1.087e-12</v>
      </c>
      <c r="AB93" s="4" t="str">
        <f>HYPERLINK("http://141.218.60.56/~jnz1568/getInfo.php?workbook=01_01.xlsx&amp;sheet=A0&amp;row=93&amp;col=28&amp;number==&amp;sourceID=18","=")</f>
        <v>=</v>
      </c>
      <c r="AC93" s="4" t="str">
        <f>HYPERLINK("http://141.218.60.56/~jnz1568/getInfo.php?workbook=01_01.xlsx&amp;sheet=A0&amp;row=93&amp;col=29&amp;number=&amp;sourceID=18","")</f>
        <v/>
      </c>
      <c r="AD93" s="4" t="str">
        <f>HYPERLINK("http://141.218.60.56/~jnz1568/getInfo.php?workbook=01_01.xlsx&amp;sheet=A0&amp;row=93&amp;col=30&amp;number=13.7&amp;sourceID=18","13.7")</f>
        <v>13.7</v>
      </c>
      <c r="AE93" s="4" t="str">
        <f>HYPERLINK("http://141.218.60.56/~jnz1568/getInfo.php?workbook=01_01.xlsx&amp;sheet=A0&amp;row=93&amp;col=31&amp;number=&amp;sourceID=18","")</f>
        <v/>
      </c>
      <c r="AF93" s="4" t="str">
        <f>HYPERLINK("http://141.218.60.56/~jnz1568/getInfo.php?workbook=01_01.xlsx&amp;sheet=A0&amp;row=93&amp;col=32&amp;number=9.17e-11&amp;sourceID=18","9.17e-11")</f>
        <v>9.17e-11</v>
      </c>
      <c r="AG93" s="4" t="str">
        <f>HYPERLINK("http://141.218.60.56/~jnz1568/getInfo.php?workbook=01_01.xlsx&amp;sheet=A0&amp;row=93&amp;col=33&amp;number=&amp;sourceID=18","")</f>
        <v/>
      </c>
      <c r="AH93" s="4" t="str">
        <f>HYPERLINK("http://141.218.60.56/~jnz1568/getInfo.php?workbook=01_01.xlsx&amp;sheet=A0&amp;row=93&amp;col=34&amp;number=&amp;sourceID=20","")</f>
        <v/>
      </c>
    </row>
    <row r="94" spans="1:34">
      <c r="A94" s="3">
        <v>1</v>
      </c>
      <c r="B94" s="3">
        <v>1</v>
      </c>
      <c r="C94" s="3">
        <v>15</v>
      </c>
      <c r="D94" s="3">
        <v>5</v>
      </c>
      <c r="E94" s="3">
        <f>((1/(INDEX(E0!J$4:J$28,C94,1)-INDEX(E0!J$4:J$28,D94,1))))*100000000</f>
        <v>0</v>
      </c>
      <c r="F94" s="4" t="str">
        <f>HYPERLINK("http://141.218.60.56/~jnz1568/getInfo.php?workbook=01_01.xlsx&amp;sheet=A0&amp;row=94&amp;col=6&amp;number=&amp;sourceID=18","")</f>
        <v/>
      </c>
      <c r="G94" s="4" t="str">
        <f>HYPERLINK("http://141.218.60.56/~jnz1568/getInfo.php?workbook=01_01.xlsx&amp;sheet=A0&amp;row=94&amp;col=7&amp;number=&amp;sourceID=15","")</f>
        <v/>
      </c>
      <c r="H94" s="4" t="str">
        <f>HYPERLINK("http://141.218.60.56/~jnz1568/getInfo.php?workbook=01_01.xlsx&amp;sheet=A0&amp;row=94&amp;col=8&amp;number=&amp;sourceID=15","")</f>
        <v/>
      </c>
      <c r="I94" s="4" t="str">
        <f>HYPERLINK("http://141.218.60.56/~jnz1568/getInfo.php?workbook=01_01.xlsx&amp;sheet=A0&amp;row=94&amp;col=9&amp;number=&amp;sourceID=15","")</f>
        <v/>
      </c>
      <c r="J94" s="4" t="str">
        <f>HYPERLINK("http://141.218.60.56/~jnz1568/getInfo.php?workbook=01_01.xlsx&amp;sheet=A0&amp;row=94&amp;col=10&amp;number=&amp;sourceID=15","")</f>
        <v/>
      </c>
      <c r="K94" s="4" t="str">
        <f>HYPERLINK("http://141.218.60.56/~jnz1568/getInfo.php?workbook=01_01.xlsx&amp;sheet=A0&amp;row=94&amp;col=11&amp;number=&amp;sourceID=15","")</f>
        <v/>
      </c>
      <c r="L94" s="4" t="str">
        <f>HYPERLINK("http://141.218.60.56/~jnz1568/getInfo.php?workbook=01_01.xlsx&amp;sheet=A0&amp;row=94&amp;col=12&amp;number=&amp;sourceID=15","")</f>
        <v/>
      </c>
      <c r="M94" s="4" t="str">
        <f>HYPERLINK("http://141.218.60.56/~jnz1568/getInfo.php?workbook=01_01.xlsx&amp;sheet=A0&amp;row=94&amp;col=13&amp;number=&amp;sourceID=15","")</f>
        <v/>
      </c>
      <c r="N94" s="4" t="str">
        <f>HYPERLINK("http://141.218.60.56/~jnz1568/getInfo.php?workbook=01_01.xlsx&amp;sheet=A0&amp;row=94&amp;col=14&amp;number==&amp;sourceID=11","=")</f>
        <v>=</v>
      </c>
      <c r="O94" s="4" t="str">
        <f>HYPERLINK("http://141.218.60.56/~jnz1568/getInfo.php?workbook=01_01.xlsx&amp;sheet=A0&amp;row=94&amp;col=15&amp;number=&amp;sourceID=11","")</f>
        <v/>
      </c>
      <c r="P94" s="4" t="str">
        <f>HYPERLINK("http://141.218.60.56/~jnz1568/getInfo.php?workbook=01_01.xlsx&amp;sheet=A0&amp;row=94&amp;col=16&amp;number=4.499&amp;sourceID=11","4.499")</f>
        <v>4.499</v>
      </c>
      <c r="Q94" s="4" t="str">
        <f>HYPERLINK("http://141.218.60.56/~jnz1568/getInfo.php?workbook=01_01.xlsx&amp;sheet=A0&amp;row=94&amp;col=17&amp;number=&amp;sourceID=11","")</f>
        <v/>
      </c>
      <c r="R94" s="4" t="str">
        <f>HYPERLINK("http://141.218.60.56/~jnz1568/getInfo.php?workbook=01_01.xlsx&amp;sheet=A0&amp;row=94&amp;col=18&amp;number=&amp;sourceID=11","")</f>
        <v/>
      </c>
      <c r="S94" s="4" t="str">
        <f>HYPERLINK("http://141.218.60.56/~jnz1568/getInfo.php?workbook=01_01.xlsx&amp;sheet=A0&amp;row=94&amp;col=19&amp;number=&amp;sourceID=11","")</f>
        <v/>
      </c>
      <c r="T94" s="4" t="str">
        <f>HYPERLINK("http://141.218.60.56/~jnz1568/getInfo.php?workbook=01_01.xlsx&amp;sheet=A0&amp;row=94&amp;col=20&amp;number=3.4e-14&amp;sourceID=11","3.4e-14")</f>
        <v>3.4e-14</v>
      </c>
      <c r="U94" s="4" t="str">
        <f>HYPERLINK("http://141.218.60.56/~jnz1568/getInfo.php?workbook=01_01.xlsx&amp;sheet=A0&amp;row=94&amp;col=21&amp;number=4.5015&amp;sourceID=12","4.5015")</f>
        <v>4.5015</v>
      </c>
      <c r="V94" s="4" t="str">
        <f>HYPERLINK("http://141.218.60.56/~jnz1568/getInfo.php?workbook=01_01.xlsx&amp;sheet=A0&amp;row=94&amp;col=22&amp;number=&amp;sourceID=12","")</f>
        <v/>
      </c>
      <c r="W94" s="4" t="str">
        <f>HYPERLINK("http://141.218.60.56/~jnz1568/getInfo.php?workbook=01_01.xlsx&amp;sheet=A0&amp;row=94&amp;col=23&amp;number=4.5015&amp;sourceID=12","4.5015")</f>
        <v>4.5015</v>
      </c>
      <c r="X94" s="4" t="str">
        <f>HYPERLINK("http://141.218.60.56/~jnz1568/getInfo.php?workbook=01_01.xlsx&amp;sheet=A0&amp;row=94&amp;col=24&amp;number=&amp;sourceID=12","")</f>
        <v/>
      </c>
      <c r="Y94" s="4" t="str">
        <f>HYPERLINK("http://141.218.60.56/~jnz1568/getInfo.php?workbook=01_01.xlsx&amp;sheet=A0&amp;row=94&amp;col=25&amp;number=&amp;sourceID=12","")</f>
        <v/>
      </c>
      <c r="Z94" s="4" t="str">
        <f>HYPERLINK("http://141.218.60.56/~jnz1568/getInfo.php?workbook=01_01.xlsx&amp;sheet=A0&amp;row=94&amp;col=26&amp;number=&amp;sourceID=12","")</f>
        <v/>
      </c>
      <c r="AA94" s="4" t="str">
        <f>HYPERLINK("http://141.218.60.56/~jnz1568/getInfo.php?workbook=01_01.xlsx&amp;sheet=A0&amp;row=94&amp;col=27&amp;number=3.4e-14&amp;sourceID=12","3.4e-14")</f>
        <v>3.4e-14</v>
      </c>
      <c r="AB94" s="4" t="str">
        <f>HYPERLINK("http://141.218.60.56/~jnz1568/getInfo.php?workbook=01_01.xlsx&amp;sheet=A0&amp;row=94&amp;col=28&amp;number==&amp;sourceID=18","=")</f>
        <v>=</v>
      </c>
      <c r="AC94" s="4" t="str">
        <f>HYPERLINK("http://141.218.60.56/~jnz1568/getInfo.php?workbook=01_01.xlsx&amp;sheet=A0&amp;row=94&amp;col=29&amp;number=&amp;sourceID=18","")</f>
        <v/>
      </c>
      <c r="AD94" s="4" t="str">
        <f>HYPERLINK("http://141.218.60.56/~jnz1568/getInfo.php?workbook=01_01.xlsx&amp;sheet=A0&amp;row=94&amp;col=30&amp;number=4.5&amp;sourceID=18","4.5")</f>
        <v>4.5</v>
      </c>
      <c r="AE94" s="4" t="str">
        <f>HYPERLINK("http://141.218.60.56/~jnz1568/getInfo.php?workbook=01_01.xlsx&amp;sheet=A0&amp;row=94&amp;col=31&amp;number=&amp;sourceID=18","")</f>
        <v/>
      </c>
      <c r="AF94" s="4" t="str">
        <f>HYPERLINK("http://141.218.60.56/~jnz1568/getInfo.php?workbook=01_01.xlsx&amp;sheet=A0&amp;row=94&amp;col=32&amp;number=&amp;sourceID=18","")</f>
        <v/>
      </c>
      <c r="AG94" s="4" t="str">
        <f>HYPERLINK("http://141.218.60.56/~jnz1568/getInfo.php?workbook=01_01.xlsx&amp;sheet=A0&amp;row=94&amp;col=33&amp;number=&amp;sourceID=18","")</f>
        <v/>
      </c>
      <c r="AH94" s="4" t="str">
        <f>HYPERLINK("http://141.218.60.56/~jnz1568/getInfo.php?workbook=01_01.xlsx&amp;sheet=A0&amp;row=94&amp;col=34&amp;number=&amp;sourceID=20","")</f>
        <v/>
      </c>
    </row>
    <row r="95" spans="1:34">
      <c r="A95" s="3">
        <v>1</v>
      </c>
      <c r="B95" s="3">
        <v>1</v>
      </c>
      <c r="C95" s="3">
        <v>15</v>
      </c>
      <c r="D95" s="3">
        <v>6</v>
      </c>
      <c r="E95" s="3">
        <f>((1/(INDEX(E0!J$4:J$28,C95,1)-INDEX(E0!J$4:J$28,D95,1))))*100000000</f>
        <v>0</v>
      </c>
      <c r="F95" s="4" t="str">
        <f>HYPERLINK("http://141.218.60.56/~jnz1568/getInfo.php?workbook=01_01.xlsx&amp;sheet=A0&amp;row=95&amp;col=6&amp;number=&amp;sourceID=18","")</f>
        <v/>
      </c>
      <c r="G95" s="4" t="str">
        <f>HYPERLINK("http://141.218.60.56/~jnz1568/getInfo.php?workbook=01_01.xlsx&amp;sheet=A0&amp;row=95&amp;col=7&amp;number=&amp;sourceID=15","")</f>
        <v/>
      </c>
      <c r="H95" s="4" t="str">
        <f>HYPERLINK("http://141.218.60.56/~jnz1568/getInfo.php?workbook=01_01.xlsx&amp;sheet=A0&amp;row=95&amp;col=8&amp;number=&amp;sourceID=15","")</f>
        <v/>
      </c>
      <c r="I95" s="4" t="str">
        <f>HYPERLINK("http://141.218.60.56/~jnz1568/getInfo.php?workbook=01_01.xlsx&amp;sheet=A0&amp;row=95&amp;col=9&amp;number=&amp;sourceID=15","")</f>
        <v/>
      </c>
      <c r="J95" s="4" t="str">
        <f>HYPERLINK("http://141.218.60.56/~jnz1568/getInfo.php?workbook=01_01.xlsx&amp;sheet=A0&amp;row=95&amp;col=10&amp;number=&amp;sourceID=15","")</f>
        <v/>
      </c>
      <c r="K95" s="4" t="str">
        <f>HYPERLINK("http://141.218.60.56/~jnz1568/getInfo.php?workbook=01_01.xlsx&amp;sheet=A0&amp;row=95&amp;col=11&amp;number=&amp;sourceID=15","")</f>
        <v/>
      </c>
      <c r="L95" s="4" t="str">
        <f>HYPERLINK("http://141.218.60.56/~jnz1568/getInfo.php?workbook=01_01.xlsx&amp;sheet=A0&amp;row=95&amp;col=12&amp;number=&amp;sourceID=15","")</f>
        <v/>
      </c>
      <c r="M95" s="4" t="str">
        <f>HYPERLINK("http://141.218.60.56/~jnz1568/getInfo.php?workbook=01_01.xlsx&amp;sheet=A0&amp;row=95&amp;col=13&amp;number=&amp;sourceID=15","")</f>
        <v/>
      </c>
      <c r="N95" s="4" t="str">
        <f>HYPERLINK("http://141.218.60.56/~jnz1568/getInfo.php?workbook=01_01.xlsx&amp;sheet=A0&amp;row=95&amp;col=14&amp;number==&amp;sourceID=11","=")</f>
        <v>=</v>
      </c>
      <c r="O95" s="4" t="str">
        <f>HYPERLINK("http://141.218.60.56/~jnz1568/getInfo.php?workbook=01_01.xlsx&amp;sheet=A0&amp;row=95&amp;col=15&amp;number=&amp;sourceID=11","")</f>
        <v/>
      </c>
      <c r="P95" s="4" t="str">
        <f>HYPERLINK("http://141.218.60.56/~jnz1568/getInfo.php?workbook=01_01.xlsx&amp;sheet=A0&amp;row=95&amp;col=16&amp;number=&amp;sourceID=11","")</f>
        <v/>
      </c>
      <c r="Q95" s="4" t="str">
        <f>HYPERLINK("http://141.218.60.56/~jnz1568/getInfo.php?workbook=01_01.xlsx&amp;sheet=A0&amp;row=95&amp;col=17&amp;number=1.1182e-06&amp;sourceID=11","1.1182e-06")</f>
        <v>1.1182e-06</v>
      </c>
      <c r="R95" s="4" t="str">
        <f>HYPERLINK("http://141.218.60.56/~jnz1568/getInfo.php?workbook=01_01.xlsx&amp;sheet=A0&amp;row=95&amp;col=18&amp;number=&amp;sourceID=11","")</f>
        <v/>
      </c>
      <c r="S95" s="4" t="str">
        <f>HYPERLINK("http://141.218.60.56/~jnz1568/getInfo.php?workbook=01_01.xlsx&amp;sheet=A0&amp;row=95&amp;col=19&amp;number=0&amp;sourceID=11","0")</f>
        <v>0</v>
      </c>
      <c r="T95" s="4" t="str">
        <f>HYPERLINK("http://141.218.60.56/~jnz1568/getInfo.php?workbook=01_01.xlsx&amp;sheet=A0&amp;row=95&amp;col=20&amp;number=&amp;sourceID=11","")</f>
        <v/>
      </c>
      <c r="U95" s="4" t="str">
        <f>HYPERLINK("http://141.218.60.56/~jnz1568/getInfo.php?workbook=01_01.xlsx&amp;sheet=A0&amp;row=95&amp;col=21&amp;number=1.1188e-06&amp;sourceID=12","1.1188e-06")</f>
        <v>1.1188e-06</v>
      </c>
      <c r="V95" s="4" t="str">
        <f>HYPERLINK("http://141.218.60.56/~jnz1568/getInfo.php?workbook=01_01.xlsx&amp;sheet=A0&amp;row=95&amp;col=22&amp;number=&amp;sourceID=12","")</f>
        <v/>
      </c>
      <c r="W95" s="4" t="str">
        <f>HYPERLINK("http://141.218.60.56/~jnz1568/getInfo.php?workbook=01_01.xlsx&amp;sheet=A0&amp;row=95&amp;col=23&amp;number=&amp;sourceID=12","")</f>
        <v/>
      </c>
      <c r="X95" s="4" t="str">
        <f>HYPERLINK("http://141.218.60.56/~jnz1568/getInfo.php?workbook=01_01.xlsx&amp;sheet=A0&amp;row=95&amp;col=24&amp;number=1.1188e-06&amp;sourceID=12","1.1188e-06")</f>
        <v>1.1188e-06</v>
      </c>
      <c r="Y95" s="4" t="str">
        <f>HYPERLINK("http://141.218.60.56/~jnz1568/getInfo.php?workbook=01_01.xlsx&amp;sheet=A0&amp;row=95&amp;col=25&amp;number=&amp;sourceID=12","")</f>
        <v/>
      </c>
      <c r="Z95" s="4" t="str">
        <f>HYPERLINK("http://141.218.60.56/~jnz1568/getInfo.php?workbook=01_01.xlsx&amp;sheet=A0&amp;row=95&amp;col=26&amp;number=0&amp;sourceID=12","0")</f>
        <v>0</v>
      </c>
      <c r="AA95" s="4" t="str">
        <f>HYPERLINK("http://141.218.60.56/~jnz1568/getInfo.php?workbook=01_01.xlsx&amp;sheet=A0&amp;row=95&amp;col=27&amp;number=&amp;sourceID=12","")</f>
        <v/>
      </c>
      <c r="AB95" s="4" t="str">
        <f>HYPERLINK("http://141.218.60.56/~jnz1568/getInfo.php?workbook=01_01.xlsx&amp;sheet=A0&amp;row=95&amp;col=28&amp;number==&amp;sourceID=18","=")</f>
        <v>=</v>
      </c>
      <c r="AC95" s="4" t="str">
        <f>HYPERLINK("http://141.218.60.56/~jnz1568/getInfo.php?workbook=01_01.xlsx&amp;sheet=A0&amp;row=95&amp;col=29&amp;number=&amp;sourceID=18","")</f>
        <v/>
      </c>
      <c r="AD95" s="4" t="str">
        <f>HYPERLINK("http://141.218.60.56/~jnz1568/getInfo.php?workbook=01_01.xlsx&amp;sheet=A0&amp;row=95&amp;col=30&amp;number=&amp;sourceID=18","")</f>
        <v/>
      </c>
      <c r="AE95" s="4" t="str">
        <f>HYPERLINK("http://141.218.60.56/~jnz1568/getInfo.php?workbook=01_01.xlsx&amp;sheet=A0&amp;row=95&amp;col=31&amp;number=1.12e-06&amp;sourceID=18","1.12e-06")</f>
        <v>1.12e-06</v>
      </c>
      <c r="AF95" s="4" t="str">
        <f>HYPERLINK("http://141.218.60.56/~jnz1568/getInfo.php?workbook=01_01.xlsx&amp;sheet=A0&amp;row=95&amp;col=32&amp;number=&amp;sourceID=18","")</f>
        <v/>
      </c>
      <c r="AG95" s="4" t="str">
        <f>HYPERLINK("http://141.218.60.56/~jnz1568/getInfo.php?workbook=01_01.xlsx&amp;sheet=A0&amp;row=95&amp;col=33&amp;number=&amp;sourceID=18","")</f>
        <v/>
      </c>
      <c r="AH95" s="4" t="str">
        <f>HYPERLINK("http://141.218.60.56/~jnz1568/getInfo.php?workbook=01_01.xlsx&amp;sheet=A0&amp;row=95&amp;col=34&amp;number=&amp;sourceID=20","")</f>
        <v/>
      </c>
    </row>
    <row r="96" spans="1:34">
      <c r="A96" s="3">
        <v>1</v>
      </c>
      <c r="B96" s="3">
        <v>1</v>
      </c>
      <c r="C96" s="3">
        <v>15</v>
      </c>
      <c r="D96" s="3">
        <v>7</v>
      </c>
      <c r="E96" s="3">
        <f>((1/(INDEX(E0!J$4:J$28,C96,1)-INDEX(E0!J$4:J$28,D96,1))))*100000000</f>
        <v>0</v>
      </c>
      <c r="F96" s="4" t="str">
        <f>HYPERLINK("http://141.218.60.56/~jnz1568/getInfo.php?workbook=01_01.xlsx&amp;sheet=A0&amp;row=96&amp;col=6&amp;number=&amp;sourceID=18","")</f>
        <v/>
      </c>
      <c r="G96" s="4" t="str">
        <f>HYPERLINK("http://141.218.60.56/~jnz1568/getInfo.php?workbook=01_01.xlsx&amp;sheet=A0&amp;row=96&amp;col=7&amp;number=12869000&amp;sourceID=15","12869000")</f>
        <v>12869000</v>
      </c>
      <c r="H96" s="4" t="str">
        <f>HYPERLINK("http://141.218.60.56/~jnz1568/getInfo.php?workbook=01_01.xlsx&amp;sheet=A0&amp;row=96&amp;col=8&amp;number=12869000&amp;sourceID=15","12869000")</f>
        <v>12869000</v>
      </c>
      <c r="I96" s="4" t="str">
        <f>HYPERLINK("http://141.218.60.56/~jnz1568/getInfo.php?workbook=01_01.xlsx&amp;sheet=A0&amp;row=96&amp;col=9&amp;number=&amp;sourceID=15","")</f>
        <v/>
      </c>
      <c r="J96" s="4" t="str">
        <f>HYPERLINK("http://141.218.60.56/~jnz1568/getInfo.php?workbook=01_01.xlsx&amp;sheet=A0&amp;row=96&amp;col=10&amp;number=&amp;sourceID=15","")</f>
        <v/>
      </c>
      <c r="K96" s="4" t="str">
        <f>HYPERLINK("http://141.218.60.56/~jnz1568/getInfo.php?workbook=01_01.xlsx&amp;sheet=A0&amp;row=96&amp;col=11&amp;number=&amp;sourceID=15","")</f>
        <v/>
      </c>
      <c r="L96" s="4" t="str">
        <f>HYPERLINK("http://141.218.60.56/~jnz1568/getInfo.php?workbook=01_01.xlsx&amp;sheet=A0&amp;row=96&amp;col=12&amp;number=&amp;sourceID=15","")</f>
        <v/>
      </c>
      <c r="M96" s="4" t="str">
        <f>HYPERLINK("http://141.218.60.56/~jnz1568/getInfo.php?workbook=01_01.xlsx&amp;sheet=A0&amp;row=96&amp;col=13&amp;number=&amp;sourceID=15","")</f>
        <v/>
      </c>
      <c r="N96" s="4" t="str">
        <f>HYPERLINK("http://141.218.60.56/~jnz1568/getInfo.php?workbook=01_01.xlsx&amp;sheet=A0&amp;row=96&amp;col=14&amp;number==&amp;sourceID=11","=")</f>
        <v>=</v>
      </c>
      <c r="O96" s="4" t="str">
        <f>HYPERLINK("http://141.218.60.56/~jnz1568/getInfo.php?workbook=01_01.xlsx&amp;sheet=A0&amp;row=96&amp;col=15&amp;number=12869000&amp;sourceID=11","12869000")</f>
        <v>12869000</v>
      </c>
      <c r="P96" s="4" t="str">
        <f>HYPERLINK("http://141.218.60.56/~jnz1568/getInfo.php?workbook=01_01.xlsx&amp;sheet=A0&amp;row=96&amp;col=16&amp;number=&amp;sourceID=11","")</f>
        <v/>
      </c>
      <c r="Q96" s="4" t="str">
        <f>HYPERLINK("http://141.218.60.56/~jnz1568/getInfo.php?workbook=01_01.xlsx&amp;sheet=A0&amp;row=96&amp;col=17&amp;number=3.2324e-07&amp;sourceID=11","3.2324e-07")</f>
        <v>3.2324e-07</v>
      </c>
      <c r="R96" s="4" t="str">
        <f>HYPERLINK("http://141.218.60.56/~jnz1568/getInfo.php?workbook=01_01.xlsx&amp;sheet=A0&amp;row=96&amp;col=18&amp;number=&amp;sourceID=11","")</f>
        <v/>
      </c>
      <c r="S96" s="4" t="str">
        <f>HYPERLINK("http://141.218.60.56/~jnz1568/getInfo.php?workbook=01_01.xlsx&amp;sheet=A0&amp;row=96&amp;col=19&amp;number=9.6243e-07&amp;sourceID=11","9.6243e-07")</f>
        <v>9.6243e-07</v>
      </c>
      <c r="T96" s="4" t="str">
        <f>HYPERLINK("http://141.218.60.56/~jnz1568/getInfo.php?workbook=01_01.xlsx&amp;sheet=A0&amp;row=96&amp;col=20&amp;number=&amp;sourceID=11","")</f>
        <v/>
      </c>
      <c r="U96" s="4" t="str">
        <f>HYPERLINK("http://141.218.60.56/~jnz1568/getInfo.php?workbook=01_01.xlsx&amp;sheet=A0&amp;row=96&amp;col=21&amp;number=12876000&amp;sourceID=12","12876000")</f>
        <v>12876000</v>
      </c>
      <c r="V96" s="4" t="str">
        <f>HYPERLINK("http://141.218.60.56/~jnz1568/getInfo.php?workbook=01_01.xlsx&amp;sheet=A0&amp;row=96&amp;col=22&amp;number=12876000&amp;sourceID=12","12876000")</f>
        <v>12876000</v>
      </c>
      <c r="W96" s="4" t="str">
        <f>HYPERLINK("http://141.218.60.56/~jnz1568/getInfo.php?workbook=01_01.xlsx&amp;sheet=A0&amp;row=96&amp;col=23&amp;number=&amp;sourceID=12","")</f>
        <v/>
      </c>
      <c r="X96" s="4" t="str">
        <f>HYPERLINK("http://141.218.60.56/~jnz1568/getInfo.php?workbook=01_01.xlsx&amp;sheet=A0&amp;row=96&amp;col=24&amp;number=3.2342e-07&amp;sourceID=12","3.2342e-07")</f>
        <v>3.2342e-07</v>
      </c>
      <c r="Y96" s="4" t="str">
        <f>HYPERLINK("http://141.218.60.56/~jnz1568/getInfo.php?workbook=01_01.xlsx&amp;sheet=A0&amp;row=96&amp;col=25&amp;number=&amp;sourceID=12","")</f>
        <v/>
      </c>
      <c r="Z96" s="4" t="str">
        <f>HYPERLINK("http://141.218.60.56/~jnz1568/getInfo.php?workbook=01_01.xlsx&amp;sheet=A0&amp;row=96&amp;col=26&amp;number=9.6295e-07&amp;sourceID=12","9.6295e-07")</f>
        <v>9.6295e-07</v>
      </c>
      <c r="AA96" s="4" t="str">
        <f>HYPERLINK("http://141.218.60.56/~jnz1568/getInfo.php?workbook=01_01.xlsx&amp;sheet=A0&amp;row=96&amp;col=27&amp;number=&amp;sourceID=12","")</f>
        <v/>
      </c>
      <c r="AB96" s="4" t="str">
        <f>HYPERLINK("http://141.218.60.56/~jnz1568/getInfo.php?workbook=01_01.xlsx&amp;sheet=A0&amp;row=96&amp;col=28&amp;number==&amp;sourceID=18","=")</f>
        <v>=</v>
      </c>
      <c r="AC96" s="4" t="str">
        <f>HYPERLINK("http://141.218.60.56/~jnz1568/getInfo.php?workbook=01_01.xlsx&amp;sheet=A0&amp;row=96&amp;col=29&amp;number=12900000&amp;sourceID=18","12900000")</f>
        <v>12900000</v>
      </c>
      <c r="AD96" s="4" t="str">
        <f>HYPERLINK("http://141.218.60.56/~jnz1568/getInfo.php?workbook=01_01.xlsx&amp;sheet=A0&amp;row=96&amp;col=30&amp;number=&amp;sourceID=18","")</f>
        <v/>
      </c>
      <c r="AE96" s="4" t="str">
        <f>HYPERLINK("http://141.218.60.56/~jnz1568/getInfo.php?workbook=01_01.xlsx&amp;sheet=A0&amp;row=96&amp;col=31&amp;number=&amp;sourceID=18","")</f>
        <v/>
      </c>
      <c r="AF96" s="4" t="str">
        <f>HYPERLINK("http://141.218.60.56/~jnz1568/getInfo.php?workbook=01_01.xlsx&amp;sheet=A0&amp;row=96&amp;col=32&amp;number=&amp;sourceID=18","")</f>
        <v/>
      </c>
      <c r="AG96" s="4" t="str">
        <f>HYPERLINK("http://141.218.60.56/~jnz1568/getInfo.php?workbook=01_01.xlsx&amp;sheet=A0&amp;row=96&amp;col=33&amp;number=&amp;sourceID=18","")</f>
        <v/>
      </c>
      <c r="AH96" s="4" t="str">
        <f>HYPERLINK("http://141.218.60.56/~jnz1568/getInfo.php?workbook=01_01.xlsx&amp;sheet=A0&amp;row=96&amp;col=34&amp;number=&amp;sourceID=20","")</f>
        <v/>
      </c>
    </row>
    <row r="97" spans="1:34">
      <c r="A97" s="3">
        <v>1</v>
      </c>
      <c r="B97" s="3">
        <v>1</v>
      </c>
      <c r="C97" s="3">
        <v>15</v>
      </c>
      <c r="D97" s="3">
        <v>8</v>
      </c>
      <c r="E97" s="3">
        <f>((1/(INDEX(E0!J$4:J$28,C97,1)-INDEX(E0!J$4:J$28,D97,1))))*100000000</f>
        <v>0</v>
      </c>
      <c r="F97" s="4" t="str">
        <f>HYPERLINK("http://141.218.60.56/~jnz1568/getInfo.php?workbook=01_01.xlsx&amp;sheet=A0&amp;row=97&amp;col=6&amp;number=&amp;sourceID=18","")</f>
        <v/>
      </c>
      <c r="G97" s="4" t="str">
        <f>HYPERLINK("http://141.218.60.56/~jnz1568/getInfo.php?workbook=01_01.xlsx&amp;sheet=A0&amp;row=97&amp;col=7&amp;number=&amp;sourceID=15","")</f>
        <v/>
      </c>
      <c r="H97" s="4" t="str">
        <f>HYPERLINK("http://141.218.60.56/~jnz1568/getInfo.php?workbook=01_01.xlsx&amp;sheet=A0&amp;row=97&amp;col=8&amp;number=&amp;sourceID=15","")</f>
        <v/>
      </c>
      <c r="I97" s="4" t="str">
        <f>HYPERLINK("http://141.218.60.56/~jnz1568/getInfo.php?workbook=01_01.xlsx&amp;sheet=A0&amp;row=97&amp;col=9&amp;number=&amp;sourceID=15","")</f>
        <v/>
      </c>
      <c r="J97" s="4" t="str">
        <f>HYPERLINK("http://141.218.60.56/~jnz1568/getInfo.php?workbook=01_01.xlsx&amp;sheet=A0&amp;row=97&amp;col=10&amp;number=&amp;sourceID=15","")</f>
        <v/>
      </c>
      <c r="K97" s="4" t="str">
        <f>HYPERLINK("http://141.218.60.56/~jnz1568/getInfo.php?workbook=01_01.xlsx&amp;sheet=A0&amp;row=97&amp;col=11&amp;number=&amp;sourceID=15","")</f>
        <v/>
      </c>
      <c r="L97" s="4" t="str">
        <f>HYPERLINK("http://141.218.60.56/~jnz1568/getInfo.php?workbook=01_01.xlsx&amp;sheet=A0&amp;row=97&amp;col=12&amp;number=&amp;sourceID=15","")</f>
        <v/>
      </c>
      <c r="M97" s="4" t="str">
        <f>HYPERLINK("http://141.218.60.56/~jnz1568/getInfo.php?workbook=01_01.xlsx&amp;sheet=A0&amp;row=97&amp;col=13&amp;number=&amp;sourceID=15","")</f>
        <v/>
      </c>
      <c r="N97" s="4" t="str">
        <f>HYPERLINK("http://141.218.60.56/~jnz1568/getInfo.php?workbook=01_01.xlsx&amp;sheet=A0&amp;row=97&amp;col=14&amp;number==&amp;sourceID=11","=")</f>
        <v>=</v>
      </c>
      <c r="O97" s="4" t="str">
        <f>HYPERLINK("http://141.218.60.56/~jnz1568/getInfo.php?workbook=01_01.xlsx&amp;sheet=A0&amp;row=97&amp;col=15&amp;number=&amp;sourceID=11","")</f>
        <v/>
      </c>
      <c r="P97" s="4" t="str">
        <f>HYPERLINK("http://141.218.60.56/~jnz1568/getInfo.php?workbook=01_01.xlsx&amp;sheet=A0&amp;row=97&amp;col=16&amp;number=1.2853&amp;sourceID=11","1.2853")</f>
        <v>1.2853</v>
      </c>
      <c r="Q97" s="4" t="str">
        <f>HYPERLINK("http://141.218.60.56/~jnz1568/getInfo.php?workbook=01_01.xlsx&amp;sheet=A0&amp;row=97&amp;col=17&amp;number=&amp;sourceID=11","")</f>
        <v/>
      </c>
      <c r="R97" s="4" t="str">
        <f>HYPERLINK("http://141.218.60.56/~jnz1568/getInfo.php?workbook=01_01.xlsx&amp;sheet=A0&amp;row=97&amp;col=18&amp;number=1.449e-12&amp;sourceID=11","1.449e-12")</f>
        <v>1.449e-12</v>
      </c>
      <c r="S97" s="4" t="str">
        <f>HYPERLINK("http://141.218.60.56/~jnz1568/getInfo.php?workbook=01_01.xlsx&amp;sheet=A0&amp;row=97&amp;col=19&amp;number=&amp;sourceID=11","")</f>
        <v/>
      </c>
      <c r="T97" s="4" t="str">
        <f>HYPERLINK("http://141.218.60.56/~jnz1568/getInfo.php?workbook=01_01.xlsx&amp;sheet=A0&amp;row=97&amp;col=20&amp;number=7e-15&amp;sourceID=11","7e-15")</f>
        <v>7e-15</v>
      </c>
      <c r="U97" s="4" t="str">
        <f>HYPERLINK("http://141.218.60.56/~jnz1568/getInfo.php?workbook=01_01.xlsx&amp;sheet=A0&amp;row=97&amp;col=21&amp;number=1.286&amp;sourceID=12","1.286")</f>
        <v>1.286</v>
      </c>
      <c r="V97" s="4" t="str">
        <f>HYPERLINK("http://141.218.60.56/~jnz1568/getInfo.php?workbook=01_01.xlsx&amp;sheet=A0&amp;row=97&amp;col=22&amp;number=&amp;sourceID=12","")</f>
        <v/>
      </c>
      <c r="W97" s="4" t="str">
        <f>HYPERLINK("http://141.218.60.56/~jnz1568/getInfo.php?workbook=01_01.xlsx&amp;sheet=A0&amp;row=97&amp;col=23&amp;number=1.286&amp;sourceID=12","1.286")</f>
        <v>1.286</v>
      </c>
      <c r="X97" s="4" t="str">
        <f>HYPERLINK("http://141.218.60.56/~jnz1568/getInfo.php?workbook=01_01.xlsx&amp;sheet=A0&amp;row=97&amp;col=24&amp;number=&amp;sourceID=12","")</f>
        <v/>
      </c>
      <c r="Y97" s="4" t="str">
        <f>HYPERLINK("http://141.218.60.56/~jnz1568/getInfo.php?workbook=01_01.xlsx&amp;sheet=A0&amp;row=97&amp;col=25&amp;number=1.449e-12&amp;sourceID=12","1.449e-12")</f>
        <v>1.449e-12</v>
      </c>
      <c r="Z97" s="4" t="str">
        <f>HYPERLINK("http://141.218.60.56/~jnz1568/getInfo.php?workbook=01_01.xlsx&amp;sheet=A0&amp;row=97&amp;col=26&amp;number=&amp;sourceID=12","")</f>
        <v/>
      </c>
      <c r="AA97" s="4" t="str">
        <f>HYPERLINK("http://141.218.60.56/~jnz1568/getInfo.php?workbook=01_01.xlsx&amp;sheet=A0&amp;row=97&amp;col=27&amp;number=7e-15&amp;sourceID=12","7e-15")</f>
        <v>7e-15</v>
      </c>
      <c r="AB97" s="4" t="str">
        <f>HYPERLINK("http://141.218.60.56/~jnz1568/getInfo.php?workbook=01_01.xlsx&amp;sheet=A0&amp;row=97&amp;col=28&amp;number==&amp;sourceID=18","=")</f>
        <v>=</v>
      </c>
      <c r="AC97" s="4" t="str">
        <f>HYPERLINK("http://141.218.60.56/~jnz1568/getInfo.php?workbook=01_01.xlsx&amp;sheet=A0&amp;row=97&amp;col=29&amp;number=&amp;sourceID=18","")</f>
        <v/>
      </c>
      <c r="AD97" s="4" t="str">
        <f>HYPERLINK("http://141.218.60.56/~jnz1568/getInfo.php?workbook=01_01.xlsx&amp;sheet=A0&amp;row=97&amp;col=30&amp;number=1.29&amp;sourceID=18","1.29")</f>
        <v>1.29</v>
      </c>
      <c r="AE97" s="4" t="str">
        <f>HYPERLINK("http://141.218.60.56/~jnz1568/getInfo.php?workbook=01_01.xlsx&amp;sheet=A0&amp;row=97&amp;col=31&amp;number=&amp;sourceID=18","")</f>
        <v/>
      </c>
      <c r="AF97" s="4" t="str">
        <f>HYPERLINK("http://141.218.60.56/~jnz1568/getInfo.php?workbook=01_01.xlsx&amp;sheet=A0&amp;row=97&amp;col=32&amp;number=2.4e-12&amp;sourceID=18","2.4e-12")</f>
        <v>2.4e-12</v>
      </c>
      <c r="AG97" s="4" t="str">
        <f>HYPERLINK("http://141.218.60.56/~jnz1568/getInfo.php?workbook=01_01.xlsx&amp;sheet=A0&amp;row=97&amp;col=33&amp;number=&amp;sourceID=18","")</f>
        <v/>
      </c>
      <c r="AH97" s="4" t="str">
        <f>HYPERLINK("http://141.218.60.56/~jnz1568/getInfo.php?workbook=01_01.xlsx&amp;sheet=A0&amp;row=97&amp;col=34&amp;number=&amp;sourceID=20","")</f>
        <v/>
      </c>
    </row>
    <row r="98" spans="1:34">
      <c r="A98" s="3">
        <v>1</v>
      </c>
      <c r="B98" s="3">
        <v>1</v>
      </c>
      <c r="C98" s="3">
        <v>15</v>
      </c>
      <c r="D98" s="3">
        <v>9</v>
      </c>
      <c r="E98" s="3">
        <f>((1/(INDEX(E0!J$4:J$28,C98,1)-INDEX(E0!J$4:J$28,D98,1))))*100000000</f>
        <v>0</v>
      </c>
      <c r="F98" s="4" t="str">
        <f>HYPERLINK("http://141.218.60.56/~jnz1568/getInfo.php?workbook=01_01.xlsx&amp;sheet=A0&amp;row=98&amp;col=6&amp;number=&amp;sourceID=18","")</f>
        <v/>
      </c>
      <c r="G98" s="4" t="str">
        <f>HYPERLINK("http://141.218.60.56/~jnz1568/getInfo.php?workbook=01_01.xlsx&amp;sheet=A0&amp;row=98&amp;col=7&amp;number=919200&amp;sourceID=15","919200")</f>
        <v>919200</v>
      </c>
      <c r="H98" s="4" t="str">
        <f>HYPERLINK("http://141.218.60.56/~jnz1568/getInfo.php?workbook=01_01.xlsx&amp;sheet=A0&amp;row=98&amp;col=8&amp;number=919200&amp;sourceID=15","919200")</f>
        <v>919200</v>
      </c>
      <c r="I98" s="4" t="str">
        <f>HYPERLINK("http://141.218.60.56/~jnz1568/getInfo.php?workbook=01_01.xlsx&amp;sheet=A0&amp;row=98&amp;col=9&amp;number=&amp;sourceID=15","")</f>
        <v/>
      </c>
      <c r="J98" s="4" t="str">
        <f>HYPERLINK("http://141.218.60.56/~jnz1568/getInfo.php?workbook=01_01.xlsx&amp;sheet=A0&amp;row=98&amp;col=10&amp;number=&amp;sourceID=15","")</f>
        <v/>
      </c>
      <c r="K98" s="4" t="str">
        <f>HYPERLINK("http://141.218.60.56/~jnz1568/getInfo.php?workbook=01_01.xlsx&amp;sheet=A0&amp;row=98&amp;col=11&amp;number=&amp;sourceID=15","")</f>
        <v/>
      </c>
      <c r="L98" s="4" t="str">
        <f>HYPERLINK("http://141.218.60.56/~jnz1568/getInfo.php?workbook=01_01.xlsx&amp;sheet=A0&amp;row=98&amp;col=12&amp;number=&amp;sourceID=15","")</f>
        <v/>
      </c>
      <c r="M98" s="4" t="str">
        <f>HYPERLINK("http://141.218.60.56/~jnz1568/getInfo.php?workbook=01_01.xlsx&amp;sheet=A0&amp;row=98&amp;col=13&amp;number=&amp;sourceID=15","")</f>
        <v/>
      </c>
      <c r="N98" s="4" t="str">
        <f>HYPERLINK("http://141.218.60.56/~jnz1568/getInfo.php?workbook=01_01.xlsx&amp;sheet=A0&amp;row=98&amp;col=14&amp;number==&amp;sourceID=11","=")</f>
        <v>=</v>
      </c>
      <c r="O98" s="4" t="str">
        <f>HYPERLINK("http://141.218.60.56/~jnz1568/getInfo.php?workbook=01_01.xlsx&amp;sheet=A0&amp;row=98&amp;col=15&amp;number=919190&amp;sourceID=11","919190")</f>
        <v>919190</v>
      </c>
      <c r="P98" s="4" t="str">
        <f>HYPERLINK("http://141.218.60.56/~jnz1568/getInfo.php?workbook=01_01.xlsx&amp;sheet=A0&amp;row=98&amp;col=16&amp;number=&amp;sourceID=11","")</f>
        <v/>
      </c>
      <c r="Q98" s="4" t="str">
        <f>HYPERLINK("http://141.218.60.56/~jnz1568/getInfo.php?workbook=01_01.xlsx&amp;sheet=A0&amp;row=98&amp;col=17&amp;number=2.1549e-07&amp;sourceID=11","2.1549e-07")</f>
        <v>2.1549e-07</v>
      </c>
      <c r="R98" s="4" t="str">
        <f>HYPERLINK("http://141.218.60.56/~jnz1568/getInfo.php?workbook=01_01.xlsx&amp;sheet=A0&amp;row=98&amp;col=18&amp;number=&amp;sourceID=11","")</f>
        <v/>
      </c>
      <c r="S98" s="4" t="str">
        <f>HYPERLINK("http://141.218.60.56/~jnz1568/getInfo.php?workbook=01_01.xlsx&amp;sheet=A0&amp;row=98&amp;col=19&amp;number=&amp;sourceID=11","")</f>
        <v/>
      </c>
      <c r="T98" s="4" t="str">
        <f>HYPERLINK("http://141.218.60.56/~jnz1568/getInfo.php?workbook=01_01.xlsx&amp;sheet=A0&amp;row=98&amp;col=20&amp;number=&amp;sourceID=11","")</f>
        <v/>
      </c>
      <c r="U98" s="4" t="str">
        <f>HYPERLINK("http://141.218.60.56/~jnz1568/getInfo.php?workbook=01_01.xlsx&amp;sheet=A0&amp;row=98&amp;col=21&amp;number=919700&amp;sourceID=12","919700")</f>
        <v>919700</v>
      </c>
      <c r="V98" s="4" t="str">
        <f>HYPERLINK("http://141.218.60.56/~jnz1568/getInfo.php?workbook=01_01.xlsx&amp;sheet=A0&amp;row=98&amp;col=22&amp;number=919700&amp;sourceID=12","919700")</f>
        <v>919700</v>
      </c>
      <c r="W98" s="4" t="str">
        <f>HYPERLINK("http://141.218.60.56/~jnz1568/getInfo.php?workbook=01_01.xlsx&amp;sheet=A0&amp;row=98&amp;col=23&amp;number=&amp;sourceID=12","")</f>
        <v/>
      </c>
      <c r="X98" s="4" t="str">
        <f>HYPERLINK("http://141.218.60.56/~jnz1568/getInfo.php?workbook=01_01.xlsx&amp;sheet=A0&amp;row=98&amp;col=24&amp;number=2.1561e-07&amp;sourceID=12","2.1561e-07")</f>
        <v>2.1561e-07</v>
      </c>
      <c r="Y98" s="4" t="str">
        <f>HYPERLINK("http://141.218.60.56/~jnz1568/getInfo.php?workbook=01_01.xlsx&amp;sheet=A0&amp;row=98&amp;col=25&amp;number=&amp;sourceID=12","")</f>
        <v/>
      </c>
      <c r="Z98" s="4" t="str">
        <f>HYPERLINK("http://141.218.60.56/~jnz1568/getInfo.php?workbook=01_01.xlsx&amp;sheet=A0&amp;row=98&amp;col=26&amp;number=&amp;sourceID=12","")</f>
        <v/>
      </c>
      <c r="AA98" s="4" t="str">
        <f>HYPERLINK("http://141.218.60.56/~jnz1568/getInfo.php?workbook=01_01.xlsx&amp;sheet=A0&amp;row=98&amp;col=27&amp;number=&amp;sourceID=12","")</f>
        <v/>
      </c>
      <c r="AB98" s="4" t="str">
        <f>HYPERLINK("http://141.218.60.56/~jnz1568/getInfo.php?workbook=01_01.xlsx&amp;sheet=A0&amp;row=98&amp;col=28&amp;number==&amp;sourceID=18","=")</f>
        <v>=</v>
      </c>
      <c r="AC98" s="4" t="str">
        <f>HYPERLINK("http://141.218.60.56/~jnz1568/getInfo.php?workbook=01_01.xlsx&amp;sheet=A0&amp;row=98&amp;col=29&amp;number=920000&amp;sourceID=18","920000")</f>
        <v>920000</v>
      </c>
      <c r="AD98" s="4" t="str">
        <f>HYPERLINK("http://141.218.60.56/~jnz1568/getInfo.php?workbook=01_01.xlsx&amp;sheet=A0&amp;row=98&amp;col=30&amp;number=&amp;sourceID=18","")</f>
        <v/>
      </c>
      <c r="AE98" s="4" t="str">
        <f>HYPERLINK("http://141.218.60.56/~jnz1568/getInfo.php?workbook=01_01.xlsx&amp;sheet=A0&amp;row=98&amp;col=31&amp;number=&amp;sourceID=18","")</f>
        <v/>
      </c>
      <c r="AF98" s="4" t="str">
        <f>HYPERLINK("http://141.218.60.56/~jnz1568/getInfo.php?workbook=01_01.xlsx&amp;sheet=A0&amp;row=98&amp;col=32&amp;number=&amp;sourceID=18","")</f>
        <v/>
      </c>
      <c r="AG98" s="4" t="str">
        <f>HYPERLINK("http://141.218.60.56/~jnz1568/getInfo.php?workbook=01_01.xlsx&amp;sheet=A0&amp;row=98&amp;col=33&amp;number=&amp;sourceID=18","")</f>
        <v/>
      </c>
      <c r="AH98" s="4" t="str">
        <f>HYPERLINK("http://141.218.60.56/~jnz1568/getInfo.php?workbook=01_01.xlsx&amp;sheet=A0&amp;row=98&amp;col=34&amp;number=&amp;sourceID=20","")</f>
        <v/>
      </c>
    </row>
    <row r="99" spans="1:34">
      <c r="A99" s="3">
        <v>1</v>
      </c>
      <c r="B99" s="3">
        <v>1</v>
      </c>
      <c r="C99" s="3">
        <v>15</v>
      </c>
      <c r="D99" s="3">
        <v>10</v>
      </c>
      <c r="E99" s="3">
        <f>((1/(INDEX(E0!J$4:J$28,C99,1)-INDEX(E0!J$4:J$28,D99,1))))*100000000</f>
        <v>0</v>
      </c>
      <c r="F99" s="4" t="str">
        <f>HYPERLINK("http://141.218.60.56/~jnz1568/getInfo.php?workbook=01_01.xlsx&amp;sheet=A0&amp;row=99&amp;col=6&amp;number=&amp;sourceID=18","")</f>
        <v/>
      </c>
      <c r="G99" s="4" t="str">
        <f>HYPERLINK("http://141.218.60.56/~jnz1568/getInfo.php?workbook=01_01.xlsx&amp;sheet=A0&amp;row=99&amp;col=7&amp;number=&amp;sourceID=15","")</f>
        <v/>
      </c>
      <c r="H99" s="4" t="str">
        <f>HYPERLINK("http://141.218.60.56/~jnz1568/getInfo.php?workbook=01_01.xlsx&amp;sheet=A0&amp;row=99&amp;col=8&amp;number=&amp;sourceID=15","")</f>
        <v/>
      </c>
      <c r="I99" s="4" t="str">
        <f>HYPERLINK("http://141.218.60.56/~jnz1568/getInfo.php?workbook=01_01.xlsx&amp;sheet=A0&amp;row=99&amp;col=9&amp;number=&amp;sourceID=15","")</f>
        <v/>
      </c>
      <c r="J99" s="4" t="str">
        <f>HYPERLINK("http://141.218.60.56/~jnz1568/getInfo.php?workbook=01_01.xlsx&amp;sheet=A0&amp;row=99&amp;col=10&amp;number=&amp;sourceID=15","")</f>
        <v/>
      </c>
      <c r="K99" s="4" t="str">
        <f>HYPERLINK("http://141.218.60.56/~jnz1568/getInfo.php?workbook=01_01.xlsx&amp;sheet=A0&amp;row=99&amp;col=11&amp;number=&amp;sourceID=15","")</f>
        <v/>
      </c>
      <c r="L99" s="4" t="str">
        <f>HYPERLINK("http://141.218.60.56/~jnz1568/getInfo.php?workbook=01_01.xlsx&amp;sheet=A0&amp;row=99&amp;col=12&amp;number=&amp;sourceID=15","")</f>
        <v/>
      </c>
      <c r="M99" s="4" t="str">
        <f>HYPERLINK("http://141.218.60.56/~jnz1568/getInfo.php?workbook=01_01.xlsx&amp;sheet=A0&amp;row=99&amp;col=13&amp;number=&amp;sourceID=15","")</f>
        <v/>
      </c>
      <c r="N99" s="4" t="str">
        <f>HYPERLINK("http://141.218.60.56/~jnz1568/getInfo.php?workbook=01_01.xlsx&amp;sheet=A0&amp;row=99&amp;col=14&amp;number==&amp;sourceID=11","=")</f>
        <v>=</v>
      </c>
      <c r="O99" s="4" t="str">
        <f>HYPERLINK("http://141.218.60.56/~jnz1568/getInfo.php?workbook=01_01.xlsx&amp;sheet=A0&amp;row=99&amp;col=15&amp;number=&amp;sourceID=11","")</f>
        <v/>
      </c>
      <c r="P99" s="4" t="str">
        <f>HYPERLINK("http://141.218.60.56/~jnz1568/getInfo.php?workbook=01_01.xlsx&amp;sheet=A0&amp;row=99&amp;col=16&amp;number=0&amp;sourceID=11","0")</f>
        <v>0</v>
      </c>
      <c r="Q99" s="4" t="str">
        <f>HYPERLINK("http://141.218.60.56/~jnz1568/getInfo.php?workbook=01_01.xlsx&amp;sheet=A0&amp;row=99&amp;col=17&amp;number=&amp;sourceID=11","")</f>
        <v/>
      </c>
      <c r="R99" s="4" t="str">
        <f>HYPERLINK("http://141.218.60.56/~jnz1568/getInfo.php?workbook=01_01.xlsx&amp;sheet=A0&amp;row=99&amp;col=18&amp;number=&amp;sourceID=11","")</f>
        <v/>
      </c>
      <c r="S99" s="4" t="str">
        <f>HYPERLINK("http://141.218.60.56/~jnz1568/getInfo.php?workbook=01_01.xlsx&amp;sheet=A0&amp;row=99&amp;col=19&amp;number=&amp;sourceID=11","")</f>
        <v/>
      </c>
      <c r="T99" s="4" t="str">
        <f>HYPERLINK("http://141.218.60.56/~jnz1568/getInfo.php?workbook=01_01.xlsx&amp;sheet=A0&amp;row=99&amp;col=20&amp;number=0&amp;sourceID=11","0")</f>
        <v>0</v>
      </c>
      <c r="U99" s="4" t="str">
        <f>HYPERLINK("http://141.218.60.56/~jnz1568/getInfo.php?workbook=01_01.xlsx&amp;sheet=A0&amp;row=99&amp;col=21&amp;number=0&amp;sourceID=12","0")</f>
        <v>0</v>
      </c>
      <c r="V99" s="4" t="str">
        <f>HYPERLINK("http://141.218.60.56/~jnz1568/getInfo.php?workbook=01_01.xlsx&amp;sheet=A0&amp;row=99&amp;col=22&amp;number=&amp;sourceID=12","")</f>
        <v/>
      </c>
      <c r="W99" s="4" t="str">
        <f>HYPERLINK("http://141.218.60.56/~jnz1568/getInfo.php?workbook=01_01.xlsx&amp;sheet=A0&amp;row=99&amp;col=23&amp;number=0&amp;sourceID=12","0")</f>
        <v>0</v>
      </c>
      <c r="X99" s="4" t="str">
        <f>HYPERLINK("http://141.218.60.56/~jnz1568/getInfo.php?workbook=01_01.xlsx&amp;sheet=A0&amp;row=99&amp;col=24&amp;number=&amp;sourceID=12","")</f>
        <v/>
      </c>
      <c r="Y99" s="4" t="str">
        <f>HYPERLINK("http://141.218.60.56/~jnz1568/getInfo.php?workbook=01_01.xlsx&amp;sheet=A0&amp;row=99&amp;col=25&amp;number=&amp;sourceID=12","")</f>
        <v/>
      </c>
      <c r="Z99" s="4" t="str">
        <f>HYPERLINK("http://141.218.60.56/~jnz1568/getInfo.php?workbook=01_01.xlsx&amp;sheet=A0&amp;row=99&amp;col=26&amp;number=&amp;sourceID=12","")</f>
        <v/>
      </c>
      <c r="AA99" s="4" t="str">
        <f>HYPERLINK("http://141.218.60.56/~jnz1568/getInfo.php?workbook=01_01.xlsx&amp;sheet=A0&amp;row=99&amp;col=27&amp;number=0&amp;sourceID=12","0")</f>
        <v>0</v>
      </c>
      <c r="AB99" s="4" t="str">
        <f>HYPERLINK("http://141.218.60.56/~jnz1568/getInfo.php?workbook=01_01.xlsx&amp;sheet=A0&amp;row=99&amp;col=28&amp;number=&amp;sourceID=18","")</f>
        <v/>
      </c>
      <c r="AC99" s="4" t="str">
        <f>HYPERLINK("http://141.218.60.56/~jnz1568/getInfo.php?workbook=01_01.xlsx&amp;sheet=A0&amp;row=99&amp;col=29&amp;number=&amp;sourceID=18","")</f>
        <v/>
      </c>
      <c r="AD99" s="4" t="str">
        <f>HYPERLINK("http://141.218.60.56/~jnz1568/getInfo.php?workbook=01_01.xlsx&amp;sheet=A0&amp;row=99&amp;col=30&amp;number=&amp;sourceID=18","")</f>
        <v/>
      </c>
      <c r="AE99" s="4" t="str">
        <f>HYPERLINK("http://141.218.60.56/~jnz1568/getInfo.php?workbook=01_01.xlsx&amp;sheet=A0&amp;row=99&amp;col=31&amp;number=&amp;sourceID=18","")</f>
        <v/>
      </c>
      <c r="AF99" s="4" t="str">
        <f>HYPERLINK("http://141.218.60.56/~jnz1568/getInfo.php?workbook=01_01.xlsx&amp;sheet=A0&amp;row=99&amp;col=32&amp;number=&amp;sourceID=18","")</f>
        <v/>
      </c>
      <c r="AG99" s="4" t="str">
        <f>HYPERLINK("http://141.218.60.56/~jnz1568/getInfo.php?workbook=01_01.xlsx&amp;sheet=A0&amp;row=99&amp;col=33&amp;number=&amp;sourceID=18","")</f>
        <v/>
      </c>
      <c r="AH99" s="4" t="str">
        <f>HYPERLINK("http://141.218.60.56/~jnz1568/getInfo.php?workbook=01_01.xlsx&amp;sheet=A0&amp;row=99&amp;col=34&amp;number=&amp;sourceID=20","")</f>
        <v/>
      </c>
    </row>
    <row r="100" spans="1:34">
      <c r="A100" s="3">
        <v>1</v>
      </c>
      <c r="B100" s="3">
        <v>1</v>
      </c>
      <c r="C100" s="3">
        <v>15</v>
      </c>
      <c r="D100" s="3">
        <v>11</v>
      </c>
      <c r="E100" s="3">
        <f>((1/(INDEX(E0!J$4:J$28,C100,1)-INDEX(E0!J$4:J$28,D100,1))))*100000000</f>
        <v>0</v>
      </c>
      <c r="F100" s="4" t="str">
        <f>HYPERLINK("http://141.218.60.56/~jnz1568/getInfo.php?workbook=01_01.xlsx&amp;sheet=A0&amp;row=100&amp;col=6&amp;number=&amp;sourceID=18","")</f>
        <v/>
      </c>
      <c r="G100" s="4" t="str">
        <f>HYPERLINK("http://141.218.60.56/~jnz1568/getInfo.php?workbook=01_01.xlsx&amp;sheet=A0&amp;row=100&amp;col=7&amp;number=&amp;sourceID=15","")</f>
        <v/>
      </c>
      <c r="H100" s="4" t="str">
        <f>HYPERLINK("http://141.218.60.56/~jnz1568/getInfo.php?workbook=01_01.xlsx&amp;sheet=A0&amp;row=100&amp;col=8&amp;number=&amp;sourceID=15","")</f>
        <v/>
      </c>
      <c r="I100" s="4" t="str">
        <f>HYPERLINK("http://141.218.60.56/~jnz1568/getInfo.php?workbook=01_01.xlsx&amp;sheet=A0&amp;row=100&amp;col=9&amp;number=&amp;sourceID=15","")</f>
        <v/>
      </c>
      <c r="J100" s="4" t="str">
        <f>HYPERLINK("http://141.218.60.56/~jnz1568/getInfo.php?workbook=01_01.xlsx&amp;sheet=A0&amp;row=100&amp;col=10&amp;number=&amp;sourceID=15","")</f>
        <v/>
      </c>
      <c r="K100" s="4" t="str">
        <f>HYPERLINK("http://141.218.60.56/~jnz1568/getInfo.php?workbook=01_01.xlsx&amp;sheet=A0&amp;row=100&amp;col=11&amp;number=&amp;sourceID=15","")</f>
        <v/>
      </c>
      <c r="L100" s="4" t="str">
        <f>HYPERLINK("http://141.218.60.56/~jnz1568/getInfo.php?workbook=01_01.xlsx&amp;sheet=A0&amp;row=100&amp;col=12&amp;number=&amp;sourceID=15","")</f>
        <v/>
      </c>
      <c r="M100" s="4" t="str">
        <f>HYPERLINK("http://141.218.60.56/~jnz1568/getInfo.php?workbook=01_01.xlsx&amp;sheet=A0&amp;row=100&amp;col=13&amp;number=&amp;sourceID=15","")</f>
        <v/>
      </c>
      <c r="N100" s="4" t="str">
        <f>HYPERLINK("http://141.218.60.56/~jnz1568/getInfo.php?workbook=01_01.xlsx&amp;sheet=A0&amp;row=100&amp;col=14&amp;number==&amp;sourceID=11","=")</f>
        <v>=</v>
      </c>
      <c r="O100" s="4" t="str">
        <f>HYPERLINK("http://141.218.60.56/~jnz1568/getInfo.php?workbook=01_01.xlsx&amp;sheet=A0&amp;row=100&amp;col=15&amp;number=&amp;sourceID=11","")</f>
        <v/>
      </c>
      <c r="P100" s="4" t="str">
        <f>HYPERLINK("http://141.218.60.56/~jnz1568/getInfo.php?workbook=01_01.xlsx&amp;sheet=A0&amp;row=100&amp;col=16&amp;number=&amp;sourceID=11","")</f>
        <v/>
      </c>
      <c r="Q100" s="4" t="str">
        <f>HYPERLINK("http://141.218.60.56/~jnz1568/getInfo.php?workbook=01_01.xlsx&amp;sheet=A0&amp;row=100&amp;col=17&amp;number=0&amp;sourceID=11","0")</f>
        <v>0</v>
      </c>
      <c r="R100" s="4" t="str">
        <f>HYPERLINK("http://141.218.60.56/~jnz1568/getInfo.php?workbook=01_01.xlsx&amp;sheet=A0&amp;row=100&amp;col=18&amp;number=&amp;sourceID=11","")</f>
        <v/>
      </c>
      <c r="S100" s="4" t="str">
        <f>HYPERLINK("http://141.218.60.56/~jnz1568/getInfo.php?workbook=01_01.xlsx&amp;sheet=A0&amp;row=100&amp;col=19&amp;number=0&amp;sourceID=11","0")</f>
        <v>0</v>
      </c>
      <c r="T100" s="4" t="str">
        <f>HYPERLINK("http://141.218.60.56/~jnz1568/getInfo.php?workbook=01_01.xlsx&amp;sheet=A0&amp;row=100&amp;col=20&amp;number=&amp;sourceID=11","")</f>
        <v/>
      </c>
      <c r="U100" s="4" t="str">
        <f>HYPERLINK("http://141.218.60.56/~jnz1568/getInfo.php?workbook=01_01.xlsx&amp;sheet=A0&amp;row=100&amp;col=21&amp;number=0&amp;sourceID=12","0")</f>
        <v>0</v>
      </c>
      <c r="V100" s="4" t="str">
        <f>HYPERLINK("http://141.218.60.56/~jnz1568/getInfo.php?workbook=01_01.xlsx&amp;sheet=A0&amp;row=100&amp;col=22&amp;number=&amp;sourceID=12","")</f>
        <v/>
      </c>
      <c r="W100" s="4" t="str">
        <f>HYPERLINK("http://141.218.60.56/~jnz1568/getInfo.php?workbook=01_01.xlsx&amp;sheet=A0&amp;row=100&amp;col=23&amp;number=&amp;sourceID=12","")</f>
        <v/>
      </c>
      <c r="X100" s="4" t="str">
        <f>HYPERLINK("http://141.218.60.56/~jnz1568/getInfo.php?workbook=01_01.xlsx&amp;sheet=A0&amp;row=100&amp;col=24&amp;number=0&amp;sourceID=12","0")</f>
        <v>0</v>
      </c>
      <c r="Y100" s="4" t="str">
        <f>HYPERLINK("http://141.218.60.56/~jnz1568/getInfo.php?workbook=01_01.xlsx&amp;sheet=A0&amp;row=100&amp;col=25&amp;number=&amp;sourceID=12","")</f>
        <v/>
      </c>
      <c r="Z100" s="4" t="str">
        <f>HYPERLINK("http://141.218.60.56/~jnz1568/getInfo.php?workbook=01_01.xlsx&amp;sheet=A0&amp;row=100&amp;col=26&amp;number=0&amp;sourceID=12","0")</f>
        <v>0</v>
      </c>
      <c r="AA100" s="4" t="str">
        <f>HYPERLINK("http://141.218.60.56/~jnz1568/getInfo.php?workbook=01_01.xlsx&amp;sheet=A0&amp;row=100&amp;col=27&amp;number=&amp;sourceID=12","")</f>
        <v/>
      </c>
      <c r="AB100" s="4" t="str">
        <f>HYPERLINK("http://141.218.60.56/~jnz1568/getInfo.php?workbook=01_01.xlsx&amp;sheet=A0&amp;row=100&amp;col=28&amp;number=&amp;sourceID=18","")</f>
        <v/>
      </c>
      <c r="AC100" s="4" t="str">
        <f>HYPERLINK("http://141.218.60.56/~jnz1568/getInfo.php?workbook=01_01.xlsx&amp;sheet=A0&amp;row=100&amp;col=29&amp;number=&amp;sourceID=18","")</f>
        <v/>
      </c>
      <c r="AD100" s="4" t="str">
        <f>HYPERLINK("http://141.218.60.56/~jnz1568/getInfo.php?workbook=01_01.xlsx&amp;sheet=A0&amp;row=100&amp;col=30&amp;number=&amp;sourceID=18","")</f>
        <v/>
      </c>
      <c r="AE100" s="4" t="str">
        <f>HYPERLINK("http://141.218.60.56/~jnz1568/getInfo.php?workbook=01_01.xlsx&amp;sheet=A0&amp;row=100&amp;col=31&amp;number=&amp;sourceID=18","")</f>
        <v/>
      </c>
      <c r="AF100" s="4" t="str">
        <f>HYPERLINK("http://141.218.60.56/~jnz1568/getInfo.php?workbook=01_01.xlsx&amp;sheet=A0&amp;row=100&amp;col=32&amp;number=&amp;sourceID=18","")</f>
        <v/>
      </c>
      <c r="AG100" s="4" t="str">
        <f>HYPERLINK("http://141.218.60.56/~jnz1568/getInfo.php?workbook=01_01.xlsx&amp;sheet=A0&amp;row=100&amp;col=33&amp;number=&amp;sourceID=18","")</f>
        <v/>
      </c>
      <c r="AH100" s="4" t="str">
        <f>HYPERLINK("http://141.218.60.56/~jnz1568/getInfo.php?workbook=01_01.xlsx&amp;sheet=A0&amp;row=100&amp;col=34&amp;number=&amp;sourceID=20","")</f>
        <v/>
      </c>
    </row>
    <row r="101" spans="1:34">
      <c r="A101" s="3">
        <v>1</v>
      </c>
      <c r="B101" s="3">
        <v>1</v>
      </c>
      <c r="C101" s="3">
        <v>15</v>
      </c>
      <c r="D101" s="3">
        <v>12</v>
      </c>
      <c r="E101" s="3">
        <f>((1/(INDEX(E0!J$4:J$28,C101,1)-INDEX(E0!J$4:J$28,D101,1))))*100000000</f>
        <v>0</v>
      </c>
      <c r="F101" s="4" t="str">
        <f>HYPERLINK("http://141.218.60.56/~jnz1568/getInfo.php?workbook=01_01.xlsx&amp;sheet=A0&amp;row=101&amp;col=6&amp;number=&amp;sourceID=18","")</f>
        <v/>
      </c>
      <c r="G101" s="4" t="str">
        <f>HYPERLINK("http://141.218.60.56/~jnz1568/getInfo.php?workbook=01_01.xlsx&amp;sheet=A0&amp;row=101&amp;col=7&amp;number=&amp;sourceID=15","")</f>
        <v/>
      </c>
      <c r="H101" s="4" t="str">
        <f>HYPERLINK("http://141.218.60.56/~jnz1568/getInfo.php?workbook=01_01.xlsx&amp;sheet=A0&amp;row=101&amp;col=8&amp;number=&amp;sourceID=15","")</f>
        <v/>
      </c>
      <c r="I101" s="4" t="str">
        <f>HYPERLINK("http://141.218.60.56/~jnz1568/getInfo.php?workbook=01_01.xlsx&amp;sheet=A0&amp;row=101&amp;col=9&amp;number=&amp;sourceID=15","")</f>
        <v/>
      </c>
      <c r="J101" s="4" t="str">
        <f>HYPERLINK("http://141.218.60.56/~jnz1568/getInfo.php?workbook=01_01.xlsx&amp;sheet=A0&amp;row=101&amp;col=10&amp;number=&amp;sourceID=15","")</f>
        <v/>
      </c>
      <c r="K101" s="4" t="str">
        <f>HYPERLINK("http://141.218.60.56/~jnz1568/getInfo.php?workbook=01_01.xlsx&amp;sheet=A0&amp;row=101&amp;col=11&amp;number=&amp;sourceID=15","")</f>
        <v/>
      </c>
      <c r="L101" s="4" t="str">
        <f>HYPERLINK("http://141.218.60.56/~jnz1568/getInfo.php?workbook=01_01.xlsx&amp;sheet=A0&amp;row=101&amp;col=12&amp;number=&amp;sourceID=15","")</f>
        <v/>
      </c>
      <c r="M101" s="4" t="str">
        <f>HYPERLINK("http://141.218.60.56/~jnz1568/getInfo.php?workbook=01_01.xlsx&amp;sheet=A0&amp;row=101&amp;col=13&amp;number=&amp;sourceID=15","")</f>
        <v/>
      </c>
      <c r="N101" s="4" t="str">
        <f>HYPERLINK("http://141.218.60.56/~jnz1568/getInfo.php?workbook=01_01.xlsx&amp;sheet=A0&amp;row=101&amp;col=14&amp;number==&amp;sourceID=11","=")</f>
        <v>=</v>
      </c>
      <c r="O101" s="4" t="str">
        <f>HYPERLINK("http://141.218.60.56/~jnz1568/getInfo.php?workbook=01_01.xlsx&amp;sheet=A0&amp;row=101&amp;col=15&amp;number=7.1939e-10&amp;sourceID=11","7.1939e-10")</f>
        <v>7.1939e-10</v>
      </c>
      <c r="P101" s="4" t="str">
        <f>HYPERLINK("http://141.218.60.56/~jnz1568/getInfo.php?workbook=01_01.xlsx&amp;sheet=A0&amp;row=101&amp;col=16&amp;number=&amp;sourceID=11","")</f>
        <v/>
      </c>
      <c r="Q101" s="4" t="str">
        <f>HYPERLINK("http://141.218.60.56/~jnz1568/getInfo.php?workbook=01_01.xlsx&amp;sheet=A0&amp;row=101&amp;col=17&amp;number=0&amp;sourceID=11","0")</f>
        <v>0</v>
      </c>
      <c r="R101" s="4" t="str">
        <f>HYPERLINK("http://141.218.60.56/~jnz1568/getInfo.php?workbook=01_01.xlsx&amp;sheet=A0&amp;row=101&amp;col=18&amp;number=&amp;sourceID=11","")</f>
        <v/>
      </c>
      <c r="S101" s="4" t="str">
        <f>HYPERLINK("http://141.218.60.56/~jnz1568/getInfo.php?workbook=01_01.xlsx&amp;sheet=A0&amp;row=101&amp;col=19&amp;number=0&amp;sourceID=11","0")</f>
        <v>0</v>
      </c>
      <c r="T101" s="4" t="str">
        <f>HYPERLINK("http://141.218.60.56/~jnz1568/getInfo.php?workbook=01_01.xlsx&amp;sheet=A0&amp;row=101&amp;col=20&amp;number=&amp;sourceID=11","")</f>
        <v/>
      </c>
      <c r="U101" s="4" t="str">
        <f>HYPERLINK("http://141.218.60.56/~jnz1568/getInfo.php?workbook=01_01.xlsx&amp;sheet=A0&amp;row=101&amp;col=21&amp;number=7.2123e-10&amp;sourceID=12","7.2123e-10")</f>
        <v>7.2123e-10</v>
      </c>
      <c r="V101" s="4" t="str">
        <f>HYPERLINK("http://141.218.60.56/~jnz1568/getInfo.php?workbook=01_01.xlsx&amp;sheet=A0&amp;row=101&amp;col=22&amp;number=7.2123e-10&amp;sourceID=12","7.2123e-10")</f>
        <v>7.2123e-10</v>
      </c>
      <c r="W101" s="4" t="str">
        <f>HYPERLINK("http://141.218.60.56/~jnz1568/getInfo.php?workbook=01_01.xlsx&amp;sheet=A0&amp;row=101&amp;col=23&amp;number=&amp;sourceID=12","")</f>
        <v/>
      </c>
      <c r="X101" s="4" t="str">
        <f>HYPERLINK("http://141.218.60.56/~jnz1568/getInfo.php?workbook=01_01.xlsx&amp;sheet=A0&amp;row=101&amp;col=24&amp;number=0&amp;sourceID=12","0")</f>
        <v>0</v>
      </c>
      <c r="Y101" s="4" t="str">
        <f>HYPERLINK("http://141.218.60.56/~jnz1568/getInfo.php?workbook=01_01.xlsx&amp;sheet=A0&amp;row=101&amp;col=25&amp;number=&amp;sourceID=12","")</f>
        <v/>
      </c>
      <c r="Z101" s="4" t="str">
        <f>HYPERLINK("http://141.218.60.56/~jnz1568/getInfo.php?workbook=01_01.xlsx&amp;sheet=A0&amp;row=101&amp;col=26&amp;number=0&amp;sourceID=12","0")</f>
        <v>0</v>
      </c>
      <c r="AA101" s="4" t="str">
        <f>HYPERLINK("http://141.218.60.56/~jnz1568/getInfo.php?workbook=01_01.xlsx&amp;sheet=A0&amp;row=101&amp;col=27&amp;number=&amp;sourceID=12","")</f>
        <v/>
      </c>
      <c r="AB101" s="4" t="str">
        <f>HYPERLINK("http://141.218.60.56/~jnz1568/getInfo.php?workbook=01_01.xlsx&amp;sheet=A0&amp;row=101&amp;col=28&amp;number=&amp;sourceID=18","")</f>
        <v/>
      </c>
      <c r="AC101" s="4" t="str">
        <f>HYPERLINK("http://141.218.60.56/~jnz1568/getInfo.php?workbook=01_01.xlsx&amp;sheet=A0&amp;row=101&amp;col=29&amp;number=&amp;sourceID=18","")</f>
        <v/>
      </c>
      <c r="AD101" s="4" t="str">
        <f>HYPERLINK("http://141.218.60.56/~jnz1568/getInfo.php?workbook=01_01.xlsx&amp;sheet=A0&amp;row=101&amp;col=30&amp;number=&amp;sourceID=18","")</f>
        <v/>
      </c>
      <c r="AE101" s="4" t="str">
        <f>HYPERLINK("http://141.218.60.56/~jnz1568/getInfo.php?workbook=01_01.xlsx&amp;sheet=A0&amp;row=101&amp;col=31&amp;number=&amp;sourceID=18","")</f>
        <v/>
      </c>
      <c r="AF101" s="4" t="str">
        <f>HYPERLINK("http://141.218.60.56/~jnz1568/getInfo.php?workbook=01_01.xlsx&amp;sheet=A0&amp;row=101&amp;col=32&amp;number=&amp;sourceID=18","")</f>
        <v/>
      </c>
      <c r="AG101" s="4" t="str">
        <f>HYPERLINK("http://141.218.60.56/~jnz1568/getInfo.php?workbook=01_01.xlsx&amp;sheet=A0&amp;row=101&amp;col=33&amp;number=&amp;sourceID=18","")</f>
        <v/>
      </c>
      <c r="AH101" s="4" t="str">
        <f>HYPERLINK("http://141.218.60.56/~jnz1568/getInfo.php?workbook=01_01.xlsx&amp;sheet=A0&amp;row=101&amp;col=34&amp;number=&amp;sourceID=20","")</f>
        <v/>
      </c>
    </row>
    <row r="102" spans="1:34">
      <c r="A102" s="3">
        <v>1</v>
      </c>
      <c r="B102" s="3">
        <v>1</v>
      </c>
      <c r="C102" s="3">
        <v>15</v>
      </c>
      <c r="D102" s="3">
        <v>13</v>
      </c>
      <c r="E102" s="3">
        <f>((1/(INDEX(E0!J$4:J$28,C102,1)-INDEX(E0!J$4:J$28,D102,1))))*100000000</f>
        <v>0</v>
      </c>
      <c r="F102" s="4" t="str">
        <f>HYPERLINK("http://141.218.60.56/~jnz1568/getInfo.php?workbook=01_01.xlsx&amp;sheet=A0&amp;row=102&amp;col=6&amp;number=&amp;sourceID=18","")</f>
        <v/>
      </c>
      <c r="G102" s="4" t="str">
        <f>HYPERLINK("http://141.218.60.56/~jnz1568/getInfo.php?workbook=01_01.xlsx&amp;sheet=A0&amp;row=102&amp;col=7&amp;number=&amp;sourceID=15","")</f>
        <v/>
      </c>
      <c r="H102" s="4" t="str">
        <f>HYPERLINK("http://141.218.60.56/~jnz1568/getInfo.php?workbook=01_01.xlsx&amp;sheet=A0&amp;row=102&amp;col=8&amp;number=&amp;sourceID=15","")</f>
        <v/>
      </c>
      <c r="I102" s="4" t="str">
        <f>HYPERLINK("http://141.218.60.56/~jnz1568/getInfo.php?workbook=01_01.xlsx&amp;sheet=A0&amp;row=102&amp;col=9&amp;number=&amp;sourceID=15","")</f>
        <v/>
      </c>
      <c r="J102" s="4" t="str">
        <f>HYPERLINK("http://141.218.60.56/~jnz1568/getInfo.php?workbook=01_01.xlsx&amp;sheet=A0&amp;row=102&amp;col=10&amp;number=&amp;sourceID=15","")</f>
        <v/>
      </c>
      <c r="K102" s="4" t="str">
        <f>HYPERLINK("http://141.218.60.56/~jnz1568/getInfo.php?workbook=01_01.xlsx&amp;sheet=A0&amp;row=102&amp;col=11&amp;number=&amp;sourceID=15","")</f>
        <v/>
      </c>
      <c r="L102" s="4" t="str">
        <f>HYPERLINK("http://141.218.60.56/~jnz1568/getInfo.php?workbook=01_01.xlsx&amp;sheet=A0&amp;row=102&amp;col=12&amp;number=&amp;sourceID=15","")</f>
        <v/>
      </c>
      <c r="M102" s="4" t="str">
        <f>HYPERLINK("http://141.218.60.56/~jnz1568/getInfo.php?workbook=01_01.xlsx&amp;sheet=A0&amp;row=102&amp;col=13&amp;number=&amp;sourceID=15","")</f>
        <v/>
      </c>
      <c r="N102" s="4" t="str">
        <f>HYPERLINK("http://141.218.60.56/~jnz1568/getInfo.php?workbook=01_01.xlsx&amp;sheet=A0&amp;row=102&amp;col=14&amp;number==&amp;sourceID=11","=")</f>
        <v>=</v>
      </c>
      <c r="O102" s="4" t="str">
        <f>HYPERLINK("http://141.218.60.56/~jnz1568/getInfo.php?workbook=01_01.xlsx&amp;sheet=A0&amp;row=102&amp;col=15&amp;number=&amp;sourceID=11","")</f>
        <v/>
      </c>
      <c r="P102" s="4" t="str">
        <f>HYPERLINK("http://141.218.60.56/~jnz1568/getInfo.php?workbook=01_01.xlsx&amp;sheet=A0&amp;row=102&amp;col=16&amp;number=0&amp;sourceID=11","0")</f>
        <v>0</v>
      </c>
      <c r="Q102" s="4" t="str">
        <f>HYPERLINK("http://141.218.60.56/~jnz1568/getInfo.php?workbook=01_01.xlsx&amp;sheet=A0&amp;row=102&amp;col=17&amp;number=&amp;sourceID=11","")</f>
        <v/>
      </c>
      <c r="R102" s="4" t="str">
        <f>HYPERLINK("http://141.218.60.56/~jnz1568/getInfo.php?workbook=01_01.xlsx&amp;sheet=A0&amp;row=102&amp;col=18&amp;number=0&amp;sourceID=11","0")</f>
        <v>0</v>
      </c>
      <c r="S102" s="4" t="str">
        <f>HYPERLINK("http://141.218.60.56/~jnz1568/getInfo.php?workbook=01_01.xlsx&amp;sheet=A0&amp;row=102&amp;col=19&amp;number=&amp;sourceID=11","")</f>
        <v/>
      </c>
      <c r="T102" s="4" t="str">
        <f>HYPERLINK("http://141.218.60.56/~jnz1568/getInfo.php?workbook=01_01.xlsx&amp;sheet=A0&amp;row=102&amp;col=20&amp;number=0&amp;sourceID=11","0")</f>
        <v>0</v>
      </c>
      <c r="U102" s="4" t="str">
        <f>HYPERLINK("http://141.218.60.56/~jnz1568/getInfo.php?workbook=01_01.xlsx&amp;sheet=A0&amp;row=102&amp;col=21&amp;number=0&amp;sourceID=12","0")</f>
        <v>0</v>
      </c>
      <c r="V102" s="4" t="str">
        <f>HYPERLINK("http://141.218.60.56/~jnz1568/getInfo.php?workbook=01_01.xlsx&amp;sheet=A0&amp;row=102&amp;col=22&amp;number=&amp;sourceID=12","")</f>
        <v/>
      </c>
      <c r="W102" s="4" t="str">
        <f>HYPERLINK("http://141.218.60.56/~jnz1568/getInfo.php?workbook=01_01.xlsx&amp;sheet=A0&amp;row=102&amp;col=23&amp;number=0&amp;sourceID=12","0")</f>
        <v>0</v>
      </c>
      <c r="X102" s="4" t="str">
        <f>HYPERLINK("http://141.218.60.56/~jnz1568/getInfo.php?workbook=01_01.xlsx&amp;sheet=A0&amp;row=102&amp;col=24&amp;number=&amp;sourceID=12","")</f>
        <v/>
      </c>
      <c r="Y102" s="4" t="str">
        <f>HYPERLINK("http://141.218.60.56/~jnz1568/getInfo.php?workbook=01_01.xlsx&amp;sheet=A0&amp;row=102&amp;col=25&amp;number=0&amp;sourceID=12","0")</f>
        <v>0</v>
      </c>
      <c r="Z102" s="4" t="str">
        <f>HYPERLINK("http://141.218.60.56/~jnz1568/getInfo.php?workbook=01_01.xlsx&amp;sheet=A0&amp;row=102&amp;col=26&amp;number=&amp;sourceID=12","")</f>
        <v/>
      </c>
      <c r="AA102" s="4" t="str">
        <f>HYPERLINK("http://141.218.60.56/~jnz1568/getInfo.php?workbook=01_01.xlsx&amp;sheet=A0&amp;row=102&amp;col=27&amp;number=0&amp;sourceID=12","0")</f>
        <v>0</v>
      </c>
      <c r="AB102" s="4" t="str">
        <f>HYPERLINK("http://141.218.60.56/~jnz1568/getInfo.php?workbook=01_01.xlsx&amp;sheet=A0&amp;row=102&amp;col=28&amp;number=&amp;sourceID=18","")</f>
        <v/>
      </c>
      <c r="AC102" s="4" t="str">
        <f>HYPERLINK("http://141.218.60.56/~jnz1568/getInfo.php?workbook=01_01.xlsx&amp;sheet=A0&amp;row=102&amp;col=29&amp;number=&amp;sourceID=18","")</f>
        <v/>
      </c>
      <c r="AD102" s="4" t="str">
        <f>HYPERLINK("http://141.218.60.56/~jnz1568/getInfo.php?workbook=01_01.xlsx&amp;sheet=A0&amp;row=102&amp;col=30&amp;number=&amp;sourceID=18","")</f>
        <v/>
      </c>
      <c r="AE102" s="4" t="str">
        <f>HYPERLINK("http://141.218.60.56/~jnz1568/getInfo.php?workbook=01_01.xlsx&amp;sheet=A0&amp;row=102&amp;col=31&amp;number=&amp;sourceID=18","")</f>
        <v/>
      </c>
      <c r="AF102" s="4" t="str">
        <f>HYPERLINK("http://141.218.60.56/~jnz1568/getInfo.php?workbook=01_01.xlsx&amp;sheet=A0&amp;row=102&amp;col=32&amp;number=&amp;sourceID=18","")</f>
        <v/>
      </c>
      <c r="AG102" s="4" t="str">
        <f>HYPERLINK("http://141.218.60.56/~jnz1568/getInfo.php?workbook=01_01.xlsx&amp;sheet=A0&amp;row=102&amp;col=33&amp;number=&amp;sourceID=18","")</f>
        <v/>
      </c>
      <c r="AH102" s="4" t="str">
        <f>HYPERLINK("http://141.218.60.56/~jnz1568/getInfo.php?workbook=01_01.xlsx&amp;sheet=A0&amp;row=102&amp;col=34&amp;number=&amp;sourceID=20","")</f>
        <v/>
      </c>
    </row>
    <row r="103" spans="1:34">
      <c r="A103" s="3">
        <v>1</v>
      </c>
      <c r="B103" s="3">
        <v>1</v>
      </c>
      <c r="C103" s="3">
        <v>16</v>
      </c>
      <c r="D103" s="3">
        <v>1</v>
      </c>
      <c r="E103" s="3">
        <f>((1/(INDEX(E0!J$4:J$28,C103,1)-INDEX(E0!J$4:J$28,D103,1))))*100000000</f>
        <v>0</v>
      </c>
      <c r="F103" s="4" t="str">
        <f>HYPERLINK("http://141.218.60.56/~jnz1568/getInfo.php?workbook=01_01.xlsx&amp;sheet=A0&amp;row=103&amp;col=6&amp;number=&amp;sourceID=18","")</f>
        <v/>
      </c>
      <c r="G103" s="4" t="str">
        <f>HYPERLINK("http://141.218.60.56/~jnz1568/getInfo.php?workbook=01_01.xlsx&amp;sheet=A0&amp;row=103&amp;col=7&amp;number=&amp;sourceID=15","")</f>
        <v/>
      </c>
      <c r="H103" s="4" t="str">
        <f>HYPERLINK("http://141.218.60.56/~jnz1568/getInfo.php?workbook=01_01.xlsx&amp;sheet=A0&amp;row=103&amp;col=8&amp;number=&amp;sourceID=15","")</f>
        <v/>
      </c>
      <c r="I103" s="4" t="str">
        <f>HYPERLINK("http://141.218.60.56/~jnz1568/getInfo.php?workbook=01_01.xlsx&amp;sheet=A0&amp;row=103&amp;col=9&amp;number=&amp;sourceID=15","")</f>
        <v/>
      </c>
      <c r="J103" s="4" t="str">
        <f>HYPERLINK("http://141.218.60.56/~jnz1568/getInfo.php?workbook=01_01.xlsx&amp;sheet=A0&amp;row=103&amp;col=10&amp;number=&amp;sourceID=15","")</f>
        <v/>
      </c>
      <c r="K103" s="4" t="str">
        <f>HYPERLINK("http://141.218.60.56/~jnz1568/getInfo.php?workbook=01_01.xlsx&amp;sheet=A0&amp;row=103&amp;col=11&amp;number=&amp;sourceID=15","")</f>
        <v/>
      </c>
      <c r="L103" s="4" t="str">
        <f>HYPERLINK("http://141.218.60.56/~jnz1568/getInfo.php?workbook=01_01.xlsx&amp;sheet=A0&amp;row=103&amp;col=12&amp;number=&amp;sourceID=15","")</f>
        <v/>
      </c>
      <c r="M103" s="4" t="str">
        <f>HYPERLINK("http://141.218.60.56/~jnz1568/getInfo.php?workbook=01_01.xlsx&amp;sheet=A0&amp;row=103&amp;col=13&amp;number=&amp;sourceID=15","")</f>
        <v/>
      </c>
      <c r="N103" s="4" t="str">
        <f>HYPERLINK("http://141.218.60.56/~jnz1568/getInfo.php?workbook=01_01.xlsx&amp;sheet=A0&amp;row=103&amp;col=14&amp;number==&amp;sourceID=11","=")</f>
        <v>=</v>
      </c>
      <c r="O103" s="4" t="str">
        <f>HYPERLINK("http://141.218.60.56/~jnz1568/getInfo.php?workbook=01_01.xlsx&amp;sheet=A0&amp;row=103&amp;col=15&amp;number=&amp;sourceID=11","")</f>
        <v/>
      </c>
      <c r="P103" s="4" t="str">
        <f>HYPERLINK("http://141.218.60.56/~jnz1568/getInfo.php?workbook=01_01.xlsx&amp;sheet=A0&amp;row=103&amp;col=16&amp;number=&amp;sourceID=11","")</f>
        <v/>
      </c>
      <c r="Q103" s="4" t="str">
        <f>HYPERLINK("http://141.218.60.56/~jnz1568/getInfo.php?workbook=01_01.xlsx&amp;sheet=A0&amp;row=103&amp;col=17&amp;number=0.00031073&amp;sourceID=11","0.00031073")</f>
        <v>0.00031073</v>
      </c>
      <c r="R103" s="4" t="str">
        <f>HYPERLINK("http://141.218.60.56/~jnz1568/getInfo.php?workbook=01_01.xlsx&amp;sheet=A0&amp;row=103&amp;col=18&amp;number=&amp;sourceID=11","")</f>
        <v/>
      </c>
      <c r="S103" s="4" t="str">
        <f>HYPERLINK("http://141.218.60.56/~jnz1568/getInfo.php?workbook=01_01.xlsx&amp;sheet=A0&amp;row=103&amp;col=19&amp;number=&amp;sourceID=11","")</f>
        <v/>
      </c>
      <c r="T103" s="4" t="str">
        <f>HYPERLINK("http://141.218.60.56/~jnz1568/getInfo.php?workbook=01_01.xlsx&amp;sheet=A0&amp;row=103&amp;col=20&amp;number=&amp;sourceID=11","")</f>
        <v/>
      </c>
      <c r="U103" s="4" t="str">
        <f>HYPERLINK("http://141.218.60.56/~jnz1568/getInfo.php?workbook=01_01.xlsx&amp;sheet=A0&amp;row=103&amp;col=21&amp;number=0.0003109&amp;sourceID=12","0.0003109")</f>
        <v>0.0003109</v>
      </c>
      <c r="V103" s="4" t="str">
        <f>HYPERLINK("http://141.218.60.56/~jnz1568/getInfo.php?workbook=01_01.xlsx&amp;sheet=A0&amp;row=103&amp;col=22&amp;number=&amp;sourceID=12","")</f>
        <v/>
      </c>
      <c r="W103" s="4" t="str">
        <f>HYPERLINK("http://141.218.60.56/~jnz1568/getInfo.php?workbook=01_01.xlsx&amp;sheet=A0&amp;row=103&amp;col=23&amp;number=&amp;sourceID=12","")</f>
        <v/>
      </c>
      <c r="X103" s="4" t="str">
        <f>HYPERLINK("http://141.218.60.56/~jnz1568/getInfo.php?workbook=01_01.xlsx&amp;sheet=A0&amp;row=103&amp;col=24&amp;number=0.0003109&amp;sourceID=12","0.0003109")</f>
        <v>0.0003109</v>
      </c>
      <c r="Y103" s="4" t="str">
        <f>HYPERLINK("http://141.218.60.56/~jnz1568/getInfo.php?workbook=01_01.xlsx&amp;sheet=A0&amp;row=103&amp;col=25&amp;number=&amp;sourceID=12","")</f>
        <v/>
      </c>
      <c r="Z103" s="4" t="str">
        <f>HYPERLINK("http://141.218.60.56/~jnz1568/getInfo.php?workbook=01_01.xlsx&amp;sheet=A0&amp;row=103&amp;col=26&amp;number=&amp;sourceID=12","")</f>
        <v/>
      </c>
      <c r="AA103" s="4" t="str">
        <f>HYPERLINK("http://141.218.60.56/~jnz1568/getInfo.php?workbook=01_01.xlsx&amp;sheet=A0&amp;row=103&amp;col=27&amp;number=&amp;sourceID=12","")</f>
        <v/>
      </c>
      <c r="AB103" s="4" t="str">
        <f>HYPERLINK("http://141.218.60.56/~jnz1568/getInfo.php?workbook=01_01.xlsx&amp;sheet=A0&amp;row=103&amp;col=28&amp;number==SUM(AC103:AG103)&amp;sourceID=18","=SUM(AC103:AG103)")</f>
        <v>=SUM(AC103:AG103)</v>
      </c>
      <c r="AC103" s="4" t="str">
        <f>HYPERLINK("http://141.218.60.56/~jnz1568/getInfo.php?workbook=01_01.xlsx&amp;sheet=A0&amp;row=103&amp;col=29&amp;number=&amp;sourceID=18","")</f>
        <v/>
      </c>
      <c r="AD103" s="4" t="str">
        <f>HYPERLINK("http://141.218.60.56/~jnz1568/getInfo.php?workbook=01_01.xlsx&amp;sheet=A0&amp;row=103&amp;col=30&amp;number=&amp;sourceID=18","")</f>
        <v/>
      </c>
      <c r="AE103" s="4" t="str">
        <f>HYPERLINK("http://141.218.60.56/~jnz1568/getInfo.php?workbook=01_01.xlsx&amp;sheet=A0&amp;row=103&amp;col=31&amp;number=0.000308&amp;sourceID=18","0.000308")</f>
        <v>0.000308</v>
      </c>
      <c r="AF103" s="4" t="str">
        <f>HYPERLINK("http://141.218.60.56/~jnz1568/getInfo.php?workbook=01_01.xlsx&amp;sheet=A0&amp;row=103&amp;col=32&amp;number=&amp;sourceID=18","")</f>
        <v/>
      </c>
      <c r="AG103" s="4" t="str">
        <f>HYPERLINK("http://141.218.60.56/~jnz1568/getInfo.php?workbook=01_01.xlsx&amp;sheet=A0&amp;row=103&amp;col=33&amp;number=&amp;sourceID=18","")</f>
        <v/>
      </c>
      <c r="AH103" s="4" t="str">
        <f>HYPERLINK("http://141.218.60.56/~jnz1568/getInfo.php?workbook=01_01.xlsx&amp;sheet=A0&amp;row=103&amp;col=34&amp;number=&amp;sourceID=20","")</f>
        <v/>
      </c>
    </row>
    <row r="104" spans="1:34">
      <c r="A104" s="3">
        <v>1</v>
      </c>
      <c r="B104" s="3">
        <v>1</v>
      </c>
      <c r="C104" s="3">
        <v>16</v>
      </c>
      <c r="D104" s="3">
        <v>2</v>
      </c>
      <c r="E104" s="3">
        <f>((1/(INDEX(E0!J$4:J$28,C104,1)-INDEX(E0!J$4:J$28,D104,1))))*100000000</f>
        <v>0</v>
      </c>
      <c r="F104" s="4" t="str">
        <f>HYPERLINK("http://141.218.60.56/~jnz1568/getInfo.php?workbook=01_01.xlsx&amp;sheet=A0&amp;row=104&amp;col=6&amp;number=&amp;sourceID=18","")</f>
        <v/>
      </c>
      <c r="G104" s="4" t="str">
        <f>HYPERLINK("http://141.218.60.56/~jnz1568/getInfo.php?workbook=01_01.xlsx&amp;sheet=A0&amp;row=104&amp;col=7&amp;number=&amp;sourceID=15","")</f>
        <v/>
      </c>
      <c r="H104" s="4" t="str">
        <f>HYPERLINK("http://141.218.60.56/~jnz1568/getInfo.php?workbook=01_01.xlsx&amp;sheet=A0&amp;row=104&amp;col=8&amp;number=&amp;sourceID=15","")</f>
        <v/>
      </c>
      <c r="I104" s="4" t="str">
        <f>HYPERLINK("http://141.218.60.56/~jnz1568/getInfo.php?workbook=01_01.xlsx&amp;sheet=A0&amp;row=104&amp;col=9&amp;number=&amp;sourceID=15","")</f>
        <v/>
      </c>
      <c r="J104" s="4" t="str">
        <f>HYPERLINK("http://141.218.60.56/~jnz1568/getInfo.php?workbook=01_01.xlsx&amp;sheet=A0&amp;row=104&amp;col=10&amp;number=&amp;sourceID=15","")</f>
        <v/>
      </c>
      <c r="K104" s="4" t="str">
        <f>HYPERLINK("http://141.218.60.56/~jnz1568/getInfo.php?workbook=01_01.xlsx&amp;sheet=A0&amp;row=104&amp;col=11&amp;number=&amp;sourceID=15","")</f>
        <v/>
      </c>
      <c r="L104" s="4" t="str">
        <f>HYPERLINK("http://141.218.60.56/~jnz1568/getInfo.php?workbook=01_01.xlsx&amp;sheet=A0&amp;row=104&amp;col=12&amp;number=&amp;sourceID=15","")</f>
        <v/>
      </c>
      <c r="M104" s="4" t="str">
        <f>HYPERLINK("http://141.218.60.56/~jnz1568/getInfo.php?workbook=01_01.xlsx&amp;sheet=A0&amp;row=104&amp;col=13&amp;number=&amp;sourceID=15","")</f>
        <v/>
      </c>
      <c r="N104" s="4" t="str">
        <f>HYPERLINK("http://141.218.60.56/~jnz1568/getInfo.php?workbook=01_01.xlsx&amp;sheet=A0&amp;row=104&amp;col=14&amp;number==&amp;sourceID=11","=")</f>
        <v>=</v>
      </c>
      <c r="O104" s="4" t="str">
        <f>HYPERLINK("http://141.218.60.56/~jnz1568/getInfo.php?workbook=01_01.xlsx&amp;sheet=A0&amp;row=104&amp;col=15&amp;number=&amp;sourceID=11","")</f>
        <v/>
      </c>
      <c r="P104" s="4" t="str">
        <f>HYPERLINK("http://141.218.60.56/~jnz1568/getInfo.php?workbook=01_01.xlsx&amp;sheet=A0&amp;row=104&amp;col=16&amp;number=&amp;sourceID=11","")</f>
        <v/>
      </c>
      <c r="Q104" s="4" t="str">
        <f>HYPERLINK("http://141.218.60.56/~jnz1568/getInfo.php?workbook=01_01.xlsx&amp;sheet=A0&amp;row=104&amp;col=17&amp;number=&amp;sourceID=11","")</f>
        <v/>
      </c>
      <c r="R104" s="4" t="str">
        <f>HYPERLINK("http://141.218.60.56/~jnz1568/getInfo.php?workbook=01_01.xlsx&amp;sheet=A0&amp;row=104&amp;col=18&amp;number=&amp;sourceID=11","")</f>
        <v/>
      </c>
      <c r="S104" s="4" t="str">
        <f>HYPERLINK("http://141.218.60.56/~jnz1568/getInfo.php?workbook=01_01.xlsx&amp;sheet=A0&amp;row=104&amp;col=19&amp;number=&amp;sourceID=11","")</f>
        <v/>
      </c>
      <c r="T104" s="4" t="str">
        <f>HYPERLINK("http://141.218.60.56/~jnz1568/getInfo.php?workbook=01_01.xlsx&amp;sheet=A0&amp;row=104&amp;col=20&amp;number=1.0999e-10&amp;sourceID=11","1.0999e-10")</f>
        <v>1.0999e-10</v>
      </c>
      <c r="U104" s="4" t="str">
        <f>HYPERLINK("http://141.218.60.56/~jnz1568/getInfo.php?workbook=01_01.xlsx&amp;sheet=A0&amp;row=104&amp;col=21&amp;number=1.1005e-10&amp;sourceID=12","1.1005e-10")</f>
        <v>1.1005e-10</v>
      </c>
      <c r="V104" s="4" t="str">
        <f>HYPERLINK("http://141.218.60.56/~jnz1568/getInfo.php?workbook=01_01.xlsx&amp;sheet=A0&amp;row=104&amp;col=22&amp;number=&amp;sourceID=12","")</f>
        <v/>
      </c>
      <c r="W104" s="4" t="str">
        <f>HYPERLINK("http://141.218.60.56/~jnz1568/getInfo.php?workbook=01_01.xlsx&amp;sheet=A0&amp;row=104&amp;col=23&amp;number=&amp;sourceID=12","")</f>
        <v/>
      </c>
      <c r="X104" s="4" t="str">
        <f>HYPERLINK("http://141.218.60.56/~jnz1568/getInfo.php?workbook=01_01.xlsx&amp;sheet=A0&amp;row=104&amp;col=24&amp;number=&amp;sourceID=12","")</f>
        <v/>
      </c>
      <c r="Y104" s="4" t="str">
        <f>HYPERLINK("http://141.218.60.56/~jnz1568/getInfo.php?workbook=01_01.xlsx&amp;sheet=A0&amp;row=104&amp;col=25&amp;number=&amp;sourceID=12","")</f>
        <v/>
      </c>
      <c r="Z104" s="4" t="str">
        <f>HYPERLINK("http://141.218.60.56/~jnz1568/getInfo.php?workbook=01_01.xlsx&amp;sheet=A0&amp;row=104&amp;col=26&amp;number=&amp;sourceID=12","")</f>
        <v/>
      </c>
      <c r="AA104" s="4" t="str">
        <f>HYPERLINK("http://141.218.60.56/~jnz1568/getInfo.php?workbook=01_01.xlsx&amp;sheet=A0&amp;row=104&amp;col=27&amp;number=1.1005e-10&amp;sourceID=12","1.1005e-10")</f>
        <v>1.1005e-10</v>
      </c>
      <c r="AB104" s="4" t="str">
        <f>HYPERLINK("http://141.218.60.56/~jnz1568/getInfo.php?workbook=01_01.xlsx&amp;sheet=A0&amp;row=104&amp;col=28&amp;number=&amp;sourceID=18","")</f>
        <v/>
      </c>
      <c r="AC104" s="4" t="str">
        <f>HYPERLINK("http://141.218.60.56/~jnz1568/getInfo.php?workbook=01_01.xlsx&amp;sheet=A0&amp;row=104&amp;col=29&amp;number=&amp;sourceID=18","")</f>
        <v/>
      </c>
      <c r="AD104" s="4" t="str">
        <f>HYPERLINK("http://141.218.60.56/~jnz1568/getInfo.php?workbook=01_01.xlsx&amp;sheet=A0&amp;row=104&amp;col=30&amp;number=&amp;sourceID=18","")</f>
        <v/>
      </c>
      <c r="AE104" s="4" t="str">
        <f>HYPERLINK("http://141.218.60.56/~jnz1568/getInfo.php?workbook=01_01.xlsx&amp;sheet=A0&amp;row=104&amp;col=31&amp;number=&amp;sourceID=18","")</f>
        <v/>
      </c>
      <c r="AF104" s="4" t="str">
        <f>HYPERLINK("http://141.218.60.56/~jnz1568/getInfo.php?workbook=01_01.xlsx&amp;sheet=A0&amp;row=104&amp;col=32&amp;number=&amp;sourceID=18","")</f>
        <v/>
      </c>
      <c r="AG104" s="4" t="str">
        <f>HYPERLINK("http://141.218.60.56/~jnz1568/getInfo.php?workbook=01_01.xlsx&amp;sheet=A0&amp;row=104&amp;col=33&amp;number=&amp;sourceID=18","")</f>
        <v/>
      </c>
      <c r="AH104" s="4" t="str">
        <f>HYPERLINK("http://141.218.60.56/~jnz1568/getInfo.php?workbook=01_01.xlsx&amp;sheet=A0&amp;row=104&amp;col=34&amp;number=&amp;sourceID=20","")</f>
        <v/>
      </c>
    </row>
    <row r="105" spans="1:34">
      <c r="A105" s="3">
        <v>1</v>
      </c>
      <c r="B105" s="3">
        <v>1</v>
      </c>
      <c r="C105" s="3">
        <v>16</v>
      </c>
      <c r="D105" s="3">
        <v>3</v>
      </c>
      <c r="E105" s="3">
        <f>((1/(INDEX(E0!J$4:J$28,C105,1)-INDEX(E0!J$4:J$28,D105,1))))*100000000</f>
        <v>0</v>
      </c>
      <c r="F105" s="4" t="str">
        <f>HYPERLINK("http://141.218.60.56/~jnz1568/getInfo.php?workbook=01_01.xlsx&amp;sheet=A0&amp;row=105&amp;col=6&amp;number=&amp;sourceID=18","")</f>
        <v/>
      </c>
      <c r="G105" s="4" t="str">
        <f>HYPERLINK("http://141.218.60.56/~jnz1568/getInfo.php?workbook=01_01.xlsx&amp;sheet=A0&amp;row=105&amp;col=7&amp;number=&amp;sourceID=15","")</f>
        <v/>
      </c>
      <c r="H105" s="4" t="str">
        <f>HYPERLINK("http://141.218.60.56/~jnz1568/getInfo.php?workbook=01_01.xlsx&amp;sheet=A0&amp;row=105&amp;col=8&amp;number=&amp;sourceID=15","")</f>
        <v/>
      </c>
      <c r="I105" s="4" t="str">
        <f>HYPERLINK("http://141.218.60.56/~jnz1568/getInfo.php?workbook=01_01.xlsx&amp;sheet=A0&amp;row=105&amp;col=9&amp;number=&amp;sourceID=15","")</f>
        <v/>
      </c>
      <c r="J105" s="4" t="str">
        <f>HYPERLINK("http://141.218.60.56/~jnz1568/getInfo.php?workbook=01_01.xlsx&amp;sheet=A0&amp;row=105&amp;col=10&amp;number=&amp;sourceID=15","")</f>
        <v/>
      </c>
      <c r="K105" s="4" t="str">
        <f>HYPERLINK("http://141.218.60.56/~jnz1568/getInfo.php?workbook=01_01.xlsx&amp;sheet=A0&amp;row=105&amp;col=11&amp;number=&amp;sourceID=15","")</f>
        <v/>
      </c>
      <c r="L105" s="4" t="str">
        <f>HYPERLINK("http://141.218.60.56/~jnz1568/getInfo.php?workbook=01_01.xlsx&amp;sheet=A0&amp;row=105&amp;col=12&amp;number=&amp;sourceID=15","")</f>
        <v/>
      </c>
      <c r="M105" s="4" t="str">
        <f>HYPERLINK("http://141.218.60.56/~jnz1568/getInfo.php?workbook=01_01.xlsx&amp;sheet=A0&amp;row=105&amp;col=13&amp;number=&amp;sourceID=15","")</f>
        <v/>
      </c>
      <c r="N105" s="4" t="str">
        <f>HYPERLINK("http://141.218.60.56/~jnz1568/getInfo.php?workbook=01_01.xlsx&amp;sheet=A0&amp;row=105&amp;col=14&amp;number==&amp;sourceID=11","=")</f>
        <v>=</v>
      </c>
      <c r="O105" s="4" t="str">
        <f>HYPERLINK("http://141.218.60.56/~jnz1568/getInfo.php?workbook=01_01.xlsx&amp;sheet=A0&amp;row=105&amp;col=15&amp;number=&amp;sourceID=11","")</f>
        <v/>
      </c>
      <c r="P105" s="4" t="str">
        <f>HYPERLINK("http://141.218.60.56/~jnz1568/getInfo.php?workbook=01_01.xlsx&amp;sheet=A0&amp;row=105&amp;col=16&amp;number=&amp;sourceID=11","")</f>
        <v/>
      </c>
      <c r="Q105" s="4" t="str">
        <f>HYPERLINK("http://141.218.60.56/~jnz1568/getInfo.php?workbook=01_01.xlsx&amp;sheet=A0&amp;row=105&amp;col=17&amp;number=0.0001224&amp;sourceID=11","0.0001224")</f>
        <v>0.0001224</v>
      </c>
      <c r="R105" s="4" t="str">
        <f>HYPERLINK("http://141.218.60.56/~jnz1568/getInfo.php?workbook=01_01.xlsx&amp;sheet=A0&amp;row=105&amp;col=18&amp;number=&amp;sourceID=11","")</f>
        <v/>
      </c>
      <c r="S105" s="4" t="str">
        <f>HYPERLINK("http://141.218.60.56/~jnz1568/getInfo.php?workbook=01_01.xlsx&amp;sheet=A0&amp;row=105&amp;col=19&amp;number=&amp;sourceID=11","")</f>
        <v/>
      </c>
      <c r="T105" s="4" t="str">
        <f>HYPERLINK("http://141.218.60.56/~jnz1568/getInfo.php?workbook=01_01.xlsx&amp;sheet=A0&amp;row=105&amp;col=20&amp;number=&amp;sourceID=11","")</f>
        <v/>
      </c>
      <c r="U105" s="4" t="str">
        <f>HYPERLINK("http://141.218.60.56/~jnz1568/getInfo.php?workbook=01_01.xlsx&amp;sheet=A0&amp;row=105&amp;col=21&amp;number=0.00012246&amp;sourceID=12","0.00012246")</f>
        <v>0.00012246</v>
      </c>
      <c r="V105" s="4" t="str">
        <f>HYPERLINK("http://141.218.60.56/~jnz1568/getInfo.php?workbook=01_01.xlsx&amp;sheet=A0&amp;row=105&amp;col=22&amp;number=&amp;sourceID=12","")</f>
        <v/>
      </c>
      <c r="W105" s="4" t="str">
        <f>HYPERLINK("http://141.218.60.56/~jnz1568/getInfo.php?workbook=01_01.xlsx&amp;sheet=A0&amp;row=105&amp;col=23&amp;number=&amp;sourceID=12","")</f>
        <v/>
      </c>
      <c r="X105" s="4" t="str">
        <f>HYPERLINK("http://141.218.60.56/~jnz1568/getInfo.php?workbook=01_01.xlsx&amp;sheet=A0&amp;row=105&amp;col=24&amp;number=0.00012246&amp;sourceID=12","0.00012246")</f>
        <v>0.00012246</v>
      </c>
      <c r="Y105" s="4" t="str">
        <f>HYPERLINK("http://141.218.60.56/~jnz1568/getInfo.php?workbook=01_01.xlsx&amp;sheet=A0&amp;row=105&amp;col=25&amp;number=&amp;sourceID=12","")</f>
        <v/>
      </c>
      <c r="Z105" s="4" t="str">
        <f>HYPERLINK("http://141.218.60.56/~jnz1568/getInfo.php?workbook=01_01.xlsx&amp;sheet=A0&amp;row=105&amp;col=26&amp;number=&amp;sourceID=12","")</f>
        <v/>
      </c>
      <c r="AA105" s="4" t="str">
        <f>HYPERLINK("http://141.218.60.56/~jnz1568/getInfo.php?workbook=01_01.xlsx&amp;sheet=A0&amp;row=105&amp;col=27&amp;number=&amp;sourceID=12","")</f>
        <v/>
      </c>
      <c r="AB105" s="4" t="str">
        <f>HYPERLINK("http://141.218.60.56/~jnz1568/getInfo.php?workbook=01_01.xlsx&amp;sheet=A0&amp;row=105&amp;col=28&amp;number==SUM(AC105:AG105)&amp;sourceID=18","=SUM(AC105:AG105)")</f>
        <v>=SUM(AC105:AG105)</v>
      </c>
      <c r="AC105" s="4" t="str">
        <f>HYPERLINK("http://141.218.60.56/~jnz1568/getInfo.php?workbook=01_01.xlsx&amp;sheet=A0&amp;row=105&amp;col=29&amp;number=&amp;sourceID=18","")</f>
        <v/>
      </c>
      <c r="AD105" s="4" t="str">
        <f>HYPERLINK("http://141.218.60.56/~jnz1568/getInfo.php?workbook=01_01.xlsx&amp;sheet=A0&amp;row=105&amp;col=30&amp;number=&amp;sourceID=18","")</f>
        <v/>
      </c>
      <c r="AE105" s="4" t="str">
        <f>HYPERLINK("http://141.218.60.56/~jnz1568/getInfo.php?workbook=01_01.xlsx&amp;sheet=A0&amp;row=105&amp;col=31&amp;number=0.000123&amp;sourceID=18","0.000123")</f>
        <v>0.000123</v>
      </c>
      <c r="AF105" s="4" t="str">
        <f>HYPERLINK("http://141.218.60.56/~jnz1568/getInfo.php?workbook=01_01.xlsx&amp;sheet=A0&amp;row=105&amp;col=32&amp;number=&amp;sourceID=18","")</f>
        <v/>
      </c>
      <c r="AG105" s="4" t="str">
        <f>HYPERLINK("http://141.218.60.56/~jnz1568/getInfo.php?workbook=01_01.xlsx&amp;sheet=A0&amp;row=105&amp;col=33&amp;number=&amp;sourceID=18","")</f>
        <v/>
      </c>
      <c r="AH105" s="4" t="str">
        <f>HYPERLINK("http://141.218.60.56/~jnz1568/getInfo.php?workbook=01_01.xlsx&amp;sheet=A0&amp;row=105&amp;col=34&amp;number=&amp;sourceID=20","")</f>
        <v/>
      </c>
    </row>
    <row r="106" spans="1:34">
      <c r="A106" s="3">
        <v>1</v>
      </c>
      <c r="B106" s="3">
        <v>1</v>
      </c>
      <c r="C106" s="3">
        <v>16</v>
      </c>
      <c r="D106" s="3">
        <v>4</v>
      </c>
      <c r="E106" s="3">
        <f>((1/(INDEX(E0!J$4:J$28,C106,1)-INDEX(E0!J$4:J$28,D106,1))))*100000000</f>
        <v>0</v>
      </c>
      <c r="F106" s="4" t="str">
        <f>HYPERLINK("http://141.218.60.56/~jnz1568/getInfo.php?workbook=01_01.xlsx&amp;sheet=A0&amp;row=106&amp;col=6&amp;number=&amp;sourceID=18","")</f>
        <v/>
      </c>
      <c r="G106" s="4" t="str">
        <f>HYPERLINK("http://141.218.60.56/~jnz1568/getInfo.php?workbook=01_01.xlsx&amp;sheet=A0&amp;row=106&amp;col=7&amp;number=&amp;sourceID=15","")</f>
        <v/>
      </c>
      <c r="H106" s="4" t="str">
        <f>HYPERLINK("http://141.218.60.56/~jnz1568/getInfo.php?workbook=01_01.xlsx&amp;sheet=A0&amp;row=106&amp;col=8&amp;number=&amp;sourceID=15","")</f>
        <v/>
      </c>
      <c r="I106" s="4" t="str">
        <f>HYPERLINK("http://141.218.60.56/~jnz1568/getInfo.php?workbook=01_01.xlsx&amp;sheet=A0&amp;row=106&amp;col=9&amp;number=&amp;sourceID=15","")</f>
        <v/>
      </c>
      <c r="J106" s="4" t="str">
        <f>HYPERLINK("http://141.218.60.56/~jnz1568/getInfo.php?workbook=01_01.xlsx&amp;sheet=A0&amp;row=106&amp;col=10&amp;number=&amp;sourceID=15","")</f>
        <v/>
      </c>
      <c r="K106" s="4" t="str">
        <f>HYPERLINK("http://141.218.60.56/~jnz1568/getInfo.php?workbook=01_01.xlsx&amp;sheet=A0&amp;row=106&amp;col=11&amp;number=&amp;sourceID=15","")</f>
        <v/>
      </c>
      <c r="L106" s="4" t="str">
        <f>HYPERLINK("http://141.218.60.56/~jnz1568/getInfo.php?workbook=01_01.xlsx&amp;sheet=A0&amp;row=106&amp;col=12&amp;number=&amp;sourceID=15","")</f>
        <v/>
      </c>
      <c r="M106" s="4" t="str">
        <f>HYPERLINK("http://141.218.60.56/~jnz1568/getInfo.php?workbook=01_01.xlsx&amp;sheet=A0&amp;row=106&amp;col=13&amp;number=&amp;sourceID=15","")</f>
        <v/>
      </c>
      <c r="N106" s="4" t="str">
        <f>HYPERLINK("http://141.218.60.56/~jnz1568/getInfo.php?workbook=01_01.xlsx&amp;sheet=A0&amp;row=106&amp;col=14&amp;number==&amp;sourceID=11","=")</f>
        <v>=</v>
      </c>
      <c r="O106" s="4" t="str">
        <f>HYPERLINK("http://141.218.60.56/~jnz1568/getInfo.php?workbook=01_01.xlsx&amp;sheet=A0&amp;row=106&amp;col=15&amp;number=&amp;sourceID=11","")</f>
        <v/>
      </c>
      <c r="P106" s="4" t="str">
        <f>HYPERLINK("http://141.218.60.56/~jnz1568/getInfo.php?workbook=01_01.xlsx&amp;sheet=A0&amp;row=106&amp;col=16&amp;number=61.78&amp;sourceID=11","61.78")</f>
        <v>61.78</v>
      </c>
      <c r="Q106" s="4" t="str">
        <f>HYPERLINK("http://141.218.60.56/~jnz1568/getInfo.php?workbook=01_01.xlsx&amp;sheet=A0&amp;row=106&amp;col=17&amp;number=&amp;sourceID=11","")</f>
        <v/>
      </c>
      <c r="R106" s="4" t="str">
        <f>HYPERLINK("http://141.218.60.56/~jnz1568/getInfo.php?workbook=01_01.xlsx&amp;sheet=A0&amp;row=106&amp;col=18&amp;number=&amp;sourceID=11","")</f>
        <v/>
      </c>
      <c r="S106" s="4" t="str">
        <f>HYPERLINK("http://141.218.60.56/~jnz1568/getInfo.php?workbook=01_01.xlsx&amp;sheet=A0&amp;row=106&amp;col=19&amp;number=&amp;sourceID=11","")</f>
        <v/>
      </c>
      <c r="T106" s="4" t="str">
        <f>HYPERLINK("http://141.218.60.56/~jnz1568/getInfo.php?workbook=01_01.xlsx&amp;sheet=A0&amp;row=106&amp;col=20&amp;number=3.2995e-10&amp;sourceID=11","3.2995e-10")</f>
        <v>3.2995e-10</v>
      </c>
      <c r="U106" s="4" t="str">
        <f>HYPERLINK("http://141.218.60.56/~jnz1568/getInfo.php?workbook=01_01.xlsx&amp;sheet=A0&amp;row=106&amp;col=21&amp;number=61.813&amp;sourceID=12","61.813")</f>
        <v>61.813</v>
      </c>
      <c r="V106" s="4" t="str">
        <f>HYPERLINK("http://141.218.60.56/~jnz1568/getInfo.php?workbook=01_01.xlsx&amp;sheet=A0&amp;row=106&amp;col=22&amp;number=&amp;sourceID=12","")</f>
        <v/>
      </c>
      <c r="W106" s="4" t="str">
        <f>HYPERLINK("http://141.218.60.56/~jnz1568/getInfo.php?workbook=01_01.xlsx&amp;sheet=A0&amp;row=106&amp;col=23&amp;number=61.813&amp;sourceID=12","61.813")</f>
        <v>61.813</v>
      </c>
      <c r="X106" s="4" t="str">
        <f>HYPERLINK("http://141.218.60.56/~jnz1568/getInfo.php?workbook=01_01.xlsx&amp;sheet=A0&amp;row=106&amp;col=24&amp;number=&amp;sourceID=12","")</f>
        <v/>
      </c>
      <c r="Y106" s="4" t="str">
        <f>HYPERLINK("http://141.218.60.56/~jnz1568/getInfo.php?workbook=01_01.xlsx&amp;sheet=A0&amp;row=106&amp;col=25&amp;number=&amp;sourceID=12","")</f>
        <v/>
      </c>
      <c r="Z106" s="4" t="str">
        <f>HYPERLINK("http://141.218.60.56/~jnz1568/getInfo.php?workbook=01_01.xlsx&amp;sheet=A0&amp;row=106&amp;col=26&amp;number=&amp;sourceID=12","")</f>
        <v/>
      </c>
      <c r="AA106" s="4" t="str">
        <f>HYPERLINK("http://141.218.60.56/~jnz1568/getInfo.php?workbook=01_01.xlsx&amp;sheet=A0&amp;row=106&amp;col=27&amp;number=3.3013e-10&amp;sourceID=12","3.3013e-10")</f>
        <v>3.3013e-10</v>
      </c>
      <c r="AB106" s="4" t="str">
        <f>HYPERLINK("http://141.218.60.56/~jnz1568/getInfo.php?workbook=01_01.xlsx&amp;sheet=A0&amp;row=106&amp;col=28&amp;number==SUM(AC106:AG106)&amp;sourceID=18","=SUM(AC106:AG106)")</f>
        <v>=SUM(AC106:AG106)</v>
      </c>
      <c r="AC106" s="4" t="str">
        <f>HYPERLINK("http://141.218.60.56/~jnz1568/getInfo.php?workbook=01_01.xlsx&amp;sheet=A0&amp;row=106&amp;col=29&amp;number=&amp;sourceID=18","")</f>
        <v/>
      </c>
      <c r="AD106" s="4" t="str">
        <f>HYPERLINK("http://141.218.60.56/~jnz1568/getInfo.php?workbook=01_01.xlsx&amp;sheet=A0&amp;row=106&amp;col=30&amp;number=61.8&amp;sourceID=18","61.8")</f>
        <v>61.8</v>
      </c>
      <c r="AE106" s="4" t="str">
        <f>HYPERLINK("http://141.218.60.56/~jnz1568/getInfo.php?workbook=01_01.xlsx&amp;sheet=A0&amp;row=106&amp;col=31&amp;number=&amp;sourceID=18","")</f>
        <v/>
      </c>
      <c r="AF106" s="4" t="str">
        <f>HYPERLINK("http://141.218.60.56/~jnz1568/getInfo.php?workbook=01_01.xlsx&amp;sheet=A0&amp;row=106&amp;col=32&amp;number=&amp;sourceID=18","")</f>
        <v/>
      </c>
      <c r="AG106" s="4" t="str">
        <f>HYPERLINK("http://141.218.60.56/~jnz1568/getInfo.php?workbook=01_01.xlsx&amp;sheet=A0&amp;row=106&amp;col=33&amp;number=&amp;sourceID=18","")</f>
        <v/>
      </c>
      <c r="AH106" s="4" t="str">
        <f>HYPERLINK("http://141.218.60.56/~jnz1568/getInfo.php?workbook=01_01.xlsx&amp;sheet=A0&amp;row=106&amp;col=34&amp;number=&amp;sourceID=20","")</f>
        <v/>
      </c>
    </row>
    <row r="107" spans="1:34">
      <c r="A107" s="3">
        <v>1</v>
      </c>
      <c r="B107" s="3">
        <v>1</v>
      </c>
      <c r="C107" s="3">
        <v>16</v>
      </c>
      <c r="D107" s="3">
        <v>5</v>
      </c>
      <c r="E107" s="3">
        <f>((1/(INDEX(E0!J$4:J$28,C107,1)-INDEX(E0!J$4:J$28,D107,1))))*100000000</f>
        <v>0</v>
      </c>
      <c r="F107" s="4" t="str">
        <f>HYPERLINK("http://141.218.60.56/~jnz1568/getInfo.php?workbook=01_01.xlsx&amp;sheet=A0&amp;row=107&amp;col=6&amp;number=&amp;sourceID=18","")</f>
        <v/>
      </c>
      <c r="G107" s="4" t="str">
        <f>HYPERLINK("http://141.218.60.56/~jnz1568/getInfo.php?workbook=01_01.xlsx&amp;sheet=A0&amp;row=107&amp;col=7&amp;number=&amp;sourceID=15","")</f>
        <v/>
      </c>
      <c r="H107" s="4" t="str">
        <f>HYPERLINK("http://141.218.60.56/~jnz1568/getInfo.php?workbook=01_01.xlsx&amp;sheet=A0&amp;row=107&amp;col=8&amp;number=&amp;sourceID=15","")</f>
        <v/>
      </c>
      <c r="I107" s="4" t="str">
        <f>HYPERLINK("http://141.218.60.56/~jnz1568/getInfo.php?workbook=01_01.xlsx&amp;sheet=A0&amp;row=107&amp;col=9&amp;number=&amp;sourceID=15","")</f>
        <v/>
      </c>
      <c r="J107" s="4" t="str">
        <f>HYPERLINK("http://141.218.60.56/~jnz1568/getInfo.php?workbook=01_01.xlsx&amp;sheet=A0&amp;row=107&amp;col=10&amp;number=&amp;sourceID=15","")</f>
        <v/>
      </c>
      <c r="K107" s="4" t="str">
        <f>HYPERLINK("http://141.218.60.56/~jnz1568/getInfo.php?workbook=01_01.xlsx&amp;sheet=A0&amp;row=107&amp;col=11&amp;number=&amp;sourceID=15","")</f>
        <v/>
      </c>
      <c r="L107" s="4" t="str">
        <f>HYPERLINK("http://141.218.60.56/~jnz1568/getInfo.php?workbook=01_01.xlsx&amp;sheet=A0&amp;row=107&amp;col=12&amp;number=&amp;sourceID=15","")</f>
        <v/>
      </c>
      <c r="M107" s="4" t="str">
        <f>HYPERLINK("http://141.218.60.56/~jnz1568/getInfo.php?workbook=01_01.xlsx&amp;sheet=A0&amp;row=107&amp;col=13&amp;number=&amp;sourceID=15","")</f>
        <v/>
      </c>
      <c r="N107" s="4" t="str">
        <f>HYPERLINK("http://141.218.60.56/~jnz1568/getInfo.php?workbook=01_01.xlsx&amp;sheet=A0&amp;row=107&amp;col=14&amp;number==&amp;sourceID=11","=")</f>
        <v>=</v>
      </c>
      <c r="O107" s="4" t="str">
        <f>HYPERLINK("http://141.218.60.56/~jnz1568/getInfo.php?workbook=01_01.xlsx&amp;sheet=A0&amp;row=107&amp;col=15&amp;number=&amp;sourceID=11","")</f>
        <v/>
      </c>
      <c r="P107" s="4" t="str">
        <f>HYPERLINK("http://141.218.60.56/~jnz1568/getInfo.php?workbook=01_01.xlsx&amp;sheet=A0&amp;row=107&amp;col=16&amp;number=&amp;sourceID=11","")</f>
        <v/>
      </c>
      <c r="Q107" s="4" t="str">
        <f>HYPERLINK("http://141.218.60.56/~jnz1568/getInfo.php?workbook=01_01.xlsx&amp;sheet=A0&amp;row=107&amp;col=17&amp;number=&amp;sourceID=11","")</f>
        <v/>
      </c>
      <c r="R107" s="4" t="str">
        <f>HYPERLINK("http://141.218.60.56/~jnz1568/getInfo.php?workbook=01_01.xlsx&amp;sheet=A0&amp;row=107&amp;col=18&amp;number=&amp;sourceID=11","")</f>
        <v/>
      </c>
      <c r="S107" s="4" t="str">
        <f>HYPERLINK("http://141.218.60.56/~jnz1568/getInfo.php?workbook=01_01.xlsx&amp;sheet=A0&amp;row=107&amp;col=19&amp;number=&amp;sourceID=11","")</f>
        <v/>
      </c>
      <c r="T107" s="4" t="str">
        <f>HYPERLINK("http://141.218.60.56/~jnz1568/getInfo.php?workbook=01_01.xlsx&amp;sheet=A0&amp;row=107&amp;col=20&amp;number=6.92e-13&amp;sourceID=11","6.92e-13")</f>
        <v>6.92e-13</v>
      </c>
      <c r="U107" s="4" t="str">
        <f>HYPERLINK("http://141.218.60.56/~jnz1568/getInfo.php?workbook=01_01.xlsx&amp;sheet=A0&amp;row=107&amp;col=21&amp;number=6.93e-13&amp;sourceID=12","6.93e-13")</f>
        <v>6.93e-13</v>
      </c>
      <c r="V107" s="4" t="str">
        <f>HYPERLINK("http://141.218.60.56/~jnz1568/getInfo.php?workbook=01_01.xlsx&amp;sheet=A0&amp;row=107&amp;col=22&amp;number=&amp;sourceID=12","")</f>
        <v/>
      </c>
      <c r="W107" s="4" t="str">
        <f>HYPERLINK("http://141.218.60.56/~jnz1568/getInfo.php?workbook=01_01.xlsx&amp;sheet=A0&amp;row=107&amp;col=23&amp;number=&amp;sourceID=12","")</f>
        <v/>
      </c>
      <c r="X107" s="4" t="str">
        <f>HYPERLINK("http://141.218.60.56/~jnz1568/getInfo.php?workbook=01_01.xlsx&amp;sheet=A0&amp;row=107&amp;col=24&amp;number=&amp;sourceID=12","")</f>
        <v/>
      </c>
      <c r="Y107" s="4" t="str">
        <f>HYPERLINK("http://141.218.60.56/~jnz1568/getInfo.php?workbook=01_01.xlsx&amp;sheet=A0&amp;row=107&amp;col=25&amp;number=&amp;sourceID=12","")</f>
        <v/>
      </c>
      <c r="Z107" s="4" t="str">
        <f>HYPERLINK("http://141.218.60.56/~jnz1568/getInfo.php?workbook=01_01.xlsx&amp;sheet=A0&amp;row=107&amp;col=26&amp;number=&amp;sourceID=12","")</f>
        <v/>
      </c>
      <c r="AA107" s="4" t="str">
        <f>HYPERLINK("http://141.218.60.56/~jnz1568/getInfo.php?workbook=01_01.xlsx&amp;sheet=A0&amp;row=107&amp;col=27&amp;number=6.93e-13&amp;sourceID=12","6.93e-13")</f>
        <v>6.93e-13</v>
      </c>
      <c r="AB107" s="4" t="str">
        <f>HYPERLINK("http://141.218.60.56/~jnz1568/getInfo.php?workbook=01_01.xlsx&amp;sheet=A0&amp;row=107&amp;col=28&amp;number=&amp;sourceID=18","")</f>
        <v/>
      </c>
      <c r="AC107" s="4" t="str">
        <f>HYPERLINK("http://141.218.60.56/~jnz1568/getInfo.php?workbook=01_01.xlsx&amp;sheet=A0&amp;row=107&amp;col=29&amp;number=&amp;sourceID=18","")</f>
        <v/>
      </c>
      <c r="AD107" s="4" t="str">
        <f>HYPERLINK("http://141.218.60.56/~jnz1568/getInfo.php?workbook=01_01.xlsx&amp;sheet=A0&amp;row=107&amp;col=30&amp;number=&amp;sourceID=18","")</f>
        <v/>
      </c>
      <c r="AE107" s="4" t="str">
        <f>HYPERLINK("http://141.218.60.56/~jnz1568/getInfo.php?workbook=01_01.xlsx&amp;sheet=A0&amp;row=107&amp;col=31&amp;number=&amp;sourceID=18","")</f>
        <v/>
      </c>
      <c r="AF107" s="4" t="str">
        <f>HYPERLINK("http://141.218.60.56/~jnz1568/getInfo.php?workbook=01_01.xlsx&amp;sheet=A0&amp;row=107&amp;col=32&amp;number=&amp;sourceID=18","")</f>
        <v/>
      </c>
      <c r="AG107" s="4" t="str">
        <f>HYPERLINK("http://141.218.60.56/~jnz1568/getInfo.php?workbook=01_01.xlsx&amp;sheet=A0&amp;row=107&amp;col=33&amp;number=&amp;sourceID=18","")</f>
        <v/>
      </c>
      <c r="AH107" s="4" t="str">
        <f>HYPERLINK("http://141.218.60.56/~jnz1568/getInfo.php?workbook=01_01.xlsx&amp;sheet=A0&amp;row=107&amp;col=34&amp;number=&amp;sourceID=20","")</f>
        <v/>
      </c>
    </row>
    <row r="108" spans="1:34">
      <c r="A108" s="3">
        <v>1</v>
      </c>
      <c r="B108" s="3">
        <v>1</v>
      </c>
      <c r="C108" s="3">
        <v>16</v>
      </c>
      <c r="D108" s="3">
        <v>6</v>
      </c>
      <c r="E108" s="3">
        <f>((1/(INDEX(E0!J$4:J$28,C108,1)-INDEX(E0!J$4:J$28,D108,1))))*100000000</f>
        <v>0</v>
      </c>
      <c r="F108" s="4" t="str">
        <f>HYPERLINK("http://141.218.60.56/~jnz1568/getInfo.php?workbook=01_01.xlsx&amp;sheet=A0&amp;row=108&amp;col=6&amp;number=&amp;sourceID=18","")</f>
        <v/>
      </c>
      <c r="G108" s="4" t="str">
        <f>HYPERLINK("http://141.218.60.56/~jnz1568/getInfo.php?workbook=01_01.xlsx&amp;sheet=A0&amp;row=108&amp;col=7&amp;number=&amp;sourceID=15","")</f>
        <v/>
      </c>
      <c r="H108" s="4" t="str">
        <f>HYPERLINK("http://141.218.60.56/~jnz1568/getInfo.php?workbook=01_01.xlsx&amp;sheet=A0&amp;row=108&amp;col=8&amp;number=&amp;sourceID=15","")</f>
        <v/>
      </c>
      <c r="I108" s="4" t="str">
        <f>HYPERLINK("http://141.218.60.56/~jnz1568/getInfo.php?workbook=01_01.xlsx&amp;sheet=A0&amp;row=108&amp;col=9&amp;number=&amp;sourceID=15","")</f>
        <v/>
      </c>
      <c r="J108" s="4" t="str">
        <f>HYPERLINK("http://141.218.60.56/~jnz1568/getInfo.php?workbook=01_01.xlsx&amp;sheet=A0&amp;row=108&amp;col=10&amp;number=&amp;sourceID=15","")</f>
        <v/>
      </c>
      <c r="K108" s="4" t="str">
        <f>HYPERLINK("http://141.218.60.56/~jnz1568/getInfo.php?workbook=01_01.xlsx&amp;sheet=A0&amp;row=108&amp;col=11&amp;number=&amp;sourceID=15","")</f>
        <v/>
      </c>
      <c r="L108" s="4" t="str">
        <f>HYPERLINK("http://141.218.60.56/~jnz1568/getInfo.php?workbook=01_01.xlsx&amp;sheet=A0&amp;row=108&amp;col=12&amp;number=&amp;sourceID=15","")</f>
        <v/>
      </c>
      <c r="M108" s="4" t="str">
        <f>HYPERLINK("http://141.218.60.56/~jnz1568/getInfo.php?workbook=01_01.xlsx&amp;sheet=A0&amp;row=108&amp;col=13&amp;number=&amp;sourceID=15","")</f>
        <v/>
      </c>
      <c r="N108" s="4" t="str">
        <f>HYPERLINK("http://141.218.60.56/~jnz1568/getInfo.php?workbook=01_01.xlsx&amp;sheet=A0&amp;row=108&amp;col=14&amp;number==&amp;sourceID=11","=")</f>
        <v>=</v>
      </c>
      <c r="O108" s="4" t="str">
        <f>HYPERLINK("http://141.218.60.56/~jnz1568/getInfo.php?workbook=01_01.xlsx&amp;sheet=A0&amp;row=108&amp;col=15&amp;number=&amp;sourceID=11","")</f>
        <v/>
      </c>
      <c r="P108" s="4" t="str">
        <f>HYPERLINK("http://141.218.60.56/~jnz1568/getInfo.php?workbook=01_01.xlsx&amp;sheet=A0&amp;row=108&amp;col=16&amp;number=&amp;sourceID=11","")</f>
        <v/>
      </c>
      <c r="Q108" s="4" t="str">
        <f>HYPERLINK("http://141.218.60.56/~jnz1568/getInfo.php?workbook=01_01.xlsx&amp;sheet=A0&amp;row=108&amp;col=17&amp;number=1.1182e-06&amp;sourceID=11","1.1182e-06")</f>
        <v>1.1182e-06</v>
      </c>
      <c r="R108" s="4" t="str">
        <f>HYPERLINK("http://141.218.60.56/~jnz1568/getInfo.php?workbook=01_01.xlsx&amp;sheet=A0&amp;row=108&amp;col=18&amp;number=&amp;sourceID=11","")</f>
        <v/>
      </c>
      <c r="S108" s="4" t="str">
        <f>HYPERLINK("http://141.218.60.56/~jnz1568/getInfo.php?workbook=01_01.xlsx&amp;sheet=A0&amp;row=108&amp;col=19&amp;number=&amp;sourceID=11","")</f>
        <v/>
      </c>
      <c r="T108" s="4" t="str">
        <f>HYPERLINK("http://141.218.60.56/~jnz1568/getInfo.php?workbook=01_01.xlsx&amp;sheet=A0&amp;row=108&amp;col=20&amp;number=&amp;sourceID=11","")</f>
        <v/>
      </c>
      <c r="U108" s="4" t="str">
        <f>HYPERLINK("http://141.218.60.56/~jnz1568/getInfo.php?workbook=01_01.xlsx&amp;sheet=A0&amp;row=108&amp;col=21&amp;number=1.1188e-06&amp;sourceID=12","1.1188e-06")</f>
        <v>1.1188e-06</v>
      </c>
      <c r="V108" s="4" t="str">
        <f>HYPERLINK("http://141.218.60.56/~jnz1568/getInfo.php?workbook=01_01.xlsx&amp;sheet=A0&amp;row=108&amp;col=22&amp;number=&amp;sourceID=12","")</f>
        <v/>
      </c>
      <c r="W108" s="4" t="str">
        <f>HYPERLINK("http://141.218.60.56/~jnz1568/getInfo.php?workbook=01_01.xlsx&amp;sheet=A0&amp;row=108&amp;col=23&amp;number=&amp;sourceID=12","")</f>
        <v/>
      </c>
      <c r="X108" s="4" t="str">
        <f>HYPERLINK("http://141.218.60.56/~jnz1568/getInfo.php?workbook=01_01.xlsx&amp;sheet=A0&amp;row=108&amp;col=24&amp;number=1.1188e-06&amp;sourceID=12","1.1188e-06")</f>
        <v>1.1188e-06</v>
      </c>
      <c r="Y108" s="4" t="str">
        <f>HYPERLINK("http://141.218.60.56/~jnz1568/getInfo.php?workbook=01_01.xlsx&amp;sheet=A0&amp;row=108&amp;col=25&amp;number=&amp;sourceID=12","")</f>
        <v/>
      </c>
      <c r="Z108" s="4" t="str">
        <f>HYPERLINK("http://141.218.60.56/~jnz1568/getInfo.php?workbook=01_01.xlsx&amp;sheet=A0&amp;row=108&amp;col=26&amp;number=&amp;sourceID=12","")</f>
        <v/>
      </c>
      <c r="AA108" s="4" t="str">
        <f>HYPERLINK("http://141.218.60.56/~jnz1568/getInfo.php?workbook=01_01.xlsx&amp;sheet=A0&amp;row=108&amp;col=27&amp;number=&amp;sourceID=12","")</f>
        <v/>
      </c>
      <c r="AB108" s="4" t="str">
        <f>HYPERLINK("http://141.218.60.56/~jnz1568/getInfo.php?workbook=01_01.xlsx&amp;sheet=A0&amp;row=108&amp;col=28&amp;number==SUM(AC108:AG108)&amp;sourceID=18","=SUM(AC108:AG108)")</f>
        <v>=SUM(AC108:AG108)</v>
      </c>
      <c r="AC108" s="4" t="str">
        <f>HYPERLINK("http://141.218.60.56/~jnz1568/getInfo.php?workbook=01_01.xlsx&amp;sheet=A0&amp;row=108&amp;col=29&amp;number=&amp;sourceID=18","")</f>
        <v/>
      </c>
      <c r="AD108" s="4" t="str">
        <f>HYPERLINK("http://141.218.60.56/~jnz1568/getInfo.php?workbook=01_01.xlsx&amp;sheet=A0&amp;row=108&amp;col=30&amp;number=&amp;sourceID=18","")</f>
        <v/>
      </c>
      <c r="AE108" s="4" t="str">
        <f>HYPERLINK("http://141.218.60.56/~jnz1568/getInfo.php?workbook=01_01.xlsx&amp;sheet=A0&amp;row=108&amp;col=31&amp;number=1.12e-06&amp;sourceID=18","1.12e-06")</f>
        <v>1.12e-06</v>
      </c>
      <c r="AF108" s="4" t="str">
        <f>HYPERLINK("http://141.218.60.56/~jnz1568/getInfo.php?workbook=01_01.xlsx&amp;sheet=A0&amp;row=108&amp;col=32&amp;number=&amp;sourceID=18","")</f>
        <v/>
      </c>
      <c r="AG108" s="4" t="str">
        <f>HYPERLINK("http://141.218.60.56/~jnz1568/getInfo.php?workbook=01_01.xlsx&amp;sheet=A0&amp;row=108&amp;col=33&amp;number=&amp;sourceID=18","")</f>
        <v/>
      </c>
      <c r="AH108" s="4" t="str">
        <f>HYPERLINK("http://141.218.60.56/~jnz1568/getInfo.php?workbook=01_01.xlsx&amp;sheet=A0&amp;row=108&amp;col=34&amp;number=&amp;sourceID=20","")</f>
        <v/>
      </c>
    </row>
    <row r="109" spans="1:34">
      <c r="A109" s="3">
        <v>1</v>
      </c>
      <c r="B109" s="3">
        <v>1</v>
      </c>
      <c r="C109" s="3">
        <v>16</v>
      </c>
      <c r="D109" s="3">
        <v>7</v>
      </c>
      <c r="E109" s="3">
        <f>((1/(INDEX(E0!J$4:J$28,C109,1)-INDEX(E0!J$4:J$28,D109,1))))*100000000</f>
        <v>0</v>
      </c>
      <c r="F109" s="4" t="str">
        <f>HYPERLINK("http://141.218.60.56/~jnz1568/getInfo.php?workbook=01_01.xlsx&amp;sheet=A0&amp;row=109&amp;col=6&amp;number=&amp;sourceID=18","")</f>
        <v/>
      </c>
      <c r="G109" s="4" t="str">
        <f>HYPERLINK("http://141.218.60.56/~jnz1568/getInfo.php?workbook=01_01.xlsx&amp;sheet=A0&amp;row=109&amp;col=7&amp;number=&amp;sourceID=15","")</f>
        <v/>
      </c>
      <c r="H109" s="4" t="str">
        <f>HYPERLINK("http://141.218.60.56/~jnz1568/getInfo.php?workbook=01_01.xlsx&amp;sheet=A0&amp;row=109&amp;col=8&amp;number=&amp;sourceID=15","")</f>
        <v/>
      </c>
      <c r="I109" s="4" t="str">
        <f>HYPERLINK("http://141.218.60.56/~jnz1568/getInfo.php?workbook=01_01.xlsx&amp;sheet=A0&amp;row=109&amp;col=9&amp;number=&amp;sourceID=15","")</f>
        <v/>
      </c>
      <c r="J109" s="4" t="str">
        <f>HYPERLINK("http://141.218.60.56/~jnz1568/getInfo.php?workbook=01_01.xlsx&amp;sheet=A0&amp;row=109&amp;col=10&amp;number=&amp;sourceID=15","")</f>
        <v/>
      </c>
      <c r="K109" s="4" t="str">
        <f>HYPERLINK("http://141.218.60.56/~jnz1568/getInfo.php?workbook=01_01.xlsx&amp;sheet=A0&amp;row=109&amp;col=11&amp;number=&amp;sourceID=15","")</f>
        <v/>
      </c>
      <c r="L109" s="4" t="str">
        <f>HYPERLINK("http://141.218.60.56/~jnz1568/getInfo.php?workbook=01_01.xlsx&amp;sheet=A0&amp;row=109&amp;col=12&amp;number=&amp;sourceID=15","")</f>
        <v/>
      </c>
      <c r="M109" s="4" t="str">
        <f>HYPERLINK("http://141.218.60.56/~jnz1568/getInfo.php?workbook=01_01.xlsx&amp;sheet=A0&amp;row=109&amp;col=13&amp;number=&amp;sourceID=15","")</f>
        <v/>
      </c>
      <c r="N109" s="4" t="str">
        <f>HYPERLINK("http://141.218.60.56/~jnz1568/getInfo.php?workbook=01_01.xlsx&amp;sheet=A0&amp;row=109&amp;col=14&amp;number==&amp;sourceID=11","=")</f>
        <v>=</v>
      </c>
      <c r="O109" s="4" t="str">
        <f>HYPERLINK("http://141.218.60.56/~jnz1568/getInfo.php?workbook=01_01.xlsx&amp;sheet=A0&amp;row=109&amp;col=15&amp;number=&amp;sourceID=11","")</f>
        <v/>
      </c>
      <c r="P109" s="4" t="str">
        <f>HYPERLINK("http://141.218.60.56/~jnz1568/getInfo.php?workbook=01_01.xlsx&amp;sheet=A0&amp;row=109&amp;col=16&amp;number=&amp;sourceID=11","")</f>
        <v/>
      </c>
      <c r="Q109" s="4" t="str">
        <f>HYPERLINK("http://141.218.60.56/~jnz1568/getInfo.php?workbook=01_01.xlsx&amp;sheet=A0&amp;row=109&amp;col=17&amp;number=1.3469e-07&amp;sourceID=11","1.3469e-07")</f>
        <v>1.3469e-07</v>
      </c>
      <c r="R109" s="4" t="str">
        <f>HYPERLINK("http://141.218.60.56/~jnz1568/getInfo.php?workbook=01_01.xlsx&amp;sheet=A0&amp;row=109&amp;col=18&amp;number=&amp;sourceID=11","")</f>
        <v/>
      </c>
      <c r="S109" s="4" t="str">
        <f>HYPERLINK("http://141.218.60.56/~jnz1568/getInfo.php?workbook=01_01.xlsx&amp;sheet=A0&amp;row=109&amp;col=19&amp;number=1.2319e-06&amp;sourceID=11","1.2319e-06")</f>
        <v>1.2319e-06</v>
      </c>
      <c r="T109" s="4" t="str">
        <f>HYPERLINK("http://141.218.60.56/~jnz1568/getInfo.php?workbook=01_01.xlsx&amp;sheet=A0&amp;row=109&amp;col=20&amp;number=&amp;sourceID=11","")</f>
        <v/>
      </c>
      <c r="U109" s="4" t="str">
        <f>HYPERLINK("http://141.218.60.56/~jnz1568/getInfo.php?workbook=01_01.xlsx&amp;sheet=A0&amp;row=109&amp;col=21&amp;number=1.3674e-06&amp;sourceID=12","1.3674e-06")</f>
        <v>1.3674e-06</v>
      </c>
      <c r="V109" s="4" t="str">
        <f>HYPERLINK("http://141.218.60.56/~jnz1568/getInfo.php?workbook=01_01.xlsx&amp;sheet=A0&amp;row=109&amp;col=22&amp;number=&amp;sourceID=12","")</f>
        <v/>
      </c>
      <c r="W109" s="4" t="str">
        <f>HYPERLINK("http://141.218.60.56/~jnz1568/getInfo.php?workbook=01_01.xlsx&amp;sheet=A0&amp;row=109&amp;col=23&amp;number=&amp;sourceID=12","")</f>
        <v/>
      </c>
      <c r="X109" s="4" t="str">
        <f>HYPERLINK("http://141.218.60.56/~jnz1568/getInfo.php?workbook=01_01.xlsx&amp;sheet=A0&amp;row=109&amp;col=24&amp;number=1.3476e-07&amp;sourceID=12","1.3476e-07")</f>
        <v>1.3476e-07</v>
      </c>
      <c r="Y109" s="4" t="str">
        <f>HYPERLINK("http://141.218.60.56/~jnz1568/getInfo.php?workbook=01_01.xlsx&amp;sheet=A0&amp;row=109&amp;col=25&amp;number=&amp;sourceID=12","")</f>
        <v/>
      </c>
      <c r="Z109" s="4" t="str">
        <f>HYPERLINK("http://141.218.60.56/~jnz1568/getInfo.php?workbook=01_01.xlsx&amp;sheet=A0&amp;row=109&amp;col=26&amp;number=1.2326e-06&amp;sourceID=12","1.2326e-06")</f>
        <v>1.2326e-06</v>
      </c>
      <c r="AA109" s="4" t="str">
        <f>HYPERLINK("http://141.218.60.56/~jnz1568/getInfo.php?workbook=01_01.xlsx&amp;sheet=A0&amp;row=109&amp;col=27&amp;number=&amp;sourceID=12","")</f>
        <v/>
      </c>
      <c r="AB109" s="4" t="str">
        <f>HYPERLINK("http://141.218.60.56/~jnz1568/getInfo.php?workbook=01_01.xlsx&amp;sheet=A0&amp;row=109&amp;col=28&amp;number==SUM(AC109:AG109)&amp;sourceID=18","=SUM(AC109:AG109)")</f>
        <v>=SUM(AC109:AG109)</v>
      </c>
      <c r="AC109" s="4" t="str">
        <f>HYPERLINK("http://141.218.60.56/~jnz1568/getInfo.php?workbook=01_01.xlsx&amp;sheet=A0&amp;row=109&amp;col=29&amp;number=&amp;sourceID=18","")</f>
        <v/>
      </c>
      <c r="AD109" s="4" t="str">
        <f>HYPERLINK("http://141.218.60.56/~jnz1568/getInfo.php?workbook=01_01.xlsx&amp;sheet=A0&amp;row=109&amp;col=30&amp;number=&amp;sourceID=18","")</f>
        <v/>
      </c>
      <c r="AE109" s="4" t="str">
        <f>HYPERLINK("http://141.218.60.56/~jnz1568/getInfo.php?workbook=01_01.xlsx&amp;sheet=A0&amp;row=109&amp;col=31&amp;number=3.03e-07&amp;sourceID=18","3.03e-07")</f>
        <v>3.03e-07</v>
      </c>
      <c r="AF109" s="4" t="str">
        <f>HYPERLINK("http://141.218.60.56/~jnz1568/getInfo.php?workbook=01_01.xlsx&amp;sheet=A0&amp;row=109&amp;col=32&amp;number=&amp;sourceID=18","")</f>
        <v/>
      </c>
      <c r="AG109" s="4" t="str">
        <f>HYPERLINK("http://141.218.60.56/~jnz1568/getInfo.php?workbook=01_01.xlsx&amp;sheet=A0&amp;row=109&amp;col=33&amp;number=4.93e-06&amp;sourceID=18","4.93e-06")</f>
        <v>4.93e-06</v>
      </c>
      <c r="AH109" s="4" t="str">
        <f>HYPERLINK("http://141.218.60.56/~jnz1568/getInfo.php?workbook=01_01.xlsx&amp;sheet=A0&amp;row=109&amp;col=34&amp;number=&amp;sourceID=20","")</f>
        <v/>
      </c>
    </row>
    <row r="110" spans="1:34">
      <c r="A110" s="3">
        <v>1</v>
      </c>
      <c r="B110" s="3">
        <v>1</v>
      </c>
      <c r="C110" s="3">
        <v>16</v>
      </c>
      <c r="D110" s="3">
        <v>8</v>
      </c>
      <c r="E110" s="3">
        <f>((1/(INDEX(E0!J$4:J$28,C110,1)-INDEX(E0!J$4:J$28,D110,1))))*100000000</f>
        <v>0</v>
      </c>
      <c r="F110" s="4" t="str">
        <f>HYPERLINK("http://141.218.60.56/~jnz1568/getInfo.php?workbook=01_01.xlsx&amp;sheet=A0&amp;row=110&amp;col=6&amp;number=&amp;sourceID=18","")</f>
        <v/>
      </c>
      <c r="G110" s="4" t="str">
        <f>HYPERLINK("http://141.218.60.56/~jnz1568/getInfo.php?workbook=01_01.xlsx&amp;sheet=A0&amp;row=110&amp;col=7&amp;number=&amp;sourceID=15","")</f>
        <v/>
      </c>
      <c r="H110" s="4" t="str">
        <f>HYPERLINK("http://141.218.60.56/~jnz1568/getInfo.php?workbook=01_01.xlsx&amp;sheet=A0&amp;row=110&amp;col=8&amp;number=&amp;sourceID=15","")</f>
        <v/>
      </c>
      <c r="I110" s="4" t="str">
        <f>HYPERLINK("http://141.218.60.56/~jnz1568/getInfo.php?workbook=01_01.xlsx&amp;sheet=A0&amp;row=110&amp;col=9&amp;number=&amp;sourceID=15","")</f>
        <v/>
      </c>
      <c r="J110" s="4" t="str">
        <f>HYPERLINK("http://141.218.60.56/~jnz1568/getInfo.php?workbook=01_01.xlsx&amp;sheet=A0&amp;row=110&amp;col=10&amp;number=&amp;sourceID=15","")</f>
        <v/>
      </c>
      <c r="K110" s="4" t="str">
        <f>HYPERLINK("http://141.218.60.56/~jnz1568/getInfo.php?workbook=01_01.xlsx&amp;sheet=A0&amp;row=110&amp;col=11&amp;number=&amp;sourceID=15","")</f>
        <v/>
      </c>
      <c r="L110" s="4" t="str">
        <f>HYPERLINK("http://141.218.60.56/~jnz1568/getInfo.php?workbook=01_01.xlsx&amp;sheet=A0&amp;row=110&amp;col=12&amp;number=&amp;sourceID=15","")</f>
        <v/>
      </c>
      <c r="M110" s="4" t="str">
        <f>HYPERLINK("http://141.218.60.56/~jnz1568/getInfo.php?workbook=01_01.xlsx&amp;sheet=A0&amp;row=110&amp;col=13&amp;number=&amp;sourceID=15","")</f>
        <v/>
      </c>
      <c r="N110" s="4" t="str">
        <f>HYPERLINK("http://141.218.60.56/~jnz1568/getInfo.php?workbook=01_01.xlsx&amp;sheet=A0&amp;row=110&amp;col=14&amp;number==&amp;sourceID=11","=")</f>
        <v>=</v>
      </c>
      <c r="O110" s="4" t="str">
        <f>HYPERLINK("http://141.218.60.56/~jnz1568/getInfo.php?workbook=01_01.xlsx&amp;sheet=A0&amp;row=110&amp;col=15&amp;number=&amp;sourceID=11","")</f>
        <v/>
      </c>
      <c r="P110" s="4" t="str">
        <f>HYPERLINK("http://141.218.60.56/~jnz1568/getInfo.php?workbook=01_01.xlsx&amp;sheet=A0&amp;row=110&amp;col=16&amp;number=5.7841&amp;sourceID=11","5.7841")</f>
        <v>5.7841</v>
      </c>
      <c r="Q110" s="4" t="str">
        <f>HYPERLINK("http://141.218.60.56/~jnz1568/getInfo.php?workbook=01_01.xlsx&amp;sheet=A0&amp;row=110&amp;col=17&amp;number=&amp;sourceID=11","")</f>
        <v/>
      </c>
      <c r="R110" s="4" t="str">
        <f>HYPERLINK("http://141.218.60.56/~jnz1568/getInfo.php?workbook=01_01.xlsx&amp;sheet=A0&amp;row=110&amp;col=18&amp;number=&amp;sourceID=11","")</f>
        <v/>
      </c>
      <c r="S110" s="4" t="str">
        <f>HYPERLINK("http://141.218.60.56/~jnz1568/getInfo.php?workbook=01_01.xlsx&amp;sheet=A0&amp;row=110&amp;col=19&amp;number=&amp;sourceID=11","")</f>
        <v/>
      </c>
      <c r="T110" s="4" t="str">
        <f>HYPERLINK("http://141.218.60.56/~jnz1568/getInfo.php?workbook=01_01.xlsx&amp;sheet=A0&amp;row=110&amp;col=20&amp;number=2.076e-12&amp;sourceID=11","2.076e-12")</f>
        <v>2.076e-12</v>
      </c>
      <c r="U110" s="4" t="str">
        <f>HYPERLINK("http://141.218.60.56/~jnz1568/getInfo.php?workbook=01_01.xlsx&amp;sheet=A0&amp;row=110&amp;col=21&amp;number=5.7872&amp;sourceID=12","5.7872")</f>
        <v>5.7872</v>
      </c>
      <c r="V110" s="4" t="str">
        <f>HYPERLINK("http://141.218.60.56/~jnz1568/getInfo.php?workbook=01_01.xlsx&amp;sheet=A0&amp;row=110&amp;col=22&amp;number=&amp;sourceID=12","")</f>
        <v/>
      </c>
      <c r="W110" s="4" t="str">
        <f>HYPERLINK("http://141.218.60.56/~jnz1568/getInfo.php?workbook=01_01.xlsx&amp;sheet=A0&amp;row=110&amp;col=23&amp;number=5.7872&amp;sourceID=12","5.7872")</f>
        <v>5.7872</v>
      </c>
      <c r="X110" s="4" t="str">
        <f>HYPERLINK("http://141.218.60.56/~jnz1568/getInfo.php?workbook=01_01.xlsx&amp;sheet=A0&amp;row=110&amp;col=24&amp;number=&amp;sourceID=12","")</f>
        <v/>
      </c>
      <c r="Y110" s="4" t="str">
        <f>HYPERLINK("http://141.218.60.56/~jnz1568/getInfo.php?workbook=01_01.xlsx&amp;sheet=A0&amp;row=110&amp;col=25&amp;number=&amp;sourceID=12","")</f>
        <v/>
      </c>
      <c r="Z110" s="4" t="str">
        <f>HYPERLINK("http://141.218.60.56/~jnz1568/getInfo.php?workbook=01_01.xlsx&amp;sheet=A0&amp;row=110&amp;col=26&amp;number=&amp;sourceID=12","")</f>
        <v/>
      </c>
      <c r="AA110" s="4" t="str">
        <f>HYPERLINK("http://141.218.60.56/~jnz1568/getInfo.php?workbook=01_01.xlsx&amp;sheet=A0&amp;row=110&amp;col=27&amp;number=2.078e-12&amp;sourceID=12","2.078e-12")</f>
        <v>2.078e-12</v>
      </c>
      <c r="AB110" s="4" t="str">
        <f>HYPERLINK("http://141.218.60.56/~jnz1568/getInfo.php?workbook=01_01.xlsx&amp;sheet=A0&amp;row=110&amp;col=28&amp;number==SUM(AC110:AG110)&amp;sourceID=18","=SUM(AC110:AG110)")</f>
        <v>=SUM(AC110:AG110)</v>
      </c>
      <c r="AC110" s="4" t="str">
        <f>HYPERLINK("http://141.218.60.56/~jnz1568/getInfo.php?workbook=01_01.xlsx&amp;sheet=A0&amp;row=110&amp;col=29&amp;number=&amp;sourceID=18","")</f>
        <v/>
      </c>
      <c r="AD110" s="4" t="str">
        <f>HYPERLINK("http://141.218.60.56/~jnz1568/getInfo.php?workbook=01_01.xlsx&amp;sheet=A0&amp;row=110&amp;col=30&amp;number=5.79&amp;sourceID=18","5.79")</f>
        <v>5.79</v>
      </c>
      <c r="AE110" s="4" t="str">
        <f>HYPERLINK("http://141.218.60.56/~jnz1568/getInfo.php?workbook=01_01.xlsx&amp;sheet=A0&amp;row=110&amp;col=31&amp;number=&amp;sourceID=18","")</f>
        <v/>
      </c>
      <c r="AF110" s="4" t="str">
        <f>HYPERLINK("http://141.218.60.56/~jnz1568/getInfo.php?workbook=01_01.xlsx&amp;sheet=A0&amp;row=110&amp;col=32&amp;number=&amp;sourceID=18","")</f>
        <v/>
      </c>
      <c r="AG110" s="4" t="str">
        <f>HYPERLINK("http://141.218.60.56/~jnz1568/getInfo.php?workbook=01_01.xlsx&amp;sheet=A0&amp;row=110&amp;col=33&amp;number=&amp;sourceID=18","")</f>
        <v/>
      </c>
      <c r="AH110" s="4" t="str">
        <f>HYPERLINK("http://141.218.60.56/~jnz1568/getInfo.php?workbook=01_01.xlsx&amp;sheet=A0&amp;row=110&amp;col=34&amp;number=&amp;sourceID=20","")</f>
        <v/>
      </c>
    </row>
    <row r="111" spans="1:34">
      <c r="A111" s="3">
        <v>1</v>
      </c>
      <c r="B111" s="3">
        <v>1</v>
      </c>
      <c r="C111" s="3">
        <v>16</v>
      </c>
      <c r="D111" s="3">
        <v>9</v>
      </c>
      <c r="E111" s="3">
        <f>((1/(INDEX(E0!J$4:J$28,C111,1)-INDEX(E0!J$4:J$28,D111,1))))*100000000</f>
        <v>0</v>
      </c>
      <c r="F111" s="4" t="str">
        <f>HYPERLINK("http://141.218.60.56/~jnz1568/getInfo.php?workbook=01_01.xlsx&amp;sheet=A0&amp;row=111&amp;col=6&amp;number=&amp;sourceID=18","")</f>
        <v/>
      </c>
      <c r="G111" s="4" t="str">
        <f>HYPERLINK("http://141.218.60.56/~jnz1568/getInfo.php?workbook=01_01.xlsx&amp;sheet=A0&amp;row=111&amp;col=7&amp;number=13788000&amp;sourceID=15","13788000")</f>
        <v>13788000</v>
      </c>
      <c r="H111" s="4" t="str">
        <f>HYPERLINK("http://141.218.60.56/~jnz1568/getInfo.php?workbook=01_01.xlsx&amp;sheet=A0&amp;row=111&amp;col=8&amp;number=13788000&amp;sourceID=15","13788000")</f>
        <v>13788000</v>
      </c>
      <c r="I111" s="4" t="str">
        <f>HYPERLINK("http://141.218.60.56/~jnz1568/getInfo.php?workbook=01_01.xlsx&amp;sheet=A0&amp;row=111&amp;col=9&amp;number=&amp;sourceID=15","")</f>
        <v/>
      </c>
      <c r="J111" s="4" t="str">
        <f>HYPERLINK("http://141.218.60.56/~jnz1568/getInfo.php?workbook=01_01.xlsx&amp;sheet=A0&amp;row=111&amp;col=10&amp;number=&amp;sourceID=15","")</f>
        <v/>
      </c>
      <c r="K111" s="4" t="str">
        <f>HYPERLINK("http://141.218.60.56/~jnz1568/getInfo.php?workbook=01_01.xlsx&amp;sheet=A0&amp;row=111&amp;col=11&amp;number=&amp;sourceID=15","")</f>
        <v/>
      </c>
      <c r="L111" s="4" t="str">
        <f>HYPERLINK("http://141.218.60.56/~jnz1568/getInfo.php?workbook=01_01.xlsx&amp;sheet=A0&amp;row=111&amp;col=12&amp;number=&amp;sourceID=15","")</f>
        <v/>
      </c>
      <c r="M111" s="4" t="str">
        <f>HYPERLINK("http://141.218.60.56/~jnz1568/getInfo.php?workbook=01_01.xlsx&amp;sheet=A0&amp;row=111&amp;col=13&amp;number=&amp;sourceID=15","")</f>
        <v/>
      </c>
      <c r="N111" s="4" t="str">
        <f>HYPERLINK("http://141.218.60.56/~jnz1568/getInfo.php?workbook=01_01.xlsx&amp;sheet=A0&amp;row=111&amp;col=14&amp;number==&amp;sourceID=11","=")</f>
        <v>=</v>
      </c>
      <c r="O111" s="4" t="str">
        <f>HYPERLINK("http://141.218.60.56/~jnz1568/getInfo.php?workbook=01_01.xlsx&amp;sheet=A0&amp;row=111&amp;col=15&amp;number=13788000&amp;sourceID=11","13788000")</f>
        <v>13788000</v>
      </c>
      <c r="P111" s="4" t="str">
        <f>HYPERLINK("http://141.218.60.56/~jnz1568/getInfo.php?workbook=01_01.xlsx&amp;sheet=A0&amp;row=111&amp;col=16&amp;number=&amp;sourceID=11","")</f>
        <v/>
      </c>
      <c r="Q111" s="4" t="str">
        <f>HYPERLINK("http://141.218.60.56/~jnz1568/getInfo.php?workbook=01_01.xlsx&amp;sheet=A0&amp;row=111&amp;col=17&amp;number=4.0405e-07&amp;sourceID=11","4.0405e-07")</f>
        <v>4.0405e-07</v>
      </c>
      <c r="R111" s="4" t="str">
        <f>HYPERLINK("http://141.218.60.56/~jnz1568/getInfo.php?workbook=01_01.xlsx&amp;sheet=A0&amp;row=111&amp;col=18&amp;number=&amp;sourceID=11","")</f>
        <v/>
      </c>
      <c r="S111" s="4" t="str">
        <f>HYPERLINK("http://141.218.60.56/~jnz1568/getInfo.php?workbook=01_01.xlsx&amp;sheet=A0&amp;row=111&amp;col=19&amp;number=8.4885e-06&amp;sourceID=11","8.4885e-06")</f>
        <v>8.4885e-06</v>
      </c>
      <c r="T111" s="4" t="str">
        <f>HYPERLINK("http://141.218.60.56/~jnz1568/getInfo.php?workbook=01_01.xlsx&amp;sheet=A0&amp;row=111&amp;col=20&amp;number=&amp;sourceID=11","")</f>
        <v/>
      </c>
      <c r="U111" s="4" t="str">
        <f>HYPERLINK("http://141.218.60.56/~jnz1568/getInfo.php?workbook=01_01.xlsx&amp;sheet=A0&amp;row=111&amp;col=21&amp;number=13795000&amp;sourceID=12","13795000")</f>
        <v>13795000</v>
      </c>
      <c r="V111" s="4" t="str">
        <f>HYPERLINK("http://141.218.60.56/~jnz1568/getInfo.php?workbook=01_01.xlsx&amp;sheet=A0&amp;row=111&amp;col=22&amp;number=13795000&amp;sourceID=12","13795000")</f>
        <v>13795000</v>
      </c>
      <c r="W111" s="4" t="str">
        <f>HYPERLINK("http://141.218.60.56/~jnz1568/getInfo.php?workbook=01_01.xlsx&amp;sheet=A0&amp;row=111&amp;col=23&amp;number=&amp;sourceID=12","")</f>
        <v/>
      </c>
      <c r="X111" s="4" t="str">
        <f>HYPERLINK("http://141.218.60.56/~jnz1568/getInfo.php?workbook=01_01.xlsx&amp;sheet=A0&amp;row=111&amp;col=24&amp;number=4.0427e-07&amp;sourceID=12","4.0427e-07")</f>
        <v>4.0427e-07</v>
      </c>
      <c r="Y111" s="4" t="str">
        <f>HYPERLINK("http://141.218.60.56/~jnz1568/getInfo.php?workbook=01_01.xlsx&amp;sheet=A0&amp;row=111&amp;col=25&amp;number=&amp;sourceID=12","")</f>
        <v/>
      </c>
      <c r="Z111" s="4" t="str">
        <f>HYPERLINK("http://141.218.60.56/~jnz1568/getInfo.php?workbook=01_01.xlsx&amp;sheet=A0&amp;row=111&amp;col=26&amp;number=8.4931e-06&amp;sourceID=12","8.4931e-06")</f>
        <v>8.4931e-06</v>
      </c>
      <c r="AA111" s="4" t="str">
        <f>HYPERLINK("http://141.218.60.56/~jnz1568/getInfo.php?workbook=01_01.xlsx&amp;sheet=A0&amp;row=111&amp;col=27&amp;number=&amp;sourceID=12","")</f>
        <v/>
      </c>
      <c r="AB111" s="4" t="str">
        <f>HYPERLINK("http://141.218.60.56/~jnz1568/getInfo.php?workbook=01_01.xlsx&amp;sheet=A0&amp;row=111&amp;col=28&amp;number==SUM(AC111:AG111)&amp;sourceID=18","=SUM(AC111:AG111)")</f>
        <v>=SUM(AC111:AG111)</v>
      </c>
      <c r="AC111" s="4" t="str">
        <f>HYPERLINK("http://141.218.60.56/~jnz1568/getInfo.php?workbook=01_01.xlsx&amp;sheet=A0&amp;row=111&amp;col=29&amp;number=13800000&amp;sourceID=18","13800000")</f>
        <v>13800000</v>
      </c>
      <c r="AD111" s="4" t="str">
        <f>HYPERLINK("http://141.218.60.56/~jnz1568/getInfo.php?workbook=01_01.xlsx&amp;sheet=A0&amp;row=111&amp;col=30&amp;number=&amp;sourceID=18","")</f>
        <v/>
      </c>
      <c r="AE111" s="4" t="str">
        <f>HYPERLINK("http://141.218.60.56/~jnz1568/getInfo.php?workbook=01_01.xlsx&amp;sheet=A0&amp;row=111&amp;col=31&amp;number=&amp;sourceID=18","")</f>
        <v/>
      </c>
      <c r="AF111" s="4" t="str">
        <f>HYPERLINK("http://141.218.60.56/~jnz1568/getInfo.php?workbook=01_01.xlsx&amp;sheet=A0&amp;row=111&amp;col=32&amp;number=&amp;sourceID=18","")</f>
        <v/>
      </c>
      <c r="AG111" s="4" t="str">
        <f>HYPERLINK("http://141.218.60.56/~jnz1568/getInfo.php?workbook=01_01.xlsx&amp;sheet=A0&amp;row=111&amp;col=33&amp;number=&amp;sourceID=18","")</f>
        <v/>
      </c>
      <c r="AH111" s="4" t="str">
        <f>HYPERLINK("http://141.218.60.56/~jnz1568/getInfo.php?workbook=01_01.xlsx&amp;sheet=A0&amp;row=111&amp;col=34&amp;number=&amp;sourceID=20","")</f>
        <v/>
      </c>
    </row>
    <row r="112" spans="1:34">
      <c r="A112" s="3">
        <v>1</v>
      </c>
      <c r="B112" s="3">
        <v>1</v>
      </c>
      <c r="C112" s="3">
        <v>16</v>
      </c>
      <c r="D112" s="3">
        <v>10</v>
      </c>
      <c r="E112" s="3">
        <f>((1/(INDEX(E0!J$4:J$28,C112,1)-INDEX(E0!J$4:J$28,D112,1))))*100000000</f>
        <v>0</v>
      </c>
      <c r="F112" s="4" t="str">
        <f>HYPERLINK("http://141.218.60.56/~jnz1568/getInfo.php?workbook=01_01.xlsx&amp;sheet=A0&amp;row=112&amp;col=6&amp;number=&amp;sourceID=18","")</f>
        <v/>
      </c>
      <c r="G112" s="4" t="str">
        <f>HYPERLINK("http://141.218.60.56/~jnz1568/getInfo.php?workbook=01_01.xlsx&amp;sheet=A0&amp;row=112&amp;col=7&amp;number=&amp;sourceID=15","")</f>
        <v/>
      </c>
      <c r="H112" s="4" t="str">
        <f>HYPERLINK("http://141.218.60.56/~jnz1568/getInfo.php?workbook=01_01.xlsx&amp;sheet=A0&amp;row=112&amp;col=8&amp;number=&amp;sourceID=15","")</f>
        <v/>
      </c>
      <c r="I112" s="4" t="str">
        <f>HYPERLINK("http://141.218.60.56/~jnz1568/getInfo.php?workbook=01_01.xlsx&amp;sheet=A0&amp;row=112&amp;col=9&amp;number=&amp;sourceID=15","")</f>
        <v/>
      </c>
      <c r="J112" s="4" t="str">
        <f>HYPERLINK("http://141.218.60.56/~jnz1568/getInfo.php?workbook=01_01.xlsx&amp;sheet=A0&amp;row=112&amp;col=10&amp;number=&amp;sourceID=15","")</f>
        <v/>
      </c>
      <c r="K112" s="4" t="str">
        <f>HYPERLINK("http://141.218.60.56/~jnz1568/getInfo.php?workbook=01_01.xlsx&amp;sheet=A0&amp;row=112&amp;col=11&amp;number=&amp;sourceID=15","")</f>
        <v/>
      </c>
      <c r="L112" s="4" t="str">
        <f>HYPERLINK("http://141.218.60.56/~jnz1568/getInfo.php?workbook=01_01.xlsx&amp;sheet=A0&amp;row=112&amp;col=12&amp;number=&amp;sourceID=15","")</f>
        <v/>
      </c>
      <c r="M112" s="4" t="str">
        <f>HYPERLINK("http://141.218.60.56/~jnz1568/getInfo.php?workbook=01_01.xlsx&amp;sheet=A0&amp;row=112&amp;col=13&amp;number=&amp;sourceID=15","")</f>
        <v/>
      </c>
      <c r="N112" s="4" t="str">
        <f>HYPERLINK("http://141.218.60.56/~jnz1568/getInfo.php?workbook=01_01.xlsx&amp;sheet=A0&amp;row=112&amp;col=14&amp;number==&amp;sourceID=11","=")</f>
        <v>=</v>
      </c>
      <c r="O112" s="4" t="str">
        <f>HYPERLINK("http://141.218.60.56/~jnz1568/getInfo.php?workbook=01_01.xlsx&amp;sheet=A0&amp;row=112&amp;col=15&amp;number=&amp;sourceID=11","")</f>
        <v/>
      </c>
      <c r="P112" s="4" t="str">
        <f>HYPERLINK("http://141.218.60.56/~jnz1568/getInfo.php?workbook=01_01.xlsx&amp;sheet=A0&amp;row=112&amp;col=16&amp;number=&amp;sourceID=11","")</f>
        <v/>
      </c>
      <c r="Q112" s="4" t="str">
        <f>HYPERLINK("http://141.218.60.56/~jnz1568/getInfo.php?workbook=01_01.xlsx&amp;sheet=A0&amp;row=112&amp;col=17&amp;number=&amp;sourceID=11","")</f>
        <v/>
      </c>
      <c r="R112" s="4" t="str">
        <f>HYPERLINK("http://141.218.60.56/~jnz1568/getInfo.php?workbook=01_01.xlsx&amp;sheet=A0&amp;row=112&amp;col=18&amp;number=&amp;sourceID=11","")</f>
        <v/>
      </c>
      <c r="S112" s="4" t="str">
        <f>HYPERLINK("http://141.218.60.56/~jnz1568/getInfo.php?workbook=01_01.xlsx&amp;sheet=A0&amp;row=112&amp;col=19&amp;number=&amp;sourceID=11","")</f>
        <v/>
      </c>
      <c r="T112" s="4" t="str">
        <f>HYPERLINK("http://141.218.60.56/~jnz1568/getInfo.php?workbook=01_01.xlsx&amp;sheet=A0&amp;row=112&amp;col=20&amp;number=0&amp;sourceID=11","0")</f>
        <v>0</v>
      </c>
      <c r="U112" s="4" t="str">
        <f>HYPERLINK("http://141.218.60.56/~jnz1568/getInfo.php?workbook=01_01.xlsx&amp;sheet=A0&amp;row=112&amp;col=21&amp;number=0&amp;sourceID=12","0")</f>
        <v>0</v>
      </c>
      <c r="V112" s="4" t="str">
        <f>HYPERLINK("http://141.218.60.56/~jnz1568/getInfo.php?workbook=01_01.xlsx&amp;sheet=A0&amp;row=112&amp;col=22&amp;number=&amp;sourceID=12","")</f>
        <v/>
      </c>
      <c r="W112" s="4" t="str">
        <f>HYPERLINK("http://141.218.60.56/~jnz1568/getInfo.php?workbook=01_01.xlsx&amp;sheet=A0&amp;row=112&amp;col=23&amp;number=&amp;sourceID=12","")</f>
        <v/>
      </c>
      <c r="X112" s="4" t="str">
        <f>HYPERLINK("http://141.218.60.56/~jnz1568/getInfo.php?workbook=01_01.xlsx&amp;sheet=A0&amp;row=112&amp;col=24&amp;number=&amp;sourceID=12","")</f>
        <v/>
      </c>
      <c r="Y112" s="4" t="str">
        <f>HYPERLINK("http://141.218.60.56/~jnz1568/getInfo.php?workbook=01_01.xlsx&amp;sheet=A0&amp;row=112&amp;col=25&amp;number=&amp;sourceID=12","")</f>
        <v/>
      </c>
      <c r="Z112" s="4" t="str">
        <f>HYPERLINK("http://141.218.60.56/~jnz1568/getInfo.php?workbook=01_01.xlsx&amp;sheet=A0&amp;row=112&amp;col=26&amp;number=&amp;sourceID=12","")</f>
        <v/>
      </c>
      <c r="AA112" s="4" t="str">
        <f>HYPERLINK("http://141.218.60.56/~jnz1568/getInfo.php?workbook=01_01.xlsx&amp;sheet=A0&amp;row=112&amp;col=27&amp;number=0&amp;sourceID=12","0")</f>
        <v>0</v>
      </c>
      <c r="AB112" s="4" t="str">
        <f>HYPERLINK("http://141.218.60.56/~jnz1568/getInfo.php?workbook=01_01.xlsx&amp;sheet=A0&amp;row=112&amp;col=28&amp;number=&amp;sourceID=18","")</f>
        <v/>
      </c>
      <c r="AC112" s="4" t="str">
        <f>HYPERLINK("http://141.218.60.56/~jnz1568/getInfo.php?workbook=01_01.xlsx&amp;sheet=A0&amp;row=112&amp;col=29&amp;number=&amp;sourceID=18","")</f>
        <v/>
      </c>
      <c r="AD112" s="4" t="str">
        <f>HYPERLINK("http://141.218.60.56/~jnz1568/getInfo.php?workbook=01_01.xlsx&amp;sheet=A0&amp;row=112&amp;col=30&amp;number=&amp;sourceID=18","")</f>
        <v/>
      </c>
      <c r="AE112" s="4" t="str">
        <f>HYPERLINK("http://141.218.60.56/~jnz1568/getInfo.php?workbook=01_01.xlsx&amp;sheet=A0&amp;row=112&amp;col=31&amp;number=&amp;sourceID=18","")</f>
        <v/>
      </c>
      <c r="AF112" s="4" t="str">
        <f>HYPERLINK("http://141.218.60.56/~jnz1568/getInfo.php?workbook=01_01.xlsx&amp;sheet=A0&amp;row=112&amp;col=32&amp;number=&amp;sourceID=18","")</f>
        <v/>
      </c>
      <c r="AG112" s="4" t="str">
        <f>HYPERLINK("http://141.218.60.56/~jnz1568/getInfo.php?workbook=01_01.xlsx&amp;sheet=A0&amp;row=112&amp;col=33&amp;number=&amp;sourceID=18","")</f>
        <v/>
      </c>
      <c r="AH112" s="4" t="str">
        <f>HYPERLINK("http://141.218.60.56/~jnz1568/getInfo.php?workbook=01_01.xlsx&amp;sheet=A0&amp;row=112&amp;col=34&amp;number=&amp;sourceID=20","")</f>
        <v/>
      </c>
    </row>
    <row r="113" spans="1:34">
      <c r="A113" s="3">
        <v>1</v>
      </c>
      <c r="B113" s="3">
        <v>1</v>
      </c>
      <c r="C113" s="3">
        <v>16</v>
      </c>
      <c r="D113" s="3">
        <v>11</v>
      </c>
      <c r="E113" s="3">
        <f>((1/(INDEX(E0!J$4:J$28,C113,1)-INDEX(E0!J$4:J$28,D113,1))))*100000000</f>
        <v>0</v>
      </c>
      <c r="F113" s="4" t="str">
        <f>HYPERLINK("http://141.218.60.56/~jnz1568/getInfo.php?workbook=01_01.xlsx&amp;sheet=A0&amp;row=113&amp;col=6&amp;number=&amp;sourceID=18","")</f>
        <v/>
      </c>
      <c r="G113" s="4" t="str">
        <f>HYPERLINK("http://141.218.60.56/~jnz1568/getInfo.php?workbook=01_01.xlsx&amp;sheet=A0&amp;row=113&amp;col=7&amp;number=&amp;sourceID=15","")</f>
        <v/>
      </c>
      <c r="H113" s="4" t="str">
        <f>HYPERLINK("http://141.218.60.56/~jnz1568/getInfo.php?workbook=01_01.xlsx&amp;sheet=A0&amp;row=113&amp;col=8&amp;number=&amp;sourceID=15","")</f>
        <v/>
      </c>
      <c r="I113" s="4" t="str">
        <f>HYPERLINK("http://141.218.60.56/~jnz1568/getInfo.php?workbook=01_01.xlsx&amp;sheet=A0&amp;row=113&amp;col=9&amp;number=&amp;sourceID=15","")</f>
        <v/>
      </c>
      <c r="J113" s="4" t="str">
        <f>HYPERLINK("http://141.218.60.56/~jnz1568/getInfo.php?workbook=01_01.xlsx&amp;sheet=A0&amp;row=113&amp;col=10&amp;number=&amp;sourceID=15","")</f>
        <v/>
      </c>
      <c r="K113" s="4" t="str">
        <f>HYPERLINK("http://141.218.60.56/~jnz1568/getInfo.php?workbook=01_01.xlsx&amp;sheet=A0&amp;row=113&amp;col=11&amp;number=&amp;sourceID=15","")</f>
        <v/>
      </c>
      <c r="L113" s="4" t="str">
        <f>HYPERLINK("http://141.218.60.56/~jnz1568/getInfo.php?workbook=01_01.xlsx&amp;sheet=A0&amp;row=113&amp;col=12&amp;number=&amp;sourceID=15","")</f>
        <v/>
      </c>
      <c r="M113" s="4" t="str">
        <f>HYPERLINK("http://141.218.60.56/~jnz1568/getInfo.php?workbook=01_01.xlsx&amp;sheet=A0&amp;row=113&amp;col=13&amp;number=&amp;sourceID=15","")</f>
        <v/>
      </c>
      <c r="N113" s="4" t="str">
        <f>HYPERLINK("http://141.218.60.56/~jnz1568/getInfo.php?workbook=01_01.xlsx&amp;sheet=A0&amp;row=113&amp;col=14&amp;number==&amp;sourceID=11","=")</f>
        <v>=</v>
      </c>
      <c r="O113" s="4" t="str">
        <f>HYPERLINK("http://141.218.60.56/~jnz1568/getInfo.php?workbook=01_01.xlsx&amp;sheet=A0&amp;row=113&amp;col=15&amp;number=&amp;sourceID=11","")</f>
        <v/>
      </c>
      <c r="P113" s="4" t="str">
        <f>HYPERLINK("http://141.218.60.56/~jnz1568/getInfo.php?workbook=01_01.xlsx&amp;sheet=A0&amp;row=113&amp;col=16&amp;number=&amp;sourceID=11","")</f>
        <v/>
      </c>
      <c r="Q113" s="4" t="str">
        <f>HYPERLINK("http://141.218.60.56/~jnz1568/getInfo.php?workbook=01_01.xlsx&amp;sheet=A0&amp;row=113&amp;col=17&amp;number=0&amp;sourceID=11","0")</f>
        <v>0</v>
      </c>
      <c r="R113" s="4" t="str">
        <f>HYPERLINK("http://141.218.60.56/~jnz1568/getInfo.php?workbook=01_01.xlsx&amp;sheet=A0&amp;row=113&amp;col=18&amp;number=&amp;sourceID=11","")</f>
        <v/>
      </c>
      <c r="S113" s="4" t="str">
        <f>HYPERLINK("http://141.218.60.56/~jnz1568/getInfo.php?workbook=01_01.xlsx&amp;sheet=A0&amp;row=113&amp;col=19&amp;number=&amp;sourceID=11","")</f>
        <v/>
      </c>
      <c r="T113" s="4" t="str">
        <f>HYPERLINK("http://141.218.60.56/~jnz1568/getInfo.php?workbook=01_01.xlsx&amp;sheet=A0&amp;row=113&amp;col=20&amp;number=&amp;sourceID=11","")</f>
        <v/>
      </c>
      <c r="U113" s="4" t="str">
        <f>HYPERLINK("http://141.218.60.56/~jnz1568/getInfo.php?workbook=01_01.xlsx&amp;sheet=A0&amp;row=113&amp;col=21&amp;number=0&amp;sourceID=12","0")</f>
        <v>0</v>
      </c>
      <c r="V113" s="4" t="str">
        <f>HYPERLINK("http://141.218.60.56/~jnz1568/getInfo.php?workbook=01_01.xlsx&amp;sheet=A0&amp;row=113&amp;col=22&amp;number=&amp;sourceID=12","")</f>
        <v/>
      </c>
      <c r="W113" s="4" t="str">
        <f>HYPERLINK("http://141.218.60.56/~jnz1568/getInfo.php?workbook=01_01.xlsx&amp;sheet=A0&amp;row=113&amp;col=23&amp;number=&amp;sourceID=12","")</f>
        <v/>
      </c>
      <c r="X113" s="4" t="str">
        <f>HYPERLINK("http://141.218.60.56/~jnz1568/getInfo.php?workbook=01_01.xlsx&amp;sheet=A0&amp;row=113&amp;col=24&amp;number=0&amp;sourceID=12","0")</f>
        <v>0</v>
      </c>
      <c r="Y113" s="4" t="str">
        <f>HYPERLINK("http://141.218.60.56/~jnz1568/getInfo.php?workbook=01_01.xlsx&amp;sheet=A0&amp;row=113&amp;col=25&amp;number=&amp;sourceID=12","")</f>
        <v/>
      </c>
      <c r="Z113" s="4" t="str">
        <f>HYPERLINK("http://141.218.60.56/~jnz1568/getInfo.php?workbook=01_01.xlsx&amp;sheet=A0&amp;row=113&amp;col=26&amp;number=&amp;sourceID=12","")</f>
        <v/>
      </c>
      <c r="AA113" s="4" t="str">
        <f>HYPERLINK("http://141.218.60.56/~jnz1568/getInfo.php?workbook=01_01.xlsx&amp;sheet=A0&amp;row=113&amp;col=27&amp;number=&amp;sourceID=12","")</f>
        <v/>
      </c>
      <c r="AB113" s="4" t="str">
        <f>HYPERLINK("http://141.218.60.56/~jnz1568/getInfo.php?workbook=01_01.xlsx&amp;sheet=A0&amp;row=113&amp;col=28&amp;number=&amp;sourceID=18","")</f>
        <v/>
      </c>
      <c r="AC113" s="4" t="str">
        <f>HYPERLINK("http://141.218.60.56/~jnz1568/getInfo.php?workbook=01_01.xlsx&amp;sheet=A0&amp;row=113&amp;col=29&amp;number=&amp;sourceID=18","")</f>
        <v/>
      </c>
      <c r="AD113" s="4" t="str">
        <f>HYPERLINK("http://141.218.60.56/~jnz1568/getInfo.php?workbook=01_01.xlsx&amp;sheet=A0&amp;row=113&amp;col=30&amp;number=&amp;sourceID=18","")</f>
        <v/>
      </c>
      <c r="AE113" s="4" t="str">
        <f>HYPERLINK("http://141.218.60.56/~jnz1568/getInfo.php?workbook=01_01.xlsx&amp;sheet=A0&amp;row=113&amp;col=31&amp;number=&amp;sourceID=18","")</f>
        <v/>
      </c>
      <c r="AF113" s="4" t="str">
        <f>HYPERLINK("http://141.218.60.56/~jnz1568/getInfo.php?workbook=01_01.xlsx&amp;sheet=A0&amp;row=113&amp;col=32&amp;number=&amp;sourceID=18","")</f>
        <v/>
      </c>
      <c r="AG113" s="4" t="str">
        <f>HYPERLINK("http://141.218.60.56/~jnz1568/getInfo.php?workbook=01_01.xlsx&amp;sheet=A0&amp;row=113&amp;col=33&amp;number=&amp;sourceID=18","")</f>
        <v/>
      </c>
      <c r="AH113" s="4" t="str">
        <f>HYPERLINK("http://141.218.60.56/~jnz1568/getInfo.php?workbook=01_01.xlsx&amp;sheet=A0&amp;row=113&amp;col=34&amp;number=&amp;sourceID=20","")</f>
        <v/>
      </c>
    </row>
    <row r="114" spans="1:34">
      <c r="A114" s="3">
        <v>1</v>
      </c>
      <c r="B114" s="3">
        <v>1</v>
      </c>
      <c r="C114" s="3">
        <v>16</v>
      </c>
      <c r="D114" s="3">
        <v>12</v>
      </c>
      <c r="E114" s="3">
        <f>((1/(INDEX(E0!J$4:J$28,C114,1)-INDEX(E0!J$4:J$28,D114,1))))*100000000</f>
        <v>0</v>
      </c>
      <c r="F114" s="4" t="str">
        <f>HYPERLINK("http://141.218.60.56/~jnz1568/getInfo.php?workbook=01_01.xlsx&amp;sheet=A0&amp;row=114&amp;col=6&amp;number=&amp;sourceID=18","")</f>
        <v/>
      </c>
      <c r="G114" s="4" t="str">
        <f>HYPERLINK("http://141.218.60.56/~jnz1568/getInfo.php?workbook=01_01.xlsx&amp;sheet=A0&amp;row=114&amp;col=7&amp;number=&amp;sourceID=15","")</f>
        <v/>
      </c>
      <c r="H114" s="4" t="str">
        <f>HYPERLINK("http://141.218.60.56/~jnz1568/getInfo.php?workbook=01_01.xlsx&amp;sheet=A0&amp;row=114&amp;col=8&amp;number=&amp;sourceID=15","")</f>
        <v/>
      </c>
      <c r="I114" s="4" t="str">
        <f>HYPERLINK("http://141.218.60.56/~jnz1568/getInfo.php?workbook=01_01.xlsx&amp;sheet=A0&amp;row=114&amp;col=9&amp;number=&amp;sourceID=15","")</f>
        <v/>
      </c>
      <c r="J114" s="4" t="str">
        <f>HYPERLINK("http://141.218.60.56/~jnz1568/getInfo.php?workbook=01_01.xlsx&amp;sheet=A0&amp;row=114&amp;col=10&amp;number=&amp;sourceID=15","")</f>
        <v/>
      </c>
      <c r="K114" s="4" t="str">
        <f>HYPERLINK("http://141.218.60.56/~jnz1568/getInfo.php?workbook=01_01.xlsx&amp;sheet=A0&amp;row=114&amp;col=11&amp;number=&amp;sourceID=15","")</f>
        <v/>
      </c>
      <c r="L114" s="4" t="str">
        <f>HYPERLINK("http://141.218.60.56/~jnz1568/getInfo.php?workbook=01_01.xlsx&amp;sheet=A0&amp;row=114&amp;col=12&amp;number=&amp;sourceID=15","")</f>
        <v/>
      </c>
      <c r="M114" s="4" t="str">
        <f>HYPERLINK("http://141.218.60.56/~jnz1568/getInfo.php?workbook=01_01.xlsx&amp;sheet=A0&amp;row=114&amp;col=13&amp;number=&amp;sourceID=15","")</f>
        <v/>
      </c>
      <c r="N114" s="4" t="str">
        <f>HYPERLINK("http://141.218.60.56/~jnz1568/getInfo.php?workbook=01_01.xlsx&amp;sheet=A0&amp;row=114&amp;col=14&amp;number==&amp;sourceID=11","=")</f>
        <v>=</v>
      </c>
      <c r="O114" s="4" t="str">
        <f>HYPERLINK("http://141.218.60.56/~jnz1568/getInfo.php?workbook=01_01.xlsx&amp;sheet=A0&amp;row=114&amp;col=15&amp;number=&amp;sourceID=11","")</f>
        <v/>
      </c>
      <c r="P114" s="4" t="str">
        <f>HYPERLINK("http://141.218.60.56/~jnz1568/getInfo.php?workbook=01_01.xlsx&amp;sheet=A0&amp;row=114&amp;col=16&amp;number=&amp;sourceID=11","")</f>
        <v/>
      </c>
      <c r="Q114" s="4" t="str">
        <f>HYPERLINK("http://141.218.60.56/~jnz1568/getInfo.php?workbook=01_01.xlsx&amp;sheet=A0&amp;row=114&amp;col=17&amp;number=0&amp;sourceID=11","0")</f>
        <v>0</v>
      </c>
      <c r="R114" s="4" t="str">
        <f>HYPERLINK("http://141.218.60.56/~jnz1568/getInfo.php?workbook=01_01.xlsx&amp;sheet=A0&amp;row=114&amp;col=18&amp;number=&amp;sourceID=11","")</f>
        <v/>
      </c>
      <c r="S114" s="4" t="str">
        <f>HYPERLINK("http://141.218.60.56/~jnz1568/getInfo.php?workbook=01_01.xlsx&amp;sheet=A0&amp;row=114&amp;col=19&amp;number=0&amp;sourceID=11","0")</f>
        <v>0</v>
      </c>
      <c r="T114" s="4" t="str">
        <f>HYPERLINK("http://141.218.60.56/~jnz1568/getInfo.php?workbook=01_01.xlsx&amp;sheet=A0&amp;row=114&amp;col=20&amp;number=&amp;sourceID=11","")</f>
        <v/>
      </c>
      <c r="U114" s="4" t="str">
        <f>HYPERLINK("http://141.218.60.56/~jnz1568/getInfo.php?workbook=01_01.xlsx&amp;sheet=A0&amp;row=114&amp;col=21&amp;number=0&amp;sourceID=12","0")</f>
        <v>0</v>
      </c>
      <c r="V114" s="4" t="str">
        <f>HYPERLINK("http://141.218.60.56/~jnz1568/getInfo.php?workbook=01_01.xlsx&amp;sheet=A0&amp;row=114&amp;col=22&amp;number=&amp;sourceID=12","")</f>
        <v/>
      </c>
      <c r="W114" s="4" t="str">
        <f>HYPERLINK("http://141.218.60.56/~jnz1568/getInfo.php?workbook=01_01.xlsx&amp;sheet=A0&amp;row=114&amp;col=23&amp;number=&amp;sourceID=12","")</f>
        <v/>
      </c>
      <c r="X114" s="4" t="str">
        <f>HYPERLINK("http://141.218.60.56/~jnz1568/getInfo.php?workbook=01_01.xlsx&amp;sheet=A0&amp;row=114&amp;col=24&amp;number=0&amp;sourceID=12","0")</f>
        <v>0</v>
      </c>
      <c r="Y114" s="4" t="str">
        <f>HYPERLINK("http://141.218.60.56/~jnz1568/getInfo.php?workbook=01_01.xlsx&amp;sheet=A0&amp;row=114&amp;col=25&amp;number=&amp;sourceID=12","")</f>
        <v/>
      </c>
      <c r="Z114" s="4" t="str">
        <f>HYPERLINK("http://141.218.60.56/~jnz1568/getInfo.php?workbook=01_01.xlsx&amp;sheet=A0&amp;row=114&amp;col=26&amp;number=0&amp;sourceID=12","0")</f>
        <v>0</v>
      </c>
      <c r="AA114" s="4" t="str">
        <f>HYPERLINK("http://141.218.60.56/~jnz1568/getInfo.php?workbook=01_01.xlsx&amp;sheet=A0&amp;row=114&amp;col=27&amp;number=&amp;sourceID=12","")</f>
        <v/>
      </c>
      <c r="AB114" s="4" t="str">
        <f>HYPERLINK("http://141.218.60.56/~jnz1568/getInfo.php?workbook=01_01.xlsx&amp;sheet=A0&amp;row=114&amp;col=28&amp;number=&amp;sourceID=18","")</f>
        <v/>
      </c>
      <c r="AC114" s="4" t="str">
        <f>HYPERLINK("http://141.218.60.56/~jnz1568/getInfo.php?workbook=01_01.xlsx&amp;sheet=A0&amp;row=114&amp;col=29&amp;number=&amp;sourceID=18","")</f>
        <v/>
      </c>
      <c r="AD114" s="4" t="str">
        <f>HYPERLINK("http://141.218.60.56/~jnz1568/getInfo.php?workbook=01_01.xlsx&amp;sheet=A0&amp;row=114&amp;col=30&amp;number=&amp;sourceID=18","")</f>
        <v/>
      </c>
      <c r="AE114" s="4" t="str">
        <f>HYPERLINK("http://141.218.60.56/~jnz1568/getInfo.php?workbook=01_01.xlsx&amp;sheet=A0&amp;row=114&amp;col=31&amp;number=&amp;sourceID=18","")</f>
        <v/>
      </c>
      <c r="AF114" s="4" t="str">
        <f>HYPERLINK("http://141.218.60.56/~jnz1568/getInfo.php?workbook=01_01.xlsx&amp;sheet=A0&amp;row=114&amp;col=32&amp;number=&amp;sourceID=18","")</f>
        <v/>
      </c>
      <c r="AG114" s="4" t="str">
        <f>HYPERLINK("http://141.218.60.56/~jnz1568/getInfo.php?workbook=01_01.xlsx&amp;sheet=A0&amp;row=114&amp;col=33&amp;number=&amp;sourceID=18","")</f>
        <v/>
      </c>
      <c r="AH114" s="4" t="str">
        <f>HYPERLINK("http://141.218.60.56/~jnz1568/getInfo.php?workbook=01_01.xlsx&amp;sheet=A0&amp;row=114&amp;col=34&amp;number=&amp;sourceID=20","")</f>
        <v/>
      </c>
    </row>
    <row r="115" spans="1:34">
      <c r="A115" s="3">
        <v>1</v>
      </c>
      <c r="B115" s="3">
        <v>1</v>
      </c>
      <c r="C115" s="3">
        <v>16</v>
      </c>
      <c r="D115" s="3">
        <v>13</v>
      </c>
      <c r="E115" s="3">
        <f>((1/(INDEX(E0!J$4:J$28,C115,1)-INDEX(E0!J$4:J$28,D115,1))))*100000000</f>
        <v>0</v>
      </c>
      <c r="F115" s="4" t="str">
        <f>HYPERLINK("http://141.218.60.56/~jnz1568/getInfo.php?workbook=01_01.xlsx&amp;sheet=A0&amp;row=115&amp;col=6&amp;number=&amp;sourceID=18","")</f>
        <v/>
      </c>
      <c r="G115" s="4" t="str">
        <f>HYPERLINK("http://141.218.60.56/~jnz1568/getInfo.php?workbook=01_01.xlsx&amp;sheet=A0&amp;row=115&amp;col=7&amp;number=&amp;sourceID=15","")</f>
        <v/>
      </c>
      <c r="H115" s="4" t="str">
        <f>HYPERLINK("http://141.218.60.56/~jnz1568/getInfo.php?workbook=01_01.xlsx&amp;sheet=A0&amp;row=115&amp;col=8&amp;number=&amp;sourceID=15","")</f>
        <v/>
      </c>
      <c r="I115" s="4" t="str">
        <f>HYPERLINK("http://141.218.60.56/~jnz1568/getInfo.php?workbook=01_01.xlsx&amp;sheet=A0&amp;row=115&amp;col=9&amp;number=&amp;sourceID=15","")</f>
        <v/>
      </c>
      <c r="J115" s="4" t="str">
        <f>HYPERLINK("http://141.218.60.56/~jnz1568/getInfo.php?workbook=01_01.xlsx&amp;sheet=A0&amp;row=115&amp;col=10&amp;number=&amp;sourceID=15","")</f>
        <v/>
      </c>
      <c r="K115" s="4" t="str">
        <f>HYPERLINK("http://141.218.60.56/~jnz1568/getInfo.php?workbook=01_01.xlsx&amp;sheet=A0&amp;row=115&amp;col=11&amp;number=&amp;sourceID=15","")</f>
        <v/>
      </c>
      <c r="L115" s="4" t="str">
        <f>HYPERLINK("http://141.218.60.56/~jnz1568/getInfo.php?workbook=01_01.xlsx&amp;sheet=A0&amp;row=115&amp;col=12&amp;number=&amp;sourceID=15","")</f>
        <v/>
      </c>
      <c r="M115" s="4" t="str">
        <f>HYPERLINK("http://141.218.60.56/~jnz1568/getInfo.php?workbook=01_01.xlsx&amp;sheet=A0&amp;row=115&amp;col=13&amp;number=&amp;sourceID=15","")</f>
        <v/>
      </c>
      <c r="N115" s="4" t="str">
        <f>HYPERLINK("http://141.218.60.56/~jnz1568/getInfo.php?workbook=01_01.xlsx&amp;sheet=A0&amp;row=115&amp;col=14&amp;number==&amp;sourceID=11","=")</f>
        <v>=</v>
      </c>
      <c r="O115" s="4" t="str">
        <f>HYPERLINK("http://141.218.60.56/~jnz1568/getInfo.php?workbook=01_01.xlsx&amp;sheet=A0&amp;row=115&amp;col=15&amp;number=&amp;sourceID=11","")</f>
        <v/>
      </c>
      <c r="P115" s="4" t="str">
        <f>HYPERLINK("http://141.218.60.56/~jnz1568/getInfo.php?workbook=01_01.xlsx&amp;sheet=A0&amp;row=115&amp;col=16&amp;number=0&amp;sourceID=11","0")</f>
        <v>0</v>
      </c>
      <c r="Q115" s="4" t="str">
        <f>HYPERLINK("http://141.218.60.56/~jnz1568/getInfo.php?workbook=01_01.xlsx&amp;sheet=A0&amp;row=115&amp;col=17&amp;number=&amp;sourceID=11","")</f>
        <v/>
      </c>
      <c r="R115" s="4" t="str">
        <f>HYPERLINK("http://141.218.60.56/~jnz1568/getInfo.php?workbook=01_01.xlsx&amp;sheet=A0&amp;row=115&amp;col=18&amp;number=&amp;sourceID=11","")</f>
        <v/>
      </c>
      <c r="S115" s="4" t="str">
        <f>HYPERLINK("http://141.218.60.56/~jnz1568/getInfo.php?workbook=01_01.xlsx&amp;sheet=A0&amp;row=115&amp;col=19&amp;number=&amp;sourceID=11","")</f>
        <v/>
      </c>
      <c r="T115" s="4" t="str">
        <f>HYPERLINK("http://141.218.60.56/~jnz1568/getInfo.php?workbook=01_01.xlsx&amp;sheet=A0&amp;row=115&amp;col=20&amp;number=0&amp;sourceID=11","0")</f>
        <v>0</v>
      </c>
      <c r="U115" s="4" t="str">
        <f>HYPERLINK("http://141.218.60.56/~jnz1568/getInfo.php?workbook=01_01.xlsx&amp;sheet=A0&amp;row=115&amp;col=21&amp;number=0&amp;sourceID=12","0")</f>
        <v>0</v>
      </c>
      <c r="V115" s="4" t="str">
        <f>HYPERLINK("http://141.218.60.56/~jnz1568/getInfo.php?workbook=01_01.xlsx&amp;sheet=A0&amp;row=115&amp;col=22&amp;number=&amp;sourceID=12","")</f>
        <v/>
      </c>
      <c r="W115" s="4" t="str">
        <f>HYPERLINK("http://141.218.60.56/~jnz1568/getInfo.php?workbook=01_01.xlsx&amp;sheet=A0&amp;row=115&amp;col=23&amp;number=0&amp;sourceID=12","0")</f>
        <v>0</v>
      </c>
      <c r="X115" s="4" t="str">
        <f>HYPERLINK("http://141.218.60.56/~jnz1568/getInfo.php?workbook=01_01.xlsx&amp;sheet=A0&amp;row=115&amp;col=24&amp;number=&amp;sourceID=12","")</f>
        <v/>
      </c>
      <c r="Y115" s="4" t="str">
        <f>HYPERLINK("http://141.218.60.56/~jnz1568/getInfo.php?workbook=01_01.xlsx&amp;sheet=A0&amp;row=115&amp;col=25&amp;number=&amp;sourceID=12","")</f>
        <v/>
      </c>
      <c r="Z115" s="4" t="str">
        <f>HYPERLINK("http://141.218.60.56/~jnz1568/getInfo.php?workbook=01_01.xlsx&amp;sheet=A0&amp;row=115&amp;col=26&amp;number=&amp;sourceID=12","")</f>
        <v/>
      </c>
      <c r="AA115" s="4" t="str">
        <f>HYPERLINK("http://141.218.60.56/~jnz1568/getInfo.php?workbook=01_01.xlsx&amp;sheet=A0&amp;row=115&amp;col=27&amp;number=0&amp;sourceID=12","0")</f>
        <v>0</v>
      </c>
      <c r="AB115" s="4" t="str">
        <f>HYPERLINK("http://141.218.60.56/~jnz1568/getInfo.php?workbook=01_01.xlsx&amp;sheet=A0&amp;row=115&amp;col=28&amp;number=&amp;sourceID=18","")</f>
        <v/>
      </c>
      <c r="AC115" s="4" t="str">
        <f>HYPERLINK("http://141.218.60.56/~jnz1568/getInfo.php?workbook=01_01.xlsx&amp;sheet=A0&amp;row=115&amp;col=29&amp;number=&amp;sourceID=18","")</f>
        <v/>
      </c>
      <c r="AD115" s="4" t="str">
        <f>HYPERLINK("http://141.218.60.56/~jnz1568/getInfo.php?workbook=01_01.xlsx&amp;sheet=A0&amp;row=115&amp;col=30&amp;number=&amp;sourceID=18","")</f>
        <v/>
      </c>
      <c r="AE115" s="4" t="str">
        <f>HYPERLINK("http://141.218.60.56/~jnz1568/getInfo.php?workbook=01_01.xlsx&amp;sheet=A0&amp;row=115&amp;col=31&amp;number=&amp;sourceID=18","")</f>
        <v/>
      </c>
      <c r="AF115" s="4" t="str">
        <f>HYPERLINK("http://141.218.60.56/~jnz1568/getInfo.php?workbook=01_01.xlsx&amp;sheet=A0&amp;row=115&amp;col=32&amp;number=&amp;sourceID=18","")</f>
        <v/>
      </c>
      <c r="AG115" s="4" t="str">
        <f>HYPERLINK("http://141.218.60.56/~jnz1568/getInfo.php?workbook=01_01.xlsx&amp;sheet=A0&amp;row=115&amp;col=33&amp;number=&amp;sourceID=18","")</f>
        <v/>
      </c>
      <c r="AH115" s="4" t="str">
        <f>HYPERLINK("http://141.218.60.56/~jnz1568/getInfo.php?workbook=01_01.xlsx&amp;sheet=A0&amp;row=115&amp;col=34&amp;number=&amp;sourceID=20","")</f>
        <v/>
      </c>
    </row>
    <row r="116" spans="1:34">
      <c r="A116" s="3">
        <v>1</v>
      </c>
      <c r="B116" s="3">
        <v>1</v>
      </c>
      <c r="C116" s="3">
        <v>16</v>
      </c>
      <c r="D116" s="3">
        <v>14</v>
      </c>
      <c r="E116" s="3">
        <f>((1/(INDEX(E0!J$4:J$28,C116,1)-INDEX(E0!J$4:J$28,D116,1))))*100000000</f>
        <v>0</v>
      </c>
      <c r="F116" s="4" t="str">
        <f>HYPERLINK("http://141.218.60.56/~jnz1568/getInfo.php?workbook=01_01.xlsx&amp;sheet=A0&amp;row=116&amp;col=6&amp;number=&amp;sourceID=18","")</f>
        <v/>
      </c>
      <c r="G116" s="4" t="str">
        <f>HYPERLINK("http://141.218.60.56/~jnz1568/getInfo.php?workbook=01_01.xlsx&amp;sheet=A0&amp;row=116&amp;col=7&amp;number=&amp;sourceID=15","")</f>
        <v/>
      </c>
      <c r="H116" s="4" t="str">
        <f>HYPERLINK("http://141.218.60.56/~jnz1568/getInfo.php?workbook=01_01.xlsx&amp;sheet=A0&amp;row=116&amp;col=8&amp;number=&amp;sourceID=15","")</f>
        <v/>
      </c>
      <c r="I116" s="4" t="str">
        <f>HYPERLINK("http://141.218.60.56/~jnz1568/getInfo.php?workbook=01_01.xlsx&amp;sheet=A0&amp;row=116&amp;col=9&amp;number=&amp;sourceID=15","")</f>
        <v/>
      </c>
      <c r="J116" s="4" t="str">
        <f>HYPERLINK("http://141.218.60.56/~jnz1568/getInfo.php?workbook=01_01.xlsx&amp;sheet=A0&amp;row=116&amp;col=10&amp;number=&amp;sourceID=15","")</f>
        <v/>
      </c>
      <c r="K116" s="4" t="str">
        <f>HYPERLINK("http://141.218.60.56/~jnz1568/getInfo.php?workbook=01_01.xlsx&amp;sheet=A0&amp;row=116&amp;col=11&amp;number=&amp;sourceID=15","")</f>
        <v/>
      </c>
      <c r="L116" s="4" t="str">
        <f>HYPERLINK("http://141.218.60.56/~jnz1568/getInfo.php?workbook=01_01.xlsx&amp;sheet=A0&amp;row=116&amp;col=12&amp;number=&amp;sourceID=15","")</f>
        <v/>
      </c>
      <c r="M116" s="4" t="str">
        <f>HYPERLINK("http://141.218.60.56/~jnz1568/getInfo.php?workbook=01_01.xlsx&amp;sheet=A0&amp;row=116&amp;col=13&amp;number=&amp;sourceID=15","")</f>
        <v/>
      </c>
      <c r="N116" s="4" t="str">
        <f>HYPERLINK("http://141.218.60.56/~jnz1568/getInfo.php?workbook=01_01.xlsx&amp;sheet=A0&amp;row=116&amp;col=14&amp;number==&amp;sourceID=11","=")</f>
        <v>=</v>
      </c>
      <c r="O116" s="4" t="str">
        <f>HYPERLINK("http://141.218.60.56/~jnz1568/getInfo.php?workbook=01_01.xlsx&amp;sheet=A0&amp;row=116&amp;col=15&amp;number=9.6345e-11&amp;sourceID=11","9.6345e-11")</f>
        <v>9.6345e-11</v>
      </c>
      <c r="P116" s="4" t="str">
        <f>HYPERLINK("http://141.218.60.56/~jnz1568/getInfo.php?workbook=01_01.xlsx&amp;sheet=A0&amp;row=116&amp;col=16&amp;number=&amp;sourceID=11","")</f>
        <v/>
      </c>
      <c r="Q116" s="4" t="str">
        <f>HYPERLINK("http://141.218.60.56/~jnz1568/getInfo.php?workbook=01_01.xlsx&amp;sheet=A0&amp;row=116&amp;col=17&amp;number=0&amp;sourceID=11","0")</f>
        <v>0</v>
      </c>
      <c r="R116" s="4" t="str">
        <f>HYPERLINK("http://141.218.60.56/~jnz1568/getInfo.php?workbook=01_01.xlsx&amp;sheet=A0&amp;row=116&amp;col=18&amp;number=&amp;sourceID=11","")</f>
        <v/>
      </c>
      <c r="S116" s="4" t="str">
        <f>HYPERLINK("http://141.218.60.56/~jnz1568/getInfo.php?workbook=01_01.xlsx&amp;sheet=A0&amp;row=116&amp;col=19&amp;number=0&amp;sourceID=11","0")</f>
        <v>0</v>
      </c>
      <c r="T116" s="4" t="str">
        <f>HYPERLINK("http://141.218.60.56/~jnz1568/getInfo.php?workbook=01_01.xlsx&amp;sheet=A0&amp;row=116&amp;col=20&amp;number=&amp;sourceID=11","")</f>
        <v/>
      </c>
      <c r="U116" s="4" t="str">
        <f>HYPERLINK("http://141.218.60.56/~jnz1568/getInfo.php?workbook=01_01.xlsx&amp;sheet=A0&amp;row=116&amp;col=21&amp;number=9.65e-11&amp;sourceID=12","9.65e-11")</f>
        <v>9.65e-11</v>
      </c>
      <c r="V116" s="4" t="str">
        <f>HYPERLINK("http://141.218.60.56/~jnz1568/getInfo.php?workbook=01_01.xlsx&amp;sheet=A0&amp;row=116&amp;col=22&amp;number=9.65e-11&amp;sourceID=12","9.65e-11")</f>
        <v>9.65e-11</v>
      </c>
      <c r="W116" s="4" t="str">
        <f>HYPERLINK("http://141.218.60.56/~jnz1568/getInfo.php?workbook=01_01.xlsx&amp;sheet=A0&amp;row=116&amp;col=23&amp;number=&amp;sourceID=12","")</f>
        <v/>
      </c>
      <c r="X116" s="4" t="str">
        <f>HYPERLINK("http://141.218.60.56/~jnz1568/getInfo.php?workbook=01_01.xlsx&amp;sheet=A0&amp;row=116&amp;col=24&amp;number=0&amp;sourceID=12","0")</f>
        <v>0</v>
      </c>
      <c r="Y116" s="4" t="str">
        <f>HYPERLINK("http://141.218.60.56/~jnz1568/getInfo.php?workbook=01_01.xlsx&amp;sheet=A0&amp;row=116&amp;col=25&amp;number=&amp;sourceID=12","")</f>
        <v/>
      </c>
      <c r="Z116" s="4" t="str">
        <f>HYPERLINK("http://141.218.60.56/~jnz1568/getInfo.php?workbook=01_01.xlsx&amp;sheet=A0&amp;row=116&amp;col=26&amp;number=0&amp;sourceID=12","0")</f>
        <v>0</v>
      </c>
      <c r="AA116" s="4" t="str">
        <f>HYPERLINK("http://141.218.60.56/~jnz1568/getInfo.php?workbook=01_01.xlsx&amp;sheet=A0&amp;row=116&amp;col=27&amp;number=&amp;sourceID=12","")</f>
        <v/>
      </c>
      <c r="AB116" s="4" t="str">
        <f>HYPERLINK("http://141.218.60.56/~jnz1568/getInfo.php?workbook=01_01.xlsx&amp;sheet=A0&amp;row=116&amp;col=28&amp;number=&amp;sourceID=18","")</f>
        <v/>
      </c>
      <c r="AC116" s="4" t="str">
        <f>HYPERLINK("http://141.218.60.56/~jnz1568/getInfo.php?workbook=01_01.xlsx&amp;sheet=A0&amp;row=116&amp;col=29&amp;number=&amp;sourceID=18","")</f>
        <v/>
      </c>
      <c r="AD116" s="4" t="str">
        <f>HYPERLINK("http://141.218.60.56/~jnz1568/getInfo.php?workbook=01_01.xlsx&amp;sheet=A0&amp;row=116&amp;col=30&amp;number=&amp;sourceID=18","")</f>
        <v/>
      </c>
      <c r="AE116" s="4" t="str">
        <f>HYPERLINK("http://141.218.60.56/~jnz1568/getInfo.php?workbook=01_01.xlsx&amp;sheet=A0&amp;row=116&amp;col=31&amp;number=&amp;sourceID=18","")</f>
        <v/>
      </c>
      <c r="AF116" s="4" t="str">
        <f>HYPERLINK("http://141.218.60.56/~jnz1568/getInfo.php?workbook=01_01.xlsx&amp;sheet=A0&amp;row=116&amp;col=32&amp;number=&amp;sourceID=18","")</f>
        <v/>
      </c>
      <c r="AG116" s="4" t="str">
        <f>HYPERLINK("http://141.218.60.56/~jnz1568/getInfo.php?workbook=01_01.xlsx&amp;sheet=A0&amp;row=116&amp;col=33&amp;number=&amp;sourceID=18","")</f>
        <v/>
      </c>
      <c r="AH116" s="4" t="str">
        <f>HYPERLINK("http://141.218.60.56/~jnz1568/getInfo.php?workbook=01_01.xlsx&amp;sheet=A0&amp;row=116&amp;col=34&amp;number=&amp;sourceID=20","")</f>
        <v/>
      </c>
    </row>
    <row r="117" spans="1:34">
      <c r="A117" s="3">
        <v>1</v>
      </c>
      <c r="B117" s="3">
        <v>1</v>
      </c>
      <c r="C117" s="3">
        <v>16</v>
      </c>
      <c r="D117" s="3">
        <v>15</v>
      </c>
      <c r="E117" s="3">
        <f>((1/(INDEX(E0!J$4:J$28,C117,1)-INDEX(E0!J$4:J$28,D117,1))))*100000000</f>
        <v>0</v>
      </c>
      <c r="F117" s="4" t="str">
        <f>HYPERLINK("http://141.218.60.56/~jnz1568/getInfo.php?workbook=01_01.xlsx&amp;sheet=A0&amp;row=117&amp;col=6&amp;number=&amp;sourceID=18","")</f>
        <v/>
      </c>
      <c r="G117" s="4" t="str">
        <f>HYPERLINK("http://141.218.60.56/~jnz1568/getInfo.php?workbook=01_01.xlsx&amp;sheet=A0&amp;row=117&amp;col=7&amp;number=&amp;sourceID=15","")</f>
        <v/>
      </c>
      <c r="H117" s="4" t="str">
        <f>HYPERLINK("http://141.218.60.56/~jnz1568/getInfo.php?workbook=01_01.xlsx&amp;sheet=A0&amp;row=117&amp;col=8&amp;number=&amp;sourceID=15","")</f>
        <v/>
      </c>
      <c r="I117" s="4" t="str">
        <f>HYPERLINK("http://141.218.60.56/~jnz1568/getInfo.php?workbook=01_01.xlsx&amp;sheet=A0&amp;row=117&amp;col=9&amp;number=&amp;sourceID=15","")</f>
        <v/>
      </c>
      <c r="J117" s="4" t="str">
        <f>HYPERLINK("http://141.218.60.56/~jnz1568/getInfo.php?workbook=01_01.xlsx&amp;sheet=A0&amp;row=117&amp;col=10&amp;number=&amp;sourceID=15","")</f>
        <v/>
      </c>
      <c r="K117" s="4" t="str">
        <f>HYPERLINK("http://141.218.60.56/~jnz1568/getInfo.php?workbook=01_01.xlsx&amp;sheet=A0&amp;row=117&amp;col=11&amp;number=&amp;sourceID=15","")</f>
        <v/>
      </c>
      <c r="L117" s="4" t="str">
        <f>HYPERLINK("http://141.218.60.56/~jnz1568/getInfo.php?workbook=01_01.xlsx&amp;sheet=A0&amp;row=117&amp;col=12&amp;number=&amp;sourceID=15","")</f>
        <v/>
      </c>
      <c r="M117" s="4" t="str">
        <f>HYPERLINK("http://141.218.60.56/~jnz1568/getInfo.php?workbook=01_01.xlsx&amp;sheet=A0&amp;row=117&amp;col=13&amp;number=&amp;sourceID=15","")</f>
        <v/>
      </c>
      <c r="N117" s="4" t="str">
        <f>HYPERLINK("http://141.218.60.56/~jnz1568/getInfo.php?workbook=01_01.xlsx&amp;sheet=A0&amp;row=117&amp;col=14&amp;number==&amp;sourceID=11","=")</f>
        <v>=</v>
      </c>
      <c r="O117" s="4" t="str">
        <f>HYPERLINK("http://141.218.60.56/~jnz1568/getInfo.php?workbook=01_01.xlsx&amp;sheet=A0&amp;row=117&amp;col=15&amp;number=&amp;sourceID=11","")</f>
        <v/>
      </c>
      <c r="P117" s="4" t="str">
        <f>HYPERLINK("http://141.218.60.56/~jnz1568/getInfo.php?workbook=01_01.xlsx&amp;sheet=A0&amp;row=117&amp;col=16&amp;number=0&amp;sourceID=11","0")</f>
        <v>0</v>
      </c>
      <c r="Q117" s="4" t="str">
        <f>HYPERLINK("http://141.218.60.56/~jnz1568/getInfo.php?workbook=01_01.xlsx&amp;sheet=A0&amp;row=117&amp;col=17&amp;number=&amp;sourceID=11","")</f>
        <v/>
      </c>
      <c r="R117" s="4" t="str">
        <f>HYPERLINK("http://141.218.60.56/~jnz1568/getInfo.php?workbook=01_01.xlsx&amp;sheet=A0&amp;row=117&amp;col=18&amp;number=0&amp;sourceID=11","0")</f>
        <v>0</v>
      </c>
      <c r="S117" s="4" t="str">
        <f>HYPERLINK("http://141.218.60.56/~jnz1568/getInfo.php?workbook=01_01.xlsx&amp;sheet=A0&amp;row=117&amp;col=19&amp;number=&amp;sourceID=11","")</f>
        <v/>
      </c>
      <c r="T117" s="4" t="str">
        <f>HYPERLINK("http://141.218.60.56/~jnz1568/getInfo.php?workbook=01_01.xlsx&amp;sheet=A0&amp;row=117&amp;col=20&amp;number=0&amp;sourceID=11","0")</f>
        <v>0</v>
      </c>
      <c r="U117" s="4" t="str">
        <f>HYPERLINK("http://141.218.60.56/~jnz1568/getInfo.php?workbook=01_01.xlsx&amp;sheet=A0&amp;row=117&amp;col=21&amp;number=0&amp;sourceID=12","0")</f>
        <v>0</v>
      </c>
      <c r="V117" s="4" t="str">
        <f>HYPERLINK("http://141.218.60.56/~jnz1568/getInfo.php?workbook=01_01.xlsx&amp;sheet=A0&amp;row=117&amp;col=22&amp;number=&amp;sourceID=12","")</f>
        <v/>
      </c>
      <c r="W117" s="4" t="str">
        <f>HYPERLINK("http://141.218.60.56/~jnz1568/getInfo.php?workbook=01_01.xlsx&amp;sheet=A0&amp;row=117&amp;col=23&amp;number=0&amp;sourceID=12","0")</f>
        <v>0</v>
      </c>
      <c r="X117" s="4" t="str">
        <f>HYPERLINK("http://141.218.60.56/~jnz1568/getInfo.php?workbook=01_01.xlsx&amp;sheet=A0&amp;row=117&amp;col=24&amp;number=&amp;sourceID=12","")</f>
        <v/>
      </c>
      <c r="Y117" s="4" t="str">
        <f>HYPERLINK("http://141.218.60.56/~jnz1568/getInfo.php?workbook=01_01.xlsx&amp;sheet=A0&amp;row=117&amp;col=25&amp;number=0&amp;sourceID=12","0")</f>
        <v>0</v>
      </c>
      <c r="Z117" s="4" t="str">
        <f>HYPERLINK("http://141.218.60.56/~jnz1568/getInfo.php?workbook=01_01.xlsx&amp;sheet=A0&amp;row=117&amp;col=26&amp;number=&amp;sourceID=12","")</f>
        <v/>
      </c>
      <c r="AA117" s="4" t="str">
        <f>HYPERLINK("http://141.218.60.56/~jnz1568/getInfo.php?workbook=01_01.xlsx&amp;sheet=A0&amp;row=117&amp;col=27&amp;number=0&amp;sourceID=12","0")</f>
        <v>0</v>
      </c>
      <c r="AB117" s="4" t="str">
        <f>HYPERLINK("http://141.218.60.56/~jnz1568/getInfo.php?workbook=01_01.xlsx&amp;sheet=A0&amp;row=117&amp;col=28&amp;number=&amp;sourceID=18","")</f>
        <v/>
      </c>
      <c r="AC117" s="4" t="str">
        <f>HYPERLINK("http://141.218.60.56/~jnz1568/getInfo.php?workbook=01_01.xlsx&amp;sheet=A0&amp;row=117&amp;col=29&amp;number=&amp;sourceID=18","")</f>
        <v/>
      </c>
      <c r="AD117" s="4" t="str">
        <f>HYPERLINK("http://141.218.60.56/~jnz1568/getInfo.php?workbook=01_01.xlsx&amp;sheet=A0&amp;row=117&amp;col=30&amp;number=&amp;sourceID=18","")</f>
        <v/>
      </c>
      <c r="AE117" s="4" t="str">
        <f>HYPERLINK("http://141.218.60.56/~jnz1568/getInfo.php?workbook=01_01.xlsx&amp;sheet=A0&amp;row=117&amp;col=31&amp;number=&amp;sourceID=18","")</f>
        <v/>
      </c>
      <c r="AF117" s="4" t="str">
        <f>HYPERLINK("http://141.218.60.56/~jnz1568/getInfo.php?workbook=01_01.xlsx&amp;sheet=A0&amp;row=117&amp;col=32&amp;number=&amp;sourceID=18","")</f>
        <v/>
      </c>
      <c r="AG117" s="4" t="str">
        <f>HYPERLINK("http://141.218.60.56/~jnz1568/getInfo.php?workbook=01_01.xlsx&amp;sheet=A0&amp;row=117&amp;col=33&amp;number=&amp;sourceID=18","")</f>
        <v/>
      </c>
      <c r="AH117" s="4" t="str">
        <f>HYPERLINK("http://141.218.60.56/~jnz1568/getInfo.php?workbook=01_01.xlsx&amp;sheet=A0&amp;row=117&amp;col=34&amp;number=&amp;sourceID=20","")</f>
        <v/>
      </c>
    </row>
    <row r="118" spans="1:34">
      <c r="A118" s="3">
        <v>1</v>
      </c>
      <c r="B118" s="3">
        <v>1</v>
      </c>
      <c r="C118" s="3">
        <v>17</v>
      </c>
      <c r="D118" s="3">
        <v>1</v>
      </c>
      <c r="E118" s="3">
        <f>((1/(INDEX(E0!J$4:J$28,C118,1)-INDEX(E0!J$4:J$28,D118,1))))*100000000</f>
        <v>0</v>
      </c>
      <c r="F118" s="4" t="str">
        <f>HYPERLINK("http://141.218.60.56/~jnz1568/getInfo.php?workbook=01_01.xlsx&amp;sheet=A0&amp;row=118&amp;col=6&amp;number=&amp;sourceID=18","")</f>
        <v/>
      </c>
      <c r="G118" s="4" t="str">
        <f>HYPERLINK("http://141.218.60.56/~jnz1568/getInfo.php?workbook=01_01.xlsx&amp;sheet=A0&amp;row=118&amp;col=7&amp;number=34375000&amp;sourceID=15","34375000")</f>
        <v>34375000</v>
      </c>
      <c r="H118" s="4" t="str">
        <f>HYPERLINK("http://141.218.60.56/~jnz1568/getInfo.php?workbook=01_01.xlsx&amp;sheet=A0&amp;row=118&amp;col=8&amp;number=34375000&amp;sourceID=15","34375000")</f>
        <v>34375000</v>
      </c>
      <c r="I118" s="4" t="str">
        <f>HYPERLINK("http://141.218.60.56/~jnz1568/getInfo.php?workbook=01_01.xlsx&amp;sheet=A0&amp;row=118&amp;col=9&amp;number=&amp;sourceID=15","")</f>
        <v/>
      </c>
      <c r="J118" s="4" t="str">
        <f>HYPERLINK("http://141.218.60.56/~jnz1568/getInfo.php?workbook=01_01.xlsx&amp;sheet=A0&amp;row=118&amp;col=10&amp;number=&amp;sourceID=15","")</f>
        <v/>
      </c>
      <c r="K118" s="4" t="str">
        <f>HYPERLINK("http://141.218.60.56/~jnz1568/getInfo.php?workbook=01_01.xlsx&amp;sheet=A0&amp;row=118&amp;col=11&amp;number=&amp;sourceID=15","")</f>
        <v/>
      </c>
      <c r="L118" s="4" t="str">
        <f>HYPERLINK("http://141.218.60.56/~jnz1568/getInfo.php?workbook=01_01.xlsx&amp;sheet=A0&amp;row=118&amp;col=12&amp;number=&amp;sourceID=15","")</f>
        <v/>
      </c>
      <c r="M118" s="4" t="str">
        <f>HYPERLINK("http://141.218.60.56/~jnz1568/getInfo.php?workbook=01_01.xlsx&amp;sheet=A0&amp;row=118&amp;col=13&amp;number=&amp;sourceID=15","")</f>
        <v/>
      </c>
      <c r="N118" s="4" t="str">
        <f>HYPERLINK("http://141.218.60.56/~jnz1568/getInfo.php?workbook=01_01.xlsx&amp;sheet=A0&amp;row=118&amp;col=14&amp;number==&amp;sourceID=11","=")</f>
        <v>=</v>
      </c>
      <c r="O118" s="4" t="str">
        <f>HYPERLINK("http://141.218.60.56/~jnz1568/getInfo.php?workbook=01_01.xlsx&amp;sheet=A0&amp;row=118&amp;col=15&amp;number=34375000&amp;sourceID=11","34375000")</f>
        <v>34375000</v>
      </c>
      <c r="P118" s="4" t="str">
        <f>HYPERLINK("http://141.218.60.56/~jnz1568/getInfo.php?workbook=01_01.xlsx&amp;sheet=A0&amp;row=118&amp;col=16&amp;number=&amp;sourceID=11","")</f>
        <v/>
      </c>
      <c r="Q118" s="4" t="str">
        <f>HYPERLINK("http://141.218.60.56/~jnz1568/getInfo.php?workbook=01_01.xlsx&amp;sheet=A0&amp;row=118&amp;col=17&amp;number=&amp;sourceID=11","")</f>
        <v/>
      </c>
      <c r="R118" s="4" t="str">
        <f>HYPERLINK("http://141.218.60.56/~jnz1568/getInfo.php?workbook=01_01.xlsx&amp;sheet=A0&amp;row=118&amp;col=18&amp;number=&amp;sourceID=11","")</f>
        <v/>
      </c>
      <c r="S118" s="4" t="str">
        <f>HYPERLINK("http://141.218.60.56/~jnz1568/getInfo.php?workbook=01_01.xlsx&amp;sheet=A0&amp;row=118&amp;col=19&amp;number=&amp;sourceID=11","")</f>
        <v/>
      </c>
      <c r="T118" s="4" t="str">
        <f>HYPERLINK("http://141.218.60.56/~jnz1568/getInfo.php?workbook=01_01.xlsx&amp;sheet=A0&amp;row=118&amp;col=20&amp;number=&amp;sourceID=11","")</f>
        <v/>
      </c>
      <c r="U118" s="4" t="str">
        <f>HYPERLINK("http://141.218.60.56/~jnz1568/getInfo.php?workbook=01_01.xlsx&amp;sheet=A0&amp;row=118&amp;col=21&amp;number=34393000&amp;sourceID=12","34393000")</f>
        <v>34393000</v>
      </c>
      <c r="V118" s="4" t="str">
        <f>HYPERLINK("http://141.218.60.56/~jnz1568/getInfo.php?workbook=01_01.xlsx&amp;sheet=A0&amp;row=118&amp;col=22&amp;number=34393000&amp;sourceID=12","34393000")</f>
        <v>34393000</v>
      </c>
      <c r="W118" s="4" t="str">
        <f>HYPERLINK("http://141.218.60.56/~jnz1568/getInfo.php?workbook=01_01.xlsx&amp;sheet=A0&amp;row=118&amp;col=23&amp;number=&amp;sourceID=12","")</f>
        <v/>
      </c>
      <c r="X118" s="4" t="str">
        <f>HYPERLINK("http://141.218.60.56/~jnz1568/getInfo.php?workbook=01_01.xlsx&amp;sheet=A0&amp;row=118&amp;col=24&amp;number=&amp;sourceID=12","")</f>
        <v/>
      </c>
      <c r="Y118" s="4" t="str">
        <f>HYPERLINK("http://141.218.60.56/~jnz1568/getInfo.php?workbook=01_01.xlsx&amp;sheet=A0&amp;row=118&amp;col=25&amp;number=&amp;sourceID=12","")</f>
        <v/>
      </c>
      <c r="Z118" s="4" t="str">
        <f>HYPERLINK("http://141.218.60.56/~jnz1568/getInfo.php?workbook=01_01.xlsx&amp;sheet=A0&amp;row=118&amp;col=26&amp;number=&amp;sourceID=12","")</f>
        <v/>
      </c>
      <c r="AA118" s="4" t="str">
        <f>HYPERLINK("http://141.218.60.56/~jnz1568/getInfo.php?workbook=01_01.xlsx&amp;sheet=A0&amp;row=118&amp;col=27&amp;number=&amp;sourceID=12","")</f>
        <v/>
      </c>
      <c r="AB118" s="4" t="str">
        <f>HYPERLINK("http://141.218.60.56/~jnz1568/getInfo.php?workbook=01_01.xlsx&amp;sheet=A0&amp;row=118&amp;col=28&amp;number=&amp;sourceID=18","")</f>
        <v/>
      </c>
      <c r="AC118" s="4" t="str">
        <f>HYPERLINK("http://141.218.60.56/~jnz1568/getInfo.php?workbook=01_01.xlsx&amp;sheet=A0&amp;row=118&amp;col=29&amp;number=&amp;sourceID=18","")</f>
        <v/>
      </c>
      <c r="AD118" s="4" t="str">
        <f>HYPERLINK("http://141.218.60.56/~jnz1568/getInfo.php?workbook=01_01.xlsx&amp;sheet=A0&amp;row=118&amp;col=30&amp;number=&amp;sourceID=18","")</f>
        <v/>
      </c>
      <c r="AE118" s="4" t="str">
        <f>HYPERLINK("http://141.218.60.56/~jnz1568/getInfo.php?workbook=01_01.xlsx&amp;sheet=A0&amp;row=118&amp;col=31&amp;number=&amp;sourceID=18","")</f>
        <v/>
      </c>
      <c r="AF118" s="4" t="str">
        <f>HYPERLINK("http://141.218.60.56/~jnz1568/getInfo.php?workbook=01_01.xlsx&amp;sheet=A0&amp;row=118&amp;col=32&amp;number=&amp;sourceID=18","")</f>
        <v/>
      </c>
      <c r="AG118" s="4" t="str">
        <f>HYPERLINK("http://141.218.60.56/~jnz1568/getInfo.php?workbook=01_01.xlsx&amp;sheet=A0&amp;row=118&amp;col=33&amp;number=&amp;sourceID=18","")</f>
        <v/>
      </c>
      <c r="AH118" s="4" t="str">
        <f>HYPERLINK("http://141.218.60.56/~jnz1568/getInfo.php?workbook=01_01.xlsx&amp;sheet=A0&amp;row=118&amp;col=34&amp;number=&amp;sourceID=20","")</f>
        <v/>
      </c>
    </row>
    <row r="119" spans="1:34">
      <c r="A119" s="3">
        <v>1</v>
      </c>
      <c r="B119" s="3">
        <v>1</v>
      </c>
      <c r="C119" s="3">
        <v>17</v>
      </c>
      <c r="D119" s="3">
        <v>2</v>
      </c>
      <c r="E119" s="3">
        <f>((1/(INDEX(E0!J$4:J$28,C119,1)-INDEX(E0!J$4:J$28,D119,1))))*100000000</f>
        <v>0</v>
      </c>
      <c r="F119" s="4" t="str">
        <f>HYPERLINK("http://141.218.60.56/~jnz1568/getInfo.php?workbook=01_01.xlsx&amp;sheet=A0&amp;row=119&amp;col=6&amp;number=&amp;sourceID=18","")</f>
        <v/>
      </c>
      <c r="G119" s="4" t="str">
        <f>HYPERLINK("http://141.218.60.56/~jnz1568/getInfo.php?workbook=01_01.xlsx&amp;sheet=A0&amp;row=119&amp;col=7&amp;number=&amp;sourceID=15","")</f>
        <v/>
      </c>
      <c r="H119" s="4" t="str">
        <f>HYPERLINK("http://141.218.60.56/~jnz1568/getInfo.php?workbook=01_01.xlsx&amp;sheet=A0&amp;row=119&amp;col=8&amp;number=&amp;sourceID=15","")</f>
        <v/>
      </c>
      <c r="I119" s="4" t="str">
        <f>HYPERLINK("http://141.218.60.56/~jnz1568/getInfo.php?workbook=01_01.xlsx&amp;sheet=A0&amp;row=119&amp;col=9&amp;number=&amp;sourceID=15","")</f>
        <v/>
      </c>
      <c r="J119" s="4" t="str">
        <f>HYPERLINK("http://141.218.60.56/~jnz1568/getInfo.php?workbook=01_01.xlsx&amp;sheet=A0&amp;row=119&amp;col=10&amp;number=&amp;sourceID=15","")</f>
        <v/>
      </c>
      <c r="K119" s="4" t="str">
        <f>HYPERLINK("http://141.218.60.56/~jnz1568/getInfo.php?workbook=01_01.xlsx&amp;sheet=A0&amp;row=119&amp;col=11&amp;number=&amp;sourceID=15","")</f>
        <v/>
      </c>
      <c r="L119" s="4" t="str">
        <f>HYPERLINK("http://141.218.60.56/~jnz1568/getInfo.php?workbook=01_01.xlsx&amp;sheet=A0&amp;row=119&amp;col=12&amp;number=&amp;sourceID=15","")</f>
        <v/>
      </c>
      <c r="M119" s="4" t="str">
        <f>HYPERLINK("http://141.218.60.56/~jnz1568/getInfo.php?workbook=01_01.xlsx&amp;sheet=A0&amp;row=119&amp;col=13&amp;number=&amp;sourceID=15","")</f>
        <v/>
      </c>
      <c r="N119" s="4" t="str">
        <f>HYPERLINK("http://141.218.60.56/~jnz1568/getInfo.php?workbook=01_01.xlsx&amp;sheet=A0&amp;row=119&amp;col=14&amp;number==&amp;sourceID=11","=")</f>
        <v>=</v>
      </c>
      <c r="O119" s="4" t="str">
        <f>HYPERLINK("http://141.218.60.56/~jnz1568/getInfo.php?workbook=01_01.xlsx&amp;sheet=A0&amp;row=119&amp;col=15&amp;number=&amp;sourceID=11","")</f>
        <v/>
      </c>
      <c r="P119" s="4" t="str">
        <f>HYPERLINK("http://141.218.60.56/~jnz1568/getInfo.php?workbook=01_01.xlsx&amp;sheet=A0&amp;row=119&amp;col=16&amp;number=&amp;sourceID=11","")</f>
        <v/>
      </c>
      <c r="Q119" s="4" t="str">
        <f>HYPERLINK("http://141.218.60.56/~jnz1568/getInfo.php?workbook=01_01.xlsx&amp;sheet=A0&amp;row=119&amp;col=17&amp;number=&amp;sourceID=11","")</f>
        <v/>
      </c>
      <c r="R119" s="4" t="str">
        <f>HYPERLINK("http://141.218.60.56/~jnz1568/getInfo.php?workbook=01_01.xlsx&amp;sheet=A0&amp;row=119&amp;col=18&amp;number=2.4718e-10&amp;sourceID=11","2.4718e-10")</f>
        <v>2.4718e-10</v>
      </c>
      <c r="S119" s="4" t="str">
        <f>HYPERLINK("http://141.218.60.56/~jnz1568/getInfo.php?workbook=01_01.xlsx&amp;sheet=A0&amp;row=119&amp;col=19&amp;number=&amp;sourceID=11","")</f>
        <v/>
      </c>
      <c r="T119" s="4" t="str">
        <f>HYPERLINK("http://141.218.60.56/~jnz1568/getInfo.php?workbook=01_01.xlsx&amp;sheet=A0&amp;row=119&amp;col=20&amp;number=&amp;sourceID=11","")</f>
        <v/>
      </c>
      <c r="U119" s="4" t="str">
        <f>HYPERLINK("http://141.218.60.56/~jnz1568/getInfo.php?workbook=01_01.xlsx&amp;sheet=A0&amp;row=119&amp;col=21&amp;number=2.7715e-10&amp;sourceID=12","2.7715e-10")</f>
        <v>2.7715e-10</v>
      </c>
      <c r="V119" s="4" t="str">
        <f>HYPERLINK("http://141.218.60.56/~jnz1568/getInfo.php?workbook=01_01.xlsx&amp;sheet=A0&amp;row=119&amp;col=22&amp;number=&amp;sourceID=12","")</f>
        <v/>
      </c>
      <c r="W119" s="4" t="str">
        <f>HYPERLINK("http://141.218.60.56/~jnz1568/getInfo.php?workbook=01_01.xlsx&amp;sheet=A0&amp;row=119&amp;col=23&amp;number=&amp;sourceID=12","")</f>
        <v/>
      </c>
      <c r="X119" s="4" t="str">
        <f>HYPERLINK("http://141.218.60.56/~jnz1568/getInfo.php?workbook=01_01.xlsx&amp;sheet=A0&amp;row=119&amp;col=24&amp;number=&amp;sourceID=12","")</f>
        <v/>
      </c>
      <c r="Y119" s="4" t="str">
        <f>HYPERLINK("http://141.218.60.56/~jnz1568/getInfo.php?workbook=01_01.xlsx&amp;sheet=A0&amp;row=119&amp;col=25&amp;number=2.7715e-10&amp;sourceID=12","2.7715e-10")</f>
        <v>2.7715e-10</v>
      </c>
      <c r="Z119" s="4" t="str">
        <f>HYPERLINK("http://141.218.60.56/~jnz1568/getInfo.php?workbook=01_01.xlsx&amp;sheet=A0&amp;row=119&amp;col=26&amp;number=&amp;sourceID=12","")</f>
        <v/>
      </c>
      <c r="AA119" s="4" t="str">
        <f>HYPERLINK("http://141.218.60.56/~jnz1568/getInfo.php?workbook=01_01.xlsx&amp;sheet=A0&amp;row=119&amp;col=27&amp;number=&amp;sourceID=12","")</f>
        <v/>
      </c>
      <c r="AB119" s="4" t="str">
        <f>HYPERLINK("http://141.218.60.56/~jnz1568/getInfo.php?workbook=01_01.xlsx&amp;sheet=A0&amp;row=119&amp;col=28&amp;number=&amp;sourceID=18","")</f>
        <v/>
      </c>
      <c r="AC119" s="4" t="str">
        <f>HYPERLINK("http://141.218.60.56/~jnz1568/getInfo.php?workbook=01_01.xlsx&amp;sheet=A0&amp;row=119&amp;col=29&amp;number=&amp;sourceID=18","")</f>
        <v/>
      </c>
      <c r="AD119" s="4" t="str">
        <f>HYPERLINK("http://141.218.60.56/~jnz1568/getInfo.php?workbook=01_01.xlsx&amp;sheet=A0&amp;row=119&amp;col=30&amp;number=&amp;sourceID=18","")</f>
        <v/>
      </c>
      <c r="AE119" s="4" t="str">
        <f>HYPERLINK("http://141.218.60.56/~jnz1568/getInfo.php?workbook=01_01.xlsx&amp;sheet=A0&amp;row=119&amp;col=31&amp;number=&amp;sourceID=18","")</f>
        <v/>
      </c>
      <c r="AF119" s="4" t="str">
        <f>HYPERLINK("http://141.218.60.56/~jnz1568/getInfo.php?workbook=01_01.xlsx&amp;sheet=A0&amp;row=119&amp;col=32&amp;number=&amp;sourceID=18","")</f>
        <v/>
      </c>
      <c r="AG119" s="4" t="str">
        <f>HYPERLINK("http://141.218.60.56/~jnz1568/getInfo.php?workbook=01_01.xlsx&amp;sheet=A0&amp;row=119&amp;col=33&amp;number=&amp;sourceID=18","")</f>
        <v/>
      </c>
      <c r="AH119" s="4" t="str">
        <f>HYPERLINK("http://141.218.60.56/~jnz1568/getInfo.php?workbook=01_01.xlsx&amp;sheet=A0&amp;row=119&amp;col=34&amp;number=&amp;sourceID=20","")</f>
        <v/>
      </c>
    </row>
    <row r="120" spans="1:34">
      <c r="A120" s="3">
        <v>1</v>
      </c>
      <c r="B120" s="3">
        <v>1</v>
      </c>
      <c r="C120" s="3">
        <v>17</v>
      </c>
      <c r="D120" s="3">
        <v>3</v>
      </c>
      <c r="E120" s="3">
        <f>((1/(INDEX(E0!J$4:J$28,C120,1)-INDEX(E0!J$4:J$28,D120,1))))*100000000</f>
        <v>0</v>
      </c>
      <c r="F120" s="4" t="str">
        <f>HYPERLINK("http://141.218.60.56/~jnz1568/getInfo.php?workbook=01_01.xlsx&amp;sheet=A0&amp;row=120&amp;col=6&amp;number=&amp;sourceID=18","")</f>
        <v/>
      </c>
      <c r="G120" s="4" t="str">
        <f>HYPERLINK("http://141.218.60.56/~jnz1568/getInfo.php?workbook=01_01.xlsx&amp;sheet=A0&amp;row=120&amp;col=7&amp;number=4948400&amp;sourceID=15","4948400")</f>
        <v>4948400</v>
      </c>
      <c r="H120" s="4" t="str">
        <f>HYPERLINK("http://141.218.60.56/~jnz1568/getInfo.php?workbook=01_01.xlsx&amp;sheet=A0&amp;row=120&amp;col=8&amp;number=4948400&amp;sourceID=15","4948400")</f>
        <v>4948400</v>
      </c>
      <c r="I120" s="4" t="str">
        <f>HYPERLINK("http://141.218.60.56/~jnz1568/getInfo.php?workbook=01_01.xlsx&amp;sheet=A0&amp;row=120&amp;col=9&amp;number=&amp;sourceID=15","")</f>
        <v/>
      </c>
      <c r="J120" s="4" t="str">
        <f>HYPERLINK("http://141.218.60.56/~jnz1568/getInfo.php?workbook=01_01.xlsx&amp;sheet=A0&amp;row=120&amp;col=10&amp;number=&amp;sourceID=15","")</f>
        <v/>
      </c>
      <c r="K120" s="4" t="str">
        <f>HYPERLINK("http://141.218.60.56/~jnz1568/getInfo.php?workbook=01_01.xlsx&amp;sheet=A0&amp;row=120&amp;col=11&amp;number=&amp;sourceID=15","")</f>
        <v/>
      </c>
      <c r="L120" s="4" t="str">
        <f>HYPERLINK("http://141.218.60.56/~jnz1568/getInfo.php?workbook=01_01.xlsx&amp;sheet=A0&amp;row=120&amp;col=12&amp;number=&amp;sourceID=15","")</f>
        <v/>
      </c>
      <c r="M120" s="4" t="str">
        <f>HYPERLINK("http://141.218.60.56/~jnz1568/getInfo.php?workbook=01_01.xlsx&amp;sheet=A0&amp;row=120&amp;col=13&amp;number=&amp;sourceID=15","")</f>
        <v/>
      </c>
      <c r="N120" s="4" t="str">
        <f>HYPERLINK("http://141.218.60.56/~jnz1568/getInfo.php?workbook=01_01.xlsx&amp;sheet=A0&amp;row=120&amp;col=14&amp;number==&amp;sourceID=11","=")</f>
        <v>=</v>
      </c>
      <c r="O120" s="4" t="str">
        <f>HYPERLINK("http://141.218.60.56/~jnz1568/getInfo.php?workbook=01_01.xlsx&amp;sheet=A0&amp;row=120&amp;col=15&amp;number=4948400&amp;sourceID=11","4948400")</f>
        <v>4948400</v>
      </c>
      <c r="P120" s="4" t="str">
        <f>HYPERLINK("http://141.218.60.56/~jnz1568/getInfo.php?workbook=01_01.xlsx&amp;sheet=A0&amp;row=120&amp;col=16&amp;number=&amp;sourceID=11","")</f>
        <v/>
      </c>
      <c r="Q120" s="4" t="str">
        <f>HYPERLINK("http://141.218.60.56/~jnz1568/getInfo.php?workbook=01_01.xlsx&amp;sheet=A0&amp;row=120&amp;col=17&amp;number=&amp;sourceID=11","")</f>
        <v/>
      </c>
      <c r="R120" s="4" t="str">
        <f>HYPERLINK("http://141.218.60.56/~jnz1568/getInfo.php?workbook=01_01.xlsx&amp;sheet=A0&amp;row=120&amp;col=18&amp;number=&amp;sourceID=11","")</f>
        <v/>
      </c>
      <c r="S120" s="4" t="str">
        <f>HYPERLINK("http://141.218.60.56/~jnz1568/getInfo.php?workbook=01_01.xlsx&amp;sheet=A0&amp;row=120&amp;col=19&amp;number=&amp;sourceID=11","")</f>
        <v/>
      </c>
      <c r="T120" s="4" t="str">
        <f>HYPERLINK("http://141.218.60.56/~jnz1568/getInfo.php?workbook=01_01.xlsx&amp;sheet=A0&amp;row=120&amp;col=20&amp;number=&amp;sourceID=11","")</f>
        <v/>
      </c>
      <c r="U120" s="4" t="str">
        <f>HYPERLINK("http://141.218.60.56/~jnz1568/getInfo.php?workbook=01_01.xlsx&amp;sheet=A0&amp;row=120&amp;col=21&amp;number=4951100&amp;sourceID=12","4951100")</f>
        <v>4951100</v>
      </c>
      <c r="V120" s="4" t="str">
        <f>HYPERLINK("http://141.218.60.56/~jnz1568/getInfo.php?workbook=01_01.xlsx&amp;sheet=A0&amp;row=120&amp;col=22&amp;number=4951100&amp;sourceID=12","4951100")</f>
        <v>4951100</v>
      </c>
      <c r="W120" s="4" t="str">
        <f>HYPERLINK("http://141.218.60.56/~jnz1568/getInfo.php?workbook=01_01.xlsx&amp;sheet=A0&amp;row=120&amp;col=23&amp;number=&amp;sourceID=12","")</f>
        <v/>
      </c>
      <c r="X120" s="4" t="str">
        <f>HYPERLINK("http://141.218.60.56/~jnz1568/getInfo.php?workbook=01_01.xlsx&amp;sheet=A0&amp;row=120&amp;col=24&amp;number=&amp;sourceID=12","")</f>
        <v/>
      </c>
      <c r="Y120" s="4" t="str">
        <f>HYPERLINK("http://141.218.60.56/~jnz1568/getInfo.php?workbook=01_01.xlsx&amp;sheet=A0&amp;row=120&amp;col=25&amp;number=&amp;sourceID=12","")</f>
        <v/>
      </c>
      <c r="Z120" s="4" t="str">
        <f>HYPERLINK("http://141.218.60.56/~jnz1568/getInfo.php?workbook=01_01.xlsx&amp;sheet=A0&amp;row=120&amp;col=26&amp;number=&amp;sourceID=12","")</f>
        <v/>
      </c>
      <c r="AA120" s="4" t="str">
        <f>HYPERLINK("http://141.218.60.56/~jnz1568/getInfo.php?workbook=01_01.xlsx&amp;sheet=A0&amp;row=120&amp;col=27&amp;number=&amp;sourceID=12","")</f>
        <v/>
      </c>
      <c r="AB120" s="4" t="str">
        <f>HYPERLINK("http://141.218.60.56/~jnz1568/getInfo.php?workbook=01_01.xlsx&amp;sheet=A0&amp;row=120&amp;col=28&amp;number=&amp;sourceID=18","")</f>
        <v/>
      </c>
      <c r="AC120" s="4" t="str">
        <f>HYPERLINK("http://141.218.60.56/~jnz1568/getInfo.php?workbook=01_01.xlsx&amp;sheet=A0&amp;row=120&amp;col=29&amp;number=&amp;sourceID=18","")</f>
        <v/>
      </c>
      <c r="AD120" s="4" t="str">
        <f>HYPERLINK("http://141.218.60.56/~jnz1568/getInfo.php?workbook=01_01.xlsx&amp;sheet=A0&amp;row=120&amp;col=30&amp;number=&amp;sourceID=18","")</f>
        <v/>
      </c>
      <c r="AE120" s="4" t="str">
        <f>HYPERLINK("http://141.218.60.56/~jnz1568/getInfo.php?workbook=01_01.xlsx&amp;sheet=A0&amp;row=120&amp;col=31&amp;number=&amp;sourceID=18","")</f>
        <v/>
      </c>
      <c r="AF120" s="4" t="str">
        <f>HYPERLINK("http://141.218.60.56/~jnz1568/getInfo.php?workbook=01_01.xlsx&amp;sheet=A0&amp;row=120&amp;col=32&amp;number=&amp;sourceID=18","")</f>
        <v/>
      </c>
      <c r="AG120" s="4" t="str">
        <f>HYPERLINK("http://141.218.60.56/~jnz1568/getInfo.php?workbook=01_01.xlsx&amp;sheet=A0&amp;row=120&amp;col=33&amp;number=&amp;sourceID=18","")</f>
        <v/>
      </c>
      <c r="AH120" s="4" t="str">
        <f>HYPERLINK("http://141.218.60.56/~jnz1568/getInfo.php?workbook=01_01.xlsx&amp;sheet=A0&amp;row=120&amp;col=34&amp;number=&amp;sourceID=20","")</f>
        <v/>
      </c>
    </row>
    <row r="121" spans="1:34">
      <c r="A121" s="3">
        <v>1</v>
      </c>
      <c r="B121" s="3">
        <v>1</v>
      </c>
      <c r="C121" s="3">
        <v>17</v>
      </c>
      <c r="D121" s="3">
        <v>4</v>
      </c>
      <c r="E121" s="3">
        <f>((1/(INDEX(E0!J$4:J$28,C121,1)-INDEX(E0!J$4:J$28,D121,1))))*100000000</f>
        <v>0</v>
      </c>
      <c r="F121" s="4" t="str">
        <f>HYPERLINK("http://141.218.60.56/~jnz1568/getInfo.php?workbook=01_01.xlsx&amp;sheet=A0&amp;row=121&amp;col=6&amp;number=&amp;sourceID=18","")</f>
        <v/>
      </c>
      <c r="G121" s="4" t="str">
        <f>HYPERLINK("http://141.218.60.56/~jnz1568/getInfo.php?workbook=01_01.xlsx&amp;sheet=A0&amp;row=121&amp;col=7&amp;number=&amp;sourceID=15","")</f>
        <v/>
      </c>
      <c r="H121" s="4" t="str">
        <f>HYPERLINK("http://141.218.60.56/~jnz1568/getInfo.php?workbook=01_01.xlsx&amp;sheet=A0&amp;row=121&amp;col=8&amp;number=&amp;sourceID=15","")</f>
        <v/>
      </c>
      <c r="I121" s="4" t="str">
        <f>HYPERLINK("http://141.218.60.56/~jnz1568/getInfo.php?workbook=01_01.xlsx&amp;sheet=A0&amp;row=121&amp;col=9&amp;number=&amp;sourceID=15","")</f>
        <v/>
      </c>
      <c r="J121" s="4" t="str">
        <f>HYPERLINK("http://141.218.60.56/~jnz1568/getInfo.php?workbook=01_01.xlsx&amp;sheet=A0&amp;row=121&amp;col=10&amp;number=&amp;sourceID=15","")</f>
        <v/>
      </c>
      <c r="K121" s="4" t="str">
        <f>HYPERLINK("http://141.218.60.56/~jnz1568/getInfo.php?workbook=01_01.xlsx&amp;sheet=A0&amp;row=121&amp;col=11&amp;number=&amp;sourceID=15","")</f>
        <v/>
      </c>
      <c r="L121" s="4" t="str">
        <f>HYPERLINK("http://141.218.60.56/~jnz1568/getInfo.php?workbook=01_01.xlsx&amp;sheet=A0&amp;row=121&amp;col=12&amp;number=&amp;sourceID=15","")</f>
        <v/>
      </c>
      <c r="M121" s="4" t="str">
        <f>HYPERLINK("http://141.218.60.56/~jnz1568/getInfo.php?workbook=01_01.xlsx&amp;sheet=A0&amp;row=121&amp;col=13&amp;number=&amp;sourceID=15","")</f>
        <v/>
      </c>
      <c r="N121" s="4" t="str">
        <f>HYPERLINK("http://141.218.60.56/~jnz1568/getInfo.php?workbook=01_01.xlsx&amp;sheet=A0&amp;row=121&amp;col=14&amp;number==&amp;sourceID=11","=")</f>
        <v>=</v>
      </c>
      <c r="O121" s="4" t="str">
        <f>HYPERLINK("http://141.218.60.56/~jnz1568/getInfo.php?workbook=01_01.xlsx&amp;sheet=A0&amp;row=121&amp;col=15&amp;number=&amp;sourceID=11","")</f>
        <v/>
      </c>
      <c r="P121" s="4" t="str">
        <f>HYPERLINK("http://141.218.60.56/~jnz1568/getInfo.php?workbook=01_01.xlsx&amp;sheet=A0&amp;row=121&amp;col=16&amp;number=5.2699&amp;sourceID=11","5.2699")</f>
        <v>5.2699</v>
      </c>
      <c r="Q121" s="4" t="str">
        <f>HYPERLINK("http://141.218.60.56/~jnz1568/getInfo.php?workbook=01_01.xlsx&amp;sheet=A0&amp;row=121&amp;col=17&amp;number=&amp;sourceID=11","")</f>
        <v/>
      </c>
      <c r="R121" s="4" t="str">
        <f>HYPERLINK("http://141.218.60.56/~jnz1568/getInfo.php?workbook=01_01.xlsx&amp;sheet=A0&amp;row=121&amp;col=18&amp;number=4.3491e-09&amp;sourceID=11","4.3491e-09")</f>
        <v>4.3491e-09</v>
      </c>
      <c r="S121" s="4" t="str">
        <f>HYPERLINK("http://141.218.60.56/~jnz1568/getInfo.php?workbook=01_01.xlsx&amp;sheet=A0&amp;row=121&amp;col=19&amp;number=&amp;sourceID=11","")</f>
        <v/>
      </c>
      <c r="T121" s="4" t="str">
        <f>HYPERLINK("http://141.218.60.56/~jnz1568/getInfo.php?workbook=01_01.xlsx&amp;sheet=A0&amp;row=121&amp;col=20&amp;number=&amp;sourceID=11","")</f>
        <v/>
      </c>
      <c r="U121" s="4" t="str">
        <f>HYPERLINK("http://141.218.60.56/~jnz1568/getInfo.php?workbook=01_01.xlsx&amp;sheet=A0&amp;row=121&amp;col=21&amp;number=5.2728&amp;sourceID=12","5.2728")</f>
        <v>5.2728</v>
      </c>
      <c r="V121" s="4" t="str">
        <f>HYPERLINK("http://141.218.60.56/~jnz1568/getInfo.php?workbook=01_01.xlsx&amp;sheet=A0&amp;row=121&amp;col=22&amp;number=&amp;sourceID=12","")</f>
        <v/>
      </c>
      <c r="W121" s="4" t="str">
        <f>HYPERLINK("http://141.218.60.56/~jnz1568/getInfo.php?workbook=01_01.xlsx&amp;sheet=A0&amp;row=121&amp;col=23&amp;number=5.2728&amp;sourceID=12","5.2728")</f>
        <v>5.2728</v>
      </c>
      <c r="X121" s="4" t="str">
        <f>HYPERLINK("http://141.218.60.56/~jnz1568/getInfo.php?workbook=01_01.xlsx&amp;sheet=A0&amp;row=121&amp;col=24&amp;number=&amp;sourceID=12","")</f>
        <v/>
      </c>
      <c r="Y121" s="4" t="str">
        <f>HYPERLINK("http://141.218.60.56/~jnz1568/getInfo.php?workbook=01_01.xlsx&amp;sheet=A0&amp;row=121&amp;col=25&amp;number=4.2579e-09&amp;sourceID=12","4.2579e-09")</f>
        <v>4.2579e-09</v>
      </c>
      <c r="Z121" s="4" t="str">
        <f>HYPERLINK("http://141.218.60.56/~jnz1568/getInfo.php?workbook=01_01.xlsx&amp;sheet=A0&amp;row=121&amp;col=26&amp;number=&amp;sourceID=12","")</f>
        <v/>
      </c>
      <c r="AA121" s="4" t="str">
        <f>HYPERLINK("http://141.218.60.56/~jnz1568/getInfo.php?workbook=01_01.xlsx&amp;sheet=A0&amp;row=121&amp;col=27&amp;number=&amp;sourceID=12","")</f>
        <v/>
      </c>
      <c r="AB121" s="4" t="str">
        <f>HYPERLINK("http://141.218.60.56/~jnz1568/getInfo.php?workbook=01_01.xlsx&amp;sheet=A0&amp;row=121&amp;col=28&amp;number=&amp;sourceID=18","")</f>
        <v/>
      </c>
      <c r="AC121" s="4" t="str">
        <f>HYPERLINK("http://141.218.60.56/~jnz1568/getInfo.php?workbook=01_01.xlsx&amp;sheet=A0&amp;row=121&amp;col=29&amp;number=&amp;sourceID=18","")</f>
        <v/>
      </c>
      <c r="AD121" s="4" t="str">
        <f>HYPERLINK("http://141.218.60.56/~jnz1568/getInfo.php?workbook=01_01.xlsx&amp;sheet=A0&amp;row=121&amp;col=30&amp;number=&amp;sourceID=18","")</f>
        <v/>
      </c>
      <c r="AE121" s="4" t="str">
        <f>HYPERLINK("http://141.218.60.56/~jnz1568/getInfo.php?workbook=01_01.xlsx&amp;sheet=A0&amp;row=121&amp;col=31&amp;number=&amp;sourceID=18","")</f>
        <v/>
      </c>
      <c r="AF121" s="4" t="str">
        <f>HYPERLINK("http://141.218.60.56/~jnz1568/getInfo.php?workbook=01_01.xlsx&amp;sheet=A0&amp;row=121&amp;col=32&amp;number=&amp;sourceID=18","")</f>
        <v/>
      </c>
      <c r="AG121" s="4" t="str">
        <f>HYPERLINK("http://141.218.60.56/~jnz1568/getInfo.php?workbook=01_01.xlsx&amp;sheet=A0&amp;row=121&amp;col=33&amp;number=&amp;sourceID=18","")</f>
        <v/>
      </c>
      <c r="AH121" s="4" t="str">
        <f>HYPERLINK("http://141.218.60.56/~jnz1568/getInfo.php?workbook=01_01.xlsx&amp;sheet=A0&amp;row=121&amp;col=34&amp;number=&amp;sourceID=20","")</f>
        <v/>
      </c>
    </row>
    <row r="122" spans="1:34">
      <c r="A122" s="3">
        <v>1</v>
      </c>
      <c r="B122" s="3">
        <v>1</v>
      </c>
      <c r="C122" s="3">
        <v>17</v>
      </c>
      <c r="D122" s="3">
        <v>5</v>
      </c>
      <c r="E122" s="3">
        <f>((1/(INDEX(E0!J$4:J$28,C122,1)-INDEX(E0!J$4:J$28,D122,1))))*100000000</f>
        <v>0</v>
      </c>
      <c r="F122" s="4" t="str">
        <f>HYPERLINK("http://141.218.60.56/~jnz1568/getInfo.php?workbook=01_01.xlsx&amp;sheet=A0&amp;row=122&amp;col=6&amp;number=&amp;sourceID=18","")</f>
        <v/>
      </c>
      <c r="G122" s="4" t="str">
        <f>HYPERLINK("http://141.218.60.56/~jnz1568/getInfo.php?workbook=01_01.xlsx&amp;sheet=A0&amp;row=122&amp;col=7&amp;number=&amp;sourceID=15","")</f>
        <v/>
      </c>
      <c r="H122" s="4" t="str">
        <f>HYPERLINK("http://141.218.60.56/~jnz1568/getInfo.php?workbook=01_01.xlsx&amp;sheet=A0&amp;row=122&amp;col=8&amp;number=&amp;sourceID=15","")</f>
        <v/>
      </c>
      <c r="I122" s="4" t="str">
        <f>HYPERLINK("http://141.218.60.56/~jnz1568/getInfo.php?workbook=01_01.xlsx&amp;sheet=A0&amp;row=122&amp;col=9&amp;number=&amp;sourceID=15","")</f>
        <v/>
      </c>
      <c r="J122" s="4" t="str">
        <f>HYPERLINK("http://141.218.60.56/~jnz1568/getInfo.php?workbook=01_01.xlsx&amp;sheet=A0&amp;row=122&amp;col=10&amp;number=&amp;sourceID=15","")</f>
        <v/>
      </c>
      <c r="K122" s="4" t="str">
        <f>HYPERLINK("http://141.218.60.56/~jnz1568/getInfo.php?workbook=01_01.xlsx&amp;sheet=A0&amp;row=122&amp;col=11&amp;number=&amp;sourceID=15","")</f>
        <v/>
      </c>
      <c r="L122" s="4" t="str">
        <f>HYPERLINK("http://141.218.60.56/~jnz1568/getInfo.php?workbook=01_01.xlsx&amp;sheet=A0&amp;row=122&amp;col=12&amp;number=&amp;sourceID=15","")</f>
        <v/>
      </c>
      <c r="M122" s="4" t="str">
        <f>HYPERLINK("http://141.218.60.56/~jnz1568/getInfo.php?workbook=01_01.xlsx&amp;sheet=A0&amp;row=122&amp;col=13&amp;number=&amp;sourceID=15","")</f>
        <v/>
      </c>
      <c r="N122" s="4" t="str">
        <f>HYPERLINK("http://141.218.60.56/~jnz1568/getInfo.php?workbook=01_01.xlsx&amp;sheet=A0&amp;row=122&amp;col=14&amp;number==&amp;sourceID=11","=")</f>
        <v>=</v>
      </c>
      <c r="O122" s="4" t="str">
        <f>HYPERLINK("http://141.218.60.56/~jnz1568/getInfo.php?workbook=01_01.xlsx&amp;sheet=A0&amp;row=122&amp;col=15&amp;number=&amp;sourceID=11","")</f>
        <v/>
      </c>
      <c r="P122" s="4" t="str">
        <f>HYPERLINK("http://141.218.60.56/~jnz1568/getInfo.php?workbook=01_01.xlsx&amp;sheet=A0&amp;row=122&amp;col=16&amp;number=&amp;sourceID=11","")</f>
        <v/>
      </c>
      <c r="Q122" s="4" t="str">
        <f>HYPERLINK("http://141.218.60.56/~jnz1568/getInfo.php?workbook=01_01.xlsx&amp;sheet=A0&amp;row=122&amp;col=17&amp;number=&amp;sourceID=11","")</f>
        <v/>
      </c>
      <c r="R122" s="4" t="str">
        <f>HYPERLINK("http://141.218.60.56/~jnz1568/getInfo.php?workbook=01_01.xlsx&amp;sheet=A0&amp;row=122&amp;col=18&amp;number=7.678e-12&amp;sourceID=11","7.678e-12")</f>
        <v>7.678e-12</v>
      </c>
      <c r="S122" s="4" t="str">
        <f>HYPERLINK("http://141.218.60.56/~jnz1568/getInfo.php?workbook=01_01.xlsx&amp;sheet=A0&amp;row=122&amp;col=19&amp;number=&amp;sourceID=11","")</f>
        <v/>
      </c>
      <c r="T122" s="4" t="str">
        <f>HYPERLINK("http://141.218.60.56/~jnz1568/getInfo.php?workbook=01_01.xlsx&amp;sheet=A0&amp;row=122&amp;col=20&amp;number=&amp;sourceID=11","")</f>
        <v/>
      </c>
      <c r="U122" s="4" t="str">
        <f>HYPERLINK("http://141.218.60.56/~jnz1568/getInfo.php?workbook=01_01.xlsx&amp;sheet=A0&amp;row=122&amp;col=21&amp;number=7.567e-12&amp;sourceID=12","7.567e-12")</f>
        <v>7.567e-12</v>
      </c>
      <c r="V122" s="4" t="str">
        <f>HYPERLINK("http://141.218.60.56/~jnz1568/getInfo.php?workbook=01_01.xlsx&amp;sheet=A0&amp;row=122&amp;col=22&amp;number=&amp;sourceID=12","")</f>
        <v/>
      </c>
      <c r="W122" s="4" t="str">
        <f>HYPERLINK("http://141.218.60.56/~jnz1568/getInfo.php?workbook=01_01.xlsx&amp;sheet=A0&amp;row=122&amp;col=23&amp;number=&amp;sourceID=12","")</f>
        <v/>
      </c>
      <c r="X122" s="4" t="str">
        <f>HYPERLINK("http://141.218.60.56/~jnz1568/getInfo.php?workbook=01_01.xlsx&amp;sheet=A0&amp;row=122&amp;col=24&amp;number=&amp;sourceID=12","")</f>
        <v/>
      </c>
      <c r="Y122" s="4" t="str">
        <f>HYPERLINK("http://141.218.60.56/~jnz1568/getInfo.php?workbook=01_01.xlsx&amp;sheet=A0&amp;row=122&amp;col=25&amp;number=7.567e-12&amp;sourceID=12","7.567e-12")</f>
        <v>7.567e-12</v>
      </c>
      <c r="Z122" s="4" t="str">
        <f>HYPERLINK("http://141.218.60.56/~jnz1568/getInfo.php?workbook=01_01.xlsx&amp;sheet=A0&amp;row=122&amp;col=26&amp;number=&amp;sourceID=12","")</f>
        <v/>
      </c>
      <c r="AA122" s="4" t="str">
        <f>HYPERLINK("http://141.218.60.56/~jnz1568/getInfo.php?workbook=01_01.xlsx&amp;sheet=A0&amp;row=122&amp;col=27&amp;number=&amp;sourceID=12","")</f>
        <v/>
      </c>
      <c r="AB122" s="4" t="str">
        <f>HYPERLINK("http://141.218.60.56/~jnz1568/getInfo.php?workbook=01_01.xlsx&amp;sheet=A0&amp;row=122&amp;col=28&amp;number=&amp;sourceID=18","")</f>
        <v/>
      </c>
      <c r="AC122" s="4" t="str">
        <f>HYPERLINK("http://141.218.60.56/~jnz1568/getInfo.php?workbook=01_01.xlsx&amp;sheet=A0&amp;row=122&amp;col=29&amp;number=&amp;sourceID=18","")</f>
        <v/>
      </c>
      <c r="AD122" s="4" t="str">
        <f>HYPERLINK("http://141.218.60.56/~jnz1568/getInfo.php?workbook=01_01.xlsx&amp;sheet=A0&amp;row=122&amp;col=30&amp;number=&amp;sourceID=18","")</f>
        <v/>
      </c>
      <c r="AE122" s="4" t="str">
        <f>HYPERLINK("http://141.218.60.56/~jnz1568/getInfo.php?workbook=01_01.xlsx&amp;sheet=A0&amp;row=122&amp;col=31&amp;number=&amp;sourceID=18","")</f>
        <v/>
      </c>
      <c r="AF122" s="4" t="str">
        <f>HYPERLINK("http://141.218.60.56/~jnz1568/getInfo.php?workbook=01_01.xlsx&amp;sheet=A0&amp;row=122&amp;col=32&amp;number=&amp;sourceID=18","")</f>
        <v/>
      </c>
      <c r="AG122" s="4" t="str">
        <f>HYPERLINK("http://141.218.60.56/~jnz1568/getInfo.php?workbook=01_01.xlsx&amp;sheet=A0&amp;row=122&amp;col=33&amp;number=&amp;sourceID=18","")</f>
        <v/>
      </c>
      <c r="AH122" s="4" t="str">
        <f>HYPERLINK("http://141.218.60.56/~jnz1568/getInfo.php?workbook=01_01.xlsx&amp;sheet=A0&amp;row=122&amp;col=34&amp;number=&amp;sourceID=20","")</f>
        <v/>
      </c>
    </row>
    <row r="123" spans="1:34">
      <c r="A123" s="3">
        <v>1</v>
      </c>
      <c r="B123" s="3">
        <v>1</v>
      </c>
      <c r="C123" s="3">
        <v>17</v>
      </c>
      <c r="D123" s="3">
        <v>6</v>
      </c>
      <c r="E123" s="3">
        <f>((1/(INDEX(E0!J$4:J$28,C123,1)-INDEX(E0!J$4:J$28,D123,1))))*100000000</f>
        <v>0</v>
      </c>
      <c r="F123" s="4" t="str">
        <f>HYPERLINK("http://141.218.60.56/~jnz1568/getInfo.php?workbook=01_01.xlsx&amp;sheet=A0&amp;row=123&amp;col=6&amp;number=&amp;sourceID=18","")</f>
        <v/>
      </c>
      <c r="G123" s="4" t="str">
        <f>HYPERLINK("http://141.218.60.56/~jnz1568/getInfo.php?workbook=01_01.xlsx&amp;sheet=A0&amp;row=123&amp;col=7&amp;number=1637800&amp;sourceID=15","1637800")</f>
        <v>1637800</v>
      </c>
      <c r="H123" s="4" t="str">
        <f>HYPERLINK("http://141.218.60.56/~jnz1568/getInfo.php?workbook=01_01.xlsx&amp;sheet=A0&amp;row=123&amp;col=8&amp;number=1637800&amp;sourceID=15","1637800")</f>
        <v>1637800</v>
      </c>
      <c r="I123" s="4" t="str">
        <f>HYPERLINK("http://141.218.60.56/~jnz1568/getInfo.php?workbook=01_01.xlsx&amp;sheet=A0&amp;row=123&amp;col=9&amp;number=&amp;sourceID=15","")</f>
        <v/>
      </c>
      <c r="J123" s="4" t="str">
        <f>HYPERLINK("http://141.218.60.56/~jnz1568/getInfo.php?workbook=01_01.xlsx&amp;sheet=A0&amp;row=123&amp;col=10&amp;number=&amp;sourceID=15","")</f>
        <v/>
      </c>
      <c r="K123" s="4" t="str">
        <f>HYPERLINK("http://141.218.60.56/~jnz1568/getInfo.php?workbook=01_01.xlsx&amp;sheet=A0&amp;row=123&amp;col=11&amp;number=&amp;sourceID=15","")</f>
        <v/>
      </c>
      <c r="L123" s="4" t="str">
        <f>HYPERLINK("http://141.218.60.56/~jnz1568/getInfo.php?workbook=01_01.xlsx&amp;sheet=A0&amp;row=123&amp;col=12&amp;number=&amp;sourceID=15","")</f>
        <v/>
      </c>
      <c r="M123" s="4" t="str">
        <f>HYPERLINK("http://141.218.60.56/~jnz1568/getInfo.php?workbook=01_01.xlsx&amp;sheet=A0&amp;row=123&amp;col=13&amp;number=&amp;sourceID=15","")</f>
        <v/>
      </c>
      <c r="N123" s="4" t="str">
        <f>HYPERLINK("http://141.218.60.56/~jnz1568/getInfo.php?workbook=01_01.xlsx&amp;sheet=A0&amp;row=123&amp;col=14&amp;number==&amp;sourceID=11","=")</f>
        <v>=</v>
      </c>
      <c r="O123" s="4" t="str">
        <f>HYPERLINK("http://141.218.60.56/~jnz1568/getInfo.php?workbook=01_01.xlsx&amp;sheet=A0&amp;row=123&amp;col=15&amp;number=1637800&amp;sourceID=11","1637800")</f>
        <v>1637800</v>
      </c>
      <c r="P123" s="4" t="str">
        <f>HYPERLINK("http://141.218.60.56/~jnz1568/getInfo.php?workbook=01_01.xlsx&amp;sheet=A0&amp;row=123&amp;col=16&amp;number=&amp;sourceID=11","")</f>
        <v/>
      </c>
      <c r="Q123" s="4" t="str">
        <f>HYPERLINK("http://141.218.60.56/~jnz1568/getInfo.php?workbook=01_01.xlsx&amp;sheet=A0&amp;row=123&amp;col=17&amp;number=&amp;sourceID=11","")</f>
        <v/>
      </c>
      <c r="R123" s="4" t="str">
        <f>HYPERLINK("http://141.218.60.56/~jnz1568/getInfo.php?workbook=01_01.xlsx&amp;sheet=A0&amp;row=123&amp;col=18&amp;number=&amp;sourceID=11","")</f>
        <v/>
      </c>
      <c r="S123" s="4" t="str">
        <f>HYPERLINK("http://141.218.60.56/~jnz1568/getInfo.php?workbook=01_01.xlsx&amp;sheet=A0&amp;row=123&amp;col=19&amp;number=&amp;sourceID=11","")</f>
        <v/>
      </c>
      <c r="T123" s="4" t="str">
        <f>HYPERLINK("http://141.218.60.56/~jnz1568/getInfo.php?workbook=01_01.xlsx&amp;sheet=A0&amp;row=123&amp;col=20&amp;number=&amp;sourceID=11","")</f>
        <v/>
      </c>
      <c r="U123" s="4" t="str">
        <f>HYPERLINK("http://141.218.60.56/~jnz1568/getInfo.php?workbook=01_01.xlsx&amp;sheet=A0&amp;row=123&amp;col=21&amp;number=1638700&amp;sourceID=12","1638700")</f>
        <v>1638700</v>
      </c>
      <c r="V123" s="4" t="str">
        <f>HYPERLINK("http://141.218.60.56/~jnz1568/getInfo.php?workbook=01_01.xlsx&amp;sheet=A0&amp;row=123&amp;col=22&amp;number=1638700&amp;sourceID=12","1638700")</f>
        <v>1638700</v>
      </c>
      <c r="W123" s="4" t="str">
        <f>HYPERLINK("http://141.218.60.56/~jnz1568/getInfo.php?workbook=01_01.xlsx&amp;sheet=A0&amp;row=123&amp;col=23&amp;number=&amp;sourceID=12","")</f>
        <v/>
      </c>
      <c r="X123" s="4" t="str">
        <f>HYPERLINK("http://141.218.60.56/~jnz1568/getInfo.php?workbook=01_01.xlsx&amp;sheet=A0&amp;row=123&amp;col=24&amp;number=&amp;sourceID=12","")</f>
        <v/>
      </c>
      <c r="Y123" s="4" t="str">
        <f>HYPERLINK("http://141.218.60.56/~jnz1568/getInfo.php?workbook=01_01.xlsx&amp;sheet=A0&amp;row=123&amp;col=25&amp;number=&amp;sourceID=12","")</f>
        <v/>
      </c>
      <c r="Z123" s="4" t="str">
        <f>HYPERLINK("http://141.218.60.56/~jnz1568/getInfo.php?workbook=01_01.xlsx&amp;sheet=A0&amp;row=123&amp;col=26&amp;number=&amp;sourceID=12","")</f>
        <v/>
      </c>
      <c r="AA123" s="4" t="str">
        <f>HYPERLINK("http://141.218.60.56/~jnz1568/getInfo.php?workbook=01_01.xlsx&amp;sheet=A0&amp;row=123&amp;col=27&amp;number=&amp;sourceID=12","")</f>
        <v/>
      </c>
      <c r="AB123" s="4" t="str">
        <f>HYPERLINK("http://141.218.60.56/~jnz1568/getInfo.php?workbook=01_01.xlsx&amp;sheet=A0&amp;row=123&amp;col=28&amp;number=&amp;sourceID=18","")</f>
        <v/>
      </c>
      <c r="AC123" s="4" t="str">
        <f>HYPERLINK("http://141.218.60.56/~jnz1568/getInfo.php?workbook=01_01.xlsx&amp;sheet=A0&amp;row=123&amp;col=29&amp;number=&amp;sourceID=18","")</f>
        <v/>
      </c>
      <c r="AD123" s="4" t="str">
        <f>HYPERLINK("http://141.218.60.56/~jnz1568/getInfo.php?workbook=01_01.xlsx&amp;sheet=A0&amp;row=123&amp;col=30&amp;number=&amp;sourceID=18","")</f>
        <v/>
      </c>
      <c r="AE123" s="4" t="str">
        <f>HYPERLINK("http://141.218.60.56/~jnz1568/getInfo.php?workbook=01_01.xlsx&amp;sheet=A0&amp;row=123&amp;col=31&amp;number=&amp;sourceID=18","")</f>
        <v/>
      </c>
      <c r="AF123" s="4" t="str">
        <f>HYPERLINK("http://141.218.60.56/~jnz1568/getInfo.php?workbook=01_01.xlsx&amp;sheet=A0&amp;row=123&amp;col=32&amp;number=&amp;sourceID=18","")</f>
        <v/>
      </c>
      <c r="AG123" s="4" t="str">
        <f>HYPERLINK("http://141.218.60.56/~jnz1568/getInfo.php?workbook=01_01.xlsx&amp;sheet=A0&amp;row=123&amp;col=33&amp;number=&amp;sourceID=18","")</f>
        <v/>
      </c>
      <c r="AH123" s="4" t="str">
        <f>HYPERLINK("http://141.218.60.56/~jnz1568/getInfo.php?workbook=01_01.xlsx&amp;sheet=A0&amp;row=123&amp;col=34&amp;number=&amp;sourceID=20","")</f>
        <v/>
      </c>
    </row>
    <row r="124" spans="1:34">
      <c r="A124" s="3">
        <v>1</v>
      </c>
      <c r="B124" s="3">
        <v>1</v>
      </c>
      <c r="C124" s="3">
        <v>17</v>
      </c>
      <c r="D124" s="3">
        <v>7</v>
      </c>
      <c r="E124" s="3">
        <f>((1/(INDEX(E0!J$4:J$28,C124,1)-INDEX(E0!J$4:J$28,D124,1))))*100000000</f>
        <v>0</v>
      </c>
      <c r="F124" s="4" t="str">
        <f>HYPERLINK("http://141.218.60.56/~jnz1568/getInfo.php?workbook=01_01.xlsx&amp;sheet=A0&amp;row=124&amp;col=6&amp;number=&amp;sourceID=18","")</f>
        <v/>
      </c>
      <c r="G124" s="4" t="str">
        <f>HYPERLINK("http://141.218.60.56/~jnz1568/getInfo.php?workbook=01_01.xlsx&amp;sheet=A0&amp;row=124&amp;col=7&amp;number=149560&amp;sourceID=15","149560")</f>
        <v>149560</v>
      </c>
      <c r="H124" s="4" t="str">
        <f>HYPERLINK("http://141.218.60.56/~jnz1568/getInfo.php?workbook=01_01.xlsx&amp;sheet=A0&amp;row=124&amp;col=8&amp;number=149560&amp;sourceID=15","149560")</f>
        <v>149560</v>
      </c>
      <c r="I124" s="4" t="str">
        <f>HYPERLINK("http://141.218.60.56/~jnz1568/getInfo.php?workbook=01_01.xlsx&amp;sheet=A0&amp;row=124&amp;col=9&amp;number=&amp;sourceID=15","")</f>
        <v/>
      </c>
      <c r="J124" s="4" t="str">
        <f>HYPERLINK("http://141.218.60.56/~jnz1568/getInfo.php?workbook=01_01.xlsx&amp;sheet=A0&amp;row=124&amp;col=10&amp;number=&amp;sourceID=15","")</f>
        <v/>
      </c>
      <c r="K124" s="4" t="str">
        <f>HYPERLINK("http://141.218.60.56/~jnz1568/getInfo.php?workbook=01_01.xlsx&amp;sheet=A0&amp;row=124&amp;col=11&amp;number=&amp;sourceID=15","")</f>
        <v/>
      </c>
      <c r="L124" s="4" t="str">
        <f>HYPERLINK("http://141.218.60.56/~jnz1568/getInfo.php?workbook=01_01.xlsx&amp;sheet=A0&amp;row=124&amp;col=12&amp;number=&amp;sourceID=15","")</f>
        <v/>
      </c>
      <c r="M124" s="4" t="str">
        <f>HYPERLINK("http://141.218.60.56/~jnz1568/getInfo.php?workbook=01_01.xlsx&amp;sheet=A0&amp;row=124&amp;col=13&amp;number=&amp;sourceID=15","")</f>
        <v/>
      </c>
      <c r="N124" s="4" t="str">
        <f>HYPERLINK("http://141.218.60.56/~jnz1568/getInfo.php?workbook=01_01.xlsx&amp;sheet=A0&amp;row=124&amp;col=14&amp;number==&amp;sourceID=11","=")</f>
        <v>=</v>
      </c>
      <c r="O124" s="4" t="str">
        <f>HYPERLINK("http://141.218.60.56/~jnz1568/getInfo.php?workbook=01_01.xlsx&amp;sheet=A0&amp;row=124&amp;col=15&amp;number=149560&amp;sourceID=11","149560")</f>
        <v>149560</v>
      </c>
      <c r="P124" s="4" t="str">
        <f>HYPERLINK("http://141.218.60.56/~jnz1568/getInfo.php?workbook=01_01.xlsx&amp;sheet=A0&amp;row=124&amp;col=16&amp;number=&amp;sourceID=11","")</f>
        <v/>
      </c>
      <c r="Q124" s="4" t="str">
        <f>HYPERLINK("http://141.218.60.56/~jnz1568/getInfo.php?workbook=01_01.xlsx&amp;sheet=A0&amp;row=124&amp;col=17&amp;number=&amp;sourceID=11","")</f>
        <v/>
      </c>
      <c r="R124" s="4" t="str">
        <f>HYPERLINK("http://141.218.60.56/~jnz1568/getInfo.php?workbook=01_01.xlsx&amp;sheet=A0&amp;row=124&amp;col=18&amp;number=&amp;sourceID=11","")</f>
        <v/>
      </c>
      <c r="S124" s="4" t="str">
        <f>HYPERLINK("http://141.218.60.56/~jnz1568/getInfo.php?workbook=01_01.xlsx&amp;sheet=A0&amp;row=124&amp;col=19&amp;number=4.0212e-09&amp;sourceID=11","4.0212e-09")</f>
        <v>4.0212e-09</v>
      </c>
      <c r="T124" s="4" t="str">
        <f>HYPERLINK("http://141.218.60.56/~jnz1568/getInfo.php?workbook=01_01.xlsx&amp;sheet=A0&amp;row=124&amp;col=20&amp;number=&amp;sourceID=11","")</f>
        <v/>
      </c>
      <c r="U124" s="4" t="str">
        <f>HYPERLINK("http://141.218.60.56/~jnz1568/getInfo.php?workbook=01_01.xlsx&amp;sheet=A0&amp;row=124&amp;col=21&amp;number=149640&amp;sourceID=12","149640")</f>
        <v>149640</v>
      </c>
      <c r="V124" s="4" t="str">
        <f>HYPERLINK("http://141.218.60.56/~jnz1568/getInfo.php?workbook=01_01.xlsx&amp;sheet=A0&amp;row=124&amp;col=22&amp;number=149640&amp;sourceID=12","149640")</f>
        <v>149640</v>
      </c>
      <c r="W124" s="4" t="str">
        <f>HYPERLINK("http://141.218.60.56/~jnz1568/getInfo.php?workbook=01_01.xlsx&amp;sheet=A0&amp;row=124&amp;col=23&amp;number=&amp;sourceID=12","")</f>
        <v/>
      </c>
      <c r="X124" s="4" t="str">
        <f>HYPERLINK("http://141.218.60.56/~jnz1568/getInfo.php?workbook=01_01.xlsx&amp;sheet=A0&amp;row=124&amp;col=24&amp;number=&amp;sourceID=12","")</f>
        <v/>
      </c>
      <c r="Y124" s="4" t="str">
        <f>HYPERLINK("http://141.218.60.56/~jnz1568/getInfo.php?workbook=01_01.xlsx&amp;sheet=A0&amp;row=124&amp;col=25&amp;number=&amp;sourceID=12","")</f>
        <v/>
      </c>
      <c r="Z124" s="4" t="str">
        <f>HYPERLINK("http://141.218.60.56/~jnz1568/getInfo.php?workbook=01_01.xlsx&amp;sheet=A0&amp;row=124&amp;col=26&amp;number=4.0234e-09&amp;sourceID=12","4.0234e-09")</f>
        <v>4.0234e-09</v>
      </c>
      <c r="AA124" s="4" t="str">
        <f>HYPERLINK("http://141.218.60.56/~jnz1568/getInfo.php?workbook=01_01.xlsx&amp;sheet=A0&amp;row=124&amp;col=27&amp;number=&amp;sourceID=12","")</f>
        <v/>
      </c>
      <c r="AB124" s="4" t="str">
        <f>HYPERLINK("http://141.218.60.56/~jnz1568/getInfo.php?workbook=01_01.xlsx&amp;sheet=A0&amp;row=124&amp;col=28&amp;number=&amp;sourceID=18","")</f>
        <v/>
      </c>
      <c r="AC124" s="4" t="str">
        <f>HYPERLINK("http://141.218.60.56/~jnz1568/getInfo.php?workbook=01_01.xlsx&amp;sheet=A0&amp;row=124&amp;col=29&amp;number=&amp;sourceID=18","")</f>
        <v/>
      </c>
      <c r="AD124" s="4" t="str">
        <f>HYPERLINK("http://141.218.60.56/~jnz1568/getInfo.php?workbook=01_01.xlsx&amp;sheet=A0&amp;row=124&amp;col=30&amp;number=&amp;sourceID=18","")</f>
        <v/>
      </c>
      <c r="AE124" s="4" t="str">
        <f>HYPERLINK("http://141.218.60.56/~jnz1568/getInfo.php?workbook=01_01.xlsx&amp;sheet=A0&amp;row=124&amp;col=31&amp;number=&amp;sourceID=18","")</f>
        <v/>
      </c>
      <c r="AF124" s="4" t="str">
        <f>HYPERLINK("http://141.218.60.56/~jnz1568/getInfo.php?workbook=01_01.xlsx&amp;sheet=A0&amp;row=124&amp;col=32&amp;number=&amp;sourceID=18","")</f>
        <v/>
      </c>
      <c r="AG124" s="4" t="str">
        <f>HYPERLINK("http://141.218.60.56/~jnz1568/getInfo.php?workbook=01_01.xlsx&amp;sheet=A0&amp;row=124&amp;col=33&amp;number=&amp;sourceID=18","")</f>
        <v/>
      </c>
      <c r="AH124" s="4" t="str">
        <f>HYPERLINK("http://141.218.60.56/~jnz1568/getInfo.php?workbook=01_01.xlsx&amp;sheet=A0&amp;row=124&amp;col=34&amp;number=&amp;sourceID=20","")</f>
        <v/>
      </c>
    </row>
    <row r="125" spans="1:34">
      <c r="A125" s="3">
        <v>1</v>
      </c>
      <c r="B125" s="3">
        <v>1</v>
      </c>
      <c r="C125" s="3">
        <v>17</v>
      </c>
      <c r="D125" s="3">
        <v>8</v>
      </c>
      <c r="E125" s="3">
        <f>((1/(INDEX(E0!J$4:J$28,C125,1)-INDEX(E0!J$4:J$28,D125,1))))*100000000</f>
        <v>0</v>
      </c>
      <c r="F125" s="4" t="str">
        <f>HYPERLINK("http://141.218.60.56/~jnz1568/getInfo.php?workbook=01_01.xlsx&amp;sheet=A0&amp;row=125&amp;col=6&amp;number=&amp;sourceID=18","")</f>
        <v/>
      </c>
      <c r="G125" s="4" t="str">
        <f>HYPERLINK("http://141.218.60.56/~jnz1568/getInfo.php?workbook=01_01.xlsx&amp;sheet=A0&amp;row=125&amp;col=7&amp;number=&amp;sourceID=15","")</f>
        <v/>
      </c>
      <c r="H125" s="4" t="str">
        <f>HYPERLINK("http://141.218.60.56/~jnz1568/getInfo.php?workbook=01_01.xlsx&amp;sheet=A0&amp;row=125&amp;col=8&amp;number=&amp;sourceID=15","")</f>
        <v/>
      </c>
      <c r="I125" s="4" t="str">
        <f>HYPERLINK("http://141.218.60.56/~jnz1568/getInfo.php?workbook=01_01.xlsx&amp;sheet=A0&amp;row=125&amp;col=9&amp;number=&amp;sourceID=15","")</f>
        <v/>
      </c>
      <c r="J125" s="4" t="str">
        <f>HYPERLINK("http://141.218.60.56/~jnz1568/getInfo.php?workbook=01_01.xlsx&amp;sheet=A0&amp;row=125&amp;col=10&amp;number=&amp;sourceID=15","")</f>
        <v/>
      </c>
      <c r="K125" s="4" t="str">
        <f>HYPERLINK("http://141.218.60.56/~jnz1568/getInfo.php?workbook=01_01.xlsx&amp;sheet=A0&amp;row=125&amp;col=11&amp;number=&amp;sourceID=15","")</f>
        <v/>
      </c>
      <c r="L125" s="4" t="str">
        <f>HYPERLINK("http://141.218.60.56/~jnz1568/getInfo.php?workbook=01_01.xlsx&amp;sheet=A0&amp;row=125&amp;col=12&amp;number=&amp;sourceID=15","")</f>
        <v/>
      </c>
      <c r="M125" s="4" t="str">
        <f>HYPERLINK("http://141.218.60.56/~jnz1568/getInfo.php?workbook=01_01.xlsx&amp;sheet=A0&amp;row=125&amp;col=13&amp;number=&amp;sourceID=15","")</f>
        <v/>
      </c>
      <c r="N125" s="4" t="str">
        <f>HYPERLINK("http://141.218.60.56/~jnz1568/getInfo.php?workbook=01_01.xlsx&amp;sheet=A0&amp;row=125&amp;col=14&amp;number==&amp;sourceID=11","=")</f>
        <v>=</v>
      </c>
      <c r="O125" s="4" t="str">
        <f>HYPERLINK("http://141.218.60.56/~jnz1568/getInfo.php?workbook=01_01.xlsx&amp;sheet=A0&amp;row=125&amp;col=15&amp;number=&amp;sourceID=11","")</f>
        <v/>
      </c>
      <c r="P125" s="4" t="str">
        <f>HYPERLINK("http://141.218.60.56/~jnz1568/getInfo.php?workbook=01_01.xlsx&amp;sheet=A0&amp;row=125&amp;col=16&amp;number=1.4278&amp;sourceID=11","1.4278")</f>
        <v>1.4278</v>
      </c>
      <c r="Q125" s="4" t="str">
        <f>HYPERLINK("http://141.218.60.56/~jnz1568/getInfo.php?workbook=01_01.xlsx&amp;sheet=A0&amp;row=125&amp;col=17&amp;number=&amp;sourceID=11","")</f>
        <v/>
      </c>
      <c r="R125" s="4" t="str">
        <f>HYPERLINK("http://141.218.60.56/~jnz1568/getInfo.php?workbook=01_01.xlsx&amp;sheet=A0&amp;row=125&amp;col=18&amp;number=4.1446e-10&amp;sourceID=11","4.1446e-10")</f>
        <v>4.1446e-10</v>
      </c>
      <c r="S125" s="4" t="str">
        <f>HYPERLINK("http://141.218.60.56/~jnz1568/getInfo.php?workbook=01_01.xlsx&amp;sheet=A0&amp;row=125&amp;col=19&amp;number=&amp;sourceID=11","")</f>
        <v/>
      </c>
      <c r="T125" s="4" t="str">
        <f>HYPERLINK("http://141.218.60.56/~jnz1568/getInfo.php?workbook=01_01.xlsx&amp;sheet=A0&amp;row=125&amp;col=20&amp;number=&amp;sourceID=11","")</f>
        <v/>
      </c>
      <c r="U125" s="4" t="str">
        <f>HYPERLINK("http://141.218.60.56/~jnz1568/getInfo.php?workbook=01_01.xlsx&amp;sheet=A0&amp;row=125&amp;col=21&amp;number=1.4286&amp;sourceID=12","1.4286")</f>
        <v>1.4286</v>
      </c>
      <c r="V125" s="4" t="str">
        <f>HYPERLINK("http://141.218.60.56/~jnz1568/getInfo.php?workbook=01_01.xlsx&amp;sheet=A0&amp;row=125&amp;col=22&amp;number=&amp;sourceID=12","")</f>
        <v/>
      </c>
      <c r="W125" s="4" t="str">
        <f>HYPERLINK("http://141.218.60.56/~jnz1568/getInfo.php?workbook=01_01.xlsx&amp;sheet=A0&amp;row=125&amp;col=23&amp;number=1.4286&amp;sourceID=12","1.4286")</f>
        <v>1.4286</v>
      </c>
      <c r="X125" s="4" t="str">
        <f>HYPERLINK("http://141.218.60.56/~jnz1568/getInfo.php?workbook=01_01.xlsx&amp;sheet=A0&amp;row=125&amp;col=24&amp;number=&amp;sourceID=12","")</f>
        <v/>
      </c>
      <c r="Y125" s="4" t="str">
        <f>HYPERLINK("http://141.218.60.56/~jnz1568/getInfo.php?workbook=01_01.xlsx&amp;sheet=A0&amp;row=125&amp;col=25&amp;number=4.1549e-10&amp;sourceID=12","4.1549e-10")</f>
        <v>4.1549e-10</v>
      </c>
      <c r="Z125" s="4" t="str">
        <f>HYPERLINK("http://141.218.60.56/~jnz1568/getInfo.php?workbook=01_01.xlsx&amp;sheet=A0&amp;row=125&amp;col=26&amp;number=&amp;sourceID=12","")</f>
        <v/>
      </c>
      <c r="AA125" s="4" t="str">
        <f>HYPERLINK("http://141.218.60.56/~jnz1568/getInfo.php?workbook=01_01.xlsx&amp;sheet=A0&amp;row=125&amp;col=27&amp;number=&amp;sourceID=12","")</f>
        <v/>
      </c>
      <c r="AB125" s="4" t="str">
        <f>HYPERLINK("http://141.218.60.56/~jnz1568/getInfo.php?workbook=01_01.xlsx&amp;sheet=A0&amp;row=125&amp;col=28&amp;number=&amp;sourceID=18","")</f>
        <v/>
      </c>
      <c r="AC125" s="4" t="str">
        <f>HYPERLINK("http://141.218.60.56/~jnz1568/getInfo.php?workbook=01_01.xlsx&amp;sheet=A0&amp;row=125&amp;col=29&amp;number=&amp;sourceID=18","")</f>
        <v/>
      </c>
      <c r="AD125" s="4" t="str">
        <f>HYPERLINK("http://141.218.60.56/~jnz1568/getInfo.php?workbook=01_01.xlsx&amp;sheet=A0&amp;row=125&amp;col=30&amp;number=&amp;sourceID=18","")</f>
        <v/>
      </c>
      <c r="AE125" s="4" t="str">
        <f>HYPERLINK("http://141.218.60.56/~jnz1568/getInfo.php?workbook=01_01.xlsx&amp;sheet=A0&amp;row=125&amp;col=31&amp;number=&amp;sourceID=18","")</f>
        <v/>
      </c>
      <c r="AF125" s="4" t="str">
        <f>HYPERLINK("http://141.218.60.56/~jnz1568/getInfo.php?workbook=01_01.xlsx&amp;sheet=A0&amp;row=125&amp;col=32&amp;number=&amp;sourceID=18","")</f>
        <v/>
      </c>
      <c r="AG125" s="4" t="str">
        <f>HYPERLINK("http://141.218.60.56/~jnz1568/getInfo.php?workbook=01_01.xlsx&amp;sheet=A0&amp;row=125&amp;col=33&amp;number=&amp;sourceID=18","")</f>
        <v/>
      </c>
      <c r="AH125" s="4" t="str">
        <f>HYPERLINK("http://141.218.60.56/~jnz1568/getInfo.php?workbook=01_01.xlsx&amp;sheet=A0&amp;row=125&amp;col=34&amp;number=&amp;sourceID=20","")</f>
        <v/>
      </c>
    </row>
    <row r="126" spans="1:34">
      <c r="A126" s="3">
        <v>1</v>
      </c>
      <c r="B126" s="3">
        <v>1</v>
      </c>
      <c r="C126" s="3">
        <v>17</v>
      </c>
      <c r="D126" s="3">
        <v>9</v>
      </c>
      <c r="E126" s="3">
        <f>((1/(INDEX(E0!J$4:J$28,C126,1)-INDEX(E0!J$4:J$28,D126,1))))*100000000</f>
        <v>0</v>
      </c>
      <c r="F126" s="4" t="str">
        <f>HYPERLINK("http://141.218.60.56/~jnz1568/getInfo.php?workbook=01_01.xlsx&amp;sheet=A0&amp;row=126&amp;col=6&amp;number=&amp;sourceID=18","")</f>
        <v/>
      </c>
      <c r="G126" s="4" t="str">
        <f>HYPERLINK("http://141.218.60.56/~jnz1568/getInfo.php?workbook=01_01.xlsx&amp;sheet=A0&amp;row=126&amp;col=7&amp;number=&amp;sourceID=15","")</f>
        <v/>
      </c>
      <c r="H126" s="4" t="str">
        <f>HYPERLINK("http://141.218.60.56/~jnz1568/getInfo.php?workbook=01_01.xlsx&amp;sheet=A0&amp;row=126&amp;col=8&amp;number=&amp;sourceID=15","")</f>
        <v/>
      </c>
      <c r="I126" s="4" t="str">
        <f>HYPERLINK("http://141.218.60.56/~jnz1568/getInfo.php?workbook=01_01.xlsx&amp;sheet=A0&amp;row=126&amp;col=9&amp;number=&amp;sourceID=15","")</f>
        <v/>
      </c>
      <c r="J126" s="4" t="str">
        <f>HYPERLINK("http://141.218.60.56/~jnz1568/getInfo.php?workbook=01_01.xlsx&amp;sheet=A0&amp;row=126&amp;col=10&amp;number=&amp;sourceID=15","")</f>
        <v/>
      </c>
      <c r="K126" s="4" t="str">
        <f>HYPERLINK("http://141.218.60.56/~jnz1568/getInfo.php?workbook=01_01.xlsx&amp;sheet=A0&amp;row=126&amp;col=11&amp;number=&amp;sourceID=15","")</f>
        <v/>
      </c>
      <c r="L126" s="4" t="str">
        <f>HYPERLINK("http://141.218.60.56/~jnz1568/getInfo.php?workbook=01_01.xlsx&amp;sheet=A0&amp;row=126&amp;col=12&amp;number=&amp;sourceID=15","")</f>
        <v/>
      </c>
      <c r="M126" s="4" t="str">
        <f>HYPERLINK("http://141.218.60.56/~jnz1568/getInfo.php?workbook=01_01.xlsx&amp;sheet=A0&amp;row=126&amp;col=13&amp;number=&amp;sourceID=15","")</f>
        <v/>
      </c>
      <c r="N126" s="4" t="str">
        <f>HYPERLINK("http://141.218.60.56/~jnz1568/getInfo.php?workbook=01_01.xlsx&amp;sheet=A0&amp;row=126&amp;col=14&amp;number==&amp;sourceID=11","=")</f>
        <v>=</v>
      </c>
      <c r="O126" s="4" t="str">
        <f>HYPERLINK("http://141.218.60.56/~jnz1568/getInfo.php?workbook=01_01.xlsx&amp;sheet=A0&amp;row=126&amp;col=15&amp;number=&amp;sourceID=11","")</f>
        <v/>
      </c>
      <c r="P126" s="4" t="str">
        <f>HYPERLINK("http://141.218.60.56/~jnz1568/getInfo.php?workbook=01_01.xlsx&amp;sheet=A0&amp;row=126&amp;col=16&amp;number=&amp;sourceID=11","")</f>
        <v/>
      </c>
      <c r="Q126" s="4" t="str">
        <f>HYPERLINK("http://141.218.60.56/~jnz1568/getInfo.php?workbook=01_01.xlsx&amp;sheet=A0&amp;row=126&amp;col=17&amp;number=2.2647e-07&amp;sourceID=11","2.2647e-07")</f>
        <v>2.2647e-07</v>
      </c>
      <c r="R126" s="4" t="str">
        <f>HYPERLINK("http://141.218.60.56/~jnz1568/getInfo.php?workbook=01_01.xlsx&amp;sheet=A0&amp;row=126&amp;col=18&amp;number=&amp;sourceID=11","")</f>
        <v/>
      </c>
      <c r="S126" s="4" t="str">
        <f>HYPERLINK("http://141.218.60.56/~jnz1568/getInfo.php?workbook=01_01.xlsx&amp;sheet=A0&amp;row=126&amp;col=19&amp;number=4.2894e-08&amp;sourceID=11","4.2894e-08")</f>
        <v>4.2894e-08</v>
      </c>
      <c r="T126" s="4" t="str">
        <f>HYPERLINK("http://141.218.60.56/~jnz1568/getInfo.php?workbook=01_01.xlsx&amp;sheet=A0&amp;row=126&amp;col=20&amp;number=&amp;sourceID=11","")</f>
        <v/>
      </c>
      <c r="U126" s="4" t="str">
        <f>HYPERLINK("http://141.218.60.56/~jnz1568/getInfo.php?workbook=01_01.xlsx&amp;sheet=A0&amp;row=126&amp;col=21&amp;number=2.6951e-07&amp;sourceID=12","2.6951e-07")</f>
        <v>2.6951e-07</v>
      </c>
      <c r="V126" s="4" t="str">
        <f>HYPERLINK("http://141.218.60.56/~jnz1568/getInfo.php?workbook=01_01.xlsx&amp;sheet=A0&amp;row=126&amp;col=22&amp;number=&amp;sourceID=12","")</f>
        <v/>
      </c>
      <c r="W126" s="4" t="str">
        <f>HYPERLINK("http://141.218.60.56/~jnz1568/getInfo.php?workbook=01_01.xlsx&amp;sheet=A0&amp;row=126&amp;col=23&amp;number=&amp;sourceID=12","")</f>
        <v/>
      </c>
      <c r="X126" s="4" t="str">
        <f>HYPERLINK("http://141.218.60.56/~jnz1568/getInfo.php?workbook=01_01.xlsx&amp;sheet=A0&amp;row=126&amp;col=24&amp;number=2.2659e-07&amp;sourceID=12","2.2659e-07")</f>
        <v>2.2659e-07</v>
      </c>
      <c r="Y126" s="4" t="str">
        <f>HYPERLINK("http://141.218.60.56/~jnz1568/getInfo.php?workbook=01_01.xlsx&amp;sheet=A0&amp;row=126&amp;col=25&amp;number=&amp;sourceID=12","")</f>
        <v/>
      </c>
      <c r="Z126" s="4" t="str">
        <f>HYPERLINK("http://141.218.60.56/~jnz1568/getInfo.php?workbook=01_01.xlsx&amp;sheet=A0&amp;row=126&amp;col=26&amp;number=4.2918e-08&amp;sourceID=12","4.2918e-08")</f>
        <v>4.2918e-08</v>
      </c>
      <c r="AA126" s="4" t="str">
        <f>HYPERLINK("http://141.218.60.56/~jnz1568/getInfo.php?workbook=01_01.xlsx&amp;sheet=A0&amp;row=126&amp;col=27&amp;number=&amp;sourceID=12","")</f>
        <v/>
      </c>
      <c r="AB126" s="4" t="str">
        <f>HYPERLINK("http://141.218.60.56/~jnz1568/getInfo.php?workbook=01_01.xlsx&amp;sheet=A0&amp;row=126&amp;col=28&amp;number=&amp;sourceID=18","")</f>
        <v/>
      </c>
      <c r="AC126" s="4" t="str">
        <f>HYPERLINK("http://141.218.60.56/~jnz1568/getInfo.php?workbook=01_01.xlsx&amp;sheet=A0&amp;row=126&amp;col=29&amp;number=&amp;sourceID=18","")</f>
        <v/>
      </c>
      <c r="AD126" s="4" t="str">
        <f>HYPERLINK("http://141.218.60.56/~jnz1568/getInfo.php?workbook=01_01.xlsx&amp;sheet=A0&amp;row=126&amp;col=30&amp;number=&amp;sourceID=18","")</f>
        <v/>
      </c>
      <c r="AE126" s="4" t="str">
        <f>HYPERLINK("http://141.218.60.56/~jnz1568/getInfo.php?workbook=01_01.xlsx&amp;sheet=A0&amp;row=126&amp;col=31&amp;number=&amp;sourceID=18","")</f>
        <v/>
      </c>
      <c r="AF126" s="4" t="str">
        <f>HYPERLINK("http://141.218.60.56/~jnz1568/getInfo.php?workbook=01_01.xlsx&amp;sheet=A0&amp;row=126&amp;col=32&amp;number=&amp;sourceID=18","")</f>
        <v/>
      </c>
      <c r="AG126" s="4" t="str">
        <f>HYPERLINK("http://141.218.60.56/~jnz1568/getInfo.php?workbook=01_01.xlsx&amp;sheet=A0&amp;row=126&amp;col=33&amp;number=&amp;sourceID=18","")</f>
        <v/>
      </c>
      <c r="AH126" s="4" t="str">
        <f>HYPERLINK("http://141.218.60.56/~jnz1568/getInfo.php?workbook=01_01.xlsx&amp;sheet=A0&amp;row=126&amp;col=34&amp;number=&amp;sourceID=20","")</f>
        <v/>
      </c>
    </row>
    <row r="127" spans="1:34">
      <c r="A127" s="3">
        <v>1</v>
      </c>
      <c r="B127" s="3">
        <v>1</v>
      </c>
      <c r="C127" s="3">
        <v>17</v>
      </c>
      <c r="D127" s="3">
        <v>10</v>
      </c>
      <c r="E127" s="3">
        <f>((1/(INDEX(E0!J$4:J$28,C127,1)-INDEX(E0!J$4:J$28,D127,1))))*100000000</f>
        <v>0</v>
      </c>
      <c r="F127" s="4" t="str">
        <f>HYPERLINK("http://141.218.60.56/~jnz1568/getInfo.php?workbook=01_01.xlsx&amp;sheet=A0&amp;row=127&amp;col=6&amp;number=&amp;sourceID=18","")</f>
        <v/>
      </c>
      <c r="G127" s="4" t="str">
        <f>HYPERLINK("http://141.218.60.56/~jnz1568/getInfo.php?workbook=01_01.xlsx&amp;sheet=A0&amp;row=127&amp;col=7&amp;number=&amp;sourceID=15","")</f>
        <v/>
      </c>
      <c r="H127" s="4" t="str">
        <f>HYPERLINK("http://141.218.60.56/~jnz1568/getInfo.php?workbook=01_01.xlsx&amp;sheet=A0&amp;row=127&amp;col=8&amp;number=&amp;sourceID=15","")</f>
        <v/>
      </c>
      <c r="I127" s="4" t="str">
        <f>HYPERLINK("http://141.218.60.56/~jnz1568/getInfo.php?workbook=01_01.xlsx&amp;sheet=A0&amp;row=127&amp;col=9&amp;number=&amp;sourceID=15","")</f>
        <v/>
      </c>
      <c r="J127" s="4" t="str">
        <f>HYPERLINK("http://141.218.60.56/~jnz1568/getInfo.php?workbook=01_01.xlsx&amp;sheet=A0&amp;row=127&amp;col=10&amp;number=&amp;sourceID=15","")</f>
        <v/>
      </c>
      <c r="K127" s="4" t="str">
        <f>HYPERLINK("http://141.218.60.56/~jnz1568/getInfo.php?workbook=01_01.xlsx&amp;sheet=A0&amp;row=127&amp;col=11&amp;number=&amp;sourceID=15","")</f>
        <v/>
      </c>
      <c r="L127" s="4" t="str">
        <f>HYPERLINK("http://141.218.60.56/~jnz1568/getInfo.php?workbook=01_01.xlsx&amp;sheet=A0&amp;row=127&amp;col=12&amp;number=&amp;sourceID=15","")</f>
        <v/>
      </c>
      <c r="M127" s="4" t="str">
        <f>HYPERLINK("http://141.218.60.56/~jnz1568/getInfo.php?workbook=01_01.xlsx&amp;sheet=A0&amp;row=127&amp;col=13&amp;number=&amp;sourceID=15","")</f>
        <v/>
      </c>
      <c r="N127" s="4" t="str">
        <f>HYPERLINK("http://141.218.60.56/~jnz1568/getInfo.php?workbook=01_01.xlsx&amp;sheet=A0&amp;row=127&amp;col=14&amp;number==&amp;sourceID=11","=")</f>
        <v>=</v>
      </c>
      <c r="O127" s="4" t="str">
        <f>HYPERLINK("http://141.218.60.56/~jnz1568/getInfo.php?workbook=01_01.xlsx&amp;sheet=A0&amp;row=127&amp;col=15&amp;number=&amp;sourceID=11","")</f>
        <v/>
      </c>
      <c r="P127" s="4" t="str">
        <f>HYPERLINK("http://141.218.60.56/~jnz1568/getInfo.php?workbook=01_01.xlsx&amp;sheet=A0&amp;row=127&amp;col=16&amp;number=&amp;sourceID=11","")</f>
        <v/>
      </c>
      <c r="Q127" s="4" t="str">
        <f>HYPERLINK("http://141.218.60.56/~jnz1568/getInfo.php?workbook=01_01.xlsx&amp;sheet=A0&amp;row=127&amp;col=17&amp;number=&amp;sourceID=11","")</f>
        <v/>
      </c>
      <c r="R127" s="4" t="str">
        <f>HYPERLINK("http://141.218.60.56/~jnz1568/getInfo.php?workbook=01_01.xlsx&amp;sheet=A0&amp;row=127&amp;col=18&amp;number=2.44e-13&amp;sourceID=11","2.44e-13")</f>
        <v>2.44e-13</v>
      </c>
      <c r="S127" s="4" t="str">
        <f>HYPERLINK("http://141.218.60.56/~jnz1568/getInfo.php?workbook=01_01.xlsx&amp;sheet=A0&amp;row=127&amp;col=19&amp;number=&amp;sourceID=11","")</f>
        <v/>
      </c>
      <c r="T127" s="4" t="str">
        <f>HYPERLINK("http://141.218.60.56/~jnz1568/getInfo.php?workbook=01_01.xlsx&amp;sheet=A0&amp;row=127&amp;col=20&amp;number=&amp;sourceID=11","")</f>
        <v/>
      </c>
      <c r="U127" s="4" t="str">
        <f>HYPERLINK("http://141.218.60.56/~jnz1568/getInfo.php?workbook=01_01.xlsx&amp;sheet=A0&amp;row=127&amp;col=21&amp;number=2.45e-13&amp;sourceID=12","2.45e-13")</f>
        <v>2.45e-13</v>
      </c>
      <c r="V127" s="4" t="str">
        <f>HYPERLINK("http://141.218.60.56/~jnz1568/getInfo.php?workbook=01_01.xlsx&amp;sheet=A0&amp;row=127&amp;col=22&amp;number=&amp;sourceID=12","")</f>
        <v/>
      </c>
      <c r="W127" s="4" t="str">
        <f>HYPERLINK("http://141.218.60.56/~jnz1568/getInfo.php?workbook=01_01.xlsx&amp;sheet=A0&amp;row=127&amp;col=23&amp;number=&amp;sourceID=12","")</f>
        <v/>
      </c>
      <c r="X127" s="4" t="str">
        <f>HYPERLINK("http://141.218.60.56/~jnz1568/getInfo.php?workbook=01_01.xlsx&amp;sheet=A0&amp;row=127&amp;col=24&amp;number=&amp;sourceID=12","")</f>
        <v/>
      </c>
      <c r="Y127" s="4" t="str">
        <f>HYPERLINK("http://141.218.60.56/~jnz1568/getInfo.php?workbook=01_01.xlsx&amp;sheet=A0&amp;row=127&amp;col=25&amp;number=2.45e-13&amp;sourceID=12","2.45e-13")</f>
        <v>2.45e-13</v>
      </c>
      <c r="Z127" s="4" t="str">
        <f>HYPERLINK("http://141.218.60.56/~jnz1568/getInfo.php?workbook=01_01.xlsx&amp;sheet=A0&amp;row=127&amp;col=26&amp;number=&amp;sourceID=12","")</f>
        <v/>
      </c>
      <c r="AA127" s="4" t="str">
        <f>HYPERLINK("http://141.218.60.56/~jnz1568/getInfo.php?workbook=01_01.xlsx&amp;sheet=A0&amp;row=127&amp;col=27&amp;number=&amp;sourceID=12","")</f>
        <v/>
      </c>
      <c r="AB127" s="4" t="str">
        <f>HYPERLINK("http://141.218.60.56/~jnz1568/getInfo.php?workbook=01_01.xlsx&amp;sheet=A0&amp;row=127&amp;col=28&amp;number=&amp;sourceID=18","")</f>
        <v/>
      </c>
      <c r="AC127" s="4" t="str">
        <f>HYPERLINK("http://141.218.60.56/~jnz1568/getInfo.php?workbook=01_01.xlsx&amp;sheet=A0&amp;row=127&amp;col=29&amp;number=&amp;sourceID=18","")</f>
        <v/>
      </c>
      <c r="AD127" s="4" t="str">
        <f>HYPERLINK("http://141.218.60.56/~jnz1568/getInfo.php?workbook=01_01.xlsx&amp;sheet=A0&amp;row=127&amp;col=30&amp;number=&amp;sourceID=18","")</f>
        <v/>
      </c>
      <c r="AE127" s="4" t="str">
        <f>HYPERLINK("http://141.218.60.56/~jnz1568/getInfo.php?workbook=01_01.xlsx&amp;sheet=A0&amp;row=127&amp;col=31&amp;number=&amp;sourceID=18","")</f>
        <v/>
      </c>
      <c r="AF127" s="4" t="str">
        <f>HYPERLINK("http://141.218.60.56/~jnz1568/getInfo.php?workbook=01_01.xlsx&amp;sheet=A0&amp;row=127&amp;col=32&amp;number=&amp;sourceID=18","")</f>
        <v/>
      </c>
      <c r="AG127" s="4" t="str">
        <f>HYPERLINK("http://141.218.60.56/~jnz1568/getInfo.php?workbook=01_01.xlsx&amp;sheet=A0&amp;row=127&amp;col=33&amp;number=&amp;sourceID=18","")</f>
        <v/>
      </c>
      <c r="AH127" s="4" t="str">
        <f>HYPERLINK("http://141.218.60.56/~jnz1568/getInfo.php?workbook=01_01.xlsx&amp;sheet=A0&amp;row=127&amp;col=34&amp;number=&amp;sourceID=20","")</f>
        <v/>
      </c>
    </row>
    <row r="128" spans="1:34">
      <c r="A128" s="3">
        <v>1</v>
      </c>
      <c r="B128" s="3">
        <v>1</v>
      </c>
      <c r="C128" s="3">
        <v>17</v>
      </c>
      <c r="D128" s="3">
        <v>11</v>
      </c>
      <c r="E128" s="3">
        <f>((1/(INDEX(E0!J$4:J$28,C128,1)-INDEX(E0!J$4:J$28,D128,1))))*100000000</f>
        <v>0</v>
      </c>
      <c r="F128" s="4" t="str">
        <f>HYPERLINK("http://141.218.60.56/~jnz1568/getInfo.php?workbook=01_01.xlsx&amp;sheet=A0&amp;row=128&amp;col=6&amp;number=&amp;sourceID=18","")</f>
        <v/>
      </c>
      <c r="G128" s="4" t="str">
        <f>HYPERLINK("http://141.218.60.56/~jnz1568/getInfo.php?workbook=01_01.xlsx&amp;sheet=A0&amp;row=128&amp;col=7&amp;number=737200&amp;sourceID=15","737200")</f>
        <v>737200</v>
      </c>
      <c r="H128" s="4" t="str">
        <f>HYPERLINK("http://141.218.60.56/~jnz1568/getInfo.php?workbook=01_01.xlsx&amp;sheet=A0&amp;row=128&amp;col=8&amp;number=737200&amp;sourceID=15","737200")</f>
        <v>737200</v>
      </c>
      <c r="I128" s="4" t="str">
        <f>HYPERLINK("http://141.218.60.56/~jnz1568/getInfo.php?workbook=01_01.xlsx&amp;sheet=A0&amp;row=128&amp;col=9&amp;number=&amp;sourceID=15","")</f>
        <v/>
      </c>
      <c r="J128" s="4" t="str">
        <f>HYPERLINK("http://141.218.60.56/~jnz1568/getInfo.php?workbook=01_01.xlsx&amp;sheet=A0&amp;row=128&amp;col=10&amp;number=&amp;sourceID=15","")</f>
        <v/>
      </c>
      <c r="K128" s="4" t="str">
        <f>HYPERLINK("http://141.218.60.56/~jnz1568/getInfo.php?workbook=01_01.xlsx&amp;sheet=A0&amp;row=128&amp;col=11&amp;number=&amp;sourceID=15","")</f>
        <v/>
      </c>
      <c r="L128" s="4" t="str">
        <f>HYPERLINK("http://141.218.60.56/~jnz1568/getInfo.php?workbook=01_01.xlsx&amp;sheet=A0&amp;row=128&amp;col=12&amp;number=&amp;sourceID=15","")</f>
        <v/>
      </c>
      <c r="M128" s="4" t="str">
        <f>HYPERLINK("http://141.218.60.56/~jnz1568/getInfo.php?workbook=01_01.xlsx&amp;sheet=A0&amp;row=128&amp;col=13&amp;number=&amp;sourceID=15","")</f>
        <v/>
      </c>
      <c r="N128" s="4" t="str">
        <f>HYPERLINK("http://141.218.60.56/~jnz1568/getInfo.php?workbook=01_01.xlsx&amp;sheet=A0&amp;row=128&amp;col=14&amp;number==&amp;sourceID=11","=")</f>
        <v>=</v>
      </c>
      <c r="O128" s="4" t="str">
        <f>HYPERLINK("http://141.218.60.56/~jnz1568/getInfo.php?workbook=01_01.xlsx&amp;sheet=A0&amp;row=128&amp;col=15&amp;number=737210&amp;sourceID=11","737210")</f>
        <v>737210</v>
      </c>
      <c r="P128" s="4" t="str">
        <f>HYPERLINK("http://141.218.60.56/~jnz1568/getInfo.php?workbook=01_01.xlsx&amp;sheet=A0&amp;row=128&amp;col=16&amp;number=&amp;sourceID=11","")</f>
        <v/>
      </c>
      <c r="Q128" s="4" t="str">
        <f>HYPERLINK("http://141.218.60.56/~jnz1568/getInfo.php?workbook=01_01.xlsx&amp;sheet=A0&amp;row=128&amp;col=17&amp;number=&amp;sourceID=11","")</f>
        <v/>
      </c>
      <c r="R128" s="4" t="str">
        <f>HYPERLINK("http://141.218.60.56/~jnz1568/getInfo.php?workbook=01_01.xlsx&amp;sheet=A0&amp;row=128&amp;col=18&amp;number=&amp;sourceID=11","")</f>
        <v/>
      </c>
      <c r="S128" s="4" t="str">
        <f>HYPERLINK("http://141.218.60.56/~jnz1568/getInfo.php?workbook=01_01.xlsx&amp;sheet=A0&amp;row=128&amp;col=19&amp;number=&amp;sourceID=11","")</f>
        <v/>
      </c>
      <c r="T128" s="4" t="str">
        <f>HYPERLINK("http://141.218.60.56/~jnz1568/getInfo.php?workbook=01_01.xlsx&amp;sheet=A0&amp;row=128&amp;col=20&amp;number=&amp;sourceID=11","")</f>
        <v/>
      </c>
      <c r="U128" s="4" t="str">
        <f>HYPERLINK("http://141.218.60.56/~jnz1568/getInfo.php?workbook=01_01.xlsx&amp;sheet=A0&amp;row=128&amp;col=21&amp;number=737610&amp;sourceID=12","737610")</f>
        <v>737610</v>
      </c>
      <c r="V128" s="4" t="str">
        <f>HYPERLINK("http://141.218.60.56/~jnz1568/getInfo.php?workbook=01_01.xlsx&amp;sheet=A0&amp;row=128&amp;col=22&amp;number=737610&amp;sourceID=12","737610")</f>
        <v>737610</v>
      </c>
      <c r="W128" s="4" t="str">
        <f>HYPERLINK("http://141.218.60.56/~jnz1568/getInfo.php?workbook=01_01.xlsx&amp;sheet=A0&amp;row=128&amp;col=23&amp;number=&amp;sourceID=12","")</f>
        <v/>
      </c>
      <c r="X128" s="4" t="str">
        <f>HYPERLINK("http://141.218.60.56/~jnz1568/getInfo.php?workbook=01_01.xlsx&amp;sheet=A0&amp;row=128&amp;col=24&amp;number=&amp;sourceID=12","")</f>
        <v/>
      </c>
      <c r="Y128" s="4" t="str">
        <f>HYPERLINK("http://141.218.60.56/~jnz1568/getInfo.php?workbook=01_01.xlsx&amp;sheet=A0&amp;row=128&amp;col=25&amp;number=&amp;sourceID=12","")</f>
        <v/>
      </c>
      <c r="Z128" s="4" t="str">
        <f>HYPERLINK("http://141.218.60.56/~jnz1568/getInfo.php?workbook=01_01.xlsx&amp;sheet=A0&amp;row=128&amp;col=26&amp;number=&amp;sourceID=12","")</f>
        <v/>
      </c>
      <c r="AA128" s="4" t="str">
        <f>HYPERLINK("http://141.218.60.56/~jnz1568/getInfo.php?workbook=01_01.xlsx&amp;sheet=A0&amp;row=128&amp;col=27&amp;number=&amp;sourceID=12","")</f>
        <v/>
      </c>
      <c r="AB128" s="4" t="str">
        <f>HYPERLINK("http://141.218.60.56/~jnz1568/getInfo.php?workbook=01_01.xlsx&amp;sheet=A0&amp;row=128&amp;col=28&amp;number=&amp;sourceID=18","")</f>
        <v/>
      </c>
      <c r="AC128" s="4" t="str">
        <f>HYPERLINK("http://141.218.60.56/~jnz1568/getInfo.php?workbook=01_01.xlsx&amp;sheet=A0&amp;row=128&amp;col=29&amp;number=&amp;sourceID=18","")</f>
        <v/>
      </c>
      <c r="AD128" s="4" t="str">
        <f>HYPERLINK("http://141.218.60.56/~jnz1568/getInfo.php?workbook=01_01.xlsx&amp;sheet=A0&amp;row=128&amp;col=30&amp;number=&amp;sourceID=18","")</f>
        <v/>
      </c>
      <c r="AE128" s="4" t="str">
        <f>HYPERLINK("http://141.218.60.56/~jnz1568/getInfo.php?workbook=01_01.xlsx&amp;sheet=A0&amp;row=128&amp;col=31&amp;number=&amp;sourceID=18","")</f>
        <v/>
      </c>
      <c r="AF128" s="4" t="str">
        <f>HYPERLINK("http://141.218.60.56/~jnz1568/getInfo.php?workbook=01_01.xlsx&amp;sheet=A0&amp;row=128&amp;col=32&amp;number=&amp;sourceID=18","")</f>
        <v/>
      </c>
      <c r="AG128" s="4" t="str">
        <f>HYPERLINK("http://141.218.60.56/~jnz1568/getInfo.php?workbook=01_01.xlsx&amp;sheet=A0&amp;row=128&amp;col=33&amp;number=&amp;sourceID=18","")</f>
        <v/>
      </c>
      <c r="AH128" s="4" t="str">
        <f>HYPERLINK("http://141.218.60.56/~jnz1568/getInfo.php?workbook=01_01.xlsx&amp;sheet=A0&amp;row=128&amp;col=34&amp;number=&amp;sourceID=20","")</f>
        <v/>
      </c>
    </row>
    <row r="129" spans="1:34">
      <c r="A129" s="3">
        <v>1</v>
      </c>
      <c r="B129" s="3">
        <v>1</v>
      </c>
      <c r="C129" s="3">
        <v>17</v>
      </c>
      <c r="D129" s="3">
        <v>12</v>
      </c>
      <c r="E129" s="3">
        <f>((1/(INDEX(E0!J$4:J$28,C129,1)-INDEX(E0!J$4:J$28,D129,1))))*100000000</f>
        <v>0</v>
      </c>
      <c r="F129" s="4" t="str">
        <f>HYPERLINK("http://141.218.60.56/~jnz1568/getInfo.php?workbook=01_01.xlsx&amp;sheet=A0&amp;row=129&amp;col=6&amp;number=&amp;sourceID=18","")</f>
        <v/>
      </c>
      <c r="G129" s="4" t="str">
        <f>HYPERLINK("http://141.218.60.56/~jnz1568/getInfo.php?workbook=01_01.xlsx&amp;sheet=A0&amp;row=129&amp;col=7&amp;number=188480&amp;sourceID=15","188480")</f>
        <v>188480</v>
      </c>
      <c r="H129" s="4" t="str">
        <f>HYPERLINK("http://141.218.60.56/~jnz1568/getInfo.php?workbook=01_01.xlsx&amp;sheet=A0&amp;row=129&amp;col=8&amp;number=188480&amp;sourceID=15","188480")</f>
        <v>188480</v>
      </c>
      <c r="I129" s="4" t="str">
        <f>HYPERLINK("http://141.218.60.56/~jnz1568/getInfo.php?workbook=01_01.xlsx&amp;sheet=A0&amp;row=129&amp;col=9&amp;number=&amp;sourceID=15","")</f>
        <v/>
      </c>
      <c r="J129" s="4" t="str">
        <f>HYPERLINK("http://141.218.60.56/~jnz1568/getInfo.php?workbook=01_01.xlsx&amp;sheet=A0&amp;row=129&amp;col=10&amp;number=&amp;sourceID=15","")</f>
        <v/>
      </c>
      <c r="K129" s="4" t="str">
        <f>HYPERLINK("http://141.218.60.56/~jnz1568/getInfo.php?workbook=01_01.xlsx&amp;sheet=A0&amp;row=129&amp;col=11&amp;number=&amp;sourceID=15","")</f>
        <v/>
      </c>
      <c r="L129" s="4" t="str">
        <f>HYPERLINK("http://141.218.60.56/~jnz1568/getInfo.php?workbook=01_01.xlsx&amp;sheet=A0&amp;row=129&amp;col=12&amp;number=&amp;sourceID=15","")</f>
        <v/>
      </c>
      <c r="M129" s="4" t="str">
        <f>HYPERLINK("http://141.218.60.56/~jnz1568/getInfo.php?workbook=01_01.xlsx&amp;sheet=A0&amp;row=129&amp;col=13&amp;number=&amp;sourceID=15","")</f>
        <v/>
      </c>
      <c r="N129" s="4" t="str">
        <f>HYPERLINK("http://141.218.60.56/~jnz1568/getInfo.php?workbook=01_01.xlsx&amp;sheet=A0&amp;row=129&amp;col=14&amp;number==&amp;sourceID=11","=")</f>
        <v>=</v>
      </c>
      <c r="O129" s="4" t="str">
        <f>HYPERLINK("http://141.218.60.56/~jnz1568/getInfo.php?workbook=01_01.xlsx&amp;sheet=A0&amp;row=129&amp;col=15&amp;number=188490&amp;sourceID=11","188490")</f>
        <v>188490</v>
      </c>
      <c r="P129" s="4" t="str">
        <f>HYPERLINK("http://141.218.60.56/~jnz1568/getInfo.php?workbook=01_01.xlsx&amp;sheet=A0&amp;row=129&amp;col=16&amp;number=&amp;sourceID=11","")</f>
        <v/>
      </c>
      <c r="Q129" s="4" t="str">
        <f>HYPERLINK("http://141.218.60.56/~jnz1568/getInfo.php?workbook=01_01.xlsx&amp;sheet=A0&amp;row=129&amp;col=17&amp;number=&amp;sourceID=11","")</f>
        <v/>
      </c>
      <c r="R129" s="4" t="str">
        <f>HYPERLINK("http://141.218.60.56/~jnz1568/getInfo.php?workbook=01_01.xlsx&amp;sheet=A0&amp;row=129&amp;col=18&amp;number=&amp;sourceID=11","")</f>
        <v/>
      </c>
      <c r="S129" s="4" t="str">
        <f>HYPERLINK("http://141.218.60.56/~jnz1568/getInfo.php?workbook=01_01.xlsx&amp;sheet=A0&amp;row=129&amp;col=19&amp;number=5.0734e-10&amp;sourceID=11","5.0734e-10")</f>
        <v>5.0734e-10</v>
      </c>
      <c r="T129" s="4" t="str">
        <f>HYPERLINK("http://141.218.60.56/~jnz1568/getInfo.php?workbook=01_01.xlsx&amp;sheet=A0&amp;row=129&amp;col=20&amp;number=&amp;sourceID=11","")</f>
        <v/>
      </c>
      <c r="U129" s="4" t="str">
        <f>HYPERLINK("http://141.218.60.56/~jnz1568/getInfo.php?workbook=01_01.xlsx&amp;sheet=A0&amp;row=129&amp;col=21&amp;number=188590&amp;sourceID=12","188590")</f>
        <v>188590</v>
      </c>
      <c r="V129" s="4" t="str">
        <f>HYPERLINK("http://141.218.60.56/~jnz1568/getInfo.php?workbook=01_01.xlsx&amp;sheet=A0&amp;row=129&amp;col=22&amp;number=188590&amp;sourceID=12","188590")</f>
        <v>188590</v>
      </c>
      <c r="W129" s="4" t="str">
        <f>HYPERLINK("http://141.218.60.56/~jnz1568/getInfo.php?workbook=01_01.xlsx&amp;sheet=A0&amp;row=129&amp;col=23&amp;number=&amp;sourceID=12","")</f>
        <v/>
      </c>
      <c r="X129" s="4" t="str">
        <f>HYPERLINK("http://141.218.60.56/~jnz1568/getInfo.php?workbook=01_01.xlsx&amp;sheet=A0&amp;row=129&amp;col=24&amp;number=&amp;sourceID=12","")</f>
        <v/>
      </c>
      <c r="Y129" s="4" t="str">
        <f>HYPERLINK("http://141.218.60.56/~jnz1568/getInfo.php?workbook=01_01.xlsx&amp;sheet=A0&amp;row=129&amp;col=25&amp;number=&amp;sourceID=12","")</f>
        <v/>
      </c>
      <c r="Z129" s="4" t="str">
        <f>HYPERLINK("http://141.218.60.56/~jnz1568/getInfo.php?workbook=01_01.xlsx&amp;sheet=A0&amp;row=129&amp;col=26&amp;number=5.0762e-10&amp;sourceID=12","5.0762e-10")</f>
        <v>5.0762e-10</v>
      </c>
      <c r="AA129" s="4" t="str">
        <f>HYPERLINK("http://141.218.60.56/~jnz1568/getInfo.php?workbook=01_01.xlsx&amp;sheet=A0&amp;row=129&amp;col=27&amp;number=&amp;sourceID=12","")</f>
        <v/>
      </c>
      <c r="AB129" s="4" t="str">
        <f>HYPERLINK("http://141.218.60.56/~jnz1568/getInfo.php?workbook=01_01.xlsx&amp;sheet=A0&amp;row=129&amp;col=28&amp;number=&amp;sourceID=18","")</f>
        <v/>
      </c>
      <c r="AC129" s="4" t="str">
        <f>HYPERLINK("http://141.218.60.56/~jnz1568/getInfo.php?workbook=01_01.xlsx&amp;sheet=A0&amp;row=129&amp;col=29&amp;number=&amp;sourceID=18","")</f>
        <v/>
      </c>
      <c r="AD129" s="4" t="str">
        <f>HYPERLINK("http://141.218.60.56/~jnz1568/getInfo.php?workbook=01_01.xlsx&amp;sheet=A0&amp;row=129&amp;col=30&amp;number=&amp;sourceID=18","")</f>
        <v/>
      </c>
      <c r="AE129" s="4" t="str">
        <f>HYPERLINK("http://141.218.60.56/~jnz1568/getInfo.php?workbook=01_01.xlsx&amp;sheet=A0&amp;row=129&amp;col=31&amp;number=&amp;sourceID=18","")</f>
        <v/>
      </c>
      <c r="AF129" s="4" t="str">
        <f>HYPERLINK("http://141.218.60.56/~jnz1568/getInfo.php?workbook=01_01.xlsx&amp;sheet=A0&amp;row=129&amp;col=32&amp;number=&amp;sourceID=18","")</f>
        <v/>
      </c>
      <c r="AG129" s="4" t="str">
        <f>HYPERLINK("http://141.218.60.56/~jnz1568/getInfo.php?workbook=01_01.xlsx&amp;sheet=A0&amp;row=129&amp;col=33&amp;number=&amp;sourceID=18","")</f>
        <v/>
      </c>
      <c r="AH129" s="4" t="str">
        <f>HYPERLINK("http://141.218.60.56/~jnz1568/getInfo.php?workbook=01_01.xlsx&amp;sheet=A0&amp;row=129&amp;col=34&amp;number=&amp;sourceID=20","")</f>
        <v/>
      </c>
    </row>
    <row r="130" spans="1:34">
      <c r="A130" s="3">
        <v>1</v>
      </c>
      <c r="B130" s="3">
        <v>1</v>
      </c>
      <c r="C130" s="3">
        <v>17</v>
      </c>
      <c r="D130" s="3">
        <v>13</v>
      </c>
      <c r="E130" s="3">
        <f>((1/(INDEX(E0!J$4:J$28,C130,1)-INDEX(E0!J$4:J$28,D130,1))))*100000000</f>
        <v>0</v>
      </c>
      <c r="F130" s="4" t="str">
        <f>HYPERLINK("http://141.218.60.56/~jnz1568/getInfo.php?workbook=01_01.xlsx&amp;sheet=A0&amp;row=130&amp;col=6&amp;number=&amp;sourceID=18","")</f>
        <v/>
      </c>
      <c r="G130" s="4" t="str">
        <f>HYPERLINK("http://141.218.60.56/~jnz1568/getInfo.php?workbook=01_01.xlsx&amp;sheet=A0&amp;row=130&amp;col=7&amp;number=&amp;sourceID=15","")</f>
        <v/>
      </c>
      <c r="H130" s="4" t="str">
        <f>HYPERLINK("http://141.218.60.56/~jnz1568/getInfo.php?workbook=01_01.xlsx&amp;sheet=A0&amp;row=130&amp;col=8&amp;number=&amp;sourceID=15","")</f>
        <v/>
      </c>
      <c r="I130" s="4" t="str">
        <f>HYPERLINK("http://141.218.60.56/~jnz1568/getInfo.php?workbook=01_01.xlsx&amp;sheet=A0&amp;row=130&amp;col=9&amp;number=&amp;sourceID=15","")</f>
        <v/>
      </c>
      <c r="J130" s="4" t="str">
        <f>HYPERLINK("http://141.218.60.56/~jnz1568/getInfo.php?workbook=01_01.xlsx&amp;sheet=A0&amp;row=130&amp;col=10&amp;number=&amp;sourceID=15","")</f>
        <v/>
      </c>
      <c r="K130" s="4" t="str">
        <f>HYPERLINK("http://141.218.60.56/~jnz1568/getInfo.php?workbook=01_01.xlsx&amp;sheet=A0&amp;row=130&amp;col=11&amp;number=&amp;sourceID=15","")</f>
        <v/>
      </c>
      <c r="L130" s="4" t="str">
        <f>HYPERLINK("http://141.218.60.56/~jnz1568/getInfo.php?workbook=01_01.xlsx&amp;sheet=A0&amp;row=130&amp;col=12&amp;number=&amp;sourceID=15","")</f>
        <v/>
      </c>
      <c r="M130" s="4" t="str">
        <f>HYPERLINK("http://141.218.60.56/~jnz1568/getInfo.php?workbook=01_01.xlsx&amp;sheet=A0&amp;row=130&amp;col=13&amp;number=&amp;sourceID=15","")</f>
        <v/>
      </c>
      <c r="N130" s="4" t="str">
        <f>HYPERLINK("http://141.218.60.56/~jnz1568/getInfo.php?workbook=01_01.xlsx&amp;sheet=A0&amp;row=130&amp;col=14&amp;number==&amp;sourceID=11","=")</f>
        <v>=</v>
      </c>
      <c r="O130" s="4" t="str">
        <f>HYPERLINK("http://141.218.60.56/~jnz1568/getInfo.php?workbook=01_01.xlsx&amp;sheet=A0&amp;row=130&amp;col=15&amp;number=&amp;sourceID=11","")</f>
        <v/>
      </c>
      <c r="P130" s="4" t="str">
        <f>HYPERLINK("http://141.218.60.56/~jnz1568/getInfo.php?workbook=01_01.xlsx&amp;sheet=A0&amp;row=130&amp;col=16&amp;number=0.4541&amp;sourceID=11","0.4541")</f>
        <v>0.4541</v>
      </c>
      <c r="Q130" s="4" t="str">
        <f>HYPERLINK("http://141.218.60.56/~jnz1568/getInfo.php?workbook=01_01.xlsx&amp;sheet=A0&amp;row=130&amp;col=17&amp;number=&amp;sourceID=11","")</f>
        <v/>
      </c>
      <c r="R130" s="4" t="str">
        <f>HYPERLINK("http://141.218.60.56/~jnz1568/getInfo.php?workbook=01_01.xlsx&amp;sheet=A0&amp;row=130&amp;col=18&amp;number=5.158e-11&amp;sourceID=11","5.158e-11")</f>
        <v>5.158e-11</v>
      </c>
      <c r="S130" s="4" t="str">
        <f>HYPERLINK("http://141.218.60.56/~jnz1568/getInfo.php?workbook=01_01.xlsx&amp;sheet=A0&amp;row=130&amp;col=19&amp;number=&amp;sourceID=11","")</f>
        <v/>
      </c>
      <c r="T130" s="4" t="str">
        <f>HYPERLINK("http://141.218.60.56/~jnz1568/getInfo.php?workbook=01_01.xlsx&amp;sheet=A0&amp;row=130&amp;col=20&amp;number=&amp;sourceID=11","")</f>
        <v/>
      </c>
      <c r="U130" s="4" t="str">
        <f>HYPERLINK("http://141.218.60.56/~jnz1568/getInfo.php?workbook=01_01.xlsx&amp;sheet=A0&amp;row=130&amp;col=21&amp;number=0.45435&amp;sourceID=12","0.45435")</f>
        <v>0.45435</v>
      </c>
      <c r="V130" s="4" t="str">
        <f>HYPERLINK("http://141.218.60.56/~jnz1568/getInfo.php?workbook=01_01.xlsx&amp;sheet=A0&amp;row=130&amp;col=22&amp;number=&amp;sourceID=12","")</f>
        <v/>
      </c>
      <c r="W130" s="4" t="str">
        <f>HYPERLINK("http://141.218.60.56/~jnz1568/getInfo.php?workbook=01_01.xlsx&amp;sheet=A0&amp;row=130&amp;col=23&amp;number=0.45435&amp;sourceID=12","0.45435")</f>
        <v>0.45435</v>
      </c>
      <c r="X130" s="4" t="str">
        <f>HYPERLINK("http://141.218.60.56/~jnz1568/getInfo.php?workbook=01_01.xlsx&amp;sheet=A0&amp;row=130&amp;col=24&amp;number=&amp;sourceID=12","")</f>
        <v/>
      </c>
      <c r="Y130" s="4" t="str">
        <f>HYPERLINK("http://141.218.60.56/~jnz1568/getInfo.php?workbook=01_01.xlsx&amp;sheet=A0&amp;row=130&amp;col=25&amp;number=5.1626e-11&amp;sourceID=12","5.1626e-11")</f>
        <v>5.1626e-11</v>
      </c>
      <c r="Z130" s="4" t="str">
        <f>HYPERLINK("http://141.218.60.56/~jnz1568/getInfo.php?workbook=01_01.xlsx&amp;sheet=A0&amp;row=130&amp;col=26&amp;number=&amp;sourceID=12","")</f>
        <v/>
      </c>
      <c r="AA130" s="4" t="str">
        <f>HYPERLINK("http://141.218.60.56/~jnz1568/getInfo.php?workbook=01_01.xlsx&amp;sheet=A0&amp;row=130&amp;col=27&amp;number=&amp;sourceID=12","")</f>
        <v/>
      </c>
      <c r="AB130" s="4" t="str">
        <f>HYPERLINK("http://141.218.60.56/~jnz1568/getInfo.php?workbook=01_01.xlsx&amp;sheet=A0&amp;row=130&amp;col=28&amp;number=&amp;sourceID=18","")</f>
        <v/>
      </c>
      <c r="AC130" s="4" t="str">
        <f>HYPERLINK("http://141.218.60.56/~jnz1568/getInfo.php?workbook=01_01.xlsx&amp;sheet=A0&amp;row=130&amp;col=29&amp;number=&amp;sourceID=18","")</f>
        <v/>
      </c>
      <c r="AD130" s="4" t="str">
        <f>HYPERLINK("http://141.218.60.56/~jnz1568/getInfo.php?workbook=01_01.xlsx&amp;sheet=A0&amp;row=130&amp;col=30&amp;number=&amp;sourceID=18","")</f>
        <v/>
      </c>
      <c r="AE130" s="4" t="str">
        <f>HYPERLINK("http://141.218.60.56/~jnz1568/getInfo.php?workbook=01_01.xlsx&amp;sheet=A0&amp;row=130&amp;col=31&amp;number=&amp;sourceID=18","")</f>
        <v/>
      </c>
      <c r="AF130" s="4" t="str">
        <f>HYPERLINK("http://141.218.60.56/~jnz1568/getInfo.php?workbook=01_01.xlsx&amp;sheet=A0&amp;row=130&amp;col=32&amp;number=&amp;sourceID=18","")</f>
        <v/>
      </c>
      <c r="AG130" s="4" t="str">
        <f>HYPERLINK("http://141.218.60.56/~jnz1568/getInfo.php?workbook=01_01.xlsx&amp;sheet=A0&amp;row=130&amp;col=33&amp;number=&amp;sourceID=18","")</f>
        <v/>
      </c>
      <c r="AH130" s="4" t="str">
        <f>HYPERLINK("http://141.218.60.56/~jnz1568/getInfo.php?workbook=01_01.xlsx&amp;sheet=A0&amp;row=130&amp;col=34&amp;number=&amp;sourceID=20","")</f>
        <v/>
      </c>
    </row>
    <row r="131" spans="1:34">
      <c r="A131" s="3">
        <v>1</v>
      </c>
      <c r="B131" s="3">
        <v>1</v>
      </c>
      <c r="C131" s="3">
        <v>17</v>
      </c>
      <c r="D131" s="3">
        <v>14</v>
      </c>
      <c r="E131" s="3">
        <f>((1/(INDEX(E0!J$4:J$28,C131,1)-INDEX(E0!J$4:J$28,D131,1))))*100000000</f>
        <v>0</v>
      </c>
      <c r="F131" s="4" t="str">
        <f>HYPERLINK("http://141.218.60.56/~jnz1568/getInfo.php?workbook=01_01.xlsx&amp;sheet=A0&amp;row=131&amp;col=6&amp;number=&amp;sourceID=18","")</f>
        <v/>
      </c>
      <c r="G131" s="4" t="str">
        <f>HYPERLINK("http://141.218.60.56/~jnz1568/getInfo.php?workbook=01_01.xlsx&amp;sheet=A0&amp;row=131&amp;col=7&amp;number=&amp;sourceID=15","")</f>
        <v/>
      </c>
      <c r="H131" s="4" t="str">
        <f>HYPERLINK("http://141.218.60.56/~jnz1568/getInfo.php?workbook=01_01.xlsx&amp;sheet=A0&amp;row=131&amp;col=8&amp;number=&amp;sourceID=15","")</f>
        <v/>
      </c>
      <c r="I131" s="4" t="str">
        <f>HYPERLINK("http://141.218.60.56/~jnz1568/getInfo.php?workbook=01_01.xlsx&amp;sheet=A0&amp;row=131&amp;col=9&amp;number=&amp;sourceID=15","")</f>
        <v/>
      </c>
      <c r="J131" s="4" t="str">
        <f>HYPERLINK("http://141.218.60.56/~jnz1568/getInfo.php?workbook=01_01.xlsx&amp;sheet=A0&amp;row=131&amp;col=10&amp;number=&amp;sourceID=15","")</f>
        <v/>
      </c>
      <c r="K131" s="4" t="str">
        <f>HYPERLINK("http://141.218.60.56/~jnz1568/getInfo.php?workbook=01_01.xlsx&amp;sheet=A0&amp;row=131&amp;col=11&amp;number=&amp;sourceID=15","")</f>
        <v/>
      </c>
      <c r="L131" s="4" t="str">
        <f>HYPERLINK("http://141.218.60.56/~jnz1568/getInfo.php?workbook=01_01.xlsx&amp;sheet=A0&amp;row=131&amp;col=12&amp;number=&amp;sourceID=15","")</f>
        <v/>
      </c>
      <c r="M131" s="4" t="str">
        <f>HYPERLINK("http://141.218.60.56/~jnz1568/getInfo.php?workbook=01_01.xlsx&amp;sheet=A0&amp;row=131&amp;col=13&amp;number=&amp;sourceID=15","")</f>
        <v/>
      </c>
      <c r="N131" s="4" t="str">
        <f>HYPERLINK("http://141.218.60.56/~jnz1568/getInfo.php?workbook=01_01.xlsx&amp;sheet=A0&amp;row=131&amp;col=14&amp;number==&amp;sourceID=11","=")</f>
        <v>=</v>
      </c>
      <c r="O131" s="4" t="str">
        <f>HYPERLINK("http://141.218.60.56/~jnz1568/getInfo.php?workbook=01_01.xlsx&amp;sheet=A0&amp;row=131&amp;col=15&amp;number=&amp;sourceID=11","")</f>
        <v/>
      </c>
      <c r="P131" s="4" t="str">
        <f>HYPERLINK("http://141.218.60.56/~jnz1568/getInfo.php?workbook=01_01.xlsx&amp;sheet=A0&amp;row=131&amp;col=16&amp;number=&amp;sourceID=11","")</f>
        <v/>
      </c>
      <c r="Q131" s="4" t="str">
        <f>HYPERLINK("http://141.218.60.56/~jnz1568/getInfo.php?workbook=01_01.xlsx&amp;sheet=A0&amp;row=131&amp;col=17&amp;number=7.6953e-08&amp;sourceID=11","7.6953e-08")</f>
        <v>7.6953e-08</v>
      </c>
      <c r="R131" s="4" t="str">
        <f>HYPERLINK("http://141.218.60.56/~jnz1568/getInfo.php?workbook=01_01.xlsx&amp;sheet=A0&amp;row=131&amp;col=18&amp;number=&amp;sourceID=11","")</f>
        <v/>
      </c>
      <c r="S131" s="4" t="str">
        <f>HYPERLINK("http://141.218.60.56/~jnz1568/getInfo.php?workbook=01_01.xlsx&amp;sheet=A0&amp;row=131&amp;col=19&amp;number=5.4118e-09&amp;sourceID=11","5.4118e-09")</f>
        <v>5.4118e-09</v>
      </c>
      <c r="T131" s="4" t="str">
        <f>HYPERLINK("http://141.218.60.56/~jnz1568/getInfo.php?workbook=01_01.xlsx&amp;sheet=A0&amp;row=131&amp;col=20&amp;number=&amp;sourceID=11","")</f>
        <v/>
      </c>
      <c r="U131" s="4" t="str">
        <f>HYPERLINK("http://141.218.60.56/~jnz1568/getInfo.php?workbook=01_01.xlsx&amp;sheet=A0&amp;row=131&amp;col=21&amp;number=8.241e-08&amp;sourceID=12","8.241e-08")</f>
        <v>8.241e-08</v>
      </c>
      <c r="V131" s="4" t="str">
        <f>HYPERLINK("http://141.218.60.56/~jnz1568/getInfo.php?workbook=01_01.xlsx&amp;sheet=A0&amp;row=131&amp;col=22&amp;number=&amp;sourceID=12","")</f>
        <v/>
      </c>
      <c r="W131" s="4" t="str">
        <f>HYPERLINK("http://141.218.60.56/~jnz1568/getInfo.php?workbook=01_01.xlsx&amp;sheet=A0&amp;row=131&amp;col=23&amp;number=&amp;sourceID=12","")</f>
        <v/>
      </c>
      <c r="X131" s="4" t="str">
        <f>HYPERLINK("http://141.218.60.56/~jnz1568/getInfo.php?workbook=01_01.xlsx&amp;sheet=A0&amp;row=131&amp;col=24&amp;number=7.6995e-08&amp;sourceID=12","7.6995e-08")</f>
        <v>7.6995e-08</v>
      </c>
      <c r="Y131" s="4" t="str">
        <f>HYPERLINK("http://141.218.60.56/~jnz1568/getInfo.php?workbook=01_01.xlsx&amp;sheet=A0&amp;row=131&amp;col=25&amp;number=&amp;sourceID=12","")</f>
        <v/>
      </c>
      <c r="Z131" s="4" t="str">
        <f>HYPERLINK("http://141.218.60.56/~jnz1568/getInfo.php?workbook=01_01.xlsx&amp;sheet=A0&amp;row=131&amp;col=26&amp;number=5.4148e-09&amp;sourceID=12","5.4148e-09")</f>
        <v>5.4148e-09</v>
      </c>
      <c r="AA131" s="4" t="str">
        <f>HYPERLINK("http://141.218.60.56/~jnz1568/getInfo.php?workbook=01_01.xlsx&amp;sheet=A0&amp;row=131&amp;col=27&amp;number=&amp;sourceID=12","")</f>
        <v/>
      </c>
      <c r="AB131" s="4" t="str">
        <f>HYPERLINK("http://141.218.60.56/~jnz1568/getInfo.php?workbook=01_01.xlsx&amp;sheet=A0&amp;row=131&amp;col=28&amp;number=&amp;sourceID=18","")</f>
        <v/>
      </c>
      <c r="AC131" s="4" t="str">
        <f>HYPERLINK("http://141.218.60.56/~jnz1568/getInfo.php?workbook=01_01.xlsx&amp;sheet=A0&amp;row=131&amp;col=29&amp;number=&amp;sourceID=18","")</f>
        <v/>
      </c>
      <c r="AD131" s="4" t="str">
        <f>HYPERLINK("http://141.218.60.56/~jnz1568/getInfo.php?workbook=01_01.xlsx&amp;sheet=A0&amp;row=131&amp;col=30&amp;number=&amp;sourceID=18","")</f>
        <v/>
      </c>
      <c r="AE131" s="4" t="str">
        <f>HYPERLINK("http://141.218.60.56/~jnz1568/getInfo.php?workbook=01_01.xlsx&amp;sheet=A0&amp;row=131&amp;col=31&amp;number=&amp;sourceID=18","")</f>
        <v/>
      </c>
      <c r="AF131" s="4" t="str">
        <f>HYPERLINK("http://141.218.60.56/~jnz1568/getInfo.php?workbook=01_01.xlsx&amp;sheet=A0&amp;row=131&amp;col=32&amp;number=&amp;sourceID=18","")</f>
        <v/>
      </c>
      <c r="AG131" s="4" t="str">
        <f>HYPERLINK("http://141.218.60.56/~jnz1568/getInfo.php?workbook=01_01.xlsx&amp;sheet=A0&amp;row=131&amp;col=33&amp;number=&amp;sourceID=18","")</f>
        <v/>
      </c>
      <c r="AH131" s="4" t="str">
        <f>HYPERLINK("http://141.218.60.56/~jnz1568/getInfo.php?workbook=01_01.xlsx&amp;sheet=A0&amp;row=131&amp;col=34&amp;number=&amp;sourceID=20","")</f>
        <v/>
      </c>
    </row>
    <row r="132" spans="1:34">
      <c r="A132" s="3">
        <v>1</v>
      </c>
      <c r="B132" s="3">
        <v>1</v>
      </c>
      <c r="C132" s="3">
        <v>17</v>
      </c>
      <c r="D132" s="3">
        <v>15</v>
      </c>
      <c r="E132" s="3">
        <f>((1/(INDEX(E0!J$4:J$28,C132,1)-INDEX(E0!J$4:J$28,D132,1))))*100000000</f>
        <v>0</v>
      </c>
      <c r="F132" s="4" t="str">
        <f>HYPERLINK("http://141.218.60.56/~jnz1568/getInfo.php?workbook=01_01.xlsx&amp;sheet=A0&amp;row=132&amp;col=6&amp;number=&amp;sourceID=18","")</f>
        <v/>
      </c>
      <c r="G132" s="4" t="str">
        <f>HYPERLINK("http://141.218.60.56/~jnz1568/getInfo.php?workbook=01_01.xlsx&amp;sheet=A0&amp;row=132&amp;col=7&amp;number=&amp;sourceID=15","")</f>
        <v/>
      </c>
      <c r="H132" s="4" t="str">
        <f>HYPERLINK("http://141.218.60.56/~jnz1568/getInfo.php?workbook=01_01.xlsx&amp;sheet=A0&amp;row=132&amp;col=8&amp;number=&amp;sourceID=15","")</f>
        <v/>
      </c>
      <c r="I132" s="4" t="str">
        <f>HYPERLINK("http://141.218.60.56/~jnz1568/getInfo.php?workbook=01_01.xlsx&amp;sheet=A0&amp;row=132&amp;col=9&amp;number=&amp;sourceID=15","")</f>
        <v/>
      </c>
      <c r="J132" s="4" t="str">
        <f>HYPERLINK("http://141.218.60.56/~jnz1568/getInfo.php?workbook=01_01.xlsx&amp;sheet=A0&amp;row=132&amp;col=10&amp;number=&amp;sourceID=15","")</f>
        <v/>
      </c>
      <c r="K132" s="4" t="str">
        <f>HYPERLINK("http://141.218.60.56/~jnz1568/getInfo.php?workbook=01_01.xlsx&amp;sheet=A0&amp;row=132&amp;col=11&amp;number=&amp;sourceID=15","")</f>
        <v/>
      </c>
      <c r="L132" s="4" t="str">
        <f>HYPERLINK("http://141.218.60.56/~jnz1568/getInfo.php?workbook=01_01.xlsx&amp;sheet=A0&amp;row=132&amp;col=12&amp;number=&amp;sourceID=15","")</f>
        <v/>
      </c>
      <c r="M132" s="4" t="str">
        <f>HYPERLINK("http://141.218.60.56/~jnz1568/getInfo.php?workbook=01_01.xlsx&amp;sheet=A0&amp;row=132&amp;col=13&amp;number=&amp;sourceID=15","")</f>
        <v/>
      </c>
      <c r="N132" s="4" t="str">
        <f>HYPERLINK("http://141.218.60.56/~jnz1568/getInfo.php?workbook=01_01.xlsx&amp;sheet=A0&amp;row=132&amp;col=14&amp;number==&amp;sourceID=11","=")</f>
        <v>=</v>
      </c>
      <c r="O132" s="4" t="str">
        <f>HYPERLINK("http://141.218.60.56/~jnz1568/getInfo.php?workbook=01_01.xlsx&amp;sheet=A0&amp;row=132&amp;col=15&amp;number=&amp;sourceID=11","")</f>
        <v/>
      </c>
      <c r="P132" s="4" t="str">
        <f>HYPERLINK("http://141.218.60.56/~jnz1568/getInfo.php?workbook=01_01.xlsx&amp;sheet=A0&amp;row=132&amp;col=16&amp;number=0.047091&amp;sourceID=11","0.047091")</f>
        <v>0.047091</v>
      </c>
      <c r="Q132" s="4" t="str">
        <f>HYPERLINK("http://141.218.60.56/~jnz1568/getInfo.php?workbook=01_01.xlsx&amp;sheet=A0&amp;row=132&amp;col=17&amp;number=&amp;sourceID=11","")</f>
        <v/>
      </c>
      <c r="R132" s="4" t="str">
        <f>HYPERLINK("http://141.218.60.56/~jnz1568/getInfo.php?workbook=01_01.xlsx&amp;sheet=A0&amp;row=132&amp;col=18&amp;number=&amp;sourceID=11","")</f>
        <v/>
      </c>
      <c r="S132" s="4" t="str">
        <f>HYPERLINK("http://141.218.60.56/~jnz1568/getInfo.php?workbook=01_01.xlsx&amp;sheet=A0&amp;row=132&amp;col=19&amp;number=&amp;sourceID=11","")</f>
        <v/>
      </c>
      <c r="T132" s="4" t="str">
        <f>HYPERLINK("http://141.218.60.56/~jnz1568/getInfo.php?workbook=01_01.xlsx&amp;sheet=A0&amp;row=132&amp;col=20&amp;number=0&amp;sourceID=11","0")</f>
        <v>0</v>
      </c>
      <c r="U132" s="4" t="str">
        <f>HYPERLINK("http://141.218.60.56/~jnz1568/getInfo.php?workbook=01_01.xlsx&amp;sheet=A0&amp;row=132&amp;col=21&amp;number=0.047117&amp;sourceID=12","0.047117")</f>
        <v>0.047117</v>
      </c>
      <c r="V132" s="4" t="str">
        <f>HYPERLINK("http://141.218.60.56/~jnz1568/getInfo.php?workbook=01_01.xlsx&amp;sheet=A0&amp;row=132&amp;col=22&amp;number=&amp;sourceID=12","")</f>
        <v/>
      </c>
      <c r="W132" s="4" t="str">
        <f>HYPERLINK("http://141.218.60.56/~jnz1568/getInfo.php?workbook=01_01.xlsx&amp;sheet=A0&amp;row=132&amp;col=23&amp;number=0.047117&amp;sourceID=12","0.047117")</f>
        <v>0.047117</v>
      </c>
      <c r="X132" s="4" t="str">
        <f>HYPERLINK("http://141.218.60.56/~jnz1568/getInfo.php?workbook=01_01.xlsx&amp;sheet=A0&amp;row=132&amp;col=24&amp;number=&amp;sourceID=12","")</f>
        <v/>
      </c>
      <c r="Y132" s="4" t="str">
        <f>HYPERLINK("http://141.218.60.56/~jnz1568/getInfo.php?workbook=01_01.xlsx&amp;sheet=A0&amp;row=132&amp;col=25&amp;number=&amp;sourceID=12","")</f>
        <v/>
      </c>
      <c r="Z132" s="4" t="str">
        <f>HYPERLINK("http://141.218.60.56/~jnz1568/getInfo.php?workbook=01_01.xlsx&amp;sheet=A0&amp;row=132&amp;col=26&amp;number=&amp;sourceID=12","")</f>
        <v/>
      </c>
      <c r="AA132" s="4" t="str">
        <f>HYPERLINK("http://141.218.60.56/~jnz1568/getInfo.php?workbook=01_01.xlsx&amp;sheet=A0&amp;row=132&amp;col=27&amp;number=0&amp;sourceID=12","0")</f>
        <v>0</v>
      </c>
      <c r="AB132" s="4" t="str">
        <f>HYPERLINK("http://141.218.60.56/~jnz1568/getInfo.php?workbook=01_01.xlsx&amp;sheet=A0&amp;row=132&amp;col=28&amp;number=&amp;sourceID=18","")</f>
        <v/>
      </c>
      <c r="AC132" s="4" t="str">
        <f>HYPERLINK("http://141.218.60.56/~jnz1568/getInfo.php?workbook=01_01.xlsx&amp;sheet=A0&amp;row=132&amp;col=29&amp;number=&amp;sourceID=18","")</f>
        <v/>
      </c>
      <c r="AD132" s="4" t="str">
        <f>HYPERLINK("http://141.218.60.56/~jnz1568/getInfo.php?workbook=01_01.xlsx&amp;sheet=A0&amp;row=132&amp;col=30&amp;number=&amp;sourceID=18","")</f>
        <v/>
      </c>
      <c r="AE132" s="4" t="str">
        <f>HYPERLINK("http://141.218.60.56/~jnz1568/getInfo.php?workbook=01_01.xlsx&amp;sheet=A0&amp;row=132&amp;col=31&amp;number=&amp;sourceID=18","")</f>
        <v/>
      </c>
      <c r="AF132" s="4" t="str">
        <f>HYPERLINK("http://141.218.60.56/~jnz1568/getInfo.php?workbook=01_01.xlsx&amp;sheet=A0&amp;row=132&amp;col=32&amp;number=&amp;sourceID=18","")</f>
        <v/>
      </c>
      <c r="AG132" s="4" t="str">
        <f>HYPERLINK("http://141.218.60.56/~jnz1568/getInfo.php?workbook=01_01.xlsx&amp;sheet=A0&amp;row=132&amp;col=33&amp;number=&amp;sourceID=18","")</f>
        <v/>
      </c>
      <c r="AH132" s="4" t="str">
        <f>HYPERLINK("http://141.218.60.56/~jnz1568/getInfo.php?workbook=01_01.xlsx&amp;sheet=A0&amp;row=132&amp;col=34&amp;number=&amp;sourceID=20","")</f>
        <v/>
      </c>
    </row>
    <row r="133" spans="1:34">
      <c r="A133" s="3">
        <v>1</v>
      </c>
      <c r="B133" s="3">
        <v>1</v>
      </c>
      <c r="C133" s="3">
        <v>17</v>
      </c>
      <c r="D133" s="3">
        <v>16</v>
      </c>
      <c r="E133" s="3">
        <f>((1/(INDEX(E0!J$4:J$28,C133,1)-INDEX(E0!J$4:J$28,D133,1))))*100000000</f>
        <v>0</v>
      </c>
      <c r="F133" s="4" t="str">
        <f>HYPERLINK("http://141.218.60.56/~jnz1568/getInfo.php?workbook=01_01.xlsx&amp;sheet=A0&amp;row=133&amp;col=6&amp;number=&amp;sourceID=18","")</f>
        <v/>
      </c>
      <c r="G133" s="4" t="str">
        <f>HYPERLINK("http://141.218.60.56/~jnz1568/getInfo.php?workbook=01_01.xlsx&amp;sheet=A0&amp;row=133&amp;col=7&amp;number=&amp;sourceID=15","")</f>
        <v/>
      </c>
      <c r="H133" s="4" t="str">
        <f>HYPERLINK("http://141.218.60.56/~jnz1568/getInfo.php?workbook=01_01.xlsx&amp;sheet=A0&amp;row=133&amp;col=8&amp;number=&amp;sourceID=15","")</f>
        <v/>
      </c>
      <c r="I133" s="4" t="str">
        <f>HYPERLINK("http://141.218.60.56/~jnz1568/getInfo.php?workbook=01_01.xlsx&amp;sheet=A0&amp;row=133&amp;col=9&amp;number=&amp;sourceID=15","")</f>
        <v/>
      </c>
      <c r="J133" s="4" t="str">
        <f>HYPERLINK("http://141.218.60.56/~jnz1568/getInfo.php?workbook=01_01.xlsx&amp;sheet=A0&amp;row=133&amp;col=10&amp;number=&amp;sourceID=15","")</f>
        <v/>
      </c>
      <c r="K133" s="4" t="str">
        <f>HYPERLINK("http://141.218.60.56/~jnz1568/getInfo.php?workbook=01_01.xlsx&amp;sheet=A0&amp;row=133&amp;col=11&amp;number=&amp;sourceID=15","")</f>
        <v/>
      </c>
      <c r="L133" s="4" t="str">
        <f>HYPERLINK("http://141.218.60.56/~jnz1568/getInfo.php?workbook=01_01.xlsx&amp;sheet=A0&amp;row=133&amp;col=12&amp;number=&amp;sourceID=15","")</f>
        <v/>
      </c>
      <c r="M133" s="4" t="str">
        <f>HYPERLINK("http://141.218.60.56/~jnz1568/getInfo.php?workbook=01_01.xlsx&amp;sheet=A0&amp;row=133&amp;col=13&amp;number=&amp;sourceID=15","")</f>
        <v/>
      </c>
      <c r="N133" s="4" t="str">
        <f>HYPERLINK("http://141.218.60.56/~jnz1568/getInfo.php?workbook=01_01.xlsx&amp;sheet=A0&amp;row=133&amp;col=14&amp;number==&amp;sourceID=11","=")</f>
        <v>=</v>
      </c>
      <c r="O133" s="4" t="str">
        <f>HYPERLINK("http://141.218.60.56/~jnz1568/getInfo.php?workbook=01_01.xlsx&amp;sheet=A0&amp;row=133&amp;col=15&amp;number=&amp;sourceID=11","")</f>
        <v/>
      </c>
      <c r="P133" s="4" t="str">
        <f>HYPERLINK("http://141.218.60.56/~jnz1568/getInfo.php?workbook=01_01.xlsx&amp;sheet=A0&amp;row=133&amp;col=16&amp;number=&amp;sourceID=11","")</f>
        <v/>
      </c>
      <c r="Q133" s="4" t="str">
        <f>HYPERLINK("http://141.218.60.56/~jnz1568/getInfo.php?workbook=01_01.xlsx&amp;sheet=A0&amp;row=133&amp;col=17&amp;number=&amp;sourceID=11","")</f>
        <v/>
      </c>
      <c r="R133" s="4" t="str">
        <f>HYPERLINK("http://141.218.60.56/~jnz1568/getInfo.php?workbook=01_01.xlsx&amp;sheet=A0&amp;row=133&amp;col=18&amp;number=&amp;sourceID=11","")</f>
        <v/>
      </c>
      <c r="S133" s="4" t="str">
        <f>HYPERLINK("http://141.218.60.56/~jnz1568/getInfo.php?workbook=01_01.xlsx&amp;sheet=A0&amp;row=133&amp;col=19&amp;number=&amp;sourceID=11","")</f>
        <v/>
      </c>
      <c r="T133" s="4" t="str">
        <f>HYPERLINK("http://141.218.60.56/~jnz1568/getInfo.php?workbook=01_01.xlsx&amp;sheet=A0&amp;row=133&amp;col=20&amp;number=2e-15&amp;sourceID=11","2e-15")</f>
        <v>2e-15</v>
      </c>
      <c r="U133" s="4" t="str">
        <f>HYPERLINK("http://141.218.60.56/~jnz1568/getInfo.php?workbook=01_01.xlsx&amp;sheet=A0&amp;row=133&amp;col=21&amp;number=2e-15&amp;sourceID=12","2e-15")</f>
        <v>2e-15</v>
      </c>
      <c r="V133" s="4" t="str">
        <f>HYPERLINK("http://141.218.60.56/~jnz1568/getInfo.php?workbook=01_01.xlsx&amp;sheet=A0&amp;row=133&amp;col=22&amp;number=&amp;sourceID=12","")</f>
        <v/>
      </c>
      <c r="W133" s="4" t="str">
        <f>HYPERLINK("http://141.218.60.56/~jnz1568/getInfo.php?workbook=01_01.xlsx&amp;sheet=A0&amp;row=133&amp;col=23&amp;number=&amp;sourceID=12","")</f>
        <v/>
      </c>
      <c r="X133" s="4" t="str">
        <f>HYPERLINK("http://141.218.60.56/~jnz1568/getInfo.php?workbook=01_01.xlsx&amp;sheet=A0&amp;row=133&amp;col=24&amp;number=&amp;sourceID=12","")</f>
        <v/>
      </c>
      <c r="Y133" s="4" t="str">
        <f>HYPERLINK("http://141.218.60.56/~jnz1568/getInfo.php?workbook=01_01.xlsx&amp;sheet=A0&amp;row=133&amp;col=25&amp;number=&amp;sourceID=12","")</f>
        <v/>
      </c>
      <c r="Z133" s="4" t="str">
        <f>HYPERLINK("http://141.218.60.56/~jnz1568/getInfo.php?workbook=01_01.xlsx&amp;sheet=A0&amp;row=133&amp;col=26&amp;number=&amp;sourceID=12","")</f>
        <v/>
      </c>
      <c r="AA133" s="4" t="str">
        <f>HYPERLINK("http://141.218.60.56/~jnz1568/getInfo.php?workbook=01_01.xlsx&amp;sheet=A0&amp;row=133&amp;col=27&amp;number=2e-15&amp;sourceID=12","2e-15")</f>
        <v>2e-15</v>
      </c>
      <c r="AB133" s="4" t="str">
        <f>HYPERLINK("http://141.218.60.56/~jnz1568/getInfo.php?workbook=01_01.xlsx&amp;sheet=A0&amp;row=133&amp;col=28&amp;number=&amp;sourceID=18","")</f>
        <v/>
      </c>
      <c r="AC133" s="4" t="str">
        <f>HYPERLINK("http://141.218.60.56/~jnz1568/getInfo.php?workbook=01_01.xlsx&amp;sheet=A0&amp;row=133&amp;col=29&amp;number=&amp;sourceID=18","")</f>
        <v/>
      </c>
      <c r="AD133" s="4" t="str">
        <f>HYPERLINK("http://141.218.60.56/~jnz1568/getInfo.php?workbook=01_01.xlsx&amp;sheet=A0&amp;row=133&amp;col=30&amp;number=&amp;sourceID=18","")</f>
        <v/>
      </c>
      <c r="AE133" s="4" t="str">
        <f>HYPERLINK("http://141.218.60.56/~jnz1568/getInfo.php?workbook=01_01.xlsx&amp;sheet=A0&amp;row=133&amp;col=31&amp;number=&amp;sourceID=18","")</f>
        <v/>
      </c>
      <c r="AF133" s="4" t="str">
        <f>HYPERLINK("http://141.218.60.56/~jnz1568/getInfo.php?workbook=01_01.xlsx&amp;sheet=A0&amp;row=133&amp;col=32&amp;number=&amp;sourceID=18","")</f>
        <v/>
      </c>
      <c r="AG133" s="4" t="str">
        <f>HYPERLINK("http://141.218.60.56/~jnz1568/getInfo.php?workbook=01_01.xlsx&amp;sheet=A0&amp;row=133&amp;col=33&amp;number=&amp;sourceID=18","")</f>
        <v/>
      </c>
      <c r="AH133" s="4" t="str">
        <f>HYPERLINK("http://141.218.60.56/~jnz1568/getInfo.php?workbook=01_01.xlsx&amp;sheet=A0&amp;row=133&amp;col=34&amp;number=&amp;sourceID=20","")</f>
        <v/>
      </c>
    </row>
    <row r="134" spans="1:34">
      <c r="A134" s="3">
        <v>1</v>
      </c>
      <c r="B134" s="3">
        <v>1</v>
      </c>
      <c r="C134" s="3">
        <v>18</v>
      </c>
      <c r="D134" s="3">
        <v>1</v>
      </c>
      <c r="E134" s="3">
        <f>((1/(INDEX(E0!J$4:J$28,C134,1)-INDEX(E0!J$4:J$28,D134,1))))*100000000</f>
        <v>0</v>
      </c>
      <c r="F134" s="4" t="str">
        <f>HYPERLINK("http://141.218.60.56/~jnz1568/getInfo.php?workbook=01_01.xlsx&amp;sheet=A0&amp;row=134&amp;col=6&amp;number=&amp;sourceID=18","")</f>
        <v/>
      </c>
      <c r="G134" s="4" t="str">
        <f>HYPERLINK("http://141.218.60.56/~jnz1568/getInfo.php?workbook=01_01.xlsx&amp;sheet=A0&amp;row=134&amp;col=7&amp;number=&amp;sourceID=15","")</f>
        <v/>
      </c>
      <c r="H134" s="4" t="str">
        <f>HYPERLINK("http://141.218.60.56/~jnz1568/getInfo.php?workbook=01_01.xlsx&amp;sheet=A0&amp;row=134&amp;col=8&amp;number=&amp;sourceID=15","")</f>
        <v/>
      </c>
      <c r="I134" s="4" t="str">
        <f>HYPERLINK("http://141.218.60.56/~jnz1568/getInfo.php?workbook=01_01.xlsx&amp;sheet=A0&amp;row=134&amp;col=9&amp;number=&amp;sourceID=15","")</f>
        <v/>
      </c>
      <c r="J134" s="4" t="str">
        <f>HYPERLINK("http://141.218.60.56/~jnz1568/getInfo.php?workbook=01_01.xlsx&amp;sheet=A0&amp;row=134&amp;col=10&amp;number=&amp;sourceID=15","")</f>
        <v/>
      </c>
      <c r="K134" s="4" t="str">
        <f>HYPERLINK("http://141.218.60.56/~jnz1568/getInfo.php?workbook=01_01.xlsx&amp;sheet=A0&amp;row=134&amp;col=11&amp;number=&amp;sourceID=15","")</f>
        <v/>
      </c>
      <c r="L134" s="4" t="str">
        <f>HYPERLINK("http://141.218.60.56/~jnz1568/getInfo.php?workbook=01_01.xlsx&amp;sheet=A0&amp;row=134&amp;col=12&amp;number=&amp;sourceID=15","")</f>
        <v/>
      </c>
      <c r="M134" s="4" t="str">
        <f>HYPERLINK("http://141.218.60.56/~jnz1568/getInfo.php?workbook=01_01.xlsx&amp;sheet=A0&amp;row=134&amp;col=13&amp;number=&amp;sourceID=15","")</f>
        <v/>
      </c>
      <c r="N134" s="4" t="str">
        <f>HYPERLINK("http://141.218.60.56/~jnz1568/getInfo.php?workbook=01_01.xlsx&amp;sheet=A0&amp;row=134&amp;col=14&amp;number==SUM(O134:T134)&amp;sourceID=11","=SUM(O134:T134)")</f>
        <v>=SUM(O134:T134)</v>
      </c>
      <c r="O134" s="4" t="str">
        <f>HYPERLINK("http://141.218.60.56/~jnz1568/getInfo.php?workbook=01_01.xlsx&amp;sheet=A0&amp;row=134&amp;col=15&amp;number=&amp;sourceID=11","")</f>
        <v/>
      </c>
      <c r="P134" s="4" t="str">
        <f>HYPERLINK("http://141.218.60.56/~jnz1568/getInfo.php?workbook=01_01.xlsx&amp;sheet=A0&amp;row=134&amp;col=16&amp;number=&amp;sourceID=11","")</f>
        <v/>
      </c>
      <c r="Q134" s="4" t="str">
        <f>HYPERLINK("http://141.218.60.56/~jnz1568/getInfo.php?workbook=01_01.xlsx&amp;sheet=A0&amp;row=134&amp;col=17&amp;number=&amp;sourceID=11","")</f>
        <v/>
      </c>
      <c r="R134" s="4" t="str">
        <f>HYPERLINK("http://141.218.60.56/~jnz1568/getInfo.php?workbook=01_01.xlsx&amp;sheet=A0&amp;row=134&amp;col=18&amp;number=2.8704e-07&amp;sourceID=11","2.8704e-07")</f>
        <v>2.8704e-07</v>
      </c>
      <c r="S134" s="4" t="str">
        <f>HYPERLINK("http://141.218.60.56/~jnz1568/getInfo.php?workbook=01_01.xlsx&amp;sheet=A0&amp;row=134&amp;col=19&amp;number=&amp;sourceID=11","")</f>
        <v/>
      </c>
      <c r="T134" s="4" t="str">
        <f>HYPERLINK("http://141.218.60.56/~jnz1568/getInfo.php?workbook=01_01.xlsx&amp;sheet=A0&amp;row=134&amp;col=20&amp;number=&amp;sourceID=11","")</f>
        <v/>
      </c>
      <c r="U134" s="4" t="str">
        <f>HYPERLINK("http://141.218.60.56/~jnz1568/getInfo.php?workbook=01_01.xlsx&amp;sheet=A0&amp;row=134&amp;col=21&amp;number=2.824e-07&amp;sourceID=12","2.824e-07")</f>
        <v>2.824e-07</v>
      </c>
      <c r="V134" s="4" t="str">
        <f>HYPERLINK("http://141.218.60.56/~jnz1568/getInfo.php?workbook=01_01.xlsx&amp;sheet=A0&amp;row=134&amp;col=22&amp;number=&amp;sourceID=12","")</f>
        <v/>
      </c>
      <c r="W134" s="4" t="str">
        <f>HYPERLINK("http://141.218.60.56/~jnz1568/getInfo.php?workbook=01_01.xlsx&amp;sheet=A0&amp;row=134&amp;col=23&amp;number=&amp;sourceID=12","")</f>
        <v/>
      </c>
      <c r="X134" s="4" t="str">
        <f>HYPERLINK("http://141.218.60.56/~jnz1568/getInfo.php?workbook=01_01.xlsx&amp;sheet=A0&amp;row=134&amp;col=24&amp;number=&amp;sourceID=12","")</f>
        <v/>
      </c>
      <c r="Y134" s="4" t="str">
        <f>HYPERLINK("http://141.218.60.56/~jnz1568/getInfo.php?workbook=01_01.xlsx&amp;sheet=A0&amp;row=134&amp;col=25&amp;number=2.824e-07&amp;sourceID=12","2.824e-07")</f>
        <v>2.824e-07</v>
      </c>
      <c r="Z134" s="4" t="str">
        <f>HYPERLINK("http://141.218.60.56/~jnz1568/getInfo.php?workbook=01_01.xlsx&amp;sheet=A0&amp;row=134&amp;col=26&amp;number=&amp;sourceID=12","")</f>
        <v/>
      </c>
      <c r="AA134" s="4" t="str">
        <f>HYPERLINK("http://141.218.60.56/~jnz1568/getInfo.php?workbook=01_01.xlsx&amp;sheet=A0&amp;row=134&amp;col=27&amp;number=&amp;sourceID=12","")</f>
        <v/>
      </c>
      <c r="AB134" s="4" t="str">
        <f>HYPERLINK("http://141.218.60.56/~jnz1568/getInfo.php?workbook=01_01.xlsx&amp;sheet=A0&amp;row=134&amp;col=28&amp;number=&amp;sourceID=18","")</f>
        <v/>
      </c>
      <c r="AC134" s="4" t="str">
        <f>HYPERLINK("http://141.218.60.56/~jnz1568/getInfo.php?workbook=01_01.xlsx&amp;sheet=A0&amp;row=134&amp;col=29&amp;number=&amp;sourceID=18","")</f>
        <v/>
      </c>
      <c r="AD134" s="4" t="str">
        <f>HYPERLINK("http://141.218.60.56/~jnz1568/getInfo.php?workbook=01_01.xlsx&amp;sheet=A0&amp;row=134&amp;col=30&amp;number=&amp;sourceID=18","")</f>
        <v/>
      </c>
      <c r="AE134" s="4" t="str">
        <f>HYPERLINK("http://141.218.60.56/~jnz1568/getInfo.php?workbook=01_01.xlsx&amp;sheet=A0&amp;row=134&amp;col=31&amp;number=&amp;sourceID=18","")</f>
        <v/>
      </c>
      <c r="AF134" s="4" t="str">
        <f>HYPERLINK("http://141.218.60.56/~jnz1568/getInfo.php?workbook=01_01.xlsx&amp;sheet=A0&amp;row=134&amp;col=32&amp;number=&amp;sourceID=18","")</f>
        <v/>
      </c>
      <c r="AG134" s="4" t="str">
        <f>HYPERLINK("http://141.218.60.56/~jnz1568/getInfo.php?workbook=01_01.xlsx&amp;sheet=A0&amp;row=134&amp;col=33&amp;number=&amp;sourceID=18","")</f>
        <v/>
      </c>
      <c r="AH134" s="4" t="str">
        <f>HYPERLINK("http://141.218.60.56/~jnz1568/getInfo.php?workbook=01_01.xlsx&amp;sheet=A0&amp;row=134&amp;col=34&amp;number=&amp;sourceID=20","")</f>
        <v/>
      </c>
    </row>
    <row r="135" spans="1:34">
      <c r="A135" s="3">
        <v>1</v>
      </c>
      <c r="B135" s="3">
        <v>1</v>
      </c>
      <c r="C135" s="3">
        <v>18</v>
      </c>
      <c r="D135" s="3">
        <v>2</v>
      </c>
      <c r="E135" s="3">
        <f>((1/(INDEX(E0!J$4:J$28,C135,1)-INDEX(E0!J$4:J$28,D135,1))))*100000000</f>
        <v>0</v>
      </c>
      <c r="F135" s="4" t="str">
        <f>HYPERLINK("http://141.218.60.56/~jnz1568/getInfo.php?workbook=01_01.xlsx&amp;sheet=A0&amp;row=135&amp;col=6&amp;number=&amp;sourceID=18","")</f>
        <v/>
      </c>
      <c r="G135" s="4" t="str">
        <f>HYPERLINK("http://141.218.60.56/~jnz1568/getInfo.php?workbook=01_01.xlsx&amp;sheet=A0&amp;row=135&amp;col=7&amp;number=429560&amp;sourceID=15","429560")</f>
        <v>429560</v>
      </c>
      <c r="H135" s="4" t="str">
        <f>HYPERLINK("http://141.218.60.56/~jnz1568/getInfo.php?workbook=01_01.xlsx&amp;sheet=A0&amp;row=135&amp;col=8&amp;number=429560&amp;sourceID=15","429560")</f>
        <v>429560</v>
      </c>
      <c r="I135" s="4" t="str">
        <f>HYPERLINK("http://141.218.60.56/~jnz1568/getInfo.php?workbook=01_01.xlsx&amp;sheet=A0&amp;row=135&amp;col=9&amp;number=&amp;sourceID=15","")</f>
        <v/>
      </c>
      <c r="J135" s="4" t="str">
        <f>HYPERLINK("http://141.218.60.56/~jnz1568/getInfo.php?workbook=01_01.xlsx&amp;sheet=A0&amp;row=135&amp;col=10&amp;number=&amp;sourceID=15","")</f>
        <v/>
      </c>
      <c r="K135" s="4" t="str">
        <f>HYPERLINK("http://141.218.60.56/~jnz1568/getInfo.php?workbook=01_01.xlsx&amp;sheet=A0&amp;row=135&amp;col=11&amp;number=&amp;sourceID=15","")</f>
        <v/>
      </c>
      <c r="L135" s="4" t="str">
        <f>HYPERLINK("http://141.218.60.56/~jnz1568/getInfo.php?workbook=01_01.xlsx&amp;sheet=A0&amp;row=135&amp;col=12&amp;number=&amp;sourceID=15","")</f>
        <v/>
      </c>
      <c r="M135" s="4" t="str">
        <f>HYPERLINK("http://141.218.60.56/~jnz1568/getInfo.php?workbook=01_01.xlsx&amp;sheet=A0&amp;row=135&amp;col=13&amp;number=&amp;sourceID=15","")</f>
        <v/>
      </c>
      <c r="N135" s="4" t="str">
        <f>HYPERLINK("http://141.218.60.56/~jnz1568/getInfo.php?workbook=01_01.xlsx&amp;sheet=A0&amp;row=135&amp;col=14&amp;number==&amp;sourceID=11","=")</f>
        <v>=</v>
      </c>
      <c r="O135" s="4" t="str">
        <f>HYPERLINK("http://141.218.60.56/~jnz1568/getInfo.php?workbook=01_01.xlsx&amp;sheet=A0&amp;row=135&amp;col=15&amp;number=429550&amp;sourceID=11","429550")</f>
        <v>429550</v>
      </c>
      <c r="P135" s="4" t="str">
        <f>HYPERLINK("http://141.218.60.56/~jnz1568/getInfo.php?workbook=01_01.xlsx&amp;sheet=A0&amp;row=135&amp;col=16&amp;number=&amp;sourceID=11","")</f>
        <v/>
      </c>
      <c r="Q135" s="4" t="str">
        <f>HYPERLINK("http://141.218.60.56/~jnz1568/getInfo.php?workbook=01_01.xlsx&amp;sheet=A0&amp;row=135&amp;col=17&amp;number=&amp;sourceID=11","")</f>
        <v/>
      </c>
      <c r="R135" s="4" t="str">
        <f>HYPERLINK("http://141.218.60.56/~jnz1568/getInfo.php?workbook=01_01.xlsx&amp;sheet=A0&amp;row=135&amp;col=18&amp;number=&amp;sourceID=11","")</f>
        <v/>
      </c>
      <c r="S135" s="4" t="str">
        <f>HYPERLINK("http://141.218.60.56/~jnz1568/getInfo.php?workbook=01_01.xlsx&amp;sheet=A0&amp;row=135&amp;col=19&amp;number=&amp;sourceID=11","")</f>
        <v/>
      </c>
      <c r="T135" s="4" t="str">
        <f>HYPERLINK("http://141.218.60.56/~jnz1568/getInfo.php?workbook=01_01.xlsx&amp;sheet=A0&amp;row=135&amp;col=20&amp;number=&amp;sourceID=11","")</f>
        <v/>
      </c>
      <c r="U135" s="4" t="str">
        <f>HYPERLINK("http://141.218.60.56/~jnz1568/getInfo.php?workbook=01_01.xlsx&amp;sheet=A0&amp;row=135&amp;col=21&amp;number=429790&amp;sourceID=12","429790")</f>
        <v>429790</v>
      </c>
      <c r="V135" s="4" t="str">
        <f>HYPERLINK("http://141.218.60.56/~jnz1568/getInfo.php?workbook=01_01.xlsx&amp;sheet=A0&amp;row=135&amp;col=22&amp;number=429790&amp;sourceID=12","429790")</f>
        <v>429790</v>
      </c>
      <c r="W135" s="4" t="str">
        <f>HYPERLINK("http://141.218.60.56/~jnz1568/getInfo.php?workbook=01_01.xlsx&amp;sheet=A0&amp;row=135&amp;col=23&amp;number=&amp;sourceID=12","")</f>
        <v/>
      </c>
      <c r="X135" s="4" t="str">
        <f>HYPERLINK("http://141.218.60.56/~jnz1568/getInfo.php?workbook=01_01.xlsx&amp;sheet=A0&amp;row=135&amp;col=24&amp;number=&amp;sourceID=12","")</f>
        <v/>
      </c>
      <c r="Y135" s="4" t="str">
        <f>HYPERLINK("http://141.218.60.56/~jnz1568/getInfo.php?workbook=01_01.xlsx&amp;sheet=A0&amp;row=135&amp;col=25&amp;number=&amp;sourceID=12","")</f>
        <v/>
      </c>
      <c r="Z135" s="4" t="str">
        <f>HYPERLINK("http://141.218.60.56/~jnz1568/getInfo.php?workbook=01_01.xlsx&amp;sheet=A0&amp;row=135&amp;col=26&amp;number=&amp;sourceID=12","")</f>
        <v/>
      </c>
      <c r="AA135" s="4" t="str">
        <f>HYPERLINK("http://141.218.60.56/~jnz1568/getInfo.php?workbook=01_01.xlsx&amp;sheet=A0&amp;row=135&amp;col=27&amp;number=&amp;sourceID=12","")</f>
        <v/>
      </c>
      <c r="AB135" s="4" t="str">
        <f>HYPERLINK("http://141.218.60.56/~jnz1568/getInfo.php?workbook=01_01.xlsx&amp;sheet=A0&amp;row=135&amp;col=28&amp;number=&amp;sourceID=18","")</f>
        <v/>
      </c>
      <c r="AC135" s="4" t="str">
        <f>HYPERLINK("http://141.218.60.56/~jnz1568/getInfo.php?workbook=01_01.xlsx&amp;sheet=A0&amp;row=135&amp;col=29&amp;number=&amp;sourceID=18","")</f>
        <v/>
      </c>
      <c r="AD135" s="4" t="str">
        <f>HYPERLINK("http://141.218.60.56/~jnz1568/getInfo.php?workbook=01_01.xlsx&amp;sheet=A0&amp;row=135&amp;col=30&amp;number=&amp;sourceID=18","")</f>
        <v/>
      </c>
      <c r="AE135" s="4" t="str">
        <f>HYPERLINK("http://141.218.60.56/~jnz1568/getInfo.php?workbook=01_01.xlsx&amp;sheet=A0&amp;row=135&amp;col=31&amp;number=&amp;sourceID=18","")</f>
        <v/>
      </c>
      <c r="AF135" s="4" t="str">
        <f>HYPERLINK("http://141.218.60.56/~jnz1568/getInfo.php?workbook=01_01.xlsx&amp;sheet=A0&amp;row=135&amp;col=32&amp;number=&amp;sourceID=18","")</f>
        <v/>
      </c>
      <c r="AG135" s="4" t="str">
        <f>HYPERLINK("http://141.218.60.56/~jnz1568/getInfo.php?workbook=01_01.xlsx&amp;sheet=A0&amp;row=135&amp;col=33&amp;number=&amp;sourceID=18","")</f>
        <v/>
      </c>
      <c r="AH135" s="4" t="str">
        <f>HYPERLINK("http://141.218.60.56/~jnz1568/getInfo.php?workbook=01_01.xlsx&amp;sheet=A0&amp;row=135&amp;col=34&amp;number=&amp;sourceID=20","")</f>
        <v/>
      </c>
    </row>
    <row r="136" spans="1:34">
      <c r="A136" s="3">
        <v>1</v>
      </c>
      <c r="B136" s="3">
        <v>1</v>
      </c>
      <c r="C136" s="3">
        <v>18</v>
      </c>
      <c r="D136" s="3">
        <v>3</v>
      </c>
      <c r="E136" s="3">
        <f>((1/(INDEX(E0!J$4:J$28,C136,1)-INDEX(E0!J$4:J$28,D136,1))))*100000000</f>
        <v>0</v>
      </c>
      <c r="F136" s="4" t="str">
        <f>HYPERLINK("http://141.218.60.56/~jnz1568/getInfo.php?workbook=01_01.xlsx&amp;sheet=A0&amp;row=136&amp;col=6&amp;number=&amp;sourceID=18","")</f>
        <v/>
      </c>
      <c r="G136" s="4" t="str">
        <f>HYPERLINK("http://141.218.60.56/~jnz1568/getInfo.php?workbook=01_01.xlsx&amp;sheet=A0&amp;row=136&amp;col=7&amp;number=&amp;sourceID=15","")</f>
        <v/>
      </c>
      <c r="H136" s="4" t="str">
        <f>HYPERLINK("http://141.218.60.56/~jnz1568/getInfo.php?workbook=01_01.xlsx&amp;sheet=A0&amp;row=136&amp;col=8&amp;number=&amp;sourceID=15","")</f>
        <v/>
      </c>
      <c r="I136" s="4" t="str">
        <f>HYPERLINK("http://141.218.60.56/~jnz1568/getInfo.php?workbook=01_01.xlsx&amp;sheet=A0&amp;row=136&amp;col=9&amp;number=&amp;sourceID=15","")</f>
        <v/>
      </c>
      <c r="J136" s="4" t="str">
        <f>HYPERLINK("http://141.218.60.56/~jnz1568/getInfo.php?workbook=01_01.xlsx&amp;sheet=A0&amp;row=136&amp;col=10&amp;number=&amp;sourceID=15","")</f>
        <v/>
      </c>
      <c r="K136" s="4" t="str">
        <f>HYPERLINK("http://141.218.60.56/~jnz1568/getInfo.php?workbook=01_01.xlsx&amp;sheet=A0&amp;row=136&amp;col=11&amp;number=&amp;sourceID=15","")</f>
        <v/>
      </c>
      <c r="L136" s="4" t="str">
        <f>HYPERLINK("http://141.218.60.56/~jnz1568/getInfo.php?workbook=01_01.xlsx&amp;sheet=A0&amp;row=136&amp;col=12&amp;number=&amp;sourceID=15","")</f>
        <v/>
      </c>
      <c r="M136" s="4" t="str">
        <f>HYPERLINK("http://141.218.60.56/~jnz1568/getInfo.php?workbook=01_01.xlsx&amp;sheet=A0&amp;row=136&amp;col=13&amp;number=&amp;sourceID=15","")</f>
        <v/>
      </c>
      <c r="N136" s="4" t="str">
        <f>HYPERLINK("http://141.218.60.56/~jnz1568/getInfo.php?workbook=01_01.xlsx&amp;sheet=A0&amp;row=136&amp;col=14&amp;number==&amp;sourceID=11","=")</f>
        <v>=</v>
      </c>
      <c r="O136" s="4" t="str">
        <f>HYPERLINK("http://141.218.60.56/~jnz1568/getInfo.php?workbook=01_01.xlsx&amp;sheet=A0&amp;row=136&amp;col=15&amp;number=&amp;sourceID=11","")</f>
        <v/>
      </c>
      <c r="P136" s="4" t="str">
        <f>HYPERLINK("http://141.218.60.56/~jnz1568/getInfo.php?workbook=01_01.xlsx&amp;sheet=A0&amp;row=136&amp;col=16&amp;number=&amp;sourceID=11","")</f>
        <v/>
      </c>
      <c r="Q136" s="4" t="str">
        <f>HYPERLINK("http://141.218.60.56/~jnz1568/getInfo.php?workbook=01_01.xlsx&amp;sheet=A0&amp;row=136&amp;col=17&amp;number=&amp;sourceID=11","")</f>
        <v/>
      </c>
      <c r="R136" s="4" t="str">
        <f>HYPERLINK("http://141.218.60.56/~jnz1568/getInfo.php?workbook=01_01.xlsx&amp;sheet=A0&amp;row=136&amp;col=18&amp;number=1.0788e-09&amp;sourceID=11","1.0788e-09")</f>
        <v>1.0788e-09</v>
      </c>
      <c r="S136" s="4" t="str">
        <f>HYPERLINK("http://141.218.60.56/~jnz1568/getInfo.php?workbook=01_01.xlsx&amp;sheet=A0&amp;row=136&amp;col=19&amp;number=&amp;sourceID=11","")</f>
        <v/>
      </c>
      <c r="T136" s="4" t="str">
        <f>HYPERLINK("http://141.218.60.56/~jnz1568/getInfo.php?workbook=01_01.xlsx&amp;sheet=A0&amp;row=136&amp;col=20&amp;number=&amp;sourceID=11","")</f>
        <v/>
      </c>
      <c r="U136" s="4" t="str">
        <f>HYPERLINK("http://141.218.60.56/~jnz1568/getInfo.php?workbook=01_01.xlsx&amp;sheet=A0&amp;row=136&amp;col=21&amp;number=9.6276e-10&amp;sourceID=12","9.6276e-10")</f>
        <v>9.6276e-10</v>
      </c>
      <c r="V136" s="4" t="str">
        <f>HYPERLINK("http://141.218.60.56/~jnz1568/getInfo.php?workbook=01_01.xlsx&amp;sheet=A0&amp;row=136&amp;col=22&amp;number=&amp;sourceID=12","")</f>
        <v/>
      </c>
      <c r="W136" s="4" t="str">
        <f>HYPERLINK("http://141.218.60.56/~jnz1568/getInfo.php?workbook=01_01.xlsx&amp;sheet=A0&amp;row=136&amp;col=23&amp;number=&amp;sourceID=12","")</f>
        <v/>
      </c>
      <c r="X136" s="4" t="str">
        <f>HYPERLINK("http://141.218.60.56/~jnz1568/getInfo.php?workbook=01_01.xlsx&amp;sheet=A0&amp;row=136&amp;col=24&amp;number=&amp;sourceID=12","")</f>
        <v/>
      </c>
      <c r="Y136" s="4" t="str">
        <f>HYPERLINK("http://141.218.60.56/~jnz1568/getInfo.php?workbook=01_01.xlsx&amp;sheet=A0&amp;row=136&amp;col=25&amp;number=9.6276e-10&amp;sourceID=12","9.6276e-10")</f>
        <v>9.6276e-10</v>
      </c>
      <c r="Z136" s="4" t="str">
        <f>HYPERLINK("http://141.218.60.56/~jnz1568/getInfo.php?workbook=01_01.xlsx&amp;sheet=A0&amp;row=136&amp;col=26&amp;number=&amp;sourceID=12","")</f>
        <v/>
      </c>
      <c r="AA136" s="4" t="str">
        <f>HYPERLINK("http://141.218.60.56/~jnz1568/getInfo.php?workbook=01_01.xlsx&amp;sheet=A0&amp;row=136&amp;col=27&amp;number=&amp;sourceID=12","")</f>
        <v/>
      </c>
      <c r="AB136" s="4" t="str">
        <f>HYPERLINK("http://141.218.60.56/~jnz1568/getInfo.php?workbook=01_01.xlsx&amp;sheet=A0&amp;row=136&amp;col=28&amp;number=&amp;sourceID=18","")</f>
        <v/>
      </c>
      <c r="AC136" s="4" t="str">
        <f>HYPERLINK("http://141.218.60.56/~jnz1568/getInfo.php?workbook=01_01.xlsx&amp;sheet=A0&amp;row=136&amp;col=29&amp;number=&amp;sourceID=18","")</f>
        <v/>
      </c>
      <c r="AD136" s="4" t="str">
        <f>HYPERLINK("http://141.218.60.56/~jnz1568/getInfo.php?workbook=01_01.xlsx&amp;sheet=A0&amp;row=136&amp;col=30&amp;number=&amp;sourceID=18","")</f>
        <v/>
      </c>
      <c r="AE136" s="4" t="str">
        <f>HYPERLINK("http://141.218.60.56/~jnz1568/getInfo.php?workbook=01_01.xlsx&amp;sheet=A0&amp;row=136&amp;col=31&amp;number=&amp;sourceID=18","")</f>
        <v/>
      </c>
      <c r="AF136" s="4" t="str">
        <f>HYPERLINK("http://141.218.60.56/~jnz1568/getInfo.php?workbook=01_01.xlsx&amp;sheet=A0&amp;row=136&amp;col=32&amp;number=&amp;sourceID=18","")</f>
        <v/>
      </c>
      <c r="AG136" s="4" t="str">
        <f>HYPERLINK("http://141.218.60.56/~jnz1568/getInfo.php?workbook=01_01.xlsx&amp;sheet=A0&amp;row=136&amp;col=33&amp;number=&amp;sourceID=18","")</f>
        <v/>
      </c>
      <c r="AH136" s="4" t="str">
        <f>HYPERLINK("http://141.218.60.56/~jnz1568/getInfo.php?workbook=01_01.xlsx&amp;sheet=A0&amp;row=136&amp;col=34&amp;number=&amp;sourceID=20","")</f>
        <v/>
      </c>
    </row>
    <row r="137" spans="1:34">
      <c r="A137" s="3">
        <v>1</v>
      </c>
      <c r="B137" s="3">
        <v>1</v>
      </c>
      <c r="C137" s="3">
        <v>18</v>
      </c>
      <c r="D137" s="3">
        <v>4</v>
      </c>
      <c r="E137" s="3">
        <f>((1/(INDEX(E0!J$4:J$28,C137,1)-INDEX(E0!J$4:J$28,D137,1))))*100000000</f>
        <v>0</v>
      </c>
      <c r="F137" s="4" t="str">
        <f>HYPERLINK("http://141.218.60.56/~jnz1568/getInfo.php?workbook=01_01.xlsx&amp;sheet=A0&amp;row=137&amp;col=6&amp;number=&amp;sourceID=18","")</f>
        <v/>
      </c>
      <c r="G137" s="4" t="str">
        <f>HYPERLINK("http://141.218.60.56/~jnz1568/getInfo.php?workbook=01_01.xlsx&amp;sheet=A0&amp;row=137&amp;col=7&amp;number=859200&amp;sourceID=15","859200")</f>
        <v>859200</v>
      </c>
      <c r="H137" s="4" t="str">
        <f>HYPERLINK("http://141.218.60.56/~jnz1568/getInfo.php?workbook=01_01.xlsx&amp;sheet=A0&amp;row=137&amp;col=8&amp;number=859200&amp;sourceID=15","859200")</f>
        <v>859200</v>
      </c>
      <c r="I137" s="4" t="str">
        <f>HYPERLINK("http://141.218.60.56/~jnz1568/getInfo.php?workbook=01_01.xlsx&amp;sheet=A0&amp;row=137&amp;col=9&amp;number=&amp;sourceID=15","")</f>
        <v/>
      </c>
      <c r="J137" s="4" t="str">
        <f>HYPERLINK("http://141.218.60.56/~jnz1568/getInfo.php?workbook=01_01.xlsx&amp;sheet=A0&amp;row=137&amp;col=10&amp;number=&amp;sourceID=15","")</f>
        <v/>
      </c>
      <c r="K137" s="4" t="str">
        <f>HYPERLINK("http://141.218.60.56/~jnz1568/getInfo.php?workbook=01_01.xlsx&amp;sheet=A0&amp;row=137&amp;col=11&amp;number=&amp;sourceID=15","")</f>
        <v/>
      </c>
      <c r="L137" s="4" t="str">
        <f>HYPERLINK("http://141.218.60.56/~jnz1568/getInfo.php?workbook=01_01.xlsx&amp;sheet=A0&amp;row=137&amp;col=12&amp;number=&amp;sourceID=15","")</f>
        <v/>
      </c>
      <c r="M137" s="4" t="str">
        <f>HYPERLINK("http://141.218.60.56/~jnz1568/getInfo.php?workbook=01_01.xlsx&amp;sheet=A0&amp;row=137&amp;col=13&amp;number=&amp;sourceID=15","")</f>
        <v/>
      </c>
      <c r="N137" s="4" t="str">
        <f>HYPERLINK("http://141.218.60.56/~jnz1568/getInfo.php?workbook=01_01.xlsx&amp;sheet=A0&amp;row=137&amp;col=14&amp;number==&amp;sourceID=11","=")</f>
        <v>=</v>
      </c>
      <c r="O137" s="4" t="str">
        <f>HYPERLINK("http://141.218.60.56/~jnz1568/getInfo.php?workbook=01_01.xlsx&amp;sheet=A0&amp;row=137&amp;col=15&amp;number=859200&amp;sourceID=11","859200")</f>
        <v>859200</v>
      </c>
      <c r="P137" s="4" t="str">
        <f>HYPERLINK("http://141.218.60.56/~jnz1568/getInfo.php?workbook=01_01.xlsx&amp;sheet=A0&amp;row=137&amp;col=16&amp;number=&amp;sourceID=11","")</f>
        <v/>
      </c>
      <c r="Q137" s="4" t="str">
        <f>HYPERLINK("http://141.218.60.56/~jnz1568/getInfo.php?workbook=01_01.xlsx&amp;sheet=A0&amp;row=137&amp;col=17&amp;number=&amp;sourceID=11","")</f>
        <v/>
      </c>
      <c r="R137" s="4" t="str">
        <f>HYPERLINK("http://141.218.60.56/~jnz1568/getInfo.php?workbook=01_01.xlsx&amp;sheet=A0&amp;row=137&amp;col=18&amp;number=&amp;sourceID=11","")</f>
        <v/>
      </c>
      <c r="S137" s="4" t="str">
        <f>HYPERLINK("http://141.218.60.56/~jnz1568/getInfo.php?workbook=01_01.xlsx&amp;sheet=A0&amp;row=137&amp;col=19&amp;number=5.0366e-06&amp;sourceID=11","5.0366e-06")</f>
        <v>5.0366e-06</v>
      </c>
      <c r="T137" s="4" t="str">
        <f>HYPERLINK("http://141.218.60.56/~jnz1568/getInfo.php?workbook=01_01.xlsx&amp;sheet=A0&amp;row=137&amp;col=20&amp;number=&amp;sourceID=11","")</f>
        <v/>
      </c>
      <c r="U137" s="4" t="str">
        <f>HYPERLINK("http://141.218.60.56/~jnz1568/getInfo.php?workbook=01_01.xlsx&amp;sheet=A0&amp;row=137&amp;col=21&amp;number=859660&amp;sourceID=12","859660")</f>
        <v>859660</v>
      </c>
      <c r="V137" s="4" t="str">
        <f>HYPERLINK("http://141.218.60.56/~jnz1568/getInfo.php?workbook=01_01.xlsx&amp;sheet=A0&amp;row=137&amp;col=22&amp;number=859660&amp;sourceID=12","859660")</f>
        <v>859660</v>
      </c>
      <c r="W137" s="4" t="str">
        <f>HYPERLINK("http://141.218.60.56/~jnz1568/getInfo.php?workbook=01_01.xlsx&amp;sheet=A0&amp;row=137&amp;col=23&amp;number=&amp;sourceID=12","")</f>
        <v/>
      </c>
      <c r="X137" s="4" t="str">
        <f>HYPERLINK("http://141.218.60.56/~jnz1568/getInfo.php?workbook=01_01.xlsx&amp;sheet=A0&amp;row=137&amp;col=24&amp;number=&amp;sourceID=12","")</f>
        <v/>
      </c>
      <c r="Y137" s="4" t="str">
        <f>HYPERLINK("http://141.218.60.56/~jnz1568/getInfo.php?workbook=01_01.xlsx&amp;sheet=A0&amp;row=137&amp;col=25&amp;number=&amp;sourceID=12","")</f>
        <v/>
      </c>
      <c r="Z137" s="4" t="str">
        <f>HYPERLINK("http://141.218.60.56/~jnz1568/getInfo.php?workbook=01_01.xlsx&amp;sheet=A0&amp;row=137&amp;col=26&amp;number=5.0394e-06&amp;sourceID=12","5.0394e-06")</f>
        <v>5.0394e-06</v>
      </c>
      <c r="AA137" s="4" t="str">
        <f>HYPERLINK("http://141.218.60.56/~jnz1568/getInfo.php?workbook=01_01.xlsx&amp;sheet=A0&amp;row=137&amp;col=27&amp;number=&amp;sourceID=12","")</f>
        <v/>
      </c>
      <c r="AB137" s="4" t="str">
        <f>HYPERLINK("http://141.218.60.56/~jnz1568/getInfo.php?workbook=01_01.xlsx&amp;sheet=A0&amp;row=137&amp;col=28&amp;number=&amp;sourceID=18","")</f>
        <v/>
      </c>
      <c r="AC137" s="4" t="str">
        <f>HYPERLINK("http://141.218.60.56/~jnz1568/getInfo.php?workbook=01_01.xlsx&amp;sheet=A0&amp;row=137&amp;col=29&amp;number=&amp;sourceID=18","")</f>
        <v/>
      </c>
      <c r="AD137" s="4" t="str">
        <f>HYPERLINK("http://141.218.60.56/~jnz1568/getInfo.php?workbook=01_01.xlsx&amp;sheet=A0&amp;row=137&amp;col=30&amp;number=&amp;sourceID=18","")</f>
        <v/>
      </c>
      <c r="AE137" s="4" t="str">
        <f>HYPERLINK("http://141.218.60.56/~jnz1568/getInfo.php?workbook=01_01.xlsx&amp;sheet=A0&amp;row=137&amp;col=31&amp;number=&amp;sourceID=18","")</f>
        <v/>
      </c>
      <c r="AF137" s="4" t="str">
        <f>HYPERLINK("http://141.218.60.56/~jnz1568/getInfo.php?workbook=01_01.xlsx&amp;sheet=A0&amp;row=137&amp;col=32&amp;number=&amp;sourceID=18","")</f>
        <v/>
      </c>
      <c r="AG137" s="4" t="str">
        <f>HYPERLINK("http://141.218.60.56/~jnz1568/getInfo.php?workbook=01_01.xlsx&amp;sheet=A0&amp;row=137&amp;col=33&amp;number=&amp;sourceID=18","")</f>
        <v/>
      </c>
      <c r="AH137" s="4" t="str">
        <f>HYPERLINK("http://141.218.60.56/~jnz1568/getInfo.php?workbook=01_01.xlsx&amp;sheet=A0&amp;row=137&amp;col=34&amp;number=&amp;sourceID=20","")</f>
        <v/>
      </c>
    </row>
    <row r="138" spans="1:34">
      <c r="A138" s="3">
        <v>1</v>
      </c>
      <c r="B138" s="3">
        <v>1</v>
      </c>
      <c r="C138" s="3">
        <v>18</v>
      </c>
      <c r="D138" s="3">
        <v>5</v>
      </c>
      <c r="E138" s="3">
        <f>((1/(INDEX(E0!J$4:J$28,C138,1)-INDEX(E0!J$4:J$28,D138,1))))*100000000</f>
        <v>0</v>
      </c>
      <c r="F138" s="4" t="str">
        <f>HYPERLINK("http://141.218.60.56/~jnz1568/getInfo.php?workbook=01_01.xlsx&amp;sheet=A0&amp;row=138&amp;col=6&amp;number=&amp;sourceID=18","")</f>
        <v/>
      </c>
      <c r="G138" s="4" t="str">
        <f>HYPERLINK("http://141.218.60.56/~jnz1568/getInfo.php?workbook=01_01.xlsx&amp;sheet=A0&amp;row=138&amp;col=7&amp;number=301570&amp;sourceID=15","301570")</f>
        <v>301570</v>
      </c>
      <c r="H138" s="4" t="str">
        <f>HYPERLINK("http://141.218.60.56/~jnz1568/getInfo.php?workbook=01_01.xlsx&amp;sheet=A0&amp;row=138&amp;col=8&amp;number=301570&amp;sourceID=15","301570")</f>
        <v>301570</v>
      </c>
      <c r="I138" s="4" t="str">
        <f>HYPERLINK("http://141.218.60.56/~jnz1568/getInfo.php?workbook=01_01.xlsx&amp;sheet=A0&amp;row=138&amp;col=9&amp;number=&amp;sourceID=15","")</f>
        <v/>
      </c>
      <c r="J138" s="4" t="str">
        <f>HYPERLINK("http://141.218.60.56/~jnz1568/getInfo.php?workbook=01_01.xlsx&amp;sheet=A0&amp;row=138&amp;col=10&amp;number=&amp;sourceID=15","")</f>
        <v/>
      </c>
      <c r="K138" s="4" t="str">
        <f>HYPERLINK("http://141.218.60.56/~jnz1568/getInfo.php?workbook=01_01.xlsx&amp;sheet=A0&amp;row=138&amp;col=11&amp;number=&amp;sourceID=15","")</f>
        <v/>
      </c>
      <c r="L138" s="4" t="str">
        <f>HYPERLINK("http://141.218.60.56/~jnz1568/getInfo.php?workbook=01_01.xlsx&amp;sheet=A0&amp;row=138&amp;col=12&amp;number=&amp;sourceID=15","")</f>
        <v/>
      </c>
      <c r="M138" s="4" t="str">
        <f>HYPERLINK("http://141.218.60.56/~jnz1568/getInfo.php?workbook=01_01.xlsx&amp;sheet=A0&amp;row=138&amp;col=13&amp;number=&amp;sourceID=15","")</f>
        <v/>
      </c>
      <c r="N138" s="4" t="str">
        <f>HYPERLINK("http://141.218.60.56/~jnz1568/getInfo.php?workbook=01_01.xlsx&amp;sheet=A0&amp;row=138&amp;col=14&amp;number==&amp;sourceID=11","=")</f>
        <v>=</v>
      </c>
      <c r="O138" s="4" t="str">
        <f>HYPERLINK("http://141.218.60.56/~jnz1568/getInfo.php?workbook=01_01.xlsx&amp;sheet=A0&amp;row=138&amp;col=15&amp;number=301570&amp;sourceID=11","301570")</f>
        <v>301570</v>
      </c>
      <c r="P138" s="4" t="str">
        <f>HYPERLINK("http://141.218.60.56/~jnz1568/getInfo.php?workbook=01_01.xlsx&amp;sheet=A0&amp;row=138&amp;col=16&amp;number=&amp;sourceID=11","")</f>
        <v/>
      </c>
      <c r="Q138" s="4" t="str">
        <f>HYPERLINK("http://141.218.60.56/~jnz1568/getInfo.php?workbook=01_01.xlsx&amp;sheet=A0&amp;row=138&amp;col=17&amp;number=&amp;sourceID=11","")</f>
        <v/>
      </c>
      <c r="R138" s="4" t="str">
        <f>HYPERLINK("http://141.218.60.56/~jnz1568/getInfo.php?workbook=01_01.xlsx&amp;sheet=A0&amp;row=138&amp;col=18&amp;number=&amp;sourceID=11","")</f>
        <v/>
      </c>
      <c r="S138" s="4" t="str">
        <f>HYPERLINK("http://141.218.60.56/~jnz1568/getInfo.php?workbook=01_01.xlsx&amp;sheet=A0&amp;row=138&amp;col=19&amp;number=&amp;sourceID=11","")</f>
        <v/>
      </c>
      <c r="T138" s="4" t="str">
        <f>HYPERLINK("http://141.218.60.56/~jnz1568/getInfo.php?workbook=01_01.xlsx&amp;sheet=A0&amp;row=138&amp;col=20&amp;number=&amp;sourceID=11","")</f>
        <v/>
      </c>
      <c r="U138" s="4" t="str">
        <f>HYPERLINK("http://141.218.60.56/~jnz1568/getInfo.php?workbook=01_01.xlsx&amp;sheet=A0&amp;row=138&amp;col=21&amp;number=301740&amp;sourceID=12","301740")</f>
        <v>301740</v>
      </c>
      <c r="V138" s="4" t="str">
        <f>HYPERLINK("http://141.218.60.56/~jnz1568/getInfo.php?workbook=01_01.xlsx&amp;sheet=A0&amp;row=138&amp;col=22&amp;number=301740&amp;sourceID=12","301740")</f>
        <v>301740</v>
      </c>
      <c r="W138" s="4" t="str">
        <f>HYPERLINK("http://141.218.60.56/~jnz1568/getInfo.php?workbook=01_01.xlsx&amp;sheet=A0&amp;row=138&amp;col=23&amp;number=&amp;sourceID=12","")</f>
        <v/>
      </c>
      <c r="X138" s="4" t="str">
        <f>HYPERLINK("http://141.218.60.56/~jnz1568/getInfo.php?workbook=01_01.xlsx&amp;sheet=A0&amp;row=138&amp;col=24&amp;number=&amp;sourceID=12","")</f>
        <v/>
      </c>
      <c r="Y138" s="4" t="str">
        <f>HYPERLINK("http://141.218.60.56/~jnz1568/getInfo.php?workbook=01_01.xlsx&amp;sheet=A0&amp;row=138&amp;col=25&amp;number=&amp;sourceID=12","")</f>
        <v/>
      </c>
      <c r="Z138" s="4" t="str">
        <f>HYPERLINK("http://141.218.60.56/~jnz1568/getInfo.php?workbook=01_01.xlsx&amp;sheet=A0&amp;row=138&amp;col=26&amp;number=&amp;sourceID=12","")</f>
        <v/>
      </c>
      <c r="AA138" s="4" t="str">
        <f>HYPERLINK("http://141.218.60.56/~jnz1568/getInfo.php?workbook=01_01.xlsx&amp;sheet=A0&amp;row=138&amp;col=27&amp;number=&amp;sourceID=12","")</f>
        <v/>
      </c>
      <c r="AB138" s="4" t="str">
        <f>HYPERLINK("http://141.218.60.56/~jnz1568/getInfo.php?workbook=01_01.xlsx&amp;sheet=A0&amp;row=138&amp;col=28&amp;number=&amp;sourceID=18","")</f>
        <v/>
      </c>
      <c r="AC138" s="4" t="str">
        <f>HYPERLINK("http://141.218.60.56/~jnz1568/getInfo.php?workbook=01_01.xlsx&amp;sheet=A0&amp;row=138&amp;col=29&amp;number=&amp;sourceID=18","")</f>
        <v/>
      </c>
      <c r="AD138" s="4" t="str">
        <f>HYPERLINK("http://141.218.60.56/~jnz1568/getInfo.php?workbook=01_01.xlsx&amp;sheet=A0&amp;row=138&amp;col=30&amp;number=&amp;sourceID=18","")</f>
        <v/>
      </c>
      <c r="AE138" s="4" t="str">
        <f>HYPERLINK("http://141.218.60.56/~jnz1568/getInfo.php?workbook=01_01.xlsx&amp;sheet=A0&amp;row=138&amp;col=31&amp;number=&amp;sourceID=18","")</f>
        <v/>
      </c>
      <c r="AF138" s="4" t="str">
        <f>HYPERLINK("http://141.218.60.56/~jnz1568/getInfo.php?workbook=01_01.xlsx&amp;sheet=A0&amp;row=138&amp;col=32&amp;number=&amp;sourceID=18","")</f>
        <v/>
      </c>
      <c r="AG138" s="4" t="str">
        <f>HYPERLINK("http://141.218.60.56/~jnz1568/getInfo.php?workbook=01_01.xlsx&amp;sheet=A0&amp;row=138&amp;col=33&amp;number=&amp;sourceID=18","")</f>
        <v/>
      </c>
      <c r="AH138" s="4" t="str">
        <f>HYPERLINK("http://141.218.60.56/~jnz1568/getInfo.php?workbook=01_01.xlsx&amp;sheet=A0&amp;row=138&amp;col=34&amp;number=&amp;sourceID=20","")</f>
        <v/>
      </c>
    </row>
    <row r="139" spans="1:34">
      <c r="A139" s="3">
        <v>1</v>
      </c>
      <c r="B139" s="3">
        <v>1</v>
      </c>
      <c r="C139" s="3">
        <v>18</v>
      </c>
      <c r="D139" s="3">
        <v>6</v>
      </c>
      <c r="E139" s="3">
        <f>((1/(INDEX(E0!J$4:J$28,C139,1)-INDEX(E0!J$4:J$28,D139,1))))*100000000</f>
        <v>0</v>
      </c>
      <c r="F139" s="4" t="str">
        <f>HYPERLINK("http://141.218.60.56/~jnz1568/getInfo.php?workbook=01_01.xlsx&amp;sheet=A0&amp;row=139&amp;col=6&amp;number=&amp;sourceID=18","")</f>
        <v/>
      </c>
      <c r="G139" s="4" t="str">
        <f>HYPERLINK("http://141.218.60.56/~jnz1568/getInfo.php?workbook=01_01.xlsx&amp;sheet=A0&amp;row=139&amp;col=7&amp;number=&amp;sourceID=15","")</f>
        <v/>
      </c>
      <c r="H139" s="4" t="str">
        <f>HYPERLINK("http://141.218.60.56/~jnz1568/getInfo.php?workbook=01_01.xlsx&amp;sheet=A0&amp;row=139&amp;col=8&amp;number=&amp;sourceID=15","")</f>
        <v/>
      </c>
      <c r="I139" s="4" t="str">
        <f>HYPERLINK("http://141.218.60.56/~jnz1568/getInfo.php?workbook=01_01.xlsx&amp;sheet=A0&amp;row=139&amp;col=9&amp;number=&amp;sourceID=15","")</f>
        <v/>
      </c>
      <c r="J139" s="4" t="str">
        <f>HYPERLINK("http://141.218.60.56/~jnz1568/getInfo.php?workbook=01_01.xlsx&amp;sheet=A0&amp;row=139&amp;col=10&amp;number=&amp;sourceID=15","")</f>
        <v/>
      </c>
      <c r="K139" s="4" t="str">
        <f>HYPERLINK("http://141.218.60.56/~jnz1568/getInfo.php?workbook=01_01.xlsx&amp;sheet=A0&amp;row=139&amp;col=11&amp;number=&amp;sourceID=15","")</f>
        <v/>
      </c>
      <c r="L139" s="4" t="str">
        <f>HYPERLINK("http://141.218.60.56/~jnz1568/getInfo.php?workbook=01_01.xlsx&amp;sheet=A0&amp;row=139&amp;col=12&amp;number=&amp;sourceID=15","")</f>
        <v/>
      </c>
      <c r="M139" s="4" t="str">
        <f>HYPERLINK("http://141.218.60.56/~jnz1568/getInfo.php?workbook=01_01.xlsx&amp;sheet=A0&amp;row=139&amp;col=13&amp;number=&amp;sourceID=15","")</f>
        <v/>
      </c>
      <c r="N139" s="4" t="str">
        <f>HYPERLINK("http://141.218.60.56/~jnz1568/getInfo.php?workbook=01_01.xlsx&amp;sheet=A0&amp;row=139&amp;col=14&amp;number==&amp;sourceID=11","=")</f>
        <v>=</v>
      </c>
      <c r="O139" s="4" t="str">
        <f>HYPERLINK("http://141.218.60.56/~jnz1568/getInfo.php?workbook=01_01.xlsx&amp;sheet=A0&amp;row=139&amp;col=15&amp;number=&amp;sourceID=11","")</f>
        <v/>
      </c>
      <c r="P139" s="4" t="str">
        <f>HYPERLINK("http://141.218.60.56/~jnz1568/getInfo.php?workbook=01_01.xlsx&amp;sheet=A0&amp;row=139&amp;col=16&amp;number=&amp;sourceID=11","")</f>
        <v/>
      </c>
      <c r="Q139" s="4" t="str">
        <f>HYPERLINK("http://141.218.60.56/~jnz1568/getInfo.php?workbook=01_01.xlsx&amp;sheet=A0&amp;row=139&amp;col=17&amp;number=&amp;sourceID=11","")</f>
        <v/>
      </c>
      <c r="R139" s="4" t="str">
        <f>HYPERLINK("http://141.218.60.56/~jnz1568/getInfo.php?workbook=01_01.xlsx&amp;sheet=A0&amp;row=139&amp;col=18&amp;number=2.5845e-11&amp;sourceID=11","2.5845e-11")</f>
        <v>2.5845e-11</v>
      </c>
      <c r="S139" s="4" t="str">
        <f>HYPERLINK("http://141.218.60.56/~jnz1568/getInfo.php?workbook=01_01.xlsx&amp;sheet=A0&amp;row=139&amp;col=19&amp;number=&amp;sourceID=11","")</f>
        <v/>
      </c>
      <c r="T139" s="4" t="str">
        <f>HYPERLINK("http://141.218.60.56/~jnz1568/getInfo.php?workbook=01_01.xlsx&amp;sheet=A0&amp;row=139&amp;col=20&amp;number=&amp;sourceID=11","")</f>
        <v/>
      </c>
      <c r="U139" s="4" t="str">
        <f>HYPERLINK("http://141.218.60.56/~jnz1568/getInfo.php?workbook=01_01.xlsx&amp;sheet=A0&amp;row=139&amp;col=21&amp;number=2.6248e-11&amp;sourceID=12","2.6248e-11")</f>
        <v>2.6248e-11</v>
      </c>
      <c r="V139" s="4" t="str">
        <f>HYPERLINK("http://141.218.60.56/~jnz1568/getInfo.php?workbook=01_01.xlsx&amp;sheet=A0&amp;row=139&amp;col=22&amp;number=&amp;sourceID=12","")</f>
        <v/>
      </c>
      <c r="W139" s="4" t="str">
        <f>HYPERLINK("http://141.218.60.56/~jnz1568/getInfo.php?workbook=01_01.xlsx&amp;sheet=A0&amp;row=139&amp;col=23&amp;number=&amp;sourceID=12","")</f>
        <v/>
      </c>
      <c r="X139" s="4" t="str">
        <f>HYPERLINK("http://141.218.60.56/~jnz1568/getInfo.php?workbook=01_01.xlsx&amp;sheet=A0&amp;row=139&amp;col=24&amp;number=&amp;sourceID=12","")</f>
        <v/>
      </c>
      <c r="Y139" s="4" t="str">
        <f>HYPERLINK("http://141.218.60.56/~jnz1568/getInfo.php?workbook=01_01.xlsx&amp;sheet=A0&amp;row=139&amp;col=25&amp;number=2.6248e-11&amp;sourceID=12","2.6248e-11")</f>
        <v>2.6248e-11</v>
      </c>
      <c r="Z139" s="4" t="str">
        <f>HYPERLINK("http://141.218.60.56/~jnz1568/getInfo.php?workbook=01_01.xlsx&amp;sheet=A0&amp;row=139&amp;col=26&amp;number=&amp;sourceID=12","")</f>
        <v/>
      </c>
      <c r="AA139" s="4" t="str">
        <f>HYPERLINK("http://141.218.60.56/~jnz1568/getInfo.php?workbook=01_01.xlsx&amp;sheet=A0&amp;row=139&amp;col=27&amp;number=&amp;sourceID=12","")</f>
        <v/>
      </c>
      <c r="AB139" s="4" t="str">
        <f>HYPERLINK("http://141.218.60.56/~jnz1568/getInfo.php?workbook=01_01.xlsx&amp;sheet=A0&amp;row=139&amp;col=28&amp;number=&amp;sourceID=18","")</f>
        <v/>
      </c>
      <c r="AC139" s="4" t="str">
        <f>HYPERLINK("http://141.218.60.56/~jnz1568/getInfo.php?workbook=01_01.xlsx&amp;sheet=A0&amp;row=139&amp;col=29&amp;number=&amp;sourceID=18","")</f>
        <v/>
      </c>
      <c r="AD139" s="4" t="str">
        <f>HYPERLINK("http://141.218.60.56/~jnz1568/getInfo.php?workbook=01_01.xlsx&amp;sheet=A0&amp;row=139&amp;col=30&amp;number=&amp;sourceID=18","")</f>
        <v/>
      </c>
      <c r="AE139" s="4" t="str">
        <f>HYPERLINK("http://141.218.60.56/~jnz1568/getInfo.php?workbook=01_01.xlsx&amp;sheet=A0&amp;row=139&amp;col=31&amp;number=&amp;sourceID=18","")</f>
        <v/>
      </c>
      <c r="AF139" s="4" t="str">
        <f>HYPERLINK("http://141.218.60.56/~jnz1568/getInfo.php?workbook=01_01.xlsx&amp;sheet=A0&amp;row=139&amp;col=32&amp;number=&amp;sourceID=18","")</f>
        <v/>
      </c>
      <c r="AG139" s="4" t="str">
        <f>HYPERLINK("http://141.218.60.56/~jnz1568/getInfo.php?workbook=01_01.xlsx&amp;sheet=A0&amp;row=139&amp;col=33&amp;number=&amp;sourceID=18","")</f>
        <v/>
      </c>
      <c r="AH139" s="4" t="str">
        <f>HYPERLINK("http://141.218.60.56/~jnz1568/getInfo.php?workbook=01_01.xlsx&amp;sheet=A0&amp;row=139&amp;col=34&amp;number=&amp;sourceID=20","")</f>
        <v/>
      </c>
    </row>
    <row r="140" spans="1:34">
      <c r="A140" s="3">
        <v>1</v>
      </c>
      <c r="B140" s="3">
        <v>1</v>
      </c>
      <c r="C140" s="3">
        <v>18</v>
      </c>
      <c r="D140" s="3">
        <v>7</v>
      </c>
      <c r="E140" s="3">
        <f>((1/(INDEX(E0!J$4:J$28,C140,1)-INDEX(E0!J$4:J$28,D140,1))))*100000000</f>
        <v>0</v>
      </c>
      <c r="F140" s="4" t="str">
        <f>HYPERLINK("http://141.218.60.56/~jnz1568/getInfo.php?workbook=01_01.xlsx&amp;sheet=A0&amp;row=140&amp;col=6&amp;number=&amp;sourceID=18","")</f>
        <v/>
      </c>
      <c r="G140" s="4" t="str">
        <f>HYPERLINK("http://141.218.60.56/~jnz1568/getInfo.php?workbook=01_01.xlsx&amp;sheet=A0&amp;row=140&amp;col=7&amp;number=&amp;sourceID=15","")</f>
        <v/>
      </c>
      <c r="H140" s="4" t="str">
        <f>HYPERLINK("http://141.218.60.56/~jnz1568/getInfo.php?workbook=01_01.xlsx&amp;sheet=A0&amp;row=140&amp;col=8&amp;number=&amp;sourceID=15","")</f>
        <v/>
      </c>
      <c r="I140" s="4" t="str">
        <f>HYPERLINK("http://141.218.60.56/~jnz1568/getInfo.php?workbook=01_01.xlsx&amp;sheet=A0&amp;row=140&amp;col=9&amp;number=&amp;sourceID=15","")</f>
        <v/>
      </c>
      <c r="J140" s="4" t="str">
        <f>HYPERLINK("http://141.218.60.56/~jnz1568/getInfo.php?workbook=01_01.xlsx&amp;sheet=A0&amp;row=140&amp;col=10&amp;number=&amp;sourceID=15","")</f>
        <v/>
      </c>
      <c r="K140" s="4" t="str">
        <f>HYPERLINK("http://141.218.60.56/~jnz1568/getInfo.php?workbook=01_01.xlsx&amp;sheet=A0&amp;row=140&amp;col=11&amp;number=&amp;sourceID=15","")</f>
        <v/>
      </c>
      <c r="L140" s="4" t="str">
        <f>HYPERLINK("http://141.218.60.56/~jnz1568/getInfo.php?workbook=01_01.xlsx&amp;sheet=A0&amp;row=140&amp;col=12&amp;number=&amp;sourceID=15","")</f>
        <v/>
      </c>
      <c r="M140" s="4" t="str">
        <f>HYPERLINK("http://141.218.60.56/~jnz1568/getInfo.php?workbook=01_01.xlsx&amp;sheet=A0&amp;row=140&amp;col=13&amp;number=&amp;sourceID=15","")</f>
        <v/>
      </c>
      <c r="N140" s="4" t="str">
        <f>HYPERLINK("http://141.218.60.56/~jnz1568/getInfo.php?workbook=01_01.xlsx&amp;sheet=A0&amp;row=140&amp;col=14&amp;number==&amp;sourceID=11","=")</f>
        <v>=</v>
      </c>
      <c r="O140" s="4" t="str">
        <f>HYPERLINK("http://141.218.60.56/~jnz1568/getInfo.php?workbook=01_01.xlsx&amp;sheet=A0&amp;row=140&amp;col=15&amp;number=&amp;sourceID=11","")</f>
        <v/>
      </c>
      <c r="P140" s="4" t="str">
        <f>HYPERLINK("http://141.218.60.56/~jnz1568/getInfo.php?workbook=01_01.xlsx&amp;sheet=A0&amp;row=140&amp;col=16&amp;number=0.25553&amp;sourceID=11","0.25553")</f>
        <v>0.25553</v>
      </c>
      <c r="Q140" s="4" t="str">
        <f>HYPERLINK("http://141.218.60.56/~jnz1568/getInfo.php?workbook=01_01.xlsx&amp;sheet=A0&amp;row=140&amp;col=17&amp;number=&amp;sourceID=11","")</f>
        <v/>
      </c>
      <c r="R140" s="4" t="str">
        <f>HYPERLINK("http://141.218.60.56/~jnz1568/getInfo.php?workbook=01_01.xlsx&amp;sheet=A0&amp;row=140&amp;col=18&amp;number=1e-15&amp;sourceID=11","1e-15")</f>
        <v>1e-15</v>
      </c>
      <c r="S140" s="4" t="str">
        <f>HYPERLINK("http://141.218.60.56/~jnz1568/getInfo.php?workbook=01_01.xlsx&amp;sheet=A0&amp;row=140&amp;col=19&amp;number=&amp;sourceID=11","")</f>
        <v/>
      </c>
      <c r="T140" s="4" t="str">
        <f>HYPERLINK("http://141.218.60.56/~jnz1568/getInfo.php?workbook=01_01.xlsx&amp;sheet=A0&amp;row=140&amp;col=20&amp;number=&amp;sourceID=11","")</f>
        <v/>
      </c>
      <c r="U140" s="4" t="str">
        <f>HYPERLINK("http://141.218.60.56/~jnz1568/getInfo.php?workbook=01_01.xlsx&amp;sheet=A0&amp;row=140&amp;col=21&amp;number=0.25567&amp;sourceID=12","0.25567")</f>
        <v>0.25567</v>
      </c>
      <c r="V140" s="4" t="str">
        <f>HYPERLINK("http://141.218.60.56/~jnz1568/getInfo.php?workbook=01_01.xlsx&amp;sheet=A0&amp;row=140&amp;col=22&amp;number=&amp;sourceID=12","")</f>
        <v/>
      </c>
      <c r="W140" s="4" t="str">
        <f>HYPERLINK("http://141.218.60.56/~jnz1568/getInfo.php?workbook=01_01.xlsx&amp;sheet=A0&amp;row=140&amp;col=23&amp;number=0.25567&amp;sourceID=12","0.25567")</f>
        <v>0.25567</v>
      </c>
      <c r="X140" s="4" t="str">
        <f>HYPERLINK("http://141.218.60.56/~jnz1568/getInfo.php?workbook=01_01.xlsx&amp;sheet=A0&amp;row=140&amp;col=24&amp;number=&amp;sourceID=12","")</f>
        <v/>
      </c>
      <c r="Y140" s="4" t="str">
        <f>HYPERLINK("http://141.218.60.56/~jnz1568/getInfo.php?workbook=01_01.xlsx&amp;sheet=A0&amp;row=140&amp;col=25&amp;number=2e-15&amp;sourceID=12","2e-15")</f>
        <v>2e-15</v>
      </c>
      <c r="Z140" s="4" t="str">
        <f>HYPERLINK("http://141.218.60.56/~jnz1568/getInfo.php?workbook=01_01.xlsx&amp;sheet=A0&amp;row=140&amp;col=26&amp;number=&amp;sourceID=12","")</f>
        <v/>
      </c>
      <c r="AA140" s="4" t="str">
        <f>HYPERLINK("http://141.218.60.56/~jnz1568/getInfo.php?workbook=01_01.xlsx&amp;sheet=A0&amp;row=140&amp;col=27&amp;number=&amp;sourceID=12","")</f>
        <v/>
      </c>
      <c r="AB140" s="4" t="str">
        <f>HYPERLINK("http://141.218.60.56/~jnz1568/getInfo.php?workbook=01_01.xlsx&amp;sheet=A0&amp;row=140&amp;col=28&amp;number=&amp;sourceID=18","")</f>
        <v/>
      </c>
      <c r="AC140" s="4" t="str">
        <f>HYPERLINK("http://141.218.60.56/~jnz1568/getInfo.php?workbook=01_01.xlsx&amp;sheet=A0&amp;row=140&amp;col=29&amp;number=&amp;sourceID=18","")</f>
        <v/>
      </c>
      <c r="AD140" s="4" t="str">
        <f>HYPERLINK("http://141.218.60.56/~jnz1568/getInfo.php?workbook=01_01.xlsx&amp;sheet=A0&amp;row=140&amp;col=30&amp;number=&amp;sourceID=18","")</f>
        <v/>
      </c>
      <c r="AE140" s="4" t="str">
        <f>HYPERLINK("http://141.218.60.56/~jnz1568/getInfo.php?workbook=01_01.xlsx&amp;sheet=A0&amp;row=140&amp;col=31&amp;number=&amp;sourceID=18","")</f>
        <v/>
      </c>
      <c r="AF140" s="4" t="str">
        <f>HYPERLINK("http://141.218.60.56/~jnz1568/getInfo.php?workbook=01_01.xlsx&amp;sheet=A0&amp;row=140&amp;col=32&amp;number=&amp;sourceID=18","")</f>
        <v/>
      </c>
      <c r="AG140" s="4" t="str">
        <f>HYPERLINK("http://141.218.60.56/~jnz1568/getInfo.php?workbook=01_01.xlsx&amp;sheet=A0&amp;row=140&amp;col=33&amp;number=&amp;sourceID=18","")</f>
        <v/>
      </c>
      <c r="AH140" s="4" t="str">
        <f>HYPERLINK("http://141.218.60.56/~jnz1568/getInfo.php?workbook=01_01.xlsx&amp;sheet=A0&amp;row=140&amp;col=34&amp;number=&amp;sourceID=20","")</f>
        <v/>
      </c>
    </row>
    <row r="141" spans="1:34">
      <c r="A141" s="3">
        <v>1</v>
      </c>
      <c r="B141" s="3">
        <v>1</v>
      </c>
      <c r="C141" s="3">
        <v>18</v>
      </c>
      <c r="D141" s="3">
        <v>8</v>
      </c>
      <c r="E141" s="3">
        <f>((1/(INDEX(E0!J$4:J$28,C141,1)-INDEX(E0!J$4:J$28,D141,1))))*100000000</f>
        <v>0</v>
      </c>
      <c r="F141" s="4" t="str">
        <f>HYPERLINK("http://141.218.60.56/~jnz1568/getInfo.php?workbook=01_01.xlsx&amp;sheet=A0&amp;row=141&amp;col=6&amp;number=&amp;sourceID=18","")</f>
        <v/>
      </c>
      <c r="G141" s="4" t="str">
        <f>HYPERLINK("http://141.218.60.56/~jnz1568/getInfo.php?workbook=01_01.xlsx&amp;sheet=A0&amp;row=141&amp;col=7&amp;number=603200&amp;sourceID=15","603200")</f>
        <v>603200</v>
      </c>
      <c r="H141" s="4" t="str">
        <f>HYPERLINK("http://141.218.60.56/~jnz1568/getInfo.php?workbook=01_01.xlsx&amp;sheet=A0&amp;row=141&amp;col=8&amp;number=603200&amp;sourceID=15","603200")</f>
        <v>603200</v>
      </c>
      <c r="I141" s="4" t="str">
        <f>HYPERLINK("http://141.218.60.56/~jnz1568/getInfo.php?workbook=01_01.xlsx&amp;sheet=A0&amp;row=141&amp;col=9&amp;number=&amp;sourceID=15","")</f>
        <v/>
      </c>
      <c r="J141" s="4" t="str">
        <f>HYPERLINK("http://141.218.60.56/~jnz1568/getInfo.php?workbook=01_01.xlsx&amp;sheet=A0&amp;row=141&amp;col=10&amp;number=&amp;sourceID=15","")</f>
        <v/>
      </c>
      <c r="K141" s="4" t="str">
        <f>HYPERLINK("http://141.218.60.56/~jnz1568/getInfo.php?workbook=01_01.xlsx&amp;sheet=A0&amp;row=141&amp;col=11&amp;number=&amp;sourceID=15","")</f>
        <v/>
      </c>
      <c r="L141" s="4" t="str">
        <f>HYPERLINK("http://141.218.60.56/~jnz1568/getInfo.php?workbook=01_01.xlsx&amp;sheet=A0&amp;row=141&amp;col=12&amp;number=&amp;sourceID=15","")</f>
        <v/>
      </c>
      <c r="M141" s="4" t="str">
        <f>HYPERLINK("http://141.218.60.56/~jnz1568/getInfo.php?workbook=01_01.xlsx&amp;sheet=A0&amp;row=141&amp;col=13&amp;number=&amp;sourceID=15","")</f>
        <v/>
      </c>
      <c r="N141" s="4" t="str">
        <f>HYPERLINK("http://141.218.60.56/~jnz1568/getInfo.php?workbook=01_01.xlsx&amp;sheet=A0&amp;row=141&amp;col=14&amp;number==&amp;sourceID=11","=")</f>
        <v>=</v>
      </c>
      <c r="O141" s="4" t="str">
        <f>HYPERLINK("http://141.218.60.56/~jnz1568/getInfo.php?workbook=01_01.xlsx&amp;sheet=A0&amp;row=141&amp;col=15&amp;number=603200&amp;sourceID=11","603200")</f>
        <v>603200</v>
      </c>
      <c r="P141" s="4" t="str">
        <f>HYPERLINK("http://141.218.60.56/~jnz1568/getInfo.php?workbook=01_01.xlsx&amp;sheet=A0&amp;row=141&amp;col=16&amp;number=&amp;sourceID=11","")</f>
        <v/>
      </c>
      <c r="Q141" s="4" t="str">
        <f>HYPERLINK("http://141.218.60.56/~jnz1568/getInfo.php?workbook=01_01.xlsx&amp;sheet=A0&amp;row=141&amp;col=17&amp;number=&amp;sourceID=11","")</f>
        <v/>
      </c>
      <c r="R141" s="4" t="str">
        <f>HYPERLINK("http://141.218.60.56/~jnz1568/getInfo.php?workbook=01_01.xlsx&amp;sheet=A0&amp;row=141&amp;col=18&amp;number=&amp;sourceID=11","")</f>
        <v/>
      </c>
      <c r="S141" s="4" t="str">
        <f>HYPERLINK("http://141.218.60.56/~jnz1568/getInfo.php?workbook=01_01.xlsx&amp;sheet=A0&amp;row=141&amp;col=19&amp;number=4.0545e-07&amp;sourceID=11","4.0545e-07")</f>
        <v>4.0545e-07</v>
      </c>
      <c r="T141" s="4" t="str">
        <f>HYPERLINK("http://141.218.60.56/~jnz1568/getInfo.php?workbook=01_01.xlsx&amp;sheet=A0&amp;row=141&amp;col=20&amp;number=&amp;sourceID=11","")</f>
        <v/>
      </c>
      <c r="U141" s="4" t="str">
        <f>HYPERLINK("http://141.218.60.56/~jnz1568/getInfo.php?workbook=01_01.xlsx&amp;sheet=A0&amp;row=141&amp;col=21&amp;number=603530&amp;sourceID=12","603530")</f>
        <v>603530</v>
      </c>
      <c r="V141" s="4" t="str">
        <f>HYPERLINK("http://141.218.60.56/~jnz1568/getInfo.php?workbook=01_01.xlsx&amp;sheet=A0&amp;row=141&amp;col=22&amp;number=603530&amp;sourceID=12","603530")</f>
        <v>603530</v>
      </c>
      <c r="W141" s="4" t="str">
        <f>HYPERLINK("http://141.218.60.56/~jnz1568/getInfo.php?workbook=01_01.xlsx&amp;sheet=A0&amp;row=141&amp;col=23&amp;number=&amp;sourceID=12","")</f>
        <v/>
      </c>
      <c r="X141" s="4" t="str">
        <f>HYPERLINK("http://141.218.60.56/~jnz1568/getInfo.php?workbook=01_01.xlsx&amp;sheet=A0&amp;row=141&amp;col=24&amp;number=&amp;sourceID=12","")</f>
        <v/>
      </c>
      <c r="Y141" s="4" t="str">
        <f>HYPERLINK("http://141.218.60.56/~jnz1568/getInfo.php?workbook=01_01.xlsx&amp;sheet=A0&amp;row=141&amp;col=25&amp;number=&amp;sourceID=12","")</f>
        <v/>
      </c>
      <c r="Z141" s="4" t="str">
        <f>HYPERLINK("http://141.218.60.56/~jnz1568/getInfo.php?workbook=01_01.xlsx&amp;sheet=A0&amp;row=141&amp;col=26&amp;number=4.0567e-07&amp;sourceID=12","4.0567e-07")</f>
        <v>4.0567e-07</v>
      </c>
      <c r="AA141" s="4" t="str">
        <f>HYPERLINK("http://141.218.60.56/~jnz1568/getInfo.php?workbook=01_01.xlsx&amp;sheet=A0&amp;row=141&amp;col=27&amp;number=&amp;sourceID=12","")</f>
        <v/>
      </c>
      <c r="AB141" s="4" t="str">
        <f>HYPERLINK("http://141.218.60.56/~jnz1568/getInfo.php?workbook=01_01.xlsx&amp;sheet=A0&amp;row=141&amp;col=28&amp;number=&amp;sourceID=18","")</f>
        <v/>
      </c>
      <c r="AC141" s="4" t="str">
        <f>HYPERLINK("http://141.218.60.56/~jnz1568/getInfo.php?workbook=01_01.xlsx&amp;sheet=A0&amp;row=141&amp;col=29&amp;number=&amp;sourceID=18","")</f>
        <v/>
      </c>
      <c r="AD141" s="4" t="str">
        <f>HYPERLINK("http://141.218.60.56/~jnz1568/getInfo.php?workbook=01_01.xlsx&amp;sheet=A0&amp;row=141&amp;col=30&amp;number=&amp;sourceID=18","")</f>
        <v/>
      </c>
      <c r="AE141" s="4" t="str">
        <f>HYPERLINK("http://141.218.60.56/~jnz1568/getInfo.php?workbook=01_01.xlsx&amp;sheet=A0&amp;row=141&amp;col=31&amp;number=&amp;sourceID=18","")</f>
        <v/>
      </c>
      <c r="AF141" s="4" t="str">
        <f>HYPERLINK("http://141.218.60.56/~jnz1568/getInfo.php?workbook=01_01.xlsx&amp;sheet=A0&amp;row=141&amp;col=32&amp;number=&amp;sourceID=18","")</f>
        <v/>
      </c>
      <c r="AG141" s="4" t="str">
        <f>HYPERLINK("http://141.218.60.56/~jnz1568/getInfo.php?workbook=01_01.xlsx&amp;sheet=A0&amp;row=141&amp;col=33&amp;number=&amp;sourceID=18","")</f>
        <v/>
      </c>
      <c r="AH141" s="4" t="str">
        <f>HYPERLINK("http://141.218.60.56/~jnz1568/getInfo.php?workbook=01_01.xlsx&amp;sheet=A0&amp;row=141&amp;col=34&amp;number=&amp;sourceID=20","")</f>
        <v/>
      </c>
    </row>
    <row r="142" spans="1:34">
      <c r="A142" s="3">
        <v>1</v>
      </c>
      <c r="B142" s="3">
        <v>1</v>
      </c>
      <c r="C142" s="3">
        <v>18</v>
      </c>
      <c r="D142" s="3">
        <v>9</v>
      </c>
      <c r="E142" s="3">
        <f>((1/(INDEX(E0!J$4:J$28,C142,1)-INDEX(E0!J$4:J$28,D142,1))))*100000000</f>
        <v>0</v>
      </c>
      <c r="F142" s="4" t="str">
        <f>HYPERLINK("http://141.218.60.56/~jnz1568/getInfo.php?workbook=01_01.xlsx&amp;sheet=A0&amp;row=142&amp;col=6&amp;number=&amp;sourceID=18","")</f>
        <v/>
      </c>
      <c r="G142" s="4" t="str">
        <f>HYPERLINK("http://141.218.60.56/~jnz1568/getInfo.php?workbook=01_01.xlsx&amp;sheet=A0&amp;row=142&amp;col=7&amp;number=&amp;sourceID=15","")</f>
        <v/>
      </c>
      <c r="H142" s="4" t="str">
        <f>HYPERLINK("http://141.218.60.56/~jnz1568/getInfo.php?workbook=01_01.xlsx&amp;sheet=A0&amp;row=142&amp;col=8&amp;number=&amp;sourceID=15","")</f>
        <v/>
      </c>
      <c r="I142" s="4" t="str">
        <f>HYPERLINK("http://141.218.60.56/~jnz1568/getInfo.php?workbook=01_01.xlsx&amp;sheet=A0&amp;row=142&amp;col=9&amp;number=&amp;sourceID=15","")</f>
        <v/>
      </c>
      <c r="J142" s="4" t="str">
        <f>HYPERLINK("http://141.218.60.56/~jnz1568/getInfo.php?workbook=01_01.xlsx&amp;sheet=A0&amp;row=142&amp;col=10&amp;number=&amp;sourceID=15","")</f>
        <v/>
      </c>
      <c r="K142" s="4" t="str">
        <f>HYPERLINK("http://141.218.60.56/~jnz1568/getInfo.php?workbook=01_01.xlsx&amp;sheet=A0&amp;row=142&amp;col=11&amp;number=&amp;sourceID=15","")</f>
        <v/>
      </c>
      <c r="L142" s="4" t="str">
        <f>HYPERLINK("http://141.218.60.56/~jnz1568/getInfo.php?workbook=01_01.xlsx&amp;sheet=A0&amp;row=142&amp;col=12&amp;number=&amp;sourceID=15","")</f>
        <v/>
      </c>
      <c r="M142" s="4" t="str">
        <f>HYPERLINK("http://141.218.60.56/~jnz1568/getInfo.php?workbook=01_01.xlsx&amp;sheet=A0&amp;row=142&amp;col=13&amp;number=&amp;sourceID=15","")</f>
        <v/>
      </c>
      <c r="N142" s="4" t="str">
        <f>HYPERLINK("http://141.218.60.56/~jnz1568/getInfo.php?workbook=01_01.xlsx&amp;sheet=A0&amp;row=142&amp;col=14&amp;number==&amp;sourceID=11","=")</f>
        <v>=</v>
      </c>
      <c r="O142" s="4" t="str">
        <f>HYPERLINK("http://141.218.60.56/~jnz1568/getInfo.php?workbook=01_01.xlsx&amp;sheet=A0&amp;row=142&amp;col=15&amp;number=&amp;sourceID=11","")</f>
        <v/>
      </c>
      <c r="P142" s="4" t="str">
        <f>HYPERLINK("http://141.218.60.56/~jnz1568/getInfo.php?workbook=01_01.xlsx&amp;sheet=A0&amp;row=142&amp;col=16&amp;number=0.3833&amp;sourceID=11","0.3833")</f>
        <v>0.3833</v>
      </c>
      <c r="Q142" s="4" t="str">
        <f>HYPERLINK("http://141.218.60.56/~jnz1568/getInfo.php?workbook=01_01.xlsx&amp;sheet=A0&amp;row=142&amp;col=17&amp;number=&amp;sourceID=11","")</f>
        <v/>
      </c>
      <c r="R142" s="4" t="str">
        <f>HYPERLINK("http://141.218.60.56/~jnz1568/getInfo.php?workbook=01_01.xlsx&amp;sheet=A0&amp;row=142&amp;col=18&amp;number=&amp;sourceID=11","")</f>
        <v/>
      </c>
      <c r="S142" s="4" t="str">
        <f>HYPERLINK("http://141.218.60.56/~jnz1568/getInfo.php?workbook=01_01.xlsx&amp;sheet=A0&amp;row=142&amp;col=19&amp;number=&amp;sourceID=11","")</f>
        <v/>
      </c>
      <c r="T142" s="4" t="str">
        <f>HYPERLINK("http://141.218.60.56/~jnz1568/getInfo.php?workbook=01_01.xlsx&amp;sheet=A0&amp;row=142&amp;col=20&amp;number=3.05e-13&amp;sourceID=11","3.05e-13")</f>
        <v>3.05e-13</v>
      </c>
      <c r="U142" s="4" t="str">
        <f>HYPERLINK("http://141.218.60.56/~jnz1568/getInfo.php?workbook=01_01.xlsx&amp;sheet=A0&amp;row=142&amp;col=21&amp;number=0.38351&amp;sourceID=12","0.38351")</f>
        <v>0.38351</v>
      </c>
      <c r="V142" s="4" t="str">
        <f>HYPERLINK("http://141.218.60.56/~jnz1568/getInfo.php?workbook=01_01.xlsx&amp;sheet=A0&amp;row=142&amp;col=22&amp;number=&amp;sourceID=12","")</f>
        <v/>
      </c>
      <c r="W142" s="4" t="str">
        <f>HYPERLINK("http://141.218.60.56/~jnz1568/getInfo.php?workbook=01_01.xlsx&amp;sheet=A0&amp;row=142&amp;col=23&amp;number=0.38351&amp;sourceID=12","0.38351")</f>
        <v>0.38351</v>
      </c>
      <c r="X142" s="4" t="str">
        <f>HYPERLINK("http://141.218.60.56/~jnz1568/getInfo.php?workbook=01_01.xlsx&amp;sheet=A0&amp;row=142&amp;col=24&amp;number=&amp;sourceID=12","")</f>
        <v/>
      </c>
      <c r="Y142" s="4" t="str">
        <f>HYPERLINK("http://141.218.60.56/~jnz1568/getInfo.php?workbook=01_01.xlsx&amp;sheet=A0&amp;row=142&amp;col=25&amp;number=&amp;sourceID=12","")</f>
        <v/>
      </c>
      <c r="Z142" s="4" t="str">
        <f>HYPERLINK("http://141.218.60.56/~jnz1568/getInfo.php?workbook=01_01.xlsx&amp;sheet=A0&amp;row=142&amp;col=26&amp;number=&amp;sourceID=12","")</f>
        <v/>
      </c>
      <c r="AA142" s="4" t="str">
        <f>HYPERLINK("http://141.218.60.56/~jnz1568/getInfo.php?workbook=01_01.xlsx&amp;sheet=A0&amp;row=142&amp;col=27&amp;number=3.06e-13&amp;sourceID=12","3.06e-13")</f>
        <v>3.06e-13</v>
      </c>
      <c r="AB142" s="4" t="str">
        <f>HYPERLINK("http://141.218.60.56/~jnz1568/getInfo.php?workbook=01_01.xlsx&amp;sheet=A0&amp;row=142&amp;col=28&amp;number=&amp;sourceID=18","")</f>
        <v/>
      </c>
      <c r="AC142" s="4" t="str">
        <f>HYPERLINK("http://141.218.60.56/~jnz1568/getInfo.php?workbook=01_01.xlsx&amp;sheet=A0&amp;row=142&amp;col=29&amp;number=&amp;sourceID=18","")</f>
        <v/>
      </c>
      <c r="AD142" s="4" t="str">
        <f>HYPERLINK("http://141.218.60.56/~jnz1568/getInfo.php?workbook=01_01.xlsx&amp;sheet=A0&amp;row=142&amp;col=30&amp;number=&amp;sourceID=18","")</f>
        <v/>
      </c>
      <c r="AE142" s="4" t="str">
        <f>HYPERLINK("http://141.218.60.56/~jnz1568/getInfo.php?workbook=01_01.xlsx&amp;sheet=A0&amp;row=142&amp;col=31&amp;number=&amp;sourceID=18","")</f>
        <v/>
      </c>
      <c r="AF142" s="4" t="str">
        <f>HYPERLINK("http://141.218.60.56/~jnz1568/getInfo.php?workbook=01_01.xlsx&amp;sheet=A0&amp;row=142&amp;col=32&amp;number=&amp;sourceID=18","")</f>
        <v/>
      </c>
      <c r="AG142" s="4" t="str">
        <f>HYPERLINK("http://141.218.60.56/~jnz1568/getInfo.php?workbook=01_01.xlsx&amp;sheet=A0&amp;row=142&amp;col=33&amp;number=&amp;sourceID=18","")</f>
        <v/>
      </c>
      <c r="AH142" s="4" t="str">
        <f>HYPERLINK("http://141.218.60.56/~jnz1568/getInfo.php?workbook=01_01.xlsx&amp;sheet=A0&amp;row=142&amp;col=34&amp;number=&amp;sourceID=20","")</f>
        <v/>
      </c>
    </row>
    <row r="143" spans="1:34">
      <c r="A143" s="3">
        <v>1</v>
      </c>
      <c r="B143" s="3">
        <v>1</v>
      </c>
      <c r="C143" s="3">
        <v>18</v>
      </c>
      <c r="D143" s="3">
        <v>10</v>
      </c>
      <c r="E143" s="3">
        <f>((1/(INDEX(E0!J$4:J$28,C143,1)-INDEX(E0!J$4:J$28,D143,1))))*100000000</f>
        <v>0</v>
      </c>
      <c r="F143" s="4" t="str">
        <f>HYPERLINK("http://141.218.60.56/~jnz1568/getInfo.php?workbook=01_01.xlsx&amp;sheet=A0&amp;row=143&amp;col=6&amp;number=&amp;sourceID=18","")</f>
        <v/>
      </c>
      <c r="G143" s="4" t="str">
        <f>HYPERLINK("http://141.218.60.56/~jnz1568/getInfo.php?workbook=01_01.xlsx&amp;sheet=A0&amp;row=143&amp;col=7&amp;number=215030&amp;sourceID=15","215030")</f>
        <v>215030</v>
      </c>
      <c r="H143" s="4" t="str">
        <f>HYPERLINK("http://141.218.60.56/~jnz1568/getInfo.php?workbook=01_01.xlsx&amp;sheet=A0&amp;row=143&amp;col=8&amp;number=215030&amp;sourceID=15","215030")</f>
        <v>215030</v>
      </c>
      <c r="I143" s="4" t="str">
        <f>HYPERLINK("http://141.218.60.56/~jnz1568/getInfo.php?workbook=01_01.xlsx&amp;sheet=A0&amp;row=143&amp;col=9&amp;number=&amp;sourceID=15","")</f>
        <v/>
      </c>
      <c r="J143" s="4" t="str">
        <f>HYPERLINK("http://141.218.60.56/~jnz1568/getInfo.php?workbook=01_01.xlsx&amp;sheet=A0&amp;row=143&amp;col=10&amp;number=&amp;sourceID=15","")</f>
        <v/>
      </c>
      <c r="K143" s="4" t="str">
        <f>HYPERLINK("http://141.218.60.56/~jnz1568/getInfo.php?workbook=01_01.xlsx&amp;sheet=A0&amp;row=143&amp;col=11&amp;number=&amp;sourceID=15","")</f>
        <v/>
      </c>
      <c r="L143" s="4" t="str">
        <f>HYPERLINK("http://141.218.60.56/~jnz1568/getInfo.php?workbook=01_01.xlsx&amp;sheet=A0&amp;row=143&amp;col=12&amp;number=&amp;sourceID=15","")</f>
        <v/>
      </c>
      <c r="M143" s="4" t="str">
        <f>HYPERLINK("http://141.218.60.56/~jnz1568/getInfo.php?workbook=01_01.xlsx&amp;sheet=A0&amp;row=143&amp;col=13&amp;number=&amp;sourceID=15","")</f>
        <v/>
      </c>
      <c r="N143" s="4" t="str">
        <f>HYPERLINK("http://141.218.60.56/~jnz1568/getInfo.php?workbook=01_01.xlsx&amp;sheet=A0&amp;row=143&amp;col=14&amp;number==&amp;sourceID=11","=")</f>
        <v>=</v>
      </c>
      <c r="O143" s="4" t="str">
        <f>HYPERLINK("http://141.218.60.56/~jnz1568/getInfo.php?workbook=01_01.xlsx&amp;sheet=A0&amp;row=143&amp;col=15&amp;number=215030&amp;sourceID=11","215030")</f>
        <v>215030</v>
      </c>
      <c r="P143" s="4" t="str">
        <f>HYPERLINK("http://141.218.60.56/~jnz1568/getInfo.php?workbook=01_01.xlsx&amp;sheet=A0&amp;row=143&amp;col=16&amp;number=&amp;sourceID=11","")</f>
        <v/>
      </c>
      <c r="Q143" s="4" t="str">
        <f>HYPERLINK("http://141.218.60.56/~jnz1568/getInfo.php?workbook=01_01.xlsx&amp;sheet=A0&amp;row=143&amp;col=17&amp;number=&amp;sourceID=11","")</f>
        <v/>
      </c>
      <c r="R143" s="4" t="str">
        <f>HYPERLINK("http://141.218.60.56/~jnz1568/getInfo.php?workbook=01_01.xlsx&amp;sheet=A0&amp;row=143&amp;col=18&amp;number=&amp;sourceID=11","")</f>
        <v/>
      </c>
      <c r="S143" s="4" t="str">
        <f>HYPERLINK("http://141.218.60.56/~jnz1568/getInfo.php?workbook=01_01.xlsx&amp;sheet=A0&amp;row=143&amp;col=19&amp;number=&amp;sourceID=11","")</f>
        <v/>
      </c>
      <c r="T143" s="4" t="str">
        <f>HYPERLINK("http://141.218.60.56/~jnz1568/getInfo.php?workbook=01_01.xlsx&amp;sheet=A0&amp;row=143&amp;col=20&amp;number=&amp;sourceID=11","")</f>
        <v/>
      </c>
      <c r="U143" s="4" t="str">
        <f>HYPERLINK("http://141.218.60.56/~jnz1568/getInfo.php?workbook=01_01.xlsx&amp;sheet=A0&amp;row=143&amp;col=21&amp;number=215150&amp;sourceID=12","215150")</f>
        <v>215150</v>
      </c>
      <c r="V143" s="4" t="str">
        <f>HYPERLINK("http://141.218.60.56/~jnz1568/getInfo.php?workbook=01_01.xlsx&amp;sheet=A0&amp;row=143&amp;col=22&amp;number=215150&amp;sourceID=12","215150")</f>
        <v>215150</v>
      </c>
      <c r="W143" s="4" t="str">
        <f>HYPERLINK("http://141.218.60.56/~jnz1568/getInfo.php?workbook=01_01.xlsx&amp;sheet=A0&amp;row=143&amp;col=23&amp;number=&amp;sourceID=12","")</f>
        <v/>
      </c>
      <c r="X143" s="4" t="str">
        <f>HYPERLINK("http://141.218.60.56/~jnz1568/getInfo.php?workbook=01_01.xlsx&amp;sheet=A0&amp;row=143&amp;col=24&amp;number=&amp;sourceID=12","")</f>
        <v/>
      </c>
      <c r="Y143" s="4" t="str">
        <f>HYPERLINK("http://141.218.60.56/~jnz1568/getInfo.php?workbook=01_01.xlsx&amp;sheet=A0&amp;row=143&amp;col=25&amp;number=&amp;sourceID=12","")</f>
        <v/>
      </c>
      <c r="Z143" s="4" t="str">
        <f>HYPERLINK("http://141.218.60.56/~jnz1568/getInfo.php?workbook=01_01.xlsx&amp;sheet=A0&amp;row=143&amp;col=26&amp;number=&amp;sourceID=12","")</f>
        <v/>
      </c>
      <c r="AA143" s="4" t="str">
        <f>HYPERLINK("http://141.218.60.56/~jnz1568/getInfo.php?workbook=01_01.xlsx&amp;sheet=A0&amp;row=143&amp;col=27&amp;number=&amp;sourceID=12","")</f>
        <v/>
      </c>
      <c r="AB143" s="4" t="str">
        <f>HYPERLINK("http://141.218.60.56/~jnz1568/getInfo.php?workbook=01_01.xlsx&amp;sheet=A0&amp;row=143&amp;col=28&amp;number=&amp;sourceID=18","")</f>
        <v/>
      </c>
      <c r="AC143" s="4" t="str">
        <f>HYPERLINK("http://141.218.60.56/~jnz1568/getInfo.php?workbook=01_01.xlsx&amp;sheet=A0&amp;row=143&amp;col=29&amp;number=&amp;sourceID=18","")</f>
        <v/>
      </c>
      <c r="AD143" s="4" t="str">
        <f>HYPERLINK("http://141.218.60.56/~jnz1568/getInfo.php?workbook=01_01.xlsx&amp;sheet=A0&amp;row=143&amp;col=30&amp;number=&amp;sourceID=18","")</f>
        <v/>
      </c>
      <c r="AE143" s="4" t="str">
        <f>HYPERLINK("http://141.218.60.56/~jnz1568/getInfo.php?workbook=01_01.xlsx&amp;sheet=A0&amp;row=143&amp;col=31&amp;number=&amp;sourceID=18","")</f>
        <v/>
      </c>
      <c r="AF143" s="4" t="str">
        <f>HYPERLINK("http://141.218.60.56/~jnz1568/getInfo.php?workbook=01_01.xlsx&amp;sheet=A0&amp;row=143&amp;col=32&amp;number=&amp;sourceID=18","")</f>
        <v/>
      </c>
      <c r="AG143" s="4" t="str">
        <f>HYPERLINK("http://141.218.60.56/~jnz1568/getInfo.php?workbook=01_01.xlsx&amp;sheet=A0&amp;row=143&amp;col=33&amp;number=&amp;sourceID=18","")</f>
        <v/>
      </c>
      <c r="AH143" s="4" t="str">
        <f>HYPERLINK("http://141.218.60.56/~jnz1568/getInfo.php?workbook=01_01.xlsx&amp;sheet=A0&amp;row=143&amp;col=34&amp;number=&amp;sourceID=20","")</f>
        <v/>
      </c>
    </row>
    <row r="144" spans="1:34">
      <c r="A144" s="3">
        <v>1</v>
      </c>
      <c r="B144" s="3">
        <v>1</v>
      </c>
      <c r="C144" s="3">
        <v>18</v>
      </c>
      <c r="D144" s="3">
        <v>11</v>
      </c>
      <c r="E144" s="3">
        <f>((1/(INDEX(E0!J$4:J$28,C144,1)-INDEX(E0!J$4:J$28,D144,1))))*100000000</f>
        <v>0</v>
      </c>
      <c r="F144" s="4" t="str">
        <f>HYPERLINK("http://141.218.60.56/~jnz1568/getInfo.php?workbook=01_01.xlsx&amp;sheet=A0&amp;row=144&amp;col=6&amp;number=&amp;sourceID=18","")</f>
        <v/>
      </c>
      <c r="G144" s="4" t="str">
        <f>HYPERLINK("http://141.218.60.56/~jnz1568/getInfo.php?workbook=01_01.xlsx&amp;sheet=A0&amp;row=144&amp;col=7&amp;number=&amp;sourceID=15","")</f>
        <v/>
      </c>
      <c r="H144" s="4" t="str">
        <f>HYPERLINK("http://141.218.60.56/~jnz1568/getInfo.php?workbook=01_01.xlsx&amp;sheet=A0&amp;row=144&amp;col=8&amp;number=&amp;sourceID=15","")</f>
        <v/>
      </c>
      <c r="I144" s="4" t="str">
        <f>HYPERLINK("http://141.218.60.56/~jnz1568/getInfo.php?workbook=01_01.xlsx&amp;sheet=A0&amp;row=144&amp;col=9&amp;number=&amp;sourceID=15","")</f>
        <v/>
      </c>
      <c r="J144" s="4" t="str">
        <f>HYPERLINK("http://141.218.60.56/~jnz1568/getInfo.php?workbook=01_01.xlsx&amp;sheet=A0&amp;row=144&amp;col=10&amp;number=&amp;sourceID=15","")</f>
        <v/>
      </c>
      <c r="K144" s="4" t="str">
        <f>HYPERLINK("http://141.218.60.56/~jnz1568/getInfo.php?workbook=01_01.xlsx&amp;sheet=A0&amp;row=144&amp;col=11&amp;number=&amp;sourceID=15","")</f>
        <v/>
      </c>
      <c r="L144" s="4" t="str">
        <f>HYPERLINK("http://141.218.60.56/~jnz1568/getInfo.php?workbook=01_01.xlsx&amp;sheet=A0&amp;row=144&amp;col=12&amp;number=&amp;sourceID=15","")</f>
        <v/>
      </c>
      <c r="M144" s="4" t="str">
        <f>HYPERLINK("http://141.218.60.56/~jnz1568/getInfo.php?workbook=01_01.xlsx&amp;sheet=A0&amp;row=144&amp;col=13&amp;number=&amp;sourceID=15","")</f>
        <v/>
      </c>
      <c r="N144" s="4" t="str">
        <f>HYPERLINK("http://141.218.60.56/~jnz1568/getInfo.php?workbook=01_01.xlsx&amp;sheet=A0&amp;row=144&amp;col=14&amp;number==&amp;sourceID=11","=")</f>
        <v>=</v>
      </c>
      <c r="O144" s="4" t="str">
        <f>HYPERLINK("http://141.218.60.56/~jnz1568/getInfo.php?workbook=01_01.xlsx&amp;sheet=A0&amp;row=144&amp;col=15&amp;number=&amp;sourceID=11","")</f>
        <v/>
      </c>
      <c r="P144" s="4" t="str">
        <f>HYPERLINK("http://141.218.60.56/~jnz1568/getInfo.php?workbook=01_01.xlsx&amp;sheet=A0&amp;row=144&amp;col=16&amp;number=&amp;sourceID=11","")</f>
        <v/>
      </c>
      <c r="Q144" s="4" t="str">
        <f>HYPERLINK("http://141.218.60.56/~jnz1568/getInfo.php?workbook=01_01.xlsx&amp;sheet=A0&amp;row=144&amp;col=17&amp;number=&amp;sourceID=11","")</f>
        <v/>
      </c>
      <c r="R144" s="4" t="str">
        <f>HYPERLINK("http://141.218.60.56/~jnz1568/getInfo.php?workbook=01_01.xlsx&amp;sheet=A0&amp;row=144&amp;col=18&amp;number=7.36e-13&amp;sourceID=11","7.36e-13")</f>
        <v>7.36e-13</v>
      </c>
      <c r="S144" s="4" t="str">
        <f>HYPERLINK("http://141.218.60.56/~jnz1568/getInfo.php?workbook=01_01.xlsx&amp;sheet=A0&amp;row=144&amp;col=19&amp;number=&amp;sourceID=11","")</f>
        <v/>
      </c>
      <c r="T144" s="4" t="str">
        <f>HYPERLINK("http://141.218.60.56/~jnz1568/getInfo.php?workbook=01_01.xlsx&amp;sheet=A0&amp;row=144&amp;col=20&amp;number=&amp;sourceID=11","")</f>
        <v/>
      </c>
      <c r="U144" s="4" t="str">
        <f>HYPERLINK("http://141.218.60.56/~jnz1568/getInfo.php?workbook=01_01.xlsx&amp;sheet=A0&amp;row=144&amp;col=21&amp;number=7.36e-13&amp;sourceID=12","7.36e-13")</f>
        <v>7.36e-13</v>
      </c>
      <c r="V144" s="4" t="str">
        <f>HYPERLINK("http://141.218.60.56/~jnz1568/getInfo.php?workbook=01_01.xlsx&amp;sheet=A0&amp;row=144&amp;col=22&amp;number=&amp;sourceID=12","")</f>
        <v/>
      </c>
      <c r="W144" s="4" t="str">
        <f>HYPERLINK("http://141.218.60.56/~jnz1568/getInfo.php?workbook=01_01.xlsx&amp;sheet=A0&amp;row=144&amp;col=23&amp;number=&amp;sourceID=12","")</f>
        <v/>
      </c>
      <c r="X144" s="4" t="str">
        <f>HYPERLINK("http://141.218.60.56/~jnz1568/getInfo.php?workbook=01_01.xlsx&amp;sheet=A0&amp;row=144&amp;col=24&amp;number=&amp;sourceID=12","")</f>
        <v/>
      </c>
      <c r="Y144" s="4" t="str">
        <f>HYPERLINK("http://141.218.60.56/~jnz1568/getInfo.php?workbook=01_01.xlsx&amp;sheet=A0&amp;row=144&amp;col=25&amp;number=7.36e-13&amp;sourceID=12","7.36e-13")</f>
        <v>7.36e-13</v>
      </c>
      <c r="Z144" s="4" t="str">
        <f>HYPERLINK("http://141.218.60.56/~jnz1568/getInfo.php?workbook=01_01.xlsx&amp;sheet=A0&amp;row=144&amp;col=26&amp;number=&amp;sourceID=12","")</f>
        <v/>
      </c>
      <c r="AA144" s="4" t="str">
        <f>HYPERLINK("http://141.218.60.56/~jnz1568/getInfo.php?workbook=01_01.xlsx&amp;sheet=A0&amp;row=144&amp;col=27&amp;number=&amp;sourceID=12","")</f>
        <v/>
      </c>
      <c r="AB144" s="4" t="str">
        <f>HYPERLINK("http://141.218.60.56/~jnz1568/getInfo.php?workbook=01_01.xlsx&amp;sheet=A0&amp;row=144&amp;col=28&amp;number=&amp;sourceID=18","")</f>
        <v/>
      </c>
      <c r="AC144" s="4" t="str">
        <f>HYPERLINK("http://141.218.60.56/~jnz1568/getInfo.php?workbook=01_01.xlsx&amp;sheet=A0&amp;row=144&amp;col=29&amp;number=&amp;sourceID=18","")</f>
        <v/>
      </c>
      <c r="AD144" s="4" t="str">
        <f>HYPERLINK("http://141.218.60.56/~jnz1568/getInfo.php?workbook=01_01.xlsx&amp;sheet=A0&amp;row=144&amp;col=30&amp;number=&amp;sourceID=18","")</f>
        <v/>
      </c>
      <c r="AE144" s="4" t="str">
        <f>HYPERLINK("http://141.218.60.56/~jnz1568/getInfo.php?workbook=01_01.xlsx&amp;sheet=A0&amp;row=144&amp;col=31&amp;number=&amp;sourceID=18","")</f>
        <v/>
      </c>
      <c r="AF144" s="4" t="str">
        <f>HYPERLINK("http://141.218.60.56/~jnz1568/getInfo.php?workbook=01_01.xlsx&amp;sheet=A0&amp;row=144&amp;col=32&amp;number=&amp;sourceID=18","")</f>
        <v/>
      </c>
      <c r="AG144" s="4" t="str">
        <f>HYPERLINK("http://141.218.60.56/~jnz1568/getInfo.php?workbook=01_01.xlsx&amp;sheet=A0&amp;row=144&amp;col=33&amp;number=&amp;sourceID=18","")</f>
        <v/>
      </c>
      <c r="AH144" s="4" t="str">
        <f>HYPERLINK("http://141.218.60.56/~jnz1568/getInfo.php?workbook=01_01.xlsx&amp;sheet=A0&amp;row=144&amp;col=34&amp;number=&amp;sourceID=20","")</f>
        <v/>
      </c>
    </row>
    <row r="145" spans="1:34">
      <c r="A145" s="3">
        <v>1</v>
      </c>
      <c r="B145" s="3">
        <v>1</v>
      </c>
      <c r="C145" s="3">
        <v>18</v>
      </c>
      <c r="D145" s="3">
        <v>12</v>
      </c>
      <c r="E145" s="3">
        <f>((1/(INDEX(E0!J$4:J$28,C145,1)-INDEX(E0!J$4:J$28,D145,1))))*100000000</f>
        <v>0</v>
      </c>
      <c r="F145" s="4" t="str">
        <f>HYPERLINK("http://141.218.60.56/~jnz1568/getInfo.php?workbook=01_01.xlsx&amp;sheet=A0&amp;row=145&amp;col=6&amp;number=&amp;sourceID=18","")</f>
        <v/>
      </c>
      <c r="G145" s="4" t="str">
        <f>HYPERLINK("http://141.218.60.56/~jnz1568/getInfo.php?workbook=01_01.xlsx&amp;sheet=A0&amp;row=145&amp;col=7&amp;number=&amp;sourceID=15","")</f>
        <v/>
      </c>
      <c r="H145" s="4" t="str">
        <f>HYPERLINK("http://141.218.60.56/~jnz1568/getInfo.php?workbook=01_01.xlsx&amp;sheet=A0&amp;row=145&amp;col=8&amp;number=&amp;sourceID=15","")</f>
        <v/>
      </c>
      <c r="I145" s="4" t="str">
        <f>HYPERLINK("http://141.218.60.56/~jnz1568/getInfo.php?workbook=01_01.xlsx&amp;sheet=A0&amp;row=145&amp;col=9&amp;number=&amp;sourceID=15","")</f>
        <v/>
      </c>
      <c r="J145" s="4" t="str">
        <f>HYPERLINK("http://141.218.60.56/~jnz1568/getInfo.php?workbook=01_01.xlsx&amp;sheet=A0&amp;row=145&amp;col=10&amp;number=&amp;sourceID=15","")</f>
        <v/>
      </c>
      <c r="K145" s="4" t="str">
        <f>HYPERLINK("http://141.218.60.56/~jnz1568/getInfo.php?workbook=01_01.xlsx&amp;sheet=A0&amp;row=145&amp;col=11&amp;number=&amp;sourceID=15","")</f>
        <v/>
      </c>
      <c r="L145" s="4" t="str">
        <f>HYPERLINK("http://141.218.60.56/~jnz1568/getInfo.php?workbook=01_01.xlsx&amp;sheet=A0&amp;row=145&amp;col=12&amp;number=&amp;sourceID=15","")</f>
        <v/>
      </c>
      <c r="M145" s="4" t="str">
        <f>HYPERLINK("http://141.218.60.56/~jnz1568/getInfo.php?workbook=01_01.xlsx&amp;sheet=A0&amp;row=145&amp;col=13&amp;number=&amp;sourceID=15","")</f>
        <v/>
      </c>
      <c r="N145" s="4" t="str">
        <f>HYPERLINK("http://141.218.60.56/~jnz1568/getInfo.php?workbook=01_01.xlsx&amp;sheet=A0&amp;row=145&amp;col=14&amp;number==&amp;sourceID=11","=")</f>
        <v>=</v>
      </c>
      <c r="O145" s="4" t="str">
        <f>HYPERLINK("http://141.218.60.56/~jnz1568/getInfo.php?workbook=01_01.xlsx&amp;sheet=A0&amp;row=145&amp;col=15&amp;number=&amp;sourceID=11","")</f>
        <v/>
      </c>
      <c r="P145" s="4" t="str">
        <f>HYPERLINK("http://141.218.60.56/~jnz1568/getInfo.php?workbook=01_01.xlsx&amp;sheet=A0&amp;row=145&amp;col=16&amp;number=0.1299&amp;sourceID=11","0.1299")</f>
        <v>0.1299</v>
      </c>
      <c r="Q145" s="4" t="str">
        <f>HYPERLINK("http://141.218.60.56/~jnz1568/getInfo.php?workbook=01_01.xlsx&amp;sheet=A0&amp;row=145&amp;col=17&amp;number=&amp;sourceID=11","")</f>
        <v/>
      </c>
      <c r="R145" s="4" t="str">
        <f>HYPERLINK("http://141.218.60.56/~jnz1568/getInfo.php?workbook=01_01.xlsx&amp;sheet=A0&amp;row=145&amp;col=18&amp;number=2e-15&amp;sourceID=11","2e-15")</f>
        <v>2e-15</v>
      </c>
      <c r="S145" s="4" t="str">
        <f>HYPERLINK("http://141.218.60.56/~jnz1568/getInfo.php?workbook=01_01.xlsx&amp;sheet=A0&amp;row=145&amp;col=19&amp;number=&amp;sourceID=11","")</f>
        <v/>
      </c>
      <c r="T145" s="4" t="str">
        <f>HYPERLINK("http://141.218.60.56/~jnz1568/getInfo.php?workbook=01_01.xlsx&amp;sheet=A0&amp;row=145&amp;col=20&amp;number=&amp;sourceID=11","")</f>
        <v/>
      </c>
      <c r="U145" s="4" t="str">
        <f>HYPERLINK("http://141.218.60.56/~jnz1568/getInfo.php?workbook=01_01.xlsx&amp;sheet=A0&amp;row=145&amp;col=21&amp;number=0.12997&amp;sourceID=12","0.12997")</f>
        <v>0.12997</v>
      </c>
      <c r="V145" s="4" t="str">
        <f>HYPERLINK("http://141.218.60.56/~jnz1568/getInfo.php?workbook=01_01.xlsx&amp;sheet=A0&amp;row=145&amp;col=22&amp;number=&amp;sourceID=12","")</f>
        <v/>
      </c>
      <c r="W145" s="4" t="str">
        <f>HYPERLINK("http://141.218.60.56/~jnz1568/getInfo.php?workbook=01_01.xlsx&amp;sheet=A0&amp;row=145&amp;col=23&amp;number=0.12997&amp;sourceID=12","0.12997")</f>
        <v>0.12997</v>
      </c>
      <c r="X145" s="4" t="str">
        <f>HYPERLINK("http://141.218.60.56/~jnz1568/getInfo.php?workbook=01_01.xlsx&amp;sheet=A0&amp;row=145&amp;col=24&amp;number=&amp;sourceID=12","")</f>
        <v/>
      </c>
      <c r="Y145" s="4" t="str">
        <f>HYPERLINK("http://141.218.60.56/~jnz1568/getInfo.php?workbook=01_01.xlsx&amp;sheet=A0&amp;row=145&amp;col=25&amp;number=1e-15&amp;sourceID=12","1e-15")</f>
        <v>1e-15</v>
      </c>
      <c r="Z145" s="4" t="str">
        <f>HYPERLINK("http://141.218.60.56/~jnz1568/getInfo.php?workbook=01_01.xlsx&amp;sheet=A0&amp;row=145&amp;col=26&amp;number=&amp;sourceID=12","")</f>
        <v/>
      </c>
      <c r="AA145" s="4" t="str">
        <f>HYPERLINK("http://141.218.60.56/~jnz1568/getInfo.php?workbook=01_01.xlsx&amp;sheet=A0&amp;row=145&amp;col=27&amp;number=&amp;sourceID=12","")</f>
        <v/>
      </c>
      <c r="AB145" s="4" t="str">
        <f>HYPERLINK("http://141.218.60.56/~jnz1568/getInfo.php?workbook=01_01.xlsx&amp;sheet=A0&amp;row=145&amp;col=28&amp;number=&amp;sourceID=18","")</f>
        <v/>
      </c>
      <c r="AC145" s="4" t="str">
        <f>HYPERLINK("http://141.218.60.56/~jnz1568/getInfo.php?workbook=01_01.xlsx&amp;sheet=A0&amp;row=145&amp;col=29&amp;number=&amp;sourceID=18","")</f>
        <v/>
      </c>
      <c r="AD145" s="4" t="str">
        <f>HYPERLINK("http://141.218.60.56/~jnz1568/getInfo.php?workbook=01_01.xlsx&amp;sheet=A0&amp;row=145&amp;col=30&amp;number=&amp;sourceID=18","")</f>
        <v/>
      </c>
      <c r="AE145" s="4" t="str">
        <f>HYPERLINK("http://141.218.60.56/~jnz1568/getInfo.php?workbook=01_01.xlsx&amp;sheet=A0&amp;row=145&amp;col=31&amp;number=&amp;sourceID=18","")</f>
        <v/>
      </c>
      <c r="AF145" s="4" t="str">
        <f>HYPERLINK("http://141.218.60.56/~jnz1568/getInfo.php?workbook=01_01.xlsx&amp;sheet=A0&amp;row=145&amp;col=32&amp;number=&amp;sourceID=18","")</f>
        <v/>
      </c>
      <c r="AG145" s="4" t="str">
        <f>HYPERLINK("http://141.218.60.56/~jnz1568/getInfo.php?workbook=01_01.xlsx&amp;sheet=A0&amp;row=145&amp;col=33&amp;number=&amp;sourceID=18","")</f>
        <v/>
      </c>
      <c r="AH145" s="4" t="str">
        <f>HYPERLINK("http://141.218.60.56/~jnz1568/getInfo.php?workbook=01_01.xlsx&amp;sheet=A0&amp;row=145&amp;col=34&amp;number=&amp;sourceID=20","")</f>
        <v/>
      </c>
    </row>
    <row r="146" spans="1:34">
      <c r="A146" s="3">
        <v>1</v>
      </c>
      <c r="B146" s="3">
        <v>1</v>
      </c>
      <c r="C146" s="3">
        <v>18</v>
      </c>
      <c r="D146" s="3">
        <v>13</v>
      </c>
      <c r="E146" s="3">
        <f>((1/(INDEX(E0!J$4:J$28,C146,1)-INDEX(E0!J$4:J$28,D146,1))))*100000000</f>
        <v>0</v>
      </c>
      <c r="F146" s="4" t="str">
        <f>HYPERLINK("http://141.218.60.56/~jnz1568/getInfo.php?workbook=01_01.xlsx&amp;sheet=A0&amp;row=146&amp;col=6&amp;number=&amp;sourceID=18","")</f>
        <v/>
      </c>
      <c r="G146" s="4" t="str">
        <f>HYPERLINK("http://141.218.60.56/~jnz1568/getInfo.php?workbook=01_01.xlsx&amp;sheet=A0&amp;row=146&amp;col=7&amp;number=430100&amp;sourceID=15","430100")</f>
        <v>430100</v>
      </c>
      <c r="H146" s="4" t="str">
        <f>HYPERLINK("http://141.218.60.56/~jnz1568/getInfo.php?workbook=01_01.xlsx&amp;sheet=A0&amp;row=146&amp;col=8&amp;number=430100&amp;sourceID=15","430100")</f>
        <v>430100</v>
      </c>
      <c r="I146" s="4" t="str">
        <f>HYPERLINK("http://141.218.60.56/~jnz1568/getInfo.php?workbook=01_01.xlsx&amp;sheet=A0&amp;row=146&amp;col=9&amp;number=&amp;sourceID=15","")</f>
        <v/>
      </c>
      <c r="J146" s="4" t="str">
        <f>HYPERLINK("http://141.218.60.56/~jnz1568/getInfo.php?workbook=01_01.xlsx&amp;sheet=A0&amp;row=146&amp;col=10&amp;number=&amp;sourceID=15","")</f>
        <v/>
      </c>
      <c r="K146" s="4" t="str">
        <f>HYPERLINK("http://141.218.60.56/~jnz1568/getInfo.php?workbook=01_01.xlsx&amp;sheet=A0&amp;row=146&amp;col=11&amp;number=&amp;sourceID=15","")</f>
        <v/>
      </c>
      <c r="L146" s="4" t="str">
        <f>HYPERLINK("http://141.218.60.56/~jnz1568/getInfo.php?workbook=01_01.xlsx&amp;sheet=A0&amp;row=146&amp;col=12&amp;number=&amp;sourceID=15","")</f>
        <v/>
      </c>
      <c r="M146" s="4" t="str">
        <f>HYPERLINK("http://141.218.60.56/~jnz1568/getInfo.php?workbook=01_01.xlsx&amp;sheet=A0&amp;row=146&amp;col=13&amp;number=&amp;sourceID=15","")</f>
        <v/>
      </c>
      <c r="N146" s="4" t="str">
        <f>HYPERLINK("http://141.218.60.56/~jnz1568/getInfo.php?workbook=01_01.xlsx&amp;sheet=A0&amp;row=146&amp;col=14&amp;number==&amp;sourceID=11","=")</f>
        <v>=</v>
      </c>
      <c r="O146" s="4" t="str">
        <f>HYPERLINK("http://141.218.60.56/~jnz1568/getInfo.php?workbook=01_01.xlsx&amp;sheet=A0&amp;row=146&amp;col=15&amp;number=430100&amp;sourceID=11","430100")</f>
        <v>430100</v>
      </c>
      <c r="P146" s="4" t="str">
        <f>HYPERLINK("http://141.218.60.56/~jnz1568/getInfo.php?workbook=01_01.xlsx&amp;sheet=A0&amp;row=146&amp;col=16&amp;number=&amp;sourceID=11","")</f>
        <v/>
      </c>
      <c r="Q146" s="4" t="str">
        <f>HYPERLINK("http://141.218.60.56/~jnz1568/getInfo.php?workbook=01_01.xlsx&amp;sheet=A0&amp;row=146&amp;col=17&amp;number=&amp;sourceID=11","")</f>
        <v/>
      </c>
      <c r="R146" s="4" t="str">
        <f>HYPERLINK("http://141.218.60.56/~jnz1568/getInfo.php?workbook=01_01.xlsx&amp;sheet=A0&amp;row=146&amp;col=18&amp;number=&amp;sourceID=11","")</f>
        <v/>
      </c>
      <c r="S146" s="4" t="str">
        <f>HYPERLINK("http://141.218.60.56/~jnz1568/getInfo.php?workbook=01_01.xlsx&amp;sheet=A0&amp;row=146&amp;col=19&amp;number=2.8942e-08&amp;sourceID=11","2.8942e-08")</f>
        <v>2.8942e-08</v>
      </c>
      <c r="T146" s="4" t="str">
        <f>HYPERLINK("http://141.218.60.56/~jnz1568/getInfo.php?workbook=01_01.xlsx&amp;sheet=A0&amp;row=146&amp;col=20&amp;number=&amp;sourceID=11","")</f>
        <v/>
      </c>
      <c r="U146" s="4" t="str">
        <f>HYPERLINK("http://141.218.60.56/~jnz1568/getInfo.php?workbook=01_01.xlsx&amp;sheet=A0&amp;row=146&amp;col=21&amp;number=430330&amp;sourceID=12","430330")</f>
        <v>430330</v>
      </c>
      <c r="V146" s="4" t="str">
        <f>HYPERLINK("http://141.218.60.56/~jnz1568/getInfo.php?workbook=01_01.xlsx&amp;sheet=A0&amp;row=146&amp;col=22&amp;number=430330&amp;sourceID=12","430330")</f>
        <v>430330</v>
      </c>
      <c r="W146" s="4" t="str">
        <f>HYPERLINK("http://141.218.60.56/~jnz1568/getInfo.php?workbook=01_01.xlsx&amp;sheet=A0&amp;row=146&amp;col=23&amp;number=&amp;sourceID=12","")</f>
        <v/>
      </c>
      <c r="X146" s="4" t="str">
        <f>HYPERLINK("http://141.218.60.56/~jnz1568/getInfo.php?workbook=01_01.xlsx&amp;sheet=A0&amp;row=146&amp;col=24&amp;number=&amp;sourceID=12","")</f>
        <v/>
      </c>
      <c r="Y146" s="4" t="str">
        <f>HYPERLINK("http://141.218.60.56/~jnz1568/getInfo.php?workbook=01_01.xlsx&amp;sheet=A0&amp;row=146&amp;col=25&amp;number=&amp;sourceID=12","")</f>
        <v/>
      </c>
      <c r="Z146" s="4" t="str">
        <f>HYPERLINK("http://141.218.60.56/~jnz1568/getInfo.php?workbook=01_01.xlsx&amp;sheet=A0&amp;row=146&amp;col=26&amp;number=2.8958e-08&amp;sourceID=12","2.8958e-08")</f>
        <v>2.8958e-08</v>
      </c>
      <c r="AA146" s="4" t="str">
        <f>HYPERLINK("http://141.218.60.56/~jnz1568/getInfo.php?workbook=01_01.xlsx&amp;sheet=A0&amp;row=146&amp;col=27&amp;number=&amp;sourceID=12","")</f>
        <v/>
      </c>
      <c r="AB146" s="4" t="str">
        <f>HYPERLINK("http://141.218.60.56/~jnz1568/getInfo.php?workbook=01_01.xlsx&amp;sheet=A0&amp;row=146&amp;col=28&amp;number=&amp;sourceID=18","")</f>
        <v/>
      </c>
      <c r="AC146" s="4" t="str">
        <f>HYPERLINK("http://141.218.60.56/~jnz1568/getInfo.php?workbook=01_01.xlsx&amp;sheet=A0&amp;row=146&amp;col=29&amp;number=&amp;sourceID=18","")</f>
        <v/>
      </c>
      <c r="AD146" s="4" t="str">
        <f>HYPERLINK("http://141.218.60.56/~jnz1568/getInfo.php?workbook=01_01.xlsx&amp;sheet=A0&amp;row=146&amp;col=30&amp;number=&amp;sourceID=18","")</f>
        <v/>
      </c>
      <c r="AE146" s="4" t="str">
        <f>HYPERLINK("http://141.218.60.56/~jnz1568/getInfo.php?workbook=01_01.xlsx&amp;sheet=A0&amp;row=146&amp;col=31&amp;number=&amp;sourceID=18","")</f>
        <v/>
      </c>
      <c r="AF146" s="4" t="str">
        <f>HYPERLINK("http://141.218.60.56/~jnz1568/getInfo.php?workbook=01_01.xlsx&amp;sheet=A0&amp;row=146&amp;col=32&amp;number=&amp;sourceID=18","")</f>
        <v/>
      </c>
      <c r="AG146" s="4" t="str">
        <f>HYPERLINK("http://141.218.60.56/~jnz1568/getInfo.php?workbook=01_01.xlsx&amp;sheet=A0&amp;row=146&amp;col=33&amp;number=&amp;sourceID=18","")</f>
        <v/>
      </c>
      <c r="AH146" s="4" t="str">
        <f>HYPERLINK("http://141.218.60.56/~jnz1568/getInfo.php?workbook=01_01.xlsx&amp;sheet=A0&amp;row=146&amp;col=34&amp;number=&amp;sourceID=20","")</f>
        <v/>
      </c>
    </row>
    <row r="147" spans="1:34">
      <c r="A147" s="3">
        <v>1</v>
      </c>
      <c r="B147" s="3">
        <v>1</v>
      </c>
      <c r="C147" s="3">
        <v>18</v>
      </c>
      <c r="D147" s="3">
        <v>14</v>
      </c>
      <c r="E147" s="3">
        <f>((1/(INDEX(E0!J$4:J$28,C147,1)-INDEX(E0!J$4:J$28,D147,1))))*100000000</f>
        <v>0</v>
      </c>
      <c r="F147" s="4" t="str">
        <f>HYPERLINK("http://141.218.60.56/~jnz1568/getInfo.php?workbook=01_01.xlsx&amp;sheet=A0&amp;row=147&amp;col=6&amp;number=&amp;sourceID=18","")</f>
        <v/>
      </c>
      <c r="G147" s="4" t="str">
        <f>HYPERLINK("http://141.218.60.56/~jnz1568/getInfo.php?workbook=01_01.xlsx&amp;sheet=A0&amp;row=147&amp;col=7&amp;number=&amp;sourceID=15","")</f>
        <v/>
      </c>
      <c r="H147" s="4" t="str">
        <f>HYPERLINK("http://141.218.60.56/~jnz1568/getInfo.php?workbook=01_01.xlsx&amp;sheet=A0&amp;row=147&amp;col=8&amp;number=&amp;sourceID=15","")</f>
        <v/>
      </c>
      <c r="I147" s="4" t="str">
        <f>HYPERLINK("http://141.218.60.56/~jnz1568/getInfo.php?workbook=01_01.xlsx&amp;sheet=A0&amp;row=147&amp;col=9&amp;number=&amp;sourceID=15","")</f>
        <v/>
      </c>
      <c r="J147" s="4" t="str">
        <f>HYPERLINK("http://141.218.60.56/~jnz1568/getInfo.php?workbook=01_01.xlsx&amp;sheet=A0&amp;row=147&amp;col=10&amp;number=&amp;sourceID=15","")</f>
        <v/>
      </c>
      <c r="K147" s="4" t="str">
        <f>HYPERLINK("http://141.218.60.56/~jnz1568/getInfo.php?workbook=01_01.xlsx&amp;sheet=A0&amp;row=147&amp;col=11&amp;number=&amp;sourceID=15","")</f>
        <v/>
      </c>
      <c r="L147" s="4" t="str">
        <f>HYPERLINK("http://141.218.60.56/~jnz1568/getInfo.php?workbook=01_01.xlsx&amp;sheet=A0&amp;row=147&amp;col=12&amp;number=&amp;sourceID=15","")</f>
        <v/>
      </c>
      <c r="M147" s="4" t="str">
        <f>HYPERLINK("http://141.218.60.56/~jnz1568/getInfo.php?workbook=01_01.xlsx&amp;sheet=A0&amp;row=147&amp;col=13&amp;number=&amp;sourceID=15","")</f>
        <v/>
      </c>
      <c r="N147" s="4" t="str">
        <f>HYPERLINK("http://141.218.60.56/~jnz1568/getInfo.php?workbook=01_01.xlsx&amp;sheet=A0&amp;row=147&amp;col=14&amp;number==&amp;sourceID=11","=")</f>
        <v>=</v>
      </c>
      <c r="O147" s="4" t="str">
        <f>HYPERLINK("http://141.218.60.56/~jnz1568/getInfo.php?workbook=01_01.xlsx&amp;sheet=A0&amp;row=147&amp;col=15&amp;number=&amp;sourceID=11","")</f>
        <v/>
      </c>
      <c r="P147" s="4" t="str">
        <f>HYPERLINK("http://141.218.60.56/~jnz1568/getInfo.php?workbook=01_01.xlsx&amp;sheet=A0&amp;row=147&amp;col=16&amp;number=0.19486&amp;sourceID=11","0.19486")</f>
        <v>0.19486</v>
      </c>
      <c r="Q147" s="4" t="str">
        <f>HYPERLINK("http://141.218.60.56/~jnz1568/getInfo.php?workbook=01_01.xlsx&amp;sheet=A0&amp;row=147&amp;col=17&amp;number=&amp;sourceID=11","")</f>
        <v/>
      </c>
      <c r="R147" s="4" t="str">
        <f>HYPERLINK("http://141.218.60.56/~jnz1568/getInfo.php?workbook=01_01.xlsx&amp;sheet=A0&amp;row=147&amp;col=18&amp;number=&amp;sourceID=11","")</f>
        <v/>
      </c>
      <c r="S147" s="4" t="str">
        <f>HYPERLINK("http://141.218.60.56/~jnz1568/getInfo.php?workbook=01_01.xlsx&amp;sheet=A0&amp;row=147&amp;col=19&amp;number=&amp;sourceID=11","")</f>
        <v/>
      </c>
      <c r="T147" s="4" t="str">
        <f>HYPERLINK("http://141.218.60.56/~jnz1568/getInfo.php?workbook=01_01.xlsx&amp;sheet=A0&amp;row=147&amp;col=20&amp;number=1.6e-14&amp;sourceID=11","1.6e-14")</f>
        <v>1.6e-14</v>
      </c>
      <c r="U147" s="4" t="str">
        <f>HYPERLINK("http://141.218.60.56/~jnz1568/getInfo.php?workbook=01_01.xlsx&amp;sheet=A0&amp;row=147&amp;col=21&amp;number=0.19496&amp;sourceID=12","0.19496")</f>
        <v>0.19496</v>
      </c>
      <c r="V147" s="4" t="str">
        <f>HYPERLINK("http://141.218.60.56/~jnz1568/getInfo.php?workbook=01_01.xlsx&amp;sheet=A0&amp;row=147&amp;col=22&amp;number=&amp;sourceID=12","")</f>
        <v/>
      </c>
      <c r="W147" s="4" t="str">
        <f>HYPERLINK("http://141.218.60.56/~jnz1568/getInfo.php?workbook=01_01.xlsx&amp;sheet=A0&amp;row=147&amp;col=23&amp;number=0.19496&amp;sourceID=12","0.19496")</f>
        <v>0.19496</v>
      </c>
      <c r="X147" s="4" t="str">
        <f>HYPERLINK("http://141.218.60.56/~jnz1568/getInfo.php?workbook=01_01.xlsx&amp;sheet=A0&amp;row=147&amp;col=24&amp;number=&amp;sourceID=12","")</f>
        <v/>
      </c>
      <c r="Y147" s="4" t="str">
        <f>HYPERLINK("http://141.218.60.56/~jnz1568/getInfo.php?workbook=01_01.xlsx&amp;sheet=A0&amp;row=147&amp;col=25&amp;number=&amp;sourceID=12","")</f>
        <v/>
      </c>
      <c r="Z147" s="4" t="str">
        <f>HYPERLINK("http://141.218.60.56/~jnz1568/getInfo.php?workbook=01_01.xlsx&amp;sheet=A0&amp;row=147&amp;col=26&amp;number=&amp;sourceID=12","")</f>
        <v/>
      </c>
      <c r="AA147" s="4" t="str">
        <f>HYPERLINK("http://141.218.60.56/~jnz1568/getInfo.php?workbook=01_01.xlsx&amp;sheet=A0&amp;row=147&amp;col=27&amp;number=1.6e-14&amp;sourceID=12","1.6e-14")</f>
        <v>1.6e-14</v>
      </c>
      <c r="AB147" s="4" t="str">
        <f>HYPERLINK("http://141.218.60.56/~jnz1568/getInfo.php?workbook=01_01.xlsx&amp;sheet=A0&amp;row=147&amp;col=28&amp;number=&amp;sourceID=18","")</f>
        <v/>
      </c>
      <c r="AC147" s="4" t="str">
        <f>HYPERLINK("http://141.218.60.56/~jnz1568/getInfo.php?workbook=01_01.xlsx&amp;sheet=A0&amp;row=147&amp;col=29&amp;number=&amp;sourceID=18","")</f>
        <v/>
      </c>
      <c r="AD147" s="4" t="str">
        <f>HYPERLINK("http://141.218.60.56/~jnz1568/getInfo.php?workbook=01_01.xlsx&amp;sheet=A0&amp;row=147&amp;col=30&amp;number=&amp;sourceID=18","")</f>
        <v/>
      </c>
      <c r="AE147" s="4" t="str">
        <f>HYPERLINK("http://141.218.60.56/~jnz1568/getInfo.php?workbook=01_01.xlsx&amp;sheet=A0&amp;row=147&amp;col=31&amp;number=&amp;sourceID=18","")</f>
        <v/>
      </c>
      <c r="AF147" s="4" t="str">
        <f>HYPERLINK("http://141.218.60.56/~jnz1568/getInfo.php?workbook=01_01.xlsx&amp;sheet=A0&amp;row=147&amp;col=32&amp;number=&amp;sourceID=18","")</f>
        <v/>
      </c>
      <c r="AG147" s="4" t="str">
        <f>HYPERLINK("http://141.218.60.56/~jnz1568/getInfo.php?workbook=01_01.xlsx&amp;sheet=A0&amp;row=147&amp;col=33&amp;number=&amp;sourceID=18","")</f>
        <v/>
      </c>
      <c r="AH147" s="4" t="str">
        <f>HYPERLINK("http://141.218.60.56/~jnz1568/getInfo.php?workbook=01_01.xlsx&amp;sheet=A0&amp;row=147&amp;col=34&amp;number=&amp;sourceID=20","")</f>
        <v/>
      </c>
    </row>
    <row r="148" spans="1:34">
      <c r="A148" s="3">
        <v>1</v>
      </c>
      <c r="B148" s="3">
        <v>1</v>
      </c>
      <c r="C148" s="3">
        <v>18</v>
      </c>
      <c r="D148" s="3">
        <v>15</v>
      </c>
      <c r="E148" s="3">
        <f>((1/(INDEX(E0!J$4:J$28,C148,1)-INDEX(E0!J$4:J$28,D148,1))))*100000000</f>
        <v>0</v>
      </c>
      <c r="F148" s="4" t="str">
        <f>HYPERLINK("http://141.218.60.56/~jnz1568/getInfo.php?workbook=01_01.xlsx&amp;sheet=A0&amp;row=148&amp;col=6&amp;number=&amp;sourceID=18","")</f>
        <v/>
      </c>
      <c r="G148" s="4" t="str">
        <f>HYPERLINK("http://141.218.60.56/~jnz1568/getInfo.php?workbook=01_01.xlsx&amp;sheet=A0&amp;row=148&amp;col=7&amp;number=&amp;sourceID=15","")</f>
        <v/>
      </c>
      <c r="H148" s="4" t="str">
        <f>HYPERLINK("http://141.218.60.56/~jnz1568/getInfo.php?workbook=01_01.xlsx&amp;sheet=A0&amp;row=148&amp;col=8&amp;number=&amp;sourceID=15","")</f>
        <v/>
      </c>
      <c r="I148" s="4" t="str">
        <f>HYPERLINK("http://141.218.60.56/~jnz1568/getInfo.php?workbook=01_01.xlsx&amp;sheet=A0&amp;row=148&amp;col=9&amp;number=&amp;sourceID=15","")</f>
        <v/>
      </c>
      <c r="J148" s="4" t="str">
        <f>HYPERLINK("http://141.218.60.56/~jnz1568/getInfo.php?workbook=01_01.xlsx&amp;sheet=A0&amp;row=148&amp;col=10&amp;number=&amp;sourceID=15","")</f>
        <v/>
      </c>
      <c r="K148" s="4" t="str">
        <f>HYPERLINK("http://141.218.60.56/~jnz1568/getInfo.php?workbook=01_01.xlsx&amp;sheet=A0&amp;row=148&amp;col=11&amp;number=&amp;sourceID=15","")</f>
        <v/>
      </c>
      <c r="L148" s="4" t="str">
        <f>HYPERLINK("http://141.218.60.56/~jnz1568/getInfo.php?workbook=01_01.xlsx&amp;sheet=A0&amp;row=148&amp;col=12&amp;number=&amp;sourceID=15","")</f>
        <v/>
      </c>
      <c r="M148" s="4" t="str">
        <f>HYPERLINK("http://141.218.60.56/~jnz1568/getInfo.php?workbook=01_01.xlsx&amp;sheet=A0&amp;row=148&amp;col=13&amp;number=&amp;sourceID=15","")</f>
        <v/>
      </c>
      <c r="N148" s="4" t="str">
        <f>HYPERLINK("http://141.218.60.56/~jnz1568/getInfo.php?workbook=01_01.xlsx&amp;sheet=A0&amp;row=148&amp;col=14&amp;number==&amp;sourceID=11","=")</f>
        <v>=</v>
      </c>
      <c r="O148" s="4" t="str">
        <f>HYPERLINK("http://141.218.60.56/~jnz1568/getInfo.php?workbook=01_01.xlsx&amp;sheet=A0&amp;row=148&amp;col=15&amp;number=&amp;sourceID=11","")</f>
        <v/>
      </c>
      <c r="P148" s="4" t="str">
        <f>HYPERLINK("http://141.218.60.56/~jnz1568/getInfo.php?workbook=01_01.xlsx&amp;sheet=A0&amp;row=148&amp;col=16&amp;number=&amp;sourceID=11","")</f>
        <v/>
      </c>
      <c r="Q148" s="4" t="str">
        <f>HYPERLINK("http://141.218.60.56/~jnz1568/getInfo.php?workbook=01_01.xlsx&amp;sheet=A0&amp;row=148&amp;col=17&amp;number=1.3687e-08&amp;sourceID=11","1.3687e-08")</f>
        <v>1.3687e-08</v>
      </c>
      <c r="R148" s="4" t="str">
        <f>HYPERLINK("http://141.218.60.56/~jnz1568/getInfo.php?workbook=01_01.xlsx&amp;sheet=A0&amp;row=148&amp;col=18&amp;number=&amp;sourceID=11","")</f>
        <v/>
      </c>
      <c r="S148" s="4" t="str">
        <f>HYPERLINK("http://141.218.60.56/~jnz1568/getInfo.php?workbook=01_01.xlsx&amp;sheet=A0&amp;row=148&amp;col=19&amp;number=0&amp;sourceID=11","0")</f>
        <v>0</v>
      </c>
      <c r="T148" s="4" t="str">
        <f>HYPERLINK("http://141.218.60.56/~jnz1568/getInfo.php?workbook=01_01.xlsx&amp;sheet=A0&amp;row=148&amp;col=20&amp;number=&amp;sourceID=11","")</f>
        <v/>
      </c>
      <c r="U148" s="4" t="str">
        <f>HYPERLINK("http://141.218.60.56/~jnz1568/getInfo.php?workbook=01_01.xlsx&amp;sheet=A0&amp;row=148&amp;col=21&amp;number=1.3695e-08&amp;sourceID=12","1.3695e-08")</f>
        <v>1.3695e-08</v>
      </c>
      <c r="V148" s="4" t="str">
        <f>HYPERLINK("http://141.218.60.56/~jnz1568/getInfo.php?workbook=01_01.xlsx&amp;sheet=A0&amp;row=148&amp;col=22&amp;number=&amp;sourceID=12","")</f>
        <v/>
      </c>
      <c r="W148" s="4" t="str">
        <f>HYPERLINK("http://141.218.60.56/~jnz1568/getInfo.php?workbook=01_01.xlsx&amp;sheet=A0&amp;row=148&amp;col=23&amp;number=&amp;sourceID=12","")</f>
        <v/>
      </c>
      <c r="X148" s="4" t="str">
        <f>HYPERLINK("http://141.218.60.56/~jnz1568/getInfo.php?workbook=01_01.xlsx&amp;sheet=A0&amp;row=148&amp;col=24&amp;number=1.3695e-08&amp;sourceID=12","1.3695e-08")</f>
        <v>1.3695e-08</v>
      </c>
      <c r="Y148" s="4" t="str">
        <f>HYPERLINK("http://141.218.60.56/~jnz1568/getInfo.php?workbook=01_01.xlsx&amp;sheet=A0&amp;row=148&amp;col=25&amp;number=&amp;sourceID=12","")</f>
        <v/>
      </c>
      <c r="Z148" s="4" t="str">
        <f>HYPERLINK("http://141.218.60.56/~jnz1568/getInfo.php?workbook=01_01.xlsx&amp;sheet=A0&amp;row=148&amp;col=26&amp;number=0&amp;sourceID=12","0")</f>
        <v>0</v>
      </c>
      <c r="AA148" s="4" t="str">
        <f>HYPERLINK("http://141.218.60.56/~jnz1568/getInfo.php?workbook=01_01.xlsx&amp;sheet=A0&amp;row=148&amp;col=27&amp;number=&amp;sourceID=12","")</f>
        <v/>
      </c>
      <c r="AB148" s="4" t="str">
        <f>HYPERLINK("http://141.218.60.56/~jnz1568/getInfo.php?workbook=01_01.xlsx&amp;sheet=A0&amp;row=148&amp;col=28&amp;number=&amp;sourceID=18","")</f>
        <v/>
      </c>
      <c r="AC148" s="4" t="str">
        <f>HYPERLINK("http://141.218.60.56/~jnz1568/getInfo.php?workbook=01_01.xlsx&amp;sheet=A0&amp;row=148&amp;col=29&amp;number=&amp;sourceID=18","")</f>
        <v/>
      </c>
      <c r="AD148" s="4" t="str">
        <f>HYPERLINK("http://141.218.60.56/~jnz1568/getInfo.php?workbook=01_01.xlsx&amp;sheet=A0&amp;row=148&amp;col=30&amp;number=&amp;sourceID=18","")</f>
        <v/>
      </c>
      <c r="AE148" s="4" t="str">
        <f>HYPERLINK("http://141.218.60.56/~jnz1568/getInfo.php?workbook=01_01.xlsx&amp;sheet=A0&amp;row=148&amp;col=31&amp;number=&amp;sourceID=18","")</f>
        <v/>
      </c>
      <c r="AF148" s="4" t="str">
        <f>HYPERLINK("http://141.218.60.56/~jnz1568/getInfo.php?workbook=01_01.xlsx&amp;sheet=A0&amp;row=148&amp;col=32&amp;number=&amp;sourceID=18","")</f>
        <v/>
      </c>
      <c r="AG148" s="4" t="str">
        <f>HYPERLINK("http://141.218.60.56/~jnz1568/getInfo.php?workbook=01_01.xlsx&amp;sheet=A0&amp;row=148&amp;col=33&amp;number=&amp;sourceID=18","")</f>
        <v/>
      </c>
      <c r="AH148" s="4" t="str">
        <f>HYPERLINK("http://141.218.60.56/~jnz1568/getInfo.php?workbook=01_01.xlsx&amp;sheet=A0&amp;row=148&amp;col=34&amp;number=&amp;sourceID=20","")</f>
        <v/>
      </c>
    </row>
    <row r="149" spans="1:34">
      <c r="A149" s="3">
        <v>1</v>
      </c>
      <c r="B149" s="3">
        <v>1</v>
      </c>
      <c r="C149" s="3">
        <v>18</v>
      </c>
      <c r="D149" s="3">
        <v>16</v>
      </c>
      <c r="E149" s="3">
        <f>((1/(INDEX(E0!J$4:J$28,C149,1)-INDEX(E0!J$4:J$28,D149,1))))*100000000</f>
        <v>0</v>
      </c>
      <c r="F149" s="4" t="str">
        <f>HYPERLINK("http://141.218.60.56/~jnz1568/getInfo.php?workbook=01_01.xlsx&amp;sheet=A0&amp;row=149&amp;col=6&amp;number=&amp;sourceID=18","")</f>
        <v/>
      </c>
      <c r="G149" s="4" t="str">
        <f>HYPERLINK("http://141.218.60.56/~jnz1568/getInfo.php?workbook=01_01.xlsx&amp;sheet=A0&amp;row=149&amp;col=7&amp;number=&amp;sourceID=15","")</f>
        <v/>
      </c>
      <c r="H149" s="4" t="str">
        <f>HYPERLINK("http://141.218.60.56/~jnz1568/getInfo.php?workbook=01_01.xlsx&amp;sheet=A0&amp;row=149&amp;col=8&amp;number=&amp;sourceID=15","")</f>
        <v/>
      </c>
      <c r="I149" s="4" t="str">
        <f>HYPERLINK("http://141.218.60.56/~jnz1568/getInfo.php?workbook=01_01.xlsx&amp;sheet=A0&amp;row=149&amp;col=9&amp;number=&amp;sourceID=15","")</f>
        <v/>
      </c>
      <c r="J149" s="4" t="str">
        <f>HYPERLINK("http://141.218.60.56/~jnz1568/getInfo.php?workbook=01_01.xlsx&amp;sheet=A0&amp;row=149&amp;col=10&amp;number=&amp;sourceID=15","")</f>
        <v/>
      </c>
      <c r="K149" s="4" t="str">
        <f>HYPERLINK("http://141.218.60.56/~jnz1568/getInfo.php?workbook=01_01.xlsx&amp;sheet=A0&amp;row=149&amp;col=11&amp;number=&amp;sourceID=15","")</f>
        <v/>
      </c>
      <c r="L149" s="4" t="str">
        <f>HYPERLINK("http://141.218.60.56/~jnz1568/getInfo.php?workbook=01_01.xlsx&amp;sheet=A0&amp;row=149&amp;col=12&amp;number=&amp;sourceID=15","")</f>
        <v/>
      </c>
      <c r="M149" s="4" t="str">
        <f>HYPERLINK("http://141.218.60.56/~jnz1568/getInfo.php?workbook=01_01.xlsx&amp;sheet=A0&amp;row=149&amp;col=13&amp;number=&amp;sourceID=15","")</f>
        <v/>
      </c>
      <c r="N149" s="4" t="str">
        <f>HYPERLINK("http://141.218.60.56/~jnz1568/getInfo.php?workbook=01_01.xlsx&amp;sheet=A0&amp;row=149&amp;col=14&amp;number==&amp;sourceID=11","=")</f>
        <v>=</v>
      </c>
      <c r="O149" s="4" t="str">
        <f>HYPERLINK("http://141.218.60.56/~jnz1568/getInfo.php?workbook=01_01.xlsx&amp;sheet=A0&amp;row=149&amp;col=15&amp;number=&amp;sourceID=11","")</f>
        <v/>
      </c>
      <c r="P149" s="4" t="str">
        <f>HYPERLINK("http://141.218.60.56/~jnz1568/getInfo.php?workbook=01_01.xlsx&amp;sheet=A0&amp;row=149&amp;col=16&amp;number=&amp;sourceID=11","")</f>
        <v/>
      </c>
      <c r="Q149" s="4" t="str">
        <f>HYPERLINK("http://141.218.60.56/~jnz1568/getInfo.php?workbook=01_01.xlsx&amp;sheet=A0&amp;row=149&amp;col=17&amp;number=1.8249e-08&amp;sourceID=11","1.8249e-08")</f>
        <v>1.8249e-08</v>
      </c>
      <c r="R149" s="4" t="str">
        <f>HYPERLINK("http://141.218.60.56/~jnz1568/getInfo.php?workbook=01_01.xlsx&amp;sheet=A0&amp;row=149&amp;col=18&amp;number=&amp;sourceID=11","")</f>
        <v/>
      </c>
      <c r="S149" s="4" t="str">
        <f>HYPERLINK("http://141.218.60.56/~jnz1568/getInfo.php?workbook=01_01.xlsx&amp;sheet=A0&amp;row=149&amp;col=19&amp;number=&amp;sourceID=11","")</f>
        <v/>
      </c>
      <c r="T149" s="4" t="str">
        <f>HYPERLINK("http://141.218.60.56/~jnz1568/getInfo.php?workbook=01_01.xlsx&amp;sheet=A0&amp;row=149&amp;col=20&amp;number=&amp;sourceID=11","")</f>
        <v/>
      </c>
      <c r="U149" s="4" t="str">
        <f>HYPERLINK("http://141.218.60.56/~jnz1568/getInfo.php?workbook=01_01.xlsx&amp;sheet=A0&amp;row=149&amp;col=21&amp;number=1.8259e-08&amp;sourceID=12","1.8259e-08")</f>
        <v>1.8259e-08</v>
      </c>
      <c r="V149" s="4" t="str">
        <f>HYPERLINK("http://141.218.60.56/~jnz1568/getInfo.php?workbook=01_01.xlsx&amp;sheet=A0&amp;row=149&amp;col=22&amp;number=&amp;sourceID=12","")</f>
        <v/>
      </c>
      <c r="W149" s="4" t="str">
        <f>HYPERLINK("http://141.218.60.56/~jnz1568/getInfo.php?workbook=01_01.xlsx&amp;sheet=A0&amp;row=149&amp;col=23&amp;number=&amp;sourceID=12","")</f>
        <v/>
      </c>
      <c r="X149" s="4" t="str">
        <f>HYPERLINK("http://141.218.60.56/~jnz1568/getInfo.php?workbook=01_01.xlsx&amp;sheet=A0&amp;row=149&amp;col=24&amp;number=1.8259e-08&amp;sourceID=12","1.8259e-08")</f>
        <v>1.8259e-08</v>
      </c>
      <c r="Y149" s="4" t="str">
        <f>HYPERLINK("http://141.218.60.56/~jnz1568/getInfo.php?workbook=01_01.xlsx&amp;sheet=A0&amp;row=149&amp;col=25&amp;number=&amp;sourceID=12","")</f>
        <v/>
      </c>
      <c r="Z149" s="4" t="str">
        <f>HYPERLINK("http://141.218.60.56/~jnz1568/getInfo.php?workbook=01_01.xlsx&amp;sheet=A0&amp;row=149&amp;col=26&amp;number=&amp;sourceID=12","")</f>
        <v/>
      </c>
      <c r="AA149" s="4" t="str">
        <f>HYPERLINK("http://141.218.60.56/~jnz1568/getInfo.php?workbook=01_01.xlsx&amp;sheet=A0&amp;row=149&amp;col=27&amp;number=&amp;sourceID=12","")</f>
        <v/>
      </c>
      <c r="AB149" s="4" t="str">
        <f>HYPERLINK("http://141.218.60.56/~jnz1568/getInfo.php?workbook=01_01.xlsx&amp;sheet=A0&amp;row=149&amp;col=28&amp;number=&amp;sourceID=18","")</f>
        <v/>
      </c>
      <c r="AC149" s="4" t="str">
        <f>HYPERLINK("http://141.218.60.56/~jnz1568/getInfo.php?workbook=01_01.xlsx&amp;sheet=A0&amp;row=149&amp;col=29&amp;number=&amp;sourceID=18","")</f>
        <v/>
      </c>
      <c r="AD149" s="4" t="str">
        <f>HYPERLINK("http://141.218.60.56/~jnz1568/getInfo.php?workbook=01_01.xlsx&amp;sheet=A0&amp;row=149&amp;col=30&amp;number=&amp;sourceID=18","")</f>
        <v/>
      </c>
      <c r="AE149" s="4" t="str">
        <f>HYPERLINK("http://141.218.60.56/~jnz1568/getInfo.php?workbook=01_01.xlsx&amp;sheet=A0&amp;row=149&amp;col=31&amp;number=&amp;sourceID=18","")</f>
        <v/>
      </c>
      <c r="AF149" s="4" t="str">
        <f>HYPERLINK("http://141.218.60.56/~jnz1568/getInfo.php?workbook=01_01.xlsx&amp;sheet=A0&amp;row=149&amp;col=32&amp;number=&amp;sourceID=18","")</f>
        <v/>
      </c>
      <c r="AG149" s="4" t="str">
        <f>HYPERLINK("http://141.218.60.56/~jnz1568/getInfo.php?workbook=01_01.xlsx&amp;sheet=A0&amp;row=149&amp;col=33&amp;number=&amp;sourceID=18","")</f>
        <v/>
      </c>
      <c r="AH149" s="4" t="str">
        <f>HYPERLINK("http://141.218.60.56/~jnz1568/getInfo.php?workbook=01_01.xlsx&amp;sheet=A0&amp;row=149&amp;col=34&amp;number=&amp;sourceID=20","")</f>
        <v/>
      </c>
    </row>
    <row r="150" spans="1:34">
      <c r="A150" s="3">
        <v>1</v>
      </c>
      <c r="B150" s="3">
        <v>1</v>
      </c>
      <c r="C150" s="3">
        <v>19</v>
      </c>
      <c r="D150" s="3">
        <v>1</v>
      </c>
      <c r="E150" s="3">
        <f>((1/(INDEX(E0!J$4:J$28,C150,1)-INDEX(E0!J$4:J$28,D150,1))))*100000000</f>
        <v>0</v>
      </c>
      <c r="F150" s="4" t="str">
        <f>HYPERLINK("http://141.218.60.56/~jnz1568/getInfo.php?workbook=01_01.xlsx&amp;sheet=A0&amp;row=150&amp;col=6&amp;number=&amp;sourceID=18","")</f>
        <v/>
      </c>
      <c r="G150" s="4" t="str">
        <f>HYPERLINK("http://141.218.60.56/~jnz1568/getInfo.php?workbook=01_01.xlsx&amp;sheet=A0&amp;row=150&amp;col=7&amp;number=&amp;sourceID=15","")</f>
        <v/>
      </c>
      <c r="H150" s="4" t="str">
        <f>HYPERLINK("http://141.218.60.56/~jnz1568/getInfo.php?workbook=01_01.xlsx&amp;sheet=A0&amp;row=150&amp;col=8&amp;number=&amp;sourceID=15","")</f>
        <v/>
      </c>
      <c r="I150" s="4" t="str">
        <f>HYPERLINK("http://141.218.60.56/~jnz1568/getInfo.php?workbook=01_01.xlsx&amp;sheet=A0&amp;row=150&amp;col=9&amp;number=&amp;sourceID=15","")</f>
        <v/>
      </c>
      <c r="J150" s="4" t="str">
        <f>HYPERLINK("http://141.218.60.56/~jnz1568/getInfo.php?workbook=01_01.xlsx&amp;sheet=A0&amp;row=150&amp;col=10&amp;number=&amp;sourceID=15","")</f>
        <v/>
      </c>
      <c r="K150" s="4" t="str">
        <f>HYPERLINK("http://141.218.60.56/~jnz1568/getInfo.php?workbook=01_01.xlsx&amp;sheet=A0&amp;row=150&amp;col=11&amp;number=&amp;sourceID=15","")</f>
        <v/>
      </c>
      <c r="L150" s="4" t="str">
        <f>HYPERLINK("http://141.218.60.56/~jnz1568/getInfo.php?workbook=01_01.xlsx&amp;sheet=A0&amp;row=150&amp;col=12&amp;number=&amp;sourceID=15","")</f>
        <v/>
      </c>
      <c r="M150" s="4" t="str">
        <f>HYPERLINK("http://141.218.60.56/~jnz1568/getInfo.php?workbook=01_01.xlsx&amp;sheet=A0&amp;row=150&amp;col=13&amp;number=&amp;sourceID=15","")</f>
        <v/>
      </c>
      <c r="N150" s="4" t="str">
        <f>HYPERLINK("http://141.218.60.56/~jnz1568/getInfo.php?workbook=01_01.xlsx&amp;sheet=A0&amp;row=150&amp;col=14&amp;number==&amp;sourceID=11","=")</f>
        <v>=</v>
      </c>
      <c r="O150" s="4" t="str">
        <f>HYPERLINK("http://141.218.60.56/~jnz1568/getInfo.php?workbook=01_01.xlsx&amp;sheet=A0&amp;row=150&amp;col=15&amp;number=&amp;sourceID=11","")</f>
        <v/>
      </c>
      <c r="P150" s="4" t="str">
        <f>HYPERLINK("http://141.218.60.56/~jnz1568/getInfo.php?workbook=01_01.xlsx&amp;sheet=A0&amp;row=150&amp;col=16&amp;number=184.51&amp;sourceID=11","184.51")</f>
        <v>184.51</v>
      </c>
      <c r="Q150" s="4" t="str">
        <f>HYPERLINK("http://141.218.60.56/~jnz1568/getInfo.php?workbook=01_01.xlsx&amp;sheet=A0&amp;row=150&amp;col=17&amp;number=&amp;sourceID=11","")</f>
        <v/>
      </c>
      <c r="R150" s="4" t="str">
        <f>HYPERLINK("http://141.218.60.56/~jnz1568/getInfo.php?workbook=01_01.xlsx&amp;sheet=A0&amp;row=150&amp;col=18&amp;number=2.5793e-09&amp;sourceID=11","2.5793e-09")</f>
        <v>2.5793e-09</v>
      </c>
      <c r="S150" s="4" t="str">
        <f>HYPERLINK("http://141.218.60.56/~jnz1568/getInfo.php?workbook=01_01.xlsx&amp;sheet=A0&amp;row=150&amp;col=19&amp;number=&amp;sourceID=11","")</f>
        <v/>
      </c>
      <c r="T150" s="4" t="str">
        <f>HYPERLINK("http://141.218.60.56/~jnz1568/getInfo.php?workbook=01_01.xlsx&amp;sheet=A0&amp;row=150&amp;col=20&amp;number=&amp;sourceID=11","")</f>
        <v/>
      </c>
      <c r="U150" s="4" t="str">
        <f>HYPERLINK("http://141.218.60.56/~jnz1568/getInfo.php?workbook=01_01.xlsx&amp;sheet=A0&amp;row=150&amp;col=21&amp;number=184.62&amp;sourceID=12","184.62")</f>
        <v>184.62</v>
      </c>
      <c r="V150" s="4" t="str">
        <f>HYPERLINK("http://141.218.60.56/~jnz1568/getInfo.php?workbook=01_01.xlsx&amp;sheet=A0&amp;row=150&amp;col=22&amp;number=&amp;sourceID=12","")</f>
        <v/>
      </c>
      <c r="W150" s="4" t="str">
        <f>HYPERLINK("http://141.218.60.56/~jnz1568/getInfo.php?workbook=01_01.xlsx&amp;sheet=A0&amp;row=150&amp;col=23&amp;number=184.62&amp;sourceID=12","184.62")</f>
        <v>184.62</v>
      </c>
      <c r="X150" s="4" t="str">
        <f>HYPERLINK("http://141.218.60.56/~jnz1568/getInfo.php?workbook=01_01.xlsx&amp;sheet=A0&amp;row=150&amp;col=24&amp;number=&amp;sourceID=12","")</f>
        <v/>
      </c>
      <c r="Y150" s="4" t="str">
        <f>HYPERLINK("http://141.218.60.56/~jnz1568/getInfo.php?workbook=01_01.xlsx&amp;sheet=A0&amp;row=150&amp;col=25&amp;number=2.6816e-09&amp;sourceID=12","2.6816e-09")</f>
        <v>2.6816e-09</v>
      </c>
      <c r="Z150" s="4" t="str">
        <f>HYPERLINK("http://141.218.60.56/~jnz1568/getInfo.php?workbook=01_01.xlsx&amp;sheet=A0&amp;row=150&amp;col=26&amp;number=&amp;sourceID=12","")</f>
        <v/>
      </c>
      <c r="AA150" s="4" t="str">
        <f>HYPERLINK("http://141.218.60.56/~jnz1568/getInfo.php?workbook=01_01.xlsx&amp;sheet=A0&amp;row=150&amp;col=27&amp;number=&amp;sourceID=12","")</f>
        <v/>
      </c>
      <c r="AB150" s="4" t="str">
        <f>HYPERLINK("http://141.218.60.56/~jnz1568/getInfo.php?workbook=01_01.xlsx&amp;sheet=A0&amp;row=150&amp;col=28&amp;number=&amp;sourceID=18","")</f>
        <v/>
      </c>
      <c r="AC150" s="4" t="str">
        <f>HYPERLINK("http://141.218.60.56/~jnz1568/getInfo.php?workbook=01_01.xlsx&amp;sheet=A0&amp;row=150&amp;col=29&amp;number=&amp;sourceID=18","")</f>
        <v/>
      </c>
      <c r="AD150" s="4" t="str">
        <f>HYPERLINK("http://141.218.60.56/~jnz1568/getInfo.php?workbook=01_01.xlsx&amp;sheet=A0&amp;row=150&amp;col=30&amp;number=&amp;sourceID=18","")</f>
        <v/>
      </c>
      <c r="AE150" s="4" t="str">
        <f>HYPERLINK("http://141.218.60.56/~jnz1568/getInfo.php?workbook=01_01.xlsx&amp;sheet=A0&amp;row=150&amp;col=31&amp;number=&amp;sourceID=18","")</f>
        <v/>
      </c>
      <c r="AF150" s="4" t="str">
        <f>HYPERLINK("http://141.218.60.56/~jnz1568/getInfo.php?workbook=01_01.xlsx&amp;sheet=A0&amp;row=150&amp;col=32&amp;number=&amp;sourceID=18","")</f>
        <v/>
      </c>
      <c r="AG150" s="4" t="str">
        <f>HYPERLINK("http://141.218.60.56/~jnz1568/getInfo.php?workbook=01_01.xlsx&amp;sheet=A0&amp;row=150&amp;col=33&amp;number=&amp;sourceID=18","")</f>
        <v/>
      </c>
      <c r="AH150" s="4" t="str">
        <f>HYPERLINK("http://141.218.60.56/~jnz1568/getInfo.php?workbook=01_01.xlsx&amp;sheet=A0&amp;row=150&amp;col=34&amp;number=&amp;sourceID=20","")</f>
        <v/>
      </c>
    </row>
    <row r="151" spans="1:34">
      <c r="A151" s="3">
        <v>1</v>
      </c>
      <c r="B151" s="3">
        <v>1</v>
      </c>
      <c r="C151" s="3">
        <v>19</v>
      </c>
      <c r="D151" s="3">
        <v>2</v>
      </c>
      <c r="E151" s="3">
        <f>((1/(INDEX(E0!J$4:J$28,C151,1)-INDEX(E0!J$4:J$28,D151,1))))*100000000</f>
        <v>0</v>
      </c>
      <c r="F151" s="4" t="str">
        <f>HYPERLINK("http://141.218.60.56/~jnz1568/getInfo.php?workbook=01_01.xlsx&amp;sheet=A0&amp;row=151&amp;col=6&amp;number=&amp;sourceID=18","")</f>
        <v/>
      </c>
      <c r="G151" s="4" t="str">
        <f>HYPERLINK("http://141.218.60.56/~jnz1568/getInfo.php?workbook=01_01.xlsx&amp;sheet=A0&amp;row=151&amp;col=7&amp;number=7854800&amp;sourceID=15","7854800")</f>
        <v>7854800</v>
      </c>
      <c r="H151" s="4" t="str">
        <f>HYPERLINK("http://141.218.60.56/~jnz1568/getInfo.php?workbook=01_01.xlsx&amp;sheet=A0&amp;row=151&amp;col=8&amp;number=7854800&amp;sourceID=15","7854800")</f>
        <v>7854800</v>
      </c>
      <c r="I151" s="4" t="str">
        <f>HYPERLINK("http://141.218.60.56/~jnz1568/getInfo.php?workbook=01_01.xlsx&amp;sheet=A0&amp;row=151&amp;col=9&amp;number=&amp;sourceID=15","")</f>
        <v/>
      </c>
      <c r="J151" s="4" t="str">
        <f>HYPERLINK("http://141.218.60.56/~jnz1568/getInfo.php?workbook=01_01.xlsx&amp;sheet=A0&amp;row=151&amp;col=10&amp;number=&amp;sourceID=15","")</f>
        <v/>
      </c>
      <c r="K151" s="4" t="str">
        <f>HYPERLINK("http://141.218.60.56/~jnz1568/getInfo.php?workbook=01_01.xlsx&amp;sheet=A0&amp;row=151&amp;col=11&amp;number=&amp;sourceID=15","")</f>
        <v/>
      </c>
      <c r="L151" s="4" t="str">
        <f>HYPERLINK("http://141.218.60.56/~jnz1568/getInfo.php?workbook=01_01.xlsx&amp;sheet=A0&amp;row=151&amp;col=12&amp;number=&amp;sourceID=15","")</f>
        <v/>
      </c>
      <c r="M151" s="4" t="str">
        <f>HYPERLINK("http://141.218.60.56/~jnz1568/getInfo.php?workbook=01_01.xlsx&amp;sheet=A0&amp;row=151&amp;col=13&amp;number=&amp;sourceID=15","")</f>
        <v/>
      </c>
      <c r="N151" s="4" t="str">
        <f>HYPERLINK("http://141.218.60.56/~jnz1568/getInfo.php?workbook=01_01.xlsx&amp;sheet=A0&amp;row=151&amp;col=14&amp;number==&amp;sourceID=11","=")</f>
        <v>=</v>
      </c>
      <c r="O151" s="4" t="str">
        <f>HYPERLINK("http://141.218.60.56/~jnz1568/getInfo.php?workbook=01_01.xlsx&amp;sheet=A0&amp;row=151&amp;col=15&amp;number=7854800&amp;sourceID=11","7854800")</f>
        <v>7854800</v>
      </c>
      <c r="P151" s="4" t="str">
        <f>HYPERLINK("http://141.218.60.56/~jnz1568/getInfo.php?workbook=01_01.xlsx&amp;sheet=A0&amp;row=151&amp;col=16&amp;number=&amp;sourceID=11","")</f>
        <v/>
      </c>
      <c r="Q151" s="4" t="str">
        <f>HYPERLINK("http://141.218.60.56/~jnz1568/getInfo.php?workbook=01_01.xlsx&amp;sheet=A0&amp;row=151&amp;col=17&amp;number=&amp;sourceID=11","")</f>
        <v/>
      </c>
      <c r="R151" s="4" t="str">
        <f>HYPERLINK("http://141.218.60.56/~jnz1568/getInfo.php?workbook=01_01.xlsx&amp;sheet=A0&amp;row=151&amp;col=18&amp;number=&amp;sourceID=11","")</f>
        <v/>
      </c>
      <c r="S151" s="4" t="str">
        <f>HYPERLINK("http://141.218.60.56/~jnz1568/getInfo.php?workbook=01_01.xlsx&amp;sheet=A0&amp;row=151&amp;col=19&amp;number=1.8418e-06&amp;sourceID=11","1.8418e-06")</f>
        <v>1.8418e-06</v>
      </c>
      <c r="T151" s="4" t="str">
        <f>HYPERLINK("http://141.218.60.56/~jnz1568/getInfo.php?workbook=01_01.xlsx&amp;sheet=A0&amp;row=151&amp;col=20&amp;number=&amp;sourceID=11","")</f>
        <v/>
      </c>
      <c r="U151" s="4" t="str">
        <f>HYPERLINK("http://141.218.60.56/~jnz1568/getInfo.php?workbook=01_01.xlsx&amp;sheet=A0&amp;row=151&amp;col=21&amp;number=7859100&amp;sourceID=12","7859100")</f>
        <v>7859100</v>
      </c>
      <c r="V151" s="4" t="str">
        <f>HYPERLINK("http://141.218.60.56/~jnz1568/getInfo.php?workbook=01_01.xlsx&amp;sheet=A0&amp;row=151&amp;col=22&amp;number=7859100&amp;sourceID=12","7859100")</f>
        <v>7859100</v>
      </c>
      <c r="W151" s="4" t="str">
        <f>HYPERLINK("http://141.218.60.56/~jnz1568/getInfo.php?workbook=01_01.xlsx&amp;sheet=A0&amp;row=151&amp;col=23&amp;number=&amp;sourceID=12","")</f>
        <v/>
      </c>
      <c r="X151" s="4" t="str">
        <f>HYPERLINK("http://141.218.60.56/~jnz1568/getInfo.php?workbook=01_01.xlsx&amp;sheet=A0&amp;row=151&amp;col=24&amp;number=&amp;sourceID=12","")</f>
        <v/>
      </c>
      <c r="Y151" s="4" t="str">
        <f>HYPERLINK("http://141.218.60.56/~jnz1568/getInfo.php?workbook=01_01.xlsx&amp;sheet=A0&amp;row=151&amp;col=25&amp;number=&amp;sourceID=12","")</f>
        <v/>
      </c>
      <c r="Z151" s="4" t="str">
        <f>HYPERLINK("http://141.218.60.56/~jnz1568/getInfo.php?workbook=01_01.xlsx&amp;sheet=A0&amp;row=151&amp;col=26&amp;number=1.8428e-06&amp;sourceID=12","1.8428e-06")</f>
        <v>1.8428e-06</v>
      </c>
      <c r="AA151" s="4" t="str">
        <f>HYPERLINK("http://141.218.60.56/~jnz1568/getInfo.php?workbook=01_01.xlsx&amp;sheet=A0&amp;row=151&amp;col=27&amp;number=&amp;sourceID=12","")</f>
        <v/>
      </c>
      <c r="AB151" s="4" t="str">
        <f>HYPERLINK("http://141.218.60.56/~jnz1568/getInfo.php?workbook=01_01.xlsx&amp;sheet=A0&amp;row=151&amp;col=28&amp;number=&amp;sourceID=18","")</f>
        <v/>
      </c>
      <c r="AC151" s="4" t="str">
        <f>HYPERLINK("http://141.218.60.56/~jnz1568/getInfo.php?workbook=01_01.xlsx&amp;sheet=A0&amp;row=151&amp;col=29&amp;number=&amp;sourceID=18","")</f>
        <v/>
      </c>
      <c r="AD151" s="4" t="str">
        <f>HYPERLINK("http://141.218.60.56/~jnz1568/getInfo.php?workbook=01_01.xlsx&amp;sheet=A0&amp;row=151&amp;col=30&amp;number=&amp;sourceID=18","")</f>
        <v/>
      </c>
      <c r="AE151" s="4" t="str">
        <f>HYPERLINK("http://141.218.60.56/~jnz1568/getInfo.php?workbook=01_01.xlsx&amp;sheet=A0&amp;row=151&amp;col=31&amp;number=&amp;sourceID=18","")</f>
        <v/>
      </c>
      <c r="AF151" s="4" t="str">
        <f>HYPERLINK("http://141.218.60.56/~jnz1568/getInfo.php?workbook=01_01.xlsx&amp;sheet=A0&amp;row=151&amp;col=32&amp;number=&amp;sourceID=18","")</f>
        <v/>
      </c>
      <c r="AG151" s="4" t="str">
        <f>HYPERLINK("http://141.218.60.56/~jnz1568/getInfo.php?workbook=01_01.xlsx&amp;sheet=A0&amp;row=151&amp;col=33&amp;number=&amp;sourceID=18","")</f>
        <v/>
      </c>
      <c r="AH151" s="4" t="str">
        <f>HYPERLINK("http://141.218.60.56/~jnz1568/getInfo.php?workbook=01_01.xlsx&amp;sheet=A0&amp;row=151&amp;col=34&amp;number=&amp;sourceID=20","")</f>
        <v/>
      </c>
    </row>
    <row r="152" spans="1:34">
      <c r="A152" s="3">
        <v>1</v>
      </c>
      <c r="B152" s="3">
        <v>1</v>
      </c>
      <c r="C152" s="3">
        <v>19</v>
      </c>
      <c r="D152" s="3">
        <v>3</v>
      </c>
      <c r="E152" s="3">
        <f>((1/(INDEX(E0!J$4:J$28,C152,1)-INDEX(E0!J$4:J$28,D152,1))))*100000000</f>
        <v>0</v>
      </c>
      <c r="F152" s="4" t="str">
        <f>HYPERLINK("http://141.218.60.56/~jnz1568/getInfo.php?workbook=01_01.xlsx&amp;sheet=A0&amp;row=152&amp;col=6&amp;number=&amp;sourceID=18","")</f>
        <v/>
      </c>
      <c r="G152" s="4" t="str">
        <f>HYPERLINK("http://141.218.60.56/~jnz1568/getInfo.php?workbook=01_01.xlsx&amp;sheet=A0&amp;row=152&amp;col=7&amp;number=&amp;sourceID=15","")</f>
        <v/>
      </c>
      <c r="H152" s="4" t="str">
        <f>HYPERLINK("http://141.218.60.56/~jnz1568/getInfo.php?workbook=01_01.xlsx&amp;sheet=A0&amp;row=152&amp;col=8&amp;number=&amp;sourceID=15","")</f>
        <v/>
      </c>
      <c r="I152" s="4" t="str">
        <f>HYPERLINK("http://141.218.60.56/~jnz1568/getInfo.php?workbook=01_01.xlsx&amp;sheet=A0&amp;row=152&amp;col=9&amp;number=&amp;sourceID=15","")</f>
        <v/>
      </c>
      <c r="J152" s="4" t="str">
        <f>HYPERLINK("http://141.218.60.56/~jnz1568/getInfo.php?workbook=01_01.xlsx&amp;sheet=A0&amp;row=152&amp;col=10&amp;number=&amp;sourceID=15","")</f>
        <v/>
      </c>
      <c r="K152" s="4" t="str">
        <f>HYPERLINK("http://141.218.60.56/~jnz1568/getInfo.php?workbook=01_01.xlsx&amp;sheet=A0&amp;row=152&amp;col=11&amp;number=&amp;sourceID=15","")</f>
        <v/>
      </c>
      <c r="L152" s="4" t="str">
        <f>HYPERLINK("http://141.218.60.56/~jnz1568/getInfo.php?workbook=01_01.xlsx&amp;sheet=A0&amp;row=152&amp;col=12&amp;number=&amp;sourceID=15","")</f>
        <v/>
      </c>
      <c r="M152" s="4" t="str">
        <f>HYPERLINK("http://141.218.60.56/~jnz1568/getInfo.php?workbook=01_01.xlsx&amp;sheet=A0&amp;row=152&amp;col=13&amp;number=&amp;sourceID=15","")</f>
        <v/>
      </c>
      <c r="N152" s="4" t="str">
        <f>HYPERLINK("http://141.218.60.56/~jnz1568/getInfo.php?workbook=01_01.xlsx&amp;sheet=A0&amp;row=152&amp;col=14&amp;number==&amp;sourceID=11","=")</f>
        <v>=</v>
      </c>
      <c r="O152" s="4" t="str">
        <f>HYPERLINK("http://141.218.60.56/~jnz1568/getInfo.php?workbook=01_01.xlsx&amp;sheet=A0&amp;row=152&amp;col=15&amp;number=&amp;sourceID=11","")</f>
        <v/>
      </c>
      <c r="P152" s="4" t="str">
        <f>HYPERLINK("http://141.218.60.56/~jnz1568/getInfo.php?workbook=01_01.xlsx&amp;sheet=A0&amp;row=152&amp;col=16&amp;number=0.96388&amp;sourceID=11","0.96388")</f>
        <v>0.96388</v>
      </c>
      <c r="Q152" s="4" t="str">
        <f>HYPERLINK("http://141.218.60.56/~jnz1568/getInfo.php?workbook=01_01.xlsx&amp;sheet=A0&amp;row=152&amp;col=17&amp;number=&amp;sourceID=11","")</f>
        <v/>
      </c>
      <c r="R152" s="4" t="str">
        <f>HYPERLINK("http://141.218.60.56/~jnz1568/getInfo.php?workbook=01_01.xlsx&amp;sheet=A0&amp;row=152&amp;col=18&amp;number=3.3703e-11&amp;sourceID=11","3.3703e-11")</f>
        <v>3.3703e-11</v>
      </c>
      <c r="S152" s="4" t="str">
        <f>HYPERLINK("http://141.218.60.56/~jnz1568/getInfo.php?workbook=01_01.xlsx&amp;sheet=A0&amp;row=152&amp;col=19&amp;number=&amp;sourceID=11","")</f>
        <v/>
      </c>
      <c r="T152" s="4" t="str">
        <f>HYPERLINK("http://141.218.60.56/~jnz1568/getInfo.php?workbook=01_01.xlsx&amp;sheet=A0&amp;row=152&amp;col=20&amp;number=&amp;sourceID=11","")</f>
        <v/>
      </c>
      <c r="U152" s="4" t="str">
        <f>HYPERLINK("http://141.218.60.56/~jnz1568/getInfo.php?workbook=01_01.xlsx&amp;sheet=A0&amp;row=152&amp;col=21&amp;number=0.9644&amp;sourceID=12","0.9644")</f>
        <v>0.9644</v>
      </c>
      <c r="V152" s="4" t="str">
        <f>HYPERLINK("http://141.218.60.56/~jnz1568/getInfo.php?workbook=01_01.xlsx&amp;sheet=A0&amp;row=152&amp;col=22&amp;number=&amp;sourceID=12","")</f>
        <v/>
      </c>
      <c r="W152" s="4" t="str">
        <f>HYPERLINK("http://141.218.60.56/~jnz1568/getInfo.php?workbook=01_01.xlsx&amp;sheet=A0&amp;row=152&amp;col=23&amp;number=0.9644&amp;sourceID=12","0.9644")</f>
        <v>0.9644</v>
      </c>
      <c r="X152" s="4" t="str">
        <f>HYPERLINK("http://141.218.60.56/~jnz1568/getInfo.php?workbook=01_01.xlsx&amp;sheet=A0&amp;row=152&amp;col=24&amp;number=&amp;sourceID=12","")</f>
        <v/>
      </c>
      <c r="Y152" s="4" t="str">
        <f>HYPERLINK("http://141.218.60.56/~jnz1568/getInfo.php?workbook=01_01.xlsx&amp;sheet=A0&amp;row=152&amp;col=25&amp;number=2.6142e-11&amp;sourceID=12","2.6142e-11")</f>
        <v>2.6142e-11</v>
      </c>
      <c r="Z152" s="4" t="str">
        <f>HYPERLINK("http://141.218.60.56/~jnz1568/getInfo.php?workbook=01_01.xlsx&amp;sheet=A0&amp;row=152&amp;col=26&amp;number=&amp;sourceID=12","")</f>
        <v/>
      </c>
      <c r="AA152" s="4" t="str">
        <f>HYPERLINK("http://141.218.60.56/~jnz1568/getInfo.php?workbook=01_01.xlsx&amp;sheet=A0&amp;row=152&amp;col=27&amp;number=&amp;sourceID=12","")</f>
        <v/>
      </c>
      <c r="AB152" s="4" t="str">
        <f>HYPERLINK("http://141.218.60.56/~jnz1568/getInfo.php?workbook=01_01.xlsx&amp;sheet=A0&amp;row=152&amp;col=28&amp;number=&amp;sourceID=18","")</f>
        <v/>
      </c>
      <c r="AC152" s="4" t="str">
        <f>HYPERLINK("http://141.218.60.56/~jnz1568/getInfo.php?workbook=01_01.xlsx&amp;sheet=A0&amp;row=152&amp;col=29&amp;number=&amp;sourceID=18","")</f>
        <v/>
      </c>
      <c r="AD152" s="4" t="str">
        <f>HYPERLINK("http://141.218.60.56/~jnz1568/getInfo.php?workbook=01_01.xlsx&amp;sheet=A0&amp;row=152&amp;col=30&amp;number=&amp;sourceID=18","")</f>
        <v/>
      </c>
      <c r="AE152" s="4" t="str">
        <f>HYPERLINK("http://141.218.60.56/~jnz1568/getInfo.php?workbook=01_01.xlsx&amp;sheet=A0&amp;row=152&amp;col=31&amp;number=&amp;sourceID=18","")</f>
        <v/>
      </c>
      <c r="AF152" s="4" t="str">
        <f>HYPERLINK("http://141.218.60.56/~jnz1568/getInfo.php?workbook=01_01.xlsx&amp;sheet=A0&amp;row=152&amp;col=32&amp;number=&amp;sourceID=18","")</f>
        <v/>
      </c>
      <c r="AG152" s="4" t="str">
        <f>HYPERLINK("http://141.218.60.56/~jnz1568/getInfo.php?workbook=01_01.xlsx&amp;sheet=A0&amp;row=152&amp;col=33&amp;number=&amp;sourceID=18","")</f>
        <v/>
      </c>
      <c r="AH152" s="4" t="str">
        <f>HYPERLINK("http://141.218.60.56/~jnz1568/getInfo.php?workbook=01_01.xlsx&amp;sheet=A0&amp;row=152&amp;col=34&amp;number=&amp;sourceID=20","")</f>
        <v/>
      </c>
    </row>
    <row r="153" spans="1:34">
      <c r="A153" s="3">
        <v>1</v>
      </c>
      <c r="B153" s="3">
        <v>1</v>
      </c>
      <c r="C153" s="3">
        <v>19</v>
      </c>
      <c r="D153" s="3">
        <v>4</v>
      </c>
      <c r="E153" s="3">
        <f>((1/(INDEX(E0!J$4:J$28,C153,1)-INDEX(E0!J$4:J$28,D153,1))))*100000000</f>
        <v>0</v>
      </c>
      <c r="F153" s="4" t="str">
        <f>HYPERLINK("http://141.218.60.56/~jnz1568/getInfo.php?workbook=01_01.xlsx&amp;sheet=A0&amp;row=153&amp;col=6&amp;number=&amp;sourceID=18","")</f>
        <v/>
      </c>
      <c r="G153" s="4" t="str">
        <f>HYPERLINK("http://141.218.60.56/~jnz1568/getInfo.php?workbook=01_01.xlsx&amp;sheet=A0&amp;row=153&amp;col=7&amp;number=1570900&amp;sourceID=15","1570900")</f>
        <v>1570900</v>
      </c>
      <c r="H153" s="4" t="str">
        <f>HYPERLINK("http://141.218.60.56/~jnz1568/getInfo.php?workbook=01_01.xlsx&amp;sheet=A0&amp;row=153&amp;col=8&amp;number=1570900&amp;sourceID=15","1570900")</f>
        <v>1570900</v>
      </c>
      <c r="I153" s="4" t="str">
        <f>HYPERLINK("http://141.218.60.56/~jnz1568/getInfo.php?workbook=01_01.xlsx&amp;sheet=A0&amp;row=153&amp;col=9&amp;number=&amp;sourceID=15","")</f>
        <v/>
      </c>
      <c r="J153" s="4" t="str">
        <f>HYPERLINK("http://141.218.60.56/~jnz1568/getInfo.php?workbook=01_01.xlsx&amp;sheet=A0&amp;row=153&amp;col=10&amp;number=&amp;sourceID=15","")</f>
        <v/>
      </c>
      <c r="K153" s="4" t="str">
        <f>HYPERLINK("http://141.218.60.56/~jnz1568/getInfo.php?workbook=01_01.xlsx&amp;sheet=A0&amp;row=153&amp;col=11&amp;number=&amp;sourceID=15","")</f>
        <v/>
      </c>
      <c r="L153" s="4" t="str">
        <f>HYPERLINK("http://141.218.60.56/~jnz1568/getInfo.php?workbook=01_01.xlsx&amp;sheet=A0&amp;row=153&amp;col=12&amp;number=&amp;sourceID=15","")</f>
        <v/>
      </c>
      <c r="M153" s="4" t="str">
        <f>HYPERLINK("http://141.218.60.56/~jnz1568/getInfo.php?workbook=01_01.xlsx&amp;sheet=A0&amp;row=153&amp;col=13&amp;number=&amp;sourceID=15","")</f>
        <v/>
      </c>
      <c r="N153" s="4" t="str">
        <f>HYPERLINK("http://141.218.60.56/~jnz1568/getInfo.php?workbook=01_01.xlsx&amp;sheet=A0&amp;row=153&amp;col=14&amp;number==&amp;sourceID=11","=")</f>
        <v>=</v>
      </c>
      <c r="O153" s="4" t="str">
        <f>HYPERLINK("http://141.218.60.56/~jnz1568/getInfo.php?workbook=01_01.xlsx&amp;sheet=A0&amp;row=153&amp;col=15&amp;number=1570900&amp;sourceID=11","1570900")</f>
        <v>1570900</v>
      </c>
      <c r="P153" s="4" t="str">
        <f>HYPERLINK("http://141.218.60.56/~jnz1568/getInfo.php?workbook=01_01.xlsx&amp;sheet=A0&amp;row=153&amp;col=16&amp;number=&amp;sourceID=11","")</f>
        <v/>
      </c>
      <c r="Q153" s="4" t="str">
        <f>HYPERLINK("http://141.218.60.56/~jnz1568/getInfo.php?workbook=01_01.xlsx&amp;sheet=A0&amp;row=153&amp;col=17&amp;number=7.0699e-07&amp;sourceID=11","7.0699e-07")</f>
        <v>7.0699e-07</v>
      </c>
      <c r="R153" s="4" t="str">
        <f>HYPERLINK("http://141.218.60.56/~jnz1568/getInfo.php?workbook=01_01.xlsx&amp;sheet=A0&amp;row=153&amp;col=18&amp;number=&amp;sourceID=11","")</f>
        <v/>
      </c>
      <c r="S153" s="4" t="str">
        <f>HYPERLINK("http://141.218.60.56/~jnz1568/getInfo.php?workbook=01_01.xlsx&amp;sheet=A0&amp;row=153&amp;col=19&amp;number=&amp;sourceID=11","")</f>
        <v/>
      </c>
      <c r="T153" s="4" t="str">
        <f>HYPERLINK("http://141.218.60.56/~jnz1568/getInfo.php?workbook=01_01.xlsx&amp;sheet=A0&amp;row=153&amp;col=20&amp;number=&amp;sourceID=11","")</f>
        <v/>
      </c>
      <c r="U153" s="4" t="str">
        <f>HYPERLINK("http://141.218.60.56/~jnz1568/getInfo.php?workbook=01_01.xlsx&amp;sheet=A0&amp;row=153&amp;col=21&amp;number=1571700&amp;sourceID=12","1571700")</f>
        <v>1571700</v>
      </c>
      <c r="V153" s="4" t="str">
        <f>HYPERLINK("http://141.218.60.56/~jnz1568/getInfo.php?workbook=01_01.xlsx&amp;sheet=A0&amp;row=153&amp;col=22&amp;number=1571700&amp;sourceID=12","1571700")</f>
        <v>1571700</v>
      </c>
      <c r="W153" s="4" t="str">
        <f>HYPERLINK("http://141.218.60.56/~jnz1568/getInfo.php?workbook=01_01.xlsx&amp;sheet=A0&amp;row=153&amp;col=23&amp;number=&amp;sourceID=12","")</f>
        <v/>
      </c>
      <c r="X153" s="4" t="str">
        <f>HYPERLINK("http://141.218.60.56/~jnz1568/getInfo.php?workbook=01_01.xlsx&amp;sheet=A0&amp;row=153&amp;col=24&amp;number=7.0739e-07&amp;sourceID=12","7.0739e-07")</f>
        <v>7.0739e-07</v>
      </c>
      <c r="Y153" s="4" t="str">
        <f>HYPERLINK("http://141.218.60.56/~jnz1568/getInfo.php?workbook=01_01.xlsx&amp;sheet=A0&amp;row=153&amp;col=25&amp;number=&amp;sourceID=12","")</f>
        <v/>
      </c>
      <c r="Z153" s="4" t="str">
        <f>HYPERLINK("http://141.218.60.56/~jnz1568/getInfo.php?workbook=01_01.xlsx&amp;sheet=A0&amp;row=153&amp;col=26&amp;number=&amp;sourceID=12","")</f>
        <v/>
      </c>
      <c r="AA153" s="4" t="str">
        <f>HYPERLINK("http://141.218.60.56/~jnz1568/getInfo.php?workbook=01_01.xlsx&amp;sheet=A0&amp;row=153&amp;col=27&amp;number=&amp;sourceID=12","")</f>
        <v/>
      </c>
      <c r="AB153" s="4" t="str">
        <f>HYPERLINK("http://141.218.60.56/~jnz1568/getInfo.php?workbook=01_01.xlsx&amp;sheet=A0&amp;row=153&amp;col=28&amp;number=&amp;sourceID=18","")</f>
        <v/>
      </c>
      <c r="AC153" s="4" t="str">
        <f>HYPERLINK("http://141.218.60.56/~jnz1568/getInfo.php?workbook=01_01.xlsx&amp;sheet=A0&amp;row=153&amp;col=29&amp;number=&amp;sourceID=18","")</f>
        <v/>
      </c>
      <c r="AD153" s="4" t="str">
        <f>HYPERLINK("http://141.218.60.56/~jnz1568/getInfo.php?workbook=01_01.xlsx&amp;sheet=A0&amp;row=153&amp;col=30&amp;number=&amp;sourceID=18","")</f>
        <v/>
      </c>
      <c r="AE153" s="4" t="str">
        <f>HYPERLINK("http://141.218.60.56/~jnz1568/getInfo.php?workbook=01_01.xlsx&amp;sheet=A0&amp;row=153&amp;col=31&amp;number=&amp;sourceID=18","")</f>
        <v/>
      </c>
      <c r="AF153" s="4" t="str">
        <f>HYPERLINK("http://141.218.60.56/~jnz1568/getInfo.php?workbook=01_01.xlsx&amp;sheet=A0&amp;row=153&amp;col=32&amp;number=&amp;sourceID=18","")</f>
        <v/>
      </c>
      <c r="AG153" s="4" t="str">
        <f>HYPERLINK("http://141.218.60.56/~jnz1568/getInfo.php?workbook=01_01.xlsx&amp;sheet=A0&amp;row=153&amp;col=33&amp;number=&amp;sourceID=18","")</f>
        <v/>
      </c>
      <c r="AH153" s="4" t="str">
        <f>HYPERLINK("http://141.218.60.56/~jnz1568/getInfo.php?workbook=01_01.xlsx&amp;sheet=A0&amp;row=153&amp;col=34&amp;number=&amp;sourceID=20","")</f>
        <v/>
      </c>
    </row>
    <row r="154" spans="1:34">
      <c r="A154" s="3">
        <v>1</v>
      </c>
      <c r="B154" s="3">
        <v>1</v>
      </c>
      <c r="C154" s="3">
        <v>19</v>
      </c>
      <c r="D154" s="3">
        <v>5</v>
      </c>
      <c r="E154" s="3">
        <f>((1/(INDEX(E0!J$4:J$28,C154,1)-INDEX(E0!J$4:J$28,D154,1))))*100000000</f>
        <v>0</v>
      </c>
      <c r="F154" s="4" t="str">
        <f>HYPERLINK("http://141.218.60.56/~jnz1568/getInfo.php?workbook=01_01.xlsx&amp;sheet=A0&amp;row=154&amp;col=6&amp;number=&amp;sourceID=18","")</f>
        <v/>
      </c>
      <c r="G154" s="4" t="str">
        <f>HYPERLINK("http://141.218.60.56/~jnz1568/getInfo.php?workbook=01_01.xlsx&amp;sheet=A0&amp;row=154&amp;col=7&amp;number=2826300&amp;sourceID=15","2826300")</f>
        <v>2826300</v>
      </c>
      <c r="H154" s="4" t="str">
        <f>HYPERLINK("http://141.218.60.56/~jnz1568/getInfo.php?workbook=01_01.xlsx&amp;sheet=A0&amp;row=154&amp;col=8&amp;number=2826300&amp;sourceID=15","2826300")</f>
        <v>2826300</v>
      </c>
      <c r="I154" s="4" t="str">
        <f>HYPERLINK("http://141.218.60.56/~jnz1568/getInfo.php?workbook=01_01.xlsx&amp;sheet=A0&amp;row=154&amp;col=9&amp;number=&amp;sourceID=15","")</f>
        <v/>
      </c>
      <c r="J154" s="4" t="str">
        <f>HYPERLINK("http://141.218.60.56/~jnz1568/getInfo.php?workbook=01_01.xlsx&amp;sheet=A0&amp;row=154&amp;col=10&amp;number=&amp;sourceID=15","")</f>
        <v/>
      </c>
      <c r="K154" s="4" t="str">
        <f>HYPERLINK("http://141.218.60.56/~jnz1568/getInfo.php?workbook=01_01.xlsx&amp;sheet=A0&amp;row=154&amp;col=11&amp;number=&amp;sourceID=15","")</f>
        <v/>
      </c>
      <c r="L154" s="4" t="str">
        <f>HYPERLINK("http://141.218.60.56/~jnz1568/getInfo.php?workbook=01_01.xlsx&amp;sheet=A0&amp;row=154&amp;col=12&amp;number=&amp;sourceID=15","")</f>
        <v/>
      </c>
      <c r="M154" s="4" t="str">
        <f>HYPERLINK("http://141.218.60.56/~jnz1568/getInfo.php?workbook=01_01.xlsx&amp;sheet=A0&amp;row=154&amp;col=13&amp;number=&amp;sourceID=15","")</f>
        <v/>
      </c>
      <c r="N154" s="4" t="str">
        <f>HYPERLINK("http://141.218.60.56/~jnz1568/getInfo.php?workbook=01_01.xlsx&amp;sheet=A0&amp;row=154&amp;col=14&amp;number==&amp;sourceID=11","=")</f>
        <v>=</v>
      </c>
      <c r="O154" s="4" t="str">
        <f>HYPERLINK("http://141.218.60.56/~jnz1568/getInfo.php?workbook=01_01.xlsx&amp;sheet=A0&amp;row=154&amp;col=15&amp;number=2826300&amp;sourceID=11","2826300")</f>
        <v>2826300</v>
      </c>
      <c r="P154" s="4" t="str">
        <f>HYPERLINK("http://141.218.60.56/~jnz1568/getInfo.php?workbook=01_01.xlsx&amp;sheet=A0&amp;row=154&amp;col=16&amp;number=&amp;sourceID=11","")</f>
        <v/>
      </c>
      <c r="Q154" s="4" t="str">
        <f>HYPERLINK("http://141.218.60.56/~jnz1568/getInfo.php?workbook=01_01.xlsx&amp;sheet=A0&amp;row=154&amp;col=17&amp;number=&amp;sourceID=11","")</f>
        <v/>
      </c>
      <c r="R154" s="4" t="str">
        <f>HYPERLINK("http://141.218.60.56/~jnz1568/getInfo.php?workbook=01_01.xlsx&amp;sheet=A0&amp;row=154&amp;col=18&amp;number=&amp;sourceID=11","")</f>
        <v/>
      </c>
      <c r="S154" s="4" t="str">
        <f>HYPERLINK("http://141.218.60.56/~jnz1568/getInfo.php?workbook=01_01.xlsx&amp;sheet=A0&amp;row=154&amp;col=19&amp;number=7.5991e-08&amp;sourceID=11","7.5991e-08")</f>
        <v>7.5991e-08</v>
      </c>
      <c r="T154" s="4" t="str">
        <f>HYPERLINK("http://141.218.60.56/~jnz1568/getInfo.php?workbook=01_01.xlsx&amp;sheet=A0&amp;row=154&amp;col=20&amp;number=&amp;sourceID=11","")</f>
        <v/>
      </c>
      <c r="U154" s="4" t="str">
        <f>HYPERLINK("http://141.218.60.56/~jnz1568/getInfo.php?workbook=01_01.xlsx&amp;sheet=A0&amp;row=154&amp;col=21&amp;number=2827800&amp;sourceID=12","2827800")</f>
        <v>2827800</v>
      </c>
      <c r="V154" s="4" t="str">
        <f>HYPERLINK("http://141.218.60.56/~jnz1568/getInfo.php?workbook=01_01.xlsx&amp;sheet=A0&amp;row=154&amp;col=22&amp;number=2827800&amp;sourceID=12","2827800")</f>
        <v>2827800</v>
      </c>
      <c r="W154" s="4" t="str">
        <f>HYPERLINK("http://141.218.60.56/~jnz1568/getInfo.php?workbook=01_01.xlsx&amp;sheet=A0&amp;row=154&amp;col=23&amp;number=&amp;sourceID=12","")</f>
        <v/>
      </c>
      <c r="X154" s="4" t="str">
        <f>HYPERLINK("http://141.218.60.56/~jnz1568/getInfo.php?workbook=01_01.xlsx&amp;sheet=A0&amp;row=154&amp;col=24&amp;number=&amp;sourceID=12","")</f>
        <v/>
      </c>
      <c r="Y154" s="4" t="str">
        <f>HYPERLINK("http://141.218.60.56/~jnz1568/getInfo.php?workbook=01_01.xlsx&amp;sheet=A0&amp;row=154&amp;col=25&amp;number=&amp;sourceID=12","")</f>
        <v/>
      </c>
      <c r="Z154" s="4" t="str">
        <f>HYPERLINK("http://141.218.60.56/~jnz1568/getInfo.php?workbook=01_01.xlsx&amp;sheet=A0&amp;row=154&amp;col=26&amp;number=7.6033e-08&amp;sourceID=12","7.6033e-08")</f>
        <v>7.6033e-08</v>
      </c>
      <c r="AA154" s="4" t="str">
        <f>HYPERLINK("http://141.218.60.56/~jnz1568/getInfo.php?workbook=01_01.xlsx&amp;sheet=A0&amp;row=154&amp;col=27&amp;number=&amp;sourceID=12","")</f>
        <v/>
      </c>
      <c r="AB154" s="4" t="str">
        <f>HYPERLINK("http://141.218.60.56/~jnz1568/getInfo.php?workbook=01_01.xlsx&amp;sheet=A0&amp;row=154&amp;col=28&amp;number=&amp;sourceID=18","")</f>
        <v/>
      </c>
      <c r="AC154" s="4" t="str">
        <f>HYPERLINK("http://141.218.60.56/~jnz1568/getInfo.php?workbook=01_01.xlsx&amp;sheet=A0&amp;row=154&amp;col=29&amp;number=&amp;sourceID=18","")</f>
        <v/>
      </c>
      <c r="AD154" s="4" t="str">
        <f>HYPERLINK("http://141.218.60.56/~jnz1568/getInfo.php?workbook=01_01.xlsx&amp;sheet=A0&amp;row=154&amp;col=30&amp;number=&amp;sourceID=18","")</f>
        <v/>
      </c>
      <c r="AE154" s="4" t="str">
        <f>HYPERLINK("http://141.218.60.56/~jnz1568/getInfo.php?workbook=01_01.xlsx&amp;sheet=A0&amp;row=154&amp;col=31&amp;number=&amp;sourceID=18","")</f>
        <v/>
      </c>
      <c r="AF154" s="4" t="str">
        <f>HYPERLINK("http://141.218.60.56/~jnz1568/getInfo.php?workbook=01_01.xlsx&amp;sheet=A0&amp;row=154&amp;col=32&amp;number=&amp;sourceID=18","")</f>
        <v/>
      </c>
      <c r="AG154" s="4" t="str">
        <f>HYPERLINK("http://141.218.60.56/~jnz1568/getInfo.php?workbook=01_01.xlsx&amp;sheet=A0&amp;row=154&amp;col=33&amp;number=&amp;sourceID=18","")</f>
        <v/>
      </c>
      <c r="AH154" s="4" t="str">
        <f>HYPERLINK("http://141.218.60.56/~jnz1568/getInfo.php?workbook=01_01.xlsx&amp;sheet=A0&amp;row=154&amp;col=34&amp;number=&amp;sourceID=20","")</f>
        <v/>
      </c>
    </row>
    <row r="155" spans="1:34">
      <c r="A155" s="3">
        <v>1</v>
      </c>
      <c r="B155" s="3">
        <v>1</v>
      </c>
      <c r="C155" s="3">
        <v>19</v>
      </c>
      <c r="D155" s="3">
        <v>6</v>
      </c>
      <c r="E155" s="3">
        <f>((1/(INDEX(E0!J$4:J$28,C155,1)-INDEX(E0!J$4:J$28,D155,1))))*100000000</f>
        <v>0</v>
      </c>
      <c r="F155" s="4" t="str">
        <f>HYPERLINK("http://141.218.60.56/~jnz1568/getInfo.php?workbook=01_01.xlsx&amp;sheet=A0&amp;row=155&amp;col=6&amp;number=&amp;sourceID=18","")</f>
        <v/>
      </c>
      <c r="G155" s="4" t="str">
        <f>HYPERLINK("http://141.218.60.56/~jnz1568/getInfo.php?workbook=01_01.xlsx&amp;sheet=A0&amp;row=155&amp;col=7&amp;number=&amp;sourceID=15","")</f>
        <v/>
      </c>
      <c r="H155" s="4" t="str">
        <f>HYPERLINK("http://141.218.60.56/~jnz1568/getInfo.php?workbook=01_01.xlsx&amp;sheet=A0&amp;row=155&amp;col=8&amp;number=&amp;sourceID=15","")</f>
        <v/>
      </c>
      <c r="I155" s="4" t="str">
        <f>HYPERLINK("http://141.218.60.56/~jnz1568/getInfo.php?workbook=01_01.xlsx&amp;sheet=A0&amp;row=155&amp;col=9&amp;number=&amp;sourceID=15","")</f>
        <v/>
      </c>
      <c r="J155" s="4" t="str">
        <f>HYPERLINK("http://141.218.60.56/~jnz1568/getInfo.php?workbook=01_01.xlsx&amp;sheet=A0&amp;row=155&amp;col=10&amp;number=&amp;sourceID=15","")</f>
        <v/>
      </c>
      <c r="K155" s="4" t="str">
        <f>HYPERLINK("http://141.218.60.56/~jnz1568/getInfo.php?workbook=01_01.xlsx&amp;sheet=A0&amp;row=155&amp;col=11&amp;number=&amp;sourceID=15","")</f>
        <v/>
      </c>
      <c r="L155" s="4" t="str">
        <f>HYPERLINK("http://141.218.60.56/~jnz1568/getInfo.php?workbook=01_01.xlsx&amp;sheet=A0&amp;row=155&amp;col=12&amp;number=&amp;sourceID=15","")</f>
        <v/>
      </c>
      <c r="M155" s="4" t="str">
        <f>HYPERLINK("http://141.218.60.56/~jnz1568/getInfo.php?workbook=01_01.xlsx&amp;sheet=A0&amp;row=155&amp;col=13&amp;number=&amp;sourceID=15","")</f>
        <v/>
      </c>
      <c r="N155" s="4" t="str">
        <f>HYPERLINK("http://141.218.60.56/~jnz1568/getInfo.php?workbook=01_01.xlsx&amp;sheet=A0&amp;row=155&amp;col=14&amp;number==&amp;sourceID=11","=")</f>
        <v>=</v>
      </c>
      <c r="O155" s="4" t="str">
        <f>HYPERLINK("http://141.218.60.56/~jnz1568/getInfo.php?workbook=01_01.xlsx&amp;sheet=A0&amp;row=155&amp;col=15&amp;number=&amp;sourceID=11","")</f>
        <v/>
      </c>
      <c r="P155" s="4" t="str">
        <f>HYPERLINK("http://141.218.60.56/~jnz1568/getInfo.php?workbook=01_01.xlsx&amp;sheet=A0&amp;row=155&amp;col=16&amp;number=1.0853&amp;sourceID=11","1.0853")</f>
        <v>1.0853</v>
      </c>
      <c r="Q155" s="4" t="str">
        <f>HYPERLINK("http://141.218.60.56/~jnz1568/getInfo.php?workbook=01_01.xlsx&amp;sheet=A0&amp;row=155&amp;col=17&amp;number=&amp;sourceID=11","")</f>
        <v/>
      </c>
      <c r="R155" s="4" t="str">
        <f>HYPERLINK("http://141.218.60.56/~jnz1568/getInfo.php?workbook=01_01.xlsx&amp;sheet=A0&amp;row=155&amp;col=18&amp;number=7.03e-13&amp;sourceID=11","7.03e-13")</f>
        <v>7.03e-13</v>
      </c>
      <c r="S155" s="4" t="str">
        <f>HYPERLINK("http://141.218.60.56/~jnz1568/getInfo.php?workbook=01_01.xlsx&amp;sheet=A0&amp;row=155&amp;col=19&amp;number=&amp;sourceID=11","")</f>
        <v/>
      </c>
      <c r="T155" s="4" t="str">
        <f>HYPERLINK("http://141.218.60.56/~jnz1568/getInfo.php?workbook=01_01.xlsx&amp;sheet=A0&amp;row=155&amp;col=20&amp;number=&amp;sourceID=11","")</f>
        <v/>
      </c>
      <c r="U155" s="4" t="str">
        <f>HYPERLINK("http://141.218.60.56/~jnz1568/getInfo.php?workbook=01_01.xlsx&amp;sheet=A0&amp;row=155&amp;col=21&amp;number=1.0859&amp;sourceID=12","1.0859")</f>
        <v>1.0859</v>
      </c>
      <c r="V155" s="4" t="str">
        <f>HYPERLINK("http://141.218.60.56/~jnz1568/getInfo.php?workbook=01_01.xlsx&amp;sheet=A0&amp;row=155&amp;col=22&amp;number=&amp;sourceID=12","")</f>
        <v/>
      </c>
      <c r="W155" s="4" t="str">
        <f>HYPERLINK("http://141.218.60.56/~jnz1568/getInfo.php?workbook=01_01.xlsx&amp;sheet=A0&amp;row=155&amp;col=23&amp;number=1.0859&amp;sourceID=12","1.0859")</f>
        <v>1.0859</v>
      </c>
      <c r="X155" s="4" t="str">
        <f>HYPERLINK("http://141.218.60.56/~jnz1568/getInfo.php?workbook=01_01.xlsx&amp;sheet=A0&amp;row=155&amp;col=24&amp;number=&amp;sourceID=12","")</f>
        <v/>
      </c>
      <c r="Y155" s="4" t="str">
        <f>HYPERLINK("http://141.218.60.56/~jnz1568/getInfo.php?workbook=01_01.xlsx&amp;sheet=A0&amp;row=155&amp;col=25&amp;number=7.22e-13&amp;sourceID=12","7.22e-13")</f>
        <v>7.22e-13</v>
      </c>
      <c r="Z155" s="4" t="str">
        <f>HYPERLINK("http://141.218.60.56/~jnz1568/getInfo.php?workbook=01_01.xlsx&amp;sheet=A0&amp;row=155&amp;col=26&amp;number=&amp;sourceID=12","")</f>
        <v/>
      </c>
      <c r="AA155" s="4" t="str">
        <f>HYPERLINK("http://141.218.60.56/~jnz1568/getInfo.php?workbook=01_01.xlsx&amp;sheet=A0&amp;row=155&amp;col=27&amp;number=&amp;sourceID=12","")</f>
        <v/>
      </c>
      <c r="AB155" s="4" t="str">
        <f>HYPERLINK("http://141.218.60.56/~jnz1568/getInfo.php?workbook=01_01.xlsx&amp;sheet=A0&amp;row=155&amp;col=28&amp;number=&amp;sourceID=18","")</f>
        <v/>
      </c>
      <c r="AC155" s="4" t="str">
        <f>HYPERLINK("http://141.218.60.56/~jnz1568/getInfo.php?workbook=01_01.xlsx&amp;sheet=A0&amp;row=155&amp;col=29&amp;number=&amp;sourceID=18","")</f>
        <v/>
      </c>
      <c r="AD155" s="4" t="str">
        <f>HYPERLINK("http://141.218.60.56/~jnz1568/getInfo.php?workbook=01_01.xlsx&amp;sheet=A0&amp;row=155&amp;col=30&amp;number=&amp;sourceID=18","")</f>
        <v/>
      </c>
      <c r="AE155" s="4" t="str">
        <f>HYPERLINK("http://141.218.60.56/~jnz1568/getInfo.php?workbook=01_01.xlsx&amp;sheet=A0&amp;row=155&amp;col=31&amp;number=&amp;sourceID=18","")</f>
        <v/>
      </c>
      <c r="AF155" s="4" t="str">
        <f>HYPERLINK("http://141.218.60.56/~jnz1568/getInfo.php?workbook=01_01.xlsx&amp;sheet=A0&amp;row=155&amp;col=32&amp;number=&amp;sourceID=18","")</f>
        <v/>
      </c>
      <c r="AG155" s="4" t="str">
        <f>HYPERLINK("http://141.218.60.56/~jnz1568/getInfo.php?workbook=01_01.xlsx&amp;sheet=A0&amp;row=155&amp;col=33&amp;number=&amp;sourceID=18","")</f>
        <v/>
      </c>
      <c r="AH155" s="4" t="str">
        <f>HYPERLINK("http://141.218.60.56/~jnz1568/getInfo.php?workbook=01_01.xlsx&amp;sheet=A0&amp;row=155&amp;col=34&amp;number=&amp;sourceID=20","")</f>
        <v/>
      </c>
    </row>
    <row r="156" spans="1:34">
      <c r="A156" s="3">
        <v>1</v>
      </c>
      <c r="B156" s="3">
        <v>1</v>
      </c>
      <c r="C156" s="3">
        <v>19</v>
      </c>
      <c r="D156" s="3">
        <v>7</v>
      </c>
      <c r="E156" s="3">
        <f>((1/(INDEX(E0!J$4:J$28,C156,1)-INDEX(E0!J$4:J$28,D156,1))))*100000000</f>
        <v>0</v>
      </c>
      <c r="F156" s="4" t="str">
        <f>HYPERLINK("http://141.218.60.56/~jnz1568/getInfo.php?workbook=01_01.xlsx&amp;sheet=A0&amp;row=156&amp;col=6&amp;number=&amp;sourceID=18","")</f>
        <v/>
      </c>
      <c r="G156" s="4" t="str">
        <f>HYPERLINK("http://141.218.60.56/~jnz1568/getInfo.php?workbook=01_01.xlsx&amp;sheet=A0&amp;row=156&amp;col=7&amp;number=&amp;sourceID=15","")</f>
        <v/>
      </c>
      <c r="H156" s="4" t="str">
        <f>HYPERLINK("http://141.218.60.56/~jnz1568/getInfo.php?workbook=01_01.xlsx&amp;sheet=A0&amp;row=156&amp;col=8&amp;number=&amp;sourceID=15","")</f>
        <v/>
      </c>
      <c r="I156" s="4" t="str">
        <f>HYPERLINK("http://141.218.60.56/~jnz1568/getInfo.php?workbook=01_01.xlsx&amp;sheet=A0&amp;row=156&amp;col=9&amp;number=&amp;sourceID=15","")</f>
        <v/>
      </c>
      <c r="J156" s="4" t="str">
        <f>HYPERLINK("http://141.218.60.56/~jnz1568/getInfo.php?workbook=01_01.xlsx&amp;sheet=A0&amp;row=156&amp;col=10&amp;number=&amp;sourceID=15","")</f>
        <v/>
      </c>
      <c r="K156" s="4" t="str">
        <f>HYPERLINK("http://141.218.60.56/~jnz1568/getInfo.php?workbook=01_01.xlsx&amp;sheet=A0&amp;row=156&amp;col=11&amp;number=&amp;sourceID=15","")</f>
        <v/>
      </c>
      <c r="L156" s="4" t="str">
        <f>HYPERLINK("http://141.218.60.56/~jnz1568/getInfo.php?workbook=01_01.xlsx&amp;sheet=A0&amp;row=156&amp;col=12&amp;number=&amp;sourceID=15","")</f>
        <v/>
      </c>
      <c r="M156" s="4" t="str">
        <f>HYPERLINK("http://141.218.60.56/~jnz1568/getInfo.php?workbook=01_01.xlsx&amp;sheet=A0&amp;row=156&amp;col=13&amp;number=&amp;sourceID=15","")</f>
        <v/>
      </c>
      <c r="N156" s="4" t="str">
        <f>HYPERLINK("http://141.218.60.56/~jnz1568/getInfo.php?workbook=01_01.xlsx&amp;sheet=A0&amp;row=156&amp;col=14&amp;number==&amp;sourceID=11","=")</f>
        <v>=</v>
      </c>
      <c r="O156" s="4" t="str">
        <f>HYPERLINK("http://141.218.60.56/~jnz1568/getInfo.php?workbook=01_01.xlsx&amp;sheet=A0&amp;row=156&amp;col=15&amp;number=&amp;sourceID=11","")</f>
        <v/>
      </c>
      <c r="P156" s="4" t="str">
        <f>HYPERLINK("http://141.218.60.56/~jnz1568/getInfo.php?workbook=01_01.xlsx&amp;sheet=A0&amp;row=156&amp;col=16&amp;number=0.40133&amp;sourceID=11","0.40133")</f>
        <v>0.40133</v>
      </c>
      <c r="Q156" s="4" t="str">
        <f>HYPERLINK("http://141.218.60.56/~jnz1568/getInfo.php?workbook=01_01.xlsx&amp;sheet=A0&amp;row=156&amp;col=17&amp;number=&amp;sourceID=11","")</f>
        <v/>
      </c>
      <c r="R156" s="4" t="str">
        <f>HYPERLINK("http://141.218.60.56/~jnz1568/getInfo.php?workbook=01_01.xlsx&amp;sheet=A0&amp;row=156&amp;col=18&amp;number=1.8217e-11&amp;sourceID=11","1.8217e-11")</f>
        <v>1.8217e-11</v>
      </c>
      <c r="S156" s="4" t="str">
        <f>HYPERLINK("http://141.218.60.56/~jnz1568/getInfo.php?workbook=01_01.xlsx&amp;sheet=A0&amp;row=156&amp;col=19&amp;number=&amp;sourceID=11","")</f>
        <v/>
      </c>
      <c r="T156" s="4" t="str">
        <f>HYPERLINK("http://141.218.60.56/~jnz1568/getInfo.php?workbook=01_01.xlsx&amp;sheet=A0&amp;row=156&amp;col=20&amp;number=1.2e-14&amp;sourceID=11","1.2e-14")</f>
        <v>1.2e-14</v>
      </c>
      <c r="U156" s="4" t="str">
        <f>HYPERLINK("http://141.218.60.56/~jnz1568/getInfo.php?workbook=01_01.xlsx&amp;sheet=A0&amp;row=156&amp;col=21&amp;number=0.40155&amp;sourceID=12","0.40155")</f>
        <v>0.40155</v>
      </c>
      <c r="V156" s="4" t="str">
        <f>HYPERLINK("http://141.218.60.56/~jnz1568/getInfo.php?workbook=01_01.xlsx&amp;sheet=A0&amp;row=156&amp;col=22&amp;number=&amp;sourceID=12","")</f>
        <v/>
      </c>
      <c r="W156" s="4" t="str">
        <f>HYPERLINK("http://141.218.60.56/~jnz1568/getInfo.php?workbook=01_01.xlsx&amp;sheet=A0&amp;row=156&amp;col=23&amp;number=0.40155&amp;sourceID=12","0.40155")</f>
        <v>0.40155</v>
      </c>
      <c r="X156" s="4" t="str">
        <f>HYPERLINK("http://141.218.60.56/~jnz1568/getInfo.php?workbook=01_01.xlsx&amp;sheet=A0&amp;row=156&amp;col=24&amp;number=&amp;sourceID=12","")</f>
        <v/>
      </c>
      <c r="Y156" s="4" t="str">
        <f>HYPERLINK("http://141.218.60.56/~jnz1568/getInfo.php?workbook=01_01.xlsx&amp;sheet=A0&amp;row=156&amp;col=25&amp;number=1.8794e-11&amp;sourceID=12","1.8794e-11")</f>
        <v>1.8794e-11</v>
      </c>
      <c r="Z156" s="4" t="str">
        <f>HYPERLINK("http://141.218.60.56/~jnz1568/getInfo.php?workbook=01_01.xlsx&amp;sheet=A0&amp;row=156&amp;col=26&amp;number=&amp;sourceID=12","")</f>
        <v/>
      </c>
      <c r="AA156" s="4" t="str">
        <f>HYPERLINK("http://141.218.60.56/~jnz1568/getInfo.php?workbook=01_01.xlsx&amp;sheet=A0&amp;row=156&amp;col=27&amp;number=1.2e-14&amp;sourceID=12","1.2e-14")</f>
        <v>1.2e-14</v>
      </c>
      <c r="AB156" s="4" t="str">
        <f>HYPERLINK("http://141.218.60.56/~jnz1568/getInfo.php?workbook=01_01.xlsx&amp;sheet=A0&amp;row=156&amp;col=28&amp;number=&amp;sourceID=18","")</f>
        <v/>
      </c>
      <c r="AC156" s="4" t="str">
        <f>HYPERLINK("http://141.218.60.56/~jnz1568/getInfo.php?workbook=01_01.xlsx&amp;sheet=A0&amp;row=156&amp;col=29&amp;number=&amp;sourceID=18","")</f>
        <v/>
      </c>
      <c r="AD156" s="4" t="str">
        <f>HYPERLINK("http://141.218.60.56/~jnz1568/getInfo.php?workbook=01_01.xlsx&amp;sheet=A0&amp;row=156&amp;col=30&amp;number=&amp;sourceID=18","")</f>
        <v/>
      </c>
      <c r="AE156" s="4" t="str">
        <f>HYPERLINK("http://141.218.60.56/~jnz1568/getInfo.php?workbook=01_01.xlsx&amp;sheet=A0&amp;row=156&amp;col=31&amp;number=&amp;sourceID=18","")</f>
        <v/>
      </c>
      <c r="AF156" s="4" t="str">
        <f>HYPERLINK("http://141.218.60.56/~jnz1568/getInfo.php?workbook=01_01.xlsx&amp;sheet=A0&amp;row=156&amp;col=32&amp;number=&amp;sourceID=18","")</f>
        <v/>
      </c>
      <c r="AG156" s="4" t="str">
        <f>HYPERLINK("http://141.218.60.56/~jnz1568/getInfo.php?workbook=01_01.xlsx&amp;sheet=A0&amp;row=156&amp;col=33&amp;number=&amp;sourceID=18","")</f>
        <v/>
      </c>
      <c r="AH156" s="4" t="str">
        <f>HYPERLINK("http://141.218.60.56/~jnz1568/getInfo.php?workbook=01_01.xlsx&amp;sheet=A0&amp;row=156&amp;col=34&amp;number=&amp;sourceID=20","")</f>
        <v/>
      </c>
    </row>
    <row r="157" spans="1:34">
      <c r="A157" s="3">
        <v>1</v>
      </c>
      <c r="B157" s="3">
        <v>1</v>
      </c>
      <c r="C157" s="3">
        <v>19</v>
      </c>
      <c r="D157" s="3">
        <v>8</v>
      </c>
      <c r="E157" s="3">
        <f>((1/(INDEX(E0!J$4:J$28,C157,1)-INDEX(E0!J$4:J$28,D157,1))))*100000000</f>
        <v>0</v>
      </c>
      <c r="F157" s="4" t="str">
        <f>HYPERLINK("http://141.218.60.56/~jnz1568/getInfo.php?workbook=01_01.xlsx&amp;sheet=A0&amp;row=157&amp;col=6&amp;number=&amp;sourceID=18","")</f>
        <v/>
      </c>
      <c r="G157" s="4" t="str">
        <f>HYPERLINK("http://141.218.60.56/~jnz1568/getInfo.php?workbook=01_01.xlsx&amp;sheet=A0&amp;row=157&amp;col=7&amp;number=565250&amp;sourceID=15","565250")</f>
        <v>565250</v>
      </c>
      <c r="H157" s="4" t="str">
        <f>HYPERLINK("http://141.218.60.56/~jnz1568/getInfo.php?workbook=01_01.xlsx&amp;sheet=A0&amp;row=157&amp;col=8&amp;number=565250&amp;sourceID=15","565250")</f>
        <v>565250</v>
      </c>
      <c r="I157" s="4" t="str">
        <f>HYPERLINK("http://141.218.60.56/~jnz1568/getInfo.php?workbook=01_01.xlsx&amp;sheet=A0&amp;row=157&amp;col=9&amp;number=&amp;sourceID=15","")</f>
        <v/>
      </c>
      <c r="J157" s="4" t="str">
        <f>HYPERLINK("http://141.218.60.56/~jnz1568/getInfo.php?workbook=01_01.xlsx&amp;sheet=A0&amp;row=157&amp;col=10&amp;number=&amp;sourceID=15","")</f>
        <v/>
      </c>
      <c r="K157" s="4" t="str">
        <f>HYPERLINK("http://141.218.60.56/~jnz1568/getInfo.php?workbook=01_01.xlsx&amp;sheet=A0&amp;row=157&amp;col=11&amp;number=&amp;sourceID=15","")</f>
        <v/>
      </c>
      <c r="L157" s="4" t="str">
        <f>HYPERLINK("http://141.218.60.56/~jnz1568/getInfo.php?workbook=01_01.xlsx&amp;sheet=A0&amp;row=157&amp;col=12&amp;number=&amp;sourceID=15","")</f>
        <v/>
      </c>
      <c r="M157" s="4" t="str">
        <f>HYPERLINK("http://141.218.60.56/~jnz1568/getInfo.php?workbook=01_01.xlsx&amp;sheet=A0&amp;row=157&amp;col=13&amp;number=&amp;sourceID=15","")</f>
        <v/>
      </c>
      <c r="N157" s="4" t="str">
        <f>HYPERLINK("http://141.218.60.56/~jnz1568/getInfo.php?workbook=01_01.xlsx&amp;sheet=A0&amp;row=157&amp;col=14&amp;number==&amp;sourceID=11","=")</f>
        <v>=</v>
      </c>
      <c r="O157" s="4" t="str">
        <f>HYPERLINK("http://141.218.60.56/~jnz1568/getInfo.php?workbook=01_01.xlsx&amp;sheet=A0&amp;row=157&amp;col=15&amp;number=565250&amp;sourceID=11","565250")</f>
        <v>565250</v>
      </c>
      <c r="P157" s="4" t="str">
        <f>HYPERLINK("http://141.218.60.56/~jnz1568/getInfo.php?workbook=01_01.xlsx&amp;sheet=A0&amp;row=157&amp;col=16&amp;number=&amp;sourceID=11","")</f>
        <v/>
      </c>
      <c r="Q157" s="4" t="str">
        <f>HYPERLINK("http://141.218.60.56/~jnz1568/getInfo.php?workbook=01_01.xlsx&amp;sheet=A0&amp;row=157&amp;col=17&amp;number=7.5054e-08&amp;sourceID=11","7.5054e-08")</f>
        <v>7.5054e-08</v>
      </c>
      <c r="R157" s="4" t="str">
        <f>HYPERLINK("http://141.218.60.56/~jnz1568/getInfo.php?workbook=01_01.xlsx&amp;sheet=A0&amp;row=157&amp;col=18&amp;number=&amp;sourceID=11","")</f>
        <v/>
      </c>
      <c r="S157" s="4" t="str">
        <f>HYPERLINK("http://141.218.60.56/~jnz1568/getInfo.php?workbook=01_01.xlsx&amp;sheet=A0&amp;row=157&amp;col=19&amp;number=&amp;sourceID=11","")</f>
        <v/>
      </c>
      <c r="T157" s="4" t="str">
        <f>HYPERLINK("http://141.218.60.56/~jnz1568/getInfo.php?workbook=01_01.xlsx&amp;sheet=A0&amp;row=157&amp;col=20&amp;number=&amp;sourceID=11","")</f>
        <v/>
      </c>
      <c r="U157" s="4" t="str">
        <f>HYPERLINK("http://141.218.60.56/~jnz1568/getInfo.php?workbook=01_01.xlsx&amp;sheet=A0&amp;row=157&amp;col=21&amp;number=565550&amp;sourceID=12","565550")</f>
        <v>565550</v>
      </c>
      <c r="V157" s="4" t="str">
        <f>HYPERLINK("http://141.218.60.56/~jnz1568/getInfo.php?workbook=01_01.xlsx&amp;sheet=A0&amp;row=157&amp;col=22&amp;number=565550&amp;sourceID=12","565550")</f>
        <v>565550</v>
      </c>
      <c r="W157" s="4" t="str">
        <f>HYPERLINK("http://141.218.60.56/~jnz1568/getInfo.php?workbook=01_01.xlsx&amp;sheet=A0&amp;row=157&amp;col=23&amp;number=&amp;sourceID=12","")</f>
        <v/>
      </c>
      <c r="X157" s="4" t="str">
        <f>HYPERLINK("http://141.218.60.56/~jnz1568/getInfo.php?workbook=01_01.xlsx&amp;sheet=A0&amp;row=157&amp;col=24&amp;number=7.5095e-08&amp;sourceID=12","7.5095e-08")</f>
        <v>7.5095e-08</v>
      </c>
      <c r="Y157" s="4" t="str">
        <f>HYPERLINK("http://141.218.60.56/~jnz1568/getInfo.php?workbook=01_01.xlsx&amp;sheet=A0&amp;row=157&amp;col=25&amp;number=&amp;sourceID=12","")</f>
        <v/>
      </c>
      <c r="Z157" s="4" t="str">
        <f>HYPERLINK("http://141.218.60.56/~jnz1568/getInfo.php?workbook=01_01.xlsx&amp;sheet=A0&amp;row=157&amp;col=26&amp;number=&amp;sourceID=12","")</f>
        <v/>
      </c>
      <c r="AA157" s="4" t="str">
        <f>HYPERLINK("http://141.218.60.56/~jnz1568/getInfo.php?workbook=01_01.xlsx&amp;sheet=A0&amp;row=157&amp;col=27&amp;number=&amp;sourceID=12","")</f>
        <v/>
      </c>
      <c r="AB157" s="4" t="str">
        <f>HYPERLINK("http://141.218.60.56/~jnz1568/getInfo.php?workbook=01_01.xlsx&amp;sheet=A0&amp;row=157&amp;col=28&amp;number=&amp;sourceID=18","")</f>
        <v/>
      </c>
      <c r="AC157" s="4" t="str">
        <f>HYPERLINK("http://141.218.60.56/~jnz1568/getInfo.php?workbook=01_01.xlsx&amp;sheet=A0&amp;row=157&amp;col=29&amp;number=&amp;sourceID=18","")</f>
        <v/>
      </c>
      <c r="AD157" s="4" t="str">
        <f>HYPERLINK("http://141.218.60.56/~jnz1568/getInfo.php?workbook=01_01.xlsx&amp;sheet=A0&amp;row=157&amp;col=30&amp;number=&amp;sourceID=18","")</f>
        <v/>
      </c>
      <c r="AE157" s="4" t="str">
        <f>HYPERLINK("http://141.218.60.56/~jnz1568/getInfo.php?workbook=01_01.xlsx&amp;sheet=A0&amp;row=157&amp;col=31&amp;number=&amp;sourceID=18","")</f>
        <v/>
      </c>
      <c r="AF157" s="4" t="str">
        <f>HYPERLINK("http://141.218.60.56/~jnz1568/getInfo.php?workbook=01_01.xlsx&amp;sheet=A0&amp;row=157&amp;col=32&amp;number=&amp;sourceID=18","")</f>
        <v/>
      </c>
      <c r="AG157" s="4" t="str">
        <f>HYPERLINK("http://141.218.60.56/~jnz1568/getInfo.php?workbook=01_01.xlsx&amp;sheet=A0&amp;row=157&amp;col=33&amp;number=&amp;sourceID=18","")</f>
        <v/>
      </c>
      <c r="AH157" s="4" t="str">
        <f>HYPERLINK("http://141.218.60.56/~jnz1568/getInfo.php?workbook=01_01.xlsx&amp;sheet=A0&amp;row=157&amp;col=34&amp;number=&amp;sourceID=20","")</f>
        <v/>
      </c>
    </row>
    <row r="158" spans="1:34">
      <c r="A158" s="3">
        <v>1</v>
      </c>
      <c r="B158" s="3">
        <v>1</v>
      </c>
      <c r="C158" s="3">
        <v>19</v>
      </c>
      <c r="D158" s="3">
        <v>9</v>
      </c>
      <c r="E158" s="3">
        <f>((1/(INDEX(E0!J$4:J$28,C158,1)-INDEX(E0!J$4:J$28,D158,1))))*100000000</f>
        <v>0</v>
      </c>
      <c r="F158" s="4" t="str">
        <f>HYPERLINK("http://141.218.60.56/~jnz1568/getInfo.php?workbook=01_01.xlsx&amp;sheet=A0&amp;row=158&amp;col=6&amp;number=&amp;sourceID=18","")</f>
        <v/>
      </c>
      <c r="G158" s="4" t="str">
        <f>HYPERLINK("http://141.218.60.56/~jnz1568/getInfo.php?workbook=01_01.xlsx&amp;sheet=A0&amp;row=158&amp;col=7&amp;number=&amp;sourceID=15","")</f>
        <v/>
      </c>
      <c r="H158" s="4" t="str">
        <f>HYPERLINK("http://141.218.60.56/~jnz1568/getInfo.php?workbook=01_01.xlsx&amp;sheet=A0&amp;row=158&amp;col=8&amp;number=&amp;sourceID=15","")</f>
        <v/>
      </c>
      <c r="I158" s="4" t="str">
        <f>HYPERLINK("http://141.218.60.56/~jnz1568/getInfo.php?workbook=01_01.xlsx&amp;sheet=A0&amp;row=158&amp;col=9&amp;number=&amp;sourceID=15","")</f>
        <v/>
      </c>
      <c r="J158" s="4" t="str">
        <f>HYPERLINK("http://141.218.60.56/~jnz1568/getInfo.php?workbook=01_01.xlsx&amp;sheet=A0&amp;row=158&amp;col=10&amp;number=&amp;sourceID=15","")</f>
        <v/>
      </c>
      <c r="K158" s="4" t="str">
        <f>HYPERLINK("http://141.218.60.56/~jnz1568/getInfo.php?workbook=01_01.xlsx&amp;sheet=A0&amp;row=158&amp;col=11&amp;number=&amp;sourceID=15","")</f>
        <v/>
      </c>
      <c r="L158" s="4" t="str">
        <f>HYPERLINK("http://141.218.60.56/~jnz1568/getInfo.php?workbook=01_01.xlsx&amp;sheet=A0&amp;row=158&amp;col=12&amp;number=&amp;sourceID=15","")</f>
        <v/>
      </c>
      <c r="M158" s="4" t="str">
        <f>HYPERLINK("http://141.218.60.56/~jnz1568/getInfo.php?workbook=01_01.xlsx&amp;sheet=A0&amp;row=158&amp;col=13&amp;number=&amp;sourceID=15","")</f>
        <v/>
      </c>
      <c r="N158" s="4" t="str">
        <f>HYPERLINK("http://141.218.60.56/~jnz1568/getInfo.php?workbook=01_01.xlsx&amp;sheet=A0&amp;row=158&amp;col=14&amp;number==&amp;sourceID=11","=")</f>
        <v>=</v>
      </c>
      <c r="O158" s="4" t="str">
        <f>HYPERLINK("http://141.218.60.56/~jnz1568/getInfo.php?workbook=01_01.xlsx&amp;sheet=A0&amp;row=158&amp;col=15&amp;number=&amp;sourceID=11","")</f>
        <v/>
      </c>
      <c r="P158" s="4" t="str">
        <f>HYPERLINK("http://141.218.60.56/~jnz1568/getInfo.php?workbook=01_01.xlsx&amp;sheet=A0&amp;row=158&amp;col=16&amp;number=0.172&amp;sourceID=11","0.172")</f>
        <v>0.172</v>
      </c>
      <c r="Q158" s="4" t="str">
        <f>HYPERLINK("http://141.218.60.56/~jnz1568/getInfo.php?workbook=01_01.xlsx&amp;sheet=A0&amp;row=158&amp;col=17&amp;number=&amp;sourceID=11","")</f>
        <v/>
      </c>
      <c r="R158" s="4" t="str">
        <f>HYPERLINK("http://141.218.60.56/~jnz1568/getInfo.php?workbook=01_01.xlsx&amp;sheet=A0&amp;row=158&amp;col=18&amp;number=4.0623e-11&amp;sourceID=11","4.0623e-11")</f>
        <v>4.0623e-11</v>
      </c>
      <c r="S158" s="4" t="str">
        <f>HYPERLINK("http://141.218.60.56/~jnz1568/getInfo.php?workbook=01_01.xlsx&amp;sheet=A0&amp;row=158&amp;col=19&amp;number=&amp;sourceID=11","")</f>
        <v/>
      </c>
      <c r="T158" s="4" t="str">
        <f>HYPERLINK("http://141.218.60.56/~jnz1568/getInfo.php?workbook=01_01.xlsx&amp;sheet=A0&amp;row=158&amp;col=20&amp;number=8e-15&amp;sourceID=11","8e-15")</f>
        <v>8e-15</v>
      </c>
      <c r="U158" s="4" t="str">
        <f>HYPERLINK("http://141.218.60.56/~jnz1568/getInfo.php?workbook=01_01.xlsx&amp;sheet=A0&amp;row=158&amp;col=21&amp;number=0.17209&amp;sourceID=12","0.17209")</f>
        <v>0.17209</v>
      </c>
      <c r="V158" s="4" t="str">
        <f>HYPERLINK("http://141.218.60.56/~jnz1568/getInfo.php?workbook=01_01.xlsx&amp;sheet=A0&amp;row=158&amp;col=22&amp;number=&amp;sourceID=12","")</f>
        <v/>
      </c>
      <c r="W158" s="4" t="str">
        <f>HYPERLINK("http://141.218.60.56/~jnz1568/getInfo.php?workbook=01_01.xlsx&amp;sheet=A0&amp;row=158&amp;col=23&amp;number=0.17209&amp;sourceID=12","0.17209")</f>
        <v>0.17209</v>
      </c>
      <c r="X158" s="4" t="str">
        <f>HYPERLINK("http://141.218.60.56/~jnz1568/getInfo.php?workbook=01_01.xlsx&amp;sheet=A0&amp;row=158&amp;col=24&amp;number=&amp;sourceID=12","")</f>
        <v/>
      </c>
      <c r="Y158" s="4" t="str">
        <f>HYPERLINK("http://141.218.60.56/~jnz1568/getInfo.php?workbook=01_01.xlsx&amp;sheet=A0&amp;row=158&amp;col=25&amp;number=4.0656e-11&amp;sourceID=12","4.0656e-11")</f>
        <v>4.0656e-11</v>
      </c>
      <c r="Z158" s="4" t="str">
        <f>HYPERLINK("http://141.218.60.56/~jnz1568/getInfo.php?workbook=01_01.xlsx&amp;sheet=A0&amp;row=158&amp;col=26&amp;number=&amp;sourceID=12","")</f>
        <v/>
      </c>
      <c r="AA158" s="4" t="str">
        <f>HYPERLINK("http://141.218.60.56/~jnz1568/getInfo.php?workbook=01_01.xlsx&amp;sheet=A0&amp;row=158&amp;col=27&amp;number=8e-15&amp;sourceID=12","8e-15")</f>
        <v>8e-15</v>
      </c>
      <c r="AB158" s="4" t="str">
        <f>HYPERLINK("http://141.218.60.56/~jnz1568/getInfo.php?workbook=01_01.xlsx&amp;sheet=A0&amp;row=158&amp;col=28&amp;number=&amp;sourceID=18","")</f>
        <v/>
      </c>
      <c r="AC158" s="4" t="str">
        <f>HYPERLINK("http://141.218.60.56/~jnz1568/getInfo.php?workbook=01_01.xlsx&amp;sheet=A0&amp;row=158&amp;col=29&amp;number=&amp;sourceID=18","")</f>
        <v/>
      </c>
      <c r="AD158" s="4" t="str">
        <f>HYPERLINK("http://141.218.60.56/~jnz1568/getInfo.php?workbook=01_01.xlsx&amp;sheet=A0&amp;row=158&amp;col=30&amp;number=&amp;sourceID=18","")</f>
        <v/>
      </c>
      <c r="AE158" s="4" t="str">
        <f>HYPERLINK("http://141.218.60.56/~jnz1568/getInfo.php?workbook=01_01.xlsx&amp;sheet=A0&amp;row=158&amp;col=31&amp;number=&amp;sourceID=18","")</f>
        <v/>
      </c>
      <c r="AF158" s="4" t="str">
        <f>HYPERLINK("http://141.218.60.56/~jnz1568/getInfo.php?workbook=01_01.xlsx&amp;sheet=A0&amp;row=158&amp;col=32&amp;number=&amp;sourceID=18","")</f>
        <v/>
      </c>
      <c r="AG158" s="4" t="str">
        <f>HYPERLINK("http://141.218.60.56/~jnz1568/getInfo.php?workbook=01_01.xlsx&amp;sheet=A0&amp;row=158&amp;col=33&amp;number=&amp;sourceID=18","")</f>
        <v/>
      </c>
      <c r="AH158" s="4" t="str">
        <f>HYPERLINK("http://141.218.60.56/~jnz1568/getInfo.php?workbook=01_01.xlsx&amp;sheet=A0&amp;row=158&amp;col=34&amp;number=&amp;sourceID=20","")</f>
        <v/>
      </c>
    </row>
    <row r="159" spans="1:34">
      <c r="A159" s="3">
        <v>1</v>
      </c>
      <c r="B159" s="3">
        <v>1</v>
      </c>
      <c r="C159" s="3">
        <v>19</v>
      </c>
      <c r="D159" s="3">
        <v>10</v>
      </c>
      <c r="E159" s="3">
        <f>((1/(INDEX(E0!J$4:J$28,C159,1)-INDEX(E0!J$4:J$28,D159,1))))*100000000</f>
        <v>0</v>
      </c>
      <c r="F159" s="4" t="str">
        <f>HYPERLINK("http://141.218.60.56/~jnz1568/getInfo.php?workbook=01_01.xlsx&amp;sheet=A0&amp;row=159&amp;col=6&amp;number=&amp;sourceID=18","")</f>
        <v/>
      </c>
      <c r="G159" s="4" t="str">
        <f>HYPERLINK("http://141.218.60.56/~jnz1568/getInfo.php?workbook=01_01.xlsx&amp;sheet=A0&amp;row=159&amp;col=7&amp;number=1238100&amp;sourceID=15","1238100")</f>
        <v>1238100</v>
      </c>
      <c r="H159" s="4" t="str">
        <f>HYPERLINK("http://141.218.60.56/~jnz1568/getInfo.php?workbook=01_01.xlsx&amp;sheet=A0&amp;row=159&amp;col=8&amp;number=1238100&amp;sourceID=15","1238100")</f>
        <v>1238100</v>
      </c>
      <c r="I159" s="4" t="str">
        <f>HYPERLINK("http://141.218.60.56/~jnz1568/getInfo.php?workbook=01_01.xlsx&amp;sheet=A0&amp;row=159&amp;col=9&amp;number=&amp;sourceID=15","")</f>
        <v/>
      </c>
      <c r="J159" s="4" t="str">
        <f>HYPERLINK("http://141.218.60.56/~jnz1568/getInfo.php?workbook=01_01.xlsx&amp;sheet=A0&amp;row=159&amp;col=10&amp;number=&amp;sourceID=15","")</f>
        <v/>
      </c>
      <c r="K159" s="4" t="str">
        <f>HYPERLINK("http://141.218.60.56/~jnz1568/getInfo.php?workbook=01_01.xlsx&amp;sheet=A0&amp;row=159&amp;col=11&amp;number=&amp;sourceID=15","")</f>
        <v/>
      </c>
      <c r="L159" s="4" t="str">
        <f>HYPERLINK("http://141.218.60.56/~jnz1568/getInfo.php?workbook=01_01.xlsx&amp;sheet=A0&amp;row=159&amp;col=12&amp;number=&amp;sourceID=15","")</f>
        <v/>
      </c>
      <c r="M159" s="4" t="str">
        <f>HYPERLINK("http://141.218.60.56/~jnz1568/getInfo.php?workbook=01_01.xlsx&amp;sheet=A0&amp;row=159&amp;col=13&amp;number=&amp;sourceID=15","")</f>
        <v/>
      </c>
      <c r="N159" s="4" t="str">
        <f>HYPERLINK("http://141.218.60.56/~jnz1568/getInfo.php?workbook=01_01.xlsx&amp;sheet=A0&amp;row=159&amp;col=14&amp;number==&amp;sourceID=11","=")</f>
        <v>=</v>
      </c>
      <c r="O159" s="4" t="str">
        <f>HYPERLINK("http://141.218.60.56/~jnz1568/getInfo.php?workbook=01_01.xlsx&amp;sheet=A0&amp;row=159&amp;col=15&amp;number=1238100&amp;sourceID=11","1238100")</f>
        <v>1238100</v>
      </c>
      <c r="P159" s="4" t="str">
        <f>HYPERLINK("http://141.218.60.56/~jnz1568/getInfo.php?workbook=01_01.xlsx&amp;sheet=A0&amp;row=159&amp;col=16&amp;number=&amp;sourceID=11","")</f>
        <v/>
      </c>
      <c r="Q159" s="4" t="str">
        <f>HYPERLINK("http://141.218.60.56/~jnz1568/getInfo.php?workbook=01_01.xlsx&amp;sheet=A0&amp;row=159&amp;col=17&amp;number=&amp;sourceID=11","")</f>
        <v/>
      </c>
      <c r="R159" s="4" t="str">
        <f>HYPERLINK("http://141.218.60.56/~jnz1568/getInfo.php?workbook=01_01.xlsx&amp;sheet=A0&amp;row=159&amp;col=18&amp;number=&amp;sourceID=11","")</f>
        <v/>
      </c>
      <c r="S159" s="4" t="str">
        <f>HYPERLINK("http://141.218.60.56/~jnz1568/getInfo.php?workbook=01_01.xlsx&amp;sheet=A0&amp;row=159&amp;col=19&amp;number=3.3328e-09&amp;sourceID=11","3.3328e-09")</f>
        <v>3.3328e-09</v>
      </c>
      <c r="T159" s="4" t="str">
        <f>HYPERLINK("http://141.218.60.56/~jnz1568/getInfo.php?workbook=01_01.xlsx&amp;sheet=A0&amp;row=159&amp;col=20&amp;number=&amp;sourceID=11","")</f>
        <v/>
      </c>
      <c r="U159" s="4" t="str">
        <f>HYPERLINK("http://141.218.60.56/~jnz1568/getInfo.php?workbook=01_01.xlsx&amp;sheet=A0&amp;row=159&amp;col=21&amp;number=1238800&amp;sourceID=12","1238800")</f>
        <v>1238800</v>
      </c>
      <c r="V159" s="4" t="str">
        <f>HYPERLINK("http://141.218.60.56/~jnz1568/getInfo.php?workbook=01_01.xlsx&amp;sheet=A0&amp;row=159&amp;col=22&amp;number=1238800&amp;sourceID=12","1238800")</f>
        <v>1238800</v>
      </c>
      <c r="W159" s="4" t="str">
        <f>HYPERLINK("http://141.218.60.56/~jnz1568/getInfo.php?workbook=01_01.xlsx&amp;sheet=A0&amp;row=159&amp;col=23&amp;number=&amp;sourceID=12","")</f>
        <v/>
      </c>
      <c r="X159" s="4" t="str">
        <f>HYPERLINK("http://141.218.60.56/~jnz1568/getInfo.php?workbook=01_01.xlsx&amp;sheet=A0&amp;row=159&amp;col=24&amp;number=&amp;sourceID=12","")</f>
        <v/>
      </c>
      <c r="Y159" s="4" t="str">
        <f>HYPERLINK("http://141.218.60.56/~jnz1568/getInfo.php?workbook=01_01.xlsx&amp;sheet=A0&amp;row=159&amp;col=25&amp;number=&amp;sourceID=12","")</f>
        <v/>
      </c>
      <c r="Z159" s="4" t="str">
        <f>HYPERLINK("http://141.218.60.56/~jnz1568/getInfo.php?workbook=01_01.xlsx&amp;sheet=A0&amp;row=159&amp;col=26&amp;number=3.3347e-09&amp;sourceID=12","3.3347e-09")</f>
        <v>3.3347e-09</v>
      </c>
      <c r="AA159" s="4" t="str">
        <f>HYPERLINK("http://141.218.60.56/~jnz1568/getInfo.php?workbook=01_01.xlsx&amp;sheet=A0&amp;row=159&amp;col=27&amp;number=&amp;sourceID=12","")</f>
        <v/>
      </c>
      <c r="AB159" s="4" t="str">
        <f>HYPERLINK("http://141.218.60.56/~jnz1568/getInfo.php?workbook=01_01.xlsx&amp;sheet=A0&amp;row=159&amp;col=28&amp;number=&amp;sourceID=18","")</f>
        <v/>
      </c>
      <c r="AC159" s="4" t="str">
        <f>HYPERLINK("http://141.218.60.56/~jnz1568/getInfo.php?workbook=01_01.xlsx&amp;sheet=A0&amp;row=159&amp;col=29&amp;number=&amp;sourceID=18","")</f>
        <v/>
      </c>
      <c r="AD159" s="4" t="str">
        <f>HYPERLINK("http://141.218.60.56/~jnz1568/getInfo.php?workbook=01_01.xlsx&amp;sheet=A0&amp;row=159&amp;col=30&amp;number=&amp;sourceID=18","")</f>
        <v/>
      </c>
      <c r="AE159" s="4" t="str">
        <f>HYPERLINK("http://141.218.60.56/~jnz1568/getInfo.php?workbook=01_01.xlsx&amp;sheet=A0&amp;row=159&amp;col=31&amp;number=&amp;sourceID=18","")</f>
        <v/>
      </c>
      <c r="AF159" s="4" t="str">
        <f>HYPERLINK("http://141.218.60.56/~jnz1568/getInfo.php?workbook=01_01.xlsx&amp;sheet=A0&amp;row=159&amp;col=32&amp;number=&amp;sourceID=18","")</f>
        <v/>
      </c>
      <c r="AG159" s="4" t="str">
        <f>HYPERLINK("http://141.218.60.56/~jnz1568/getInfo.php?workbook=01_01.xlsx&amp;sheet=A0&amp;row=159&amp;col=33&amp;number=&amp;sourceID=18","")</f>
        <v/>
      </c>
      <c r="AH159" s="4" t="str">
        <f>HYPERLINK("http://141.218.60.56/~jnz1568/getInfo.php?workbook=01_01.xlsx&amp;sheet=A0&amp;row=159&amp;col=34&amp;number=&amp;sourceID=20","")</f>
        <v/>
      </c>
    </row>
    <row r="160" spans="1:34">
      <c r="A160" s="3">
        <v>1</v>
      </c>
      <c r="B160" s="3">
        <v>1</v>
      </c>
      <c r="C160" s="3">
        <v>19</v>
      </c>
      <c r="D160" s="3">
        <v>11</v>
      </c>
      <c r="E160" s="3">
        <f>((1/(INDEX(E0!J$4:J$28,C160,1)-INDEX(E0!J$4:J$28,D160,1))))*100000000</f>
        <v>0</v>
      </c>
      <c r="F160" s="4" t="str">
        <f>HYPERLINK("http://141.218.60.56/~jnz1568/getInfo.php?workbook=01_01.xlsx&amp;sheet=A0&amp;row=160&amp;col=6&amp;number=&amp;sourceID=18","")</f>
        <v/>
      </c>
      <c r="G160" s="4" t="str">
        <f>HYPERLINK("http://141.218.60.56/~jnz1568/getInfo.php?workbook=01_01.xlsx&amp;sheet=A0&amp;row=160&amp;col=7&amp;number=&amp;sourceID=15","")</f>
        <v/>
      </c>
      <c r="H160" s="4" t="str">
        <f>HYPERLINK("http://141.218.60.56/~jnz1568/getInfo.php?workbook=01_01.xlsx&amp;sheet=A0&amp;row=160&amp;col=8&amp;number=&amp;sourceID=15","")</f>
        <v/>
      </c>
      <c r="I160" s="4" t="str">
        <f>HYPERLINK("http://141.218.60.56/~jnz1568/getInfo.php?workbook=01_01.xlsx&amp;sheet=A0&amp;row=160&amp;col=9&amp;number=&amp;sourceID=15","")</f>
        <v/>
      </c>
      <c r="J160" s="4" t="str">
        <f>HYPERLINK("http://141.218.60.56/~jnz1568/getInfo.php?workbook=01_01.xlsx&amp;sheet=A0&amp;row=160&amp;col=10&amp;number=&amp;sourceID=15","")</f>
        <v/>
      </c>
      <c r="K160" s="4" t="str">
        <f>HYPERLINK("http://141.218.60.56/~jnz1568/getInfo.php?workbook=01_01.xlsx&amp;sheet=A0&amp;row=160&amp;col=11&amp;number=&amp;sourceID=15","")</f>
        <v/>
      </c>
      <c r="L160" s="4" t="str">
        <f>HYPERLINK("http://141.218.60.56/~jnz1568/getInfo.php?workbook=01_01.xlsx&amp;sheet=A0&amp;row=160&amp;col=12&amp;number=&amp;sourceID=15","")</f>
        <v/>
      </c>
      <c r="M160" s="4" t="str">
        <f>HYPERLINK("http://141.218.60.56/~jnz1568/getInfo.php?workbook=01_01.xlsx&amp;sheet=A0&amp;row=160&amp;col=13&amp;number=&amp;sourceID=15","")</f>
        <v/>
      </c>
      <c r="N160" s="4" t="str">
        <f>HYPERLINK("http://141.218.60.56/~jnz1568/getInfo.php?workbook=01_01.xlsx&amp;sheet=A0&amp;row=160&amp;col=14&amp;number==&amp;sourceID=11","=")</f>
        <v>=</v>
      </c>
      <c r="O160" s="4" t="str">
        <f>HYPERLINK("http://141.218.60.56/~jnz1568/getInfo.php?workbook=01_01.xlsx&amp;sheet=A0&amp;row=160&amp;col=15&amp;number=&amp;sourceID=11","")</f>
        <v/>
      </c>
      <c r="P160" s="4" t="str">
        <f>HYPERLINK("http://141.218.60.56/~jnz1568/getInfo.php?workbook=01_01.xlsx&amp;sheet=A0&amp;row=160&amp;col=16&amp;number=0.5392&amp;sourceID=11","0.5392")</f>
        <v>0.5392</v>
      </c>
      <c r="Q160" s="4" t="str">
        <f>HYPERLINK("http://141.218.60.56/~jnz1568/getInfo.php?workbook=01_01.xlsx&amp;sheet=A0&amp;row=160&amp;col=17&amp;number=&amp;sourceID=11","")</f>
        <v/>
      </c>
      <c r="R160" s="4" t="str">
        <f>HYPERLINK("http://141.218.60.56/~jnz1568/getInfo.php?workbook=01_01.xlsx&amp;sheet=A0&amp;row=160&amp;col=18&amp;number=9e-15&amp;sourceID=11","9e-15")</f>
        <v>9e-15</v>
      </c>
      <c r="S160" s="4" t="str">
        <f>HYPERLINK("http://141.218.60.56/~jnz1568/getInfo.php?workbook=01_01.xlsx&amp;sheet=A0&amp;row=160&amp;col=19&amp;number=&amp;sourceID=11","")</f>
        <v/>
      </c>
      <c r="T160" s="4" t="str">
        <f>HYPERLINK("http://141.218.60.56/~jnz1568/getInfo.php?workbook=01_01.xlsx&amp;sheet=A0&amp;row=160&amp;col=20&amp;number=&amp;sourceID=11","")</f>
        <v/>
      </c>
      <c r="U160" s="4" t="str">
        <f>HYPERLINK("http://141.218.60.56/~jnz1568/getInfo.php?workbook=01_01.xlsx&amp;sheet=A0&amp;row=160&amp;col=21&amp;number=0.53949&amp;sourceID=12","0.53949")</f>
        <v>0.53949</v>
      </c>
      <c r="V160" s="4" t="str">
        <f>HYPERLINK("http://141.218.60.56/~jnz1568/getInfo.php?workbook=01_01.xlsx&amp;sheet=A0&amp;row=160&amp;col=22&amp;number=&amp;sourceID=12","")</f>
        <v/>
      </c>
      <c r="W160" s="4" t="str">
        <f>HYPERLINK("http://141.218.60.56/~jnz1568/getInfo.php?workbook=01_01.xlsx&amp;sheet=A0&amp;row=160&amp;col=23&amp;number=0.53949&amp;sourceID=12","0.53949")</f>
        <v>0.53949</v>
      </c>
      <c r="X160" s="4" t="str">
        <f>HYPERLINK("http://141.218.60.56/~jnz1568/getInfo.php?workbook=01_01.xlsx&amp;sheet=A0&amp;row=160&amp;col=24&amp;number=&amp;sourceID=12","")</f>
        <v/>
      </c>
      <c r="Y160" s="4" t="str">
        <f>HYPERLINK("http://141.218.60.56/~jnz1568/getInfo.php?workbook=01_01.xlsx&amp;sheet=A0&amp;row=160&amp;col=25&amp;number=9e-15&amp;sourceID=12","9e-15")</f>
        <v>9e-15</v>
      </c>
      <c r="Z160" s="4" t="str">
        <f>HYPERLINK("http://141.218.60.56/~jnz1568/getInfo.php?workbook=01_01.xlsx&amp;sheet=A0&amp;row=160&amp;col=26&amp;number=&amp;sourceID=12","")</f>
        <v/>
      </c>
      <c r="AA160" s="4" t="str">
        <f>HYPERLINK("http://141.218.60.56/~jnz1568/getInfo.php?workbook=01_01.xlsx&amp;sheet=A0&amp;row=160&amp;col=27&amp;number=&amp;sourceID=12","")</f>
        <v/>
      </c>
      <c r="AB160" s="4" t="str">
        <f>HYPERLINK("http://141.218.60.56/~jnz1568/getInfo.php?workbook=01_01.xlsx&amp;sheet=A0&amp;row=160&amp;col=28&amp;number=&amp;sourceID=18","")</f>
        <v/>
      </c>
      <c r="AC160" s="4" t="str">
        <f>HYPERLINK("http://141.218.60.56/~jnz1568/getInfo.php?workbook=01_01.xlsx&amp;sheet=A0&amp;row=160&amp;col=29&amp;number=&amp;sourceID=18","")</f>
        <v/>
      </c>
      <c r="AD160" s="4" t="str">
        <f>HYPERLINK("http://141.218.60.56/~jnz1568/getInfo.php?workbook=01_01.xlsx&amp;sheet=A0&amp;row=160&amp;col=30&amp;number=&amp;sourceID=18","")</f>
        <v/>
      </c>
      <c r="AE160" s="4" t="str">
        <f>HYPERLINK("http://141.218.60.56/~jnz1568/getInfo.php?workbook=01_01.xlsx&amp;sheet=A0&amp;row=160&amp;col=31&amp;number=&amp;sourceID=18","")</f>
        <v/>
      </c>
      <c r="AF160" s="4" t="str">
        <f>HYPERLINK("http://141.218.60.56/~jnz1568/getInfo.php?workbook=01_01.xlsx&amp;sheet=A0&amp;row=160&amp;col=32&amp;number=&amp;sourceID=18","")</f>
        <v/>
      </c>
      <c r="AG160" s="4" t="str">
        <f>HYPERLINK("http://141.218.60.56/~jnz1568/getInfo.php?workbook=01_01.xlsx&amp;sheet=A0&amp;row=160&amp;col=33&amp;number=&amp;sourceID=18","")</f>
        <v/>
      </c>
      <c r="AH160" s="4" t="str">
        <f>HYPERLINK("http://141.218.60.56/~jnz1568/getInfo.php?workbook=01_01.xlsx&amp;sheet=A0&amp;row=160&amp;col=34&amp;number=&amp;sourceID=20","")</f>
        <v/>
      </c>
    </row>
    <row r="161" spans="1:34">
      <c r="A161" s="3">
        <v>1</v>
      </c>
      <c r="B161" s="3">
        <v>1</v>
      </c>
      <c r="C161" s="3">
        <v>19</v>
      </c>
      <c r="D161" s="3">
        <v>12</v>
      </c>
      <c r="E161" s="3">
        <f>((1/(INDEX(E0!J$4:J$28,C161,1)-INDEX(E0!J$4:J$28,D161,1))))*100000000</f>
        <v>0</v>
      </c>
      <c r="F161" s="4" t="str">
        <f>HYPERLINK("http://141.218.60.56/~jnz1568/getInfo.php?workbook=01_01.xlsx&amp;sheet=A0&amp;row=161&amp;col=6&amp;number=&amp;sourceID=18","")</f>
        <v/>
      </c>
      <c r="G161" s="4" t="str">
        <f>HYPERLINK("http://141.218.60.56/~jnz1568/getInfo.php?workbook=01_01.xlsx&amp;sheet=A0&amp;row=161&amp;col=7&amp;number=&amp;sourceID=15","")</f>
        <v/>
      </c>
      <c r="H161" s="4" t="str">
        <f>HYPERLINK("http://141.218.60.56/~jnz1568/getInfo.php?workbook=01_01.xlsx&amp;sheet=A0&amp;row=161&amp;col=8&amp;number=&amp;sourceID=15","")</f>
        <v/>
      </c>
      <c r="I161" s="4" t="str">
        <f>HYPERLINK("http://141.218.60.56/~jnz1568/getInfo.php?workbook=01_01.xlsx&amp;sheet=A0&amp;row=161&amp;col=9&amp;number=&amp;sourceID=15","")</f>
        <v/>
      </c>
      <c r="J161" s="4" t="str">
        <f>HYPERLINK("http://141.218.60.56/~jnz1568/getInfo.php?workbook=01_01.xlsx&amp;sheet=A0&amp;row=161&amp;col=10&amp;number=&amp;sourceID=15","")</f>
        <v/>
      </c>
      <c r="K161" s="4" t="str">
        <f>HYPERLINK("http://141.218.60.56/~jnz1568/getInfo.php?workbook=01_01.xlsx&amp;sheet=A0&amp;row=161&amp;col=11&amp;number=&amp;sourceID=15","")</f>
        <v/>
      </c>
      <c r="L161" s="4" t="str">
        <f>HYPERLINK("http://141.218.60.56/~jnz1568/getInfo.php?workbook=01_01.xlsx&amp;sheet=A0&amp;row=161&amp;col=12&amp;number=&amp;sourceID=15","")</f>
        <v/>
      </c>
      <c r="M161" s="4" t="str">
        <f>HYPERLINK("http://141.218.60.56/~jnz1568/getInfo.php?workbook=01_01.xlsx&amp;sheet=A0&amp;row=161&amp;col=13&amp;number=&amp;sourceID=15","")</f>
        <v/>
      </c>
      <c r="N161" s="4" t="str">
        <f>HYPERLINK("http://141.218.60.56/~jnz1568/getInfo.php?workbook=01_01.xlsx&amp;sheet=A0&amp;row=161&amp;col=14&amp;number==&amp;sourceID=11","=")</f>
        <v>=</v>
      </c>
      <c r="O161" s="4" t="str">
        <f>HYPERLINK("http://141.218.60.56/~jnz1568/getInfo.php?workbook=01_01.xlsx&amp;sheet=A0&amp;row=161&amp;col=15&amp;number=&amp;sourceID=11","")</f>
        <v/>
      </c>
      <c r="P161" s="4" t="str">
        <f>HYPERLINK("http://141.218.60.56/~jnz1568/getInfo.php?workbook=01_01.xlsx&amp;sheet=A0&amp;row=161&amp;col=16&amp;number=0.18593&amp;sourceID=11","0.18593")</f>
        <v>0.18593</v>
      </c>
      <c r="Q161" s="4" t="str">
        <f>HYPERLINK("http://141.218.60.56/~jnz1568/getInfo.php?workbook=01_01.xlsx&amp;sheet=A0&amp;row=161&amp;col=17&amp;number=&amp;sourceID=11","")</f>
        <v/>
      </c>
      <c r="R161" s="4" t="str">
        <f>HYPERLINK("http://141.218.60.56/~jnz1568/getInfo.php?workbook=01_01.xlsx&amp;sheet=A0&amp;row=161&amp;col=18&amp;number=8.96e-13&amp;sourceID=11","8.96e-13")</f>
        <v>8.96e-13</v>
      </c>
      <c r="S161" s="4" t="str">
        <f>HYPERLINK("http://141.218.60.56/~jnz1568/getInfo.php?workbook=01_01.xlsx&amp;sheet=A0&amp;row=161&amp;col=19&amp;number=&amp;sourceID=11","")</f>
        <v/>
      </c>
      <c r="T161" s="4" t="str">
        <f>HYPERLINK("http://141.218.60.56/~jnz1568/getInfo.php?workbook=01_01.xlsx&amp;sheet=A0&amp;row=161&amp;col=20&amp;number=1e-15&amp;sourceID=11","1e-15")</f>
        <v>1e-15</v>
      </c>
      <c r="U161" s="4" t="str">
        <f>HYPERLINK("http://141.218.60.56/~jnz1568/getInfo.php?workbook=01_01.xlsx&amp;sheet=A0&amp;row=161&amp;col=21&amp;number=0.18603&amp;sourceID=12","0.18603")</f>
        <v>0.18603</v>
      </c>
      <c r="V161" s="4" t="str">
        <f>HYPERLINK("http://141.218.60.56/~jnz1568/getInfo.php?workbook=01_01.xlsx&amp;sheet=A0&amp;row=161&amp;col=22&amp;number=&amp;sourceID=12","")</f>
        <v/>
      </c>
      <c r="W161" s="4" t="str">
        <f>HYPERLINK("http://141.218.60.56/~jnz1568/getInfo.php?workbook=01_01.xlsx&amp;sheet=A0&amp;row=161&amp;col=23&amp;number=0.18603&amp;sourceID=12","0.18603")</f>
        <v>0.18603</v>
      </c>
      <c r="X161" s="4" t="str">
        <f>HYPERLINK("http://141.218.60.56/~jnz1568/getInfo.php?workbook=01_01.xlsx&amp;sheet=A0&amp;row=161&amp;col=24&amp;number=&amp;sourceID=12","")</f>
        <v/>
      </c>
      <c r="Y161" s="4" t="str">
        <f>HYPERLINK("http://141.218.60.56/~jnz1568/getInfo.php?workbook=01_01.xlsx&amp;sheet=A0&amp;row=161&amp;col=25&amp;number=8.72e-13&amp;sourceID=12","8.72e-13")</f>
        <v>8.72e-13</v>
      </c>
      <c r="Z161" s="4" t="str">
        <f>HYPERLINK("http://141.218.60.56/~jnz1568/getInfo.php?workbook=01_01.xlsx&amp;sheet=A0&amp;row=161&amp;col=26&amp;number=&amp;sourceID=12","")</f>
        <v/>
      </c>
      <c r="AA161" s="4" t="str">
        <f>HYPERLINK("http://141.218.60.56/~jnz1568/getInfo.php?workbook=01_01.xlsx&amp;sheet=A0&amp;row=161&amp;col=27&amp;number=1e-15&amp;sourceID=12","1e-15")</f>
        <v>1e-15</v>
      </c>
      <c r="AB161" s="4" t="str">
        <f>HYPERLINK("http://141.218.60.56/~jnz1568/getInfo.php?workbook=01_01.xlsx&amp;sheet=A0&amp;row=161&amp;col=28&amp;number=&amp;sourceID=18","")</f>
        <v/>
      </c>
      <c r="AC161" s="4" t="str">
        <f>HYPERLINK("http://141.218.60.56/~jnz1568/getInfo.php?workbook=01_01.xlsx&amp;sheet=A0&amp;row=161&amp;col=29&amp;number=&amp;sourceID=18","")</f>
        <v/>
      </c>
      <c r="AD161" s="4" t="str">
        <f>HYPERLINK("http://141.218.60.56/~jnz1568/getInfo.php?workbook=01_01.xlsx&amp;sheet=A0&amp;row=161&amp;col=30&amp;number=&amp;sourceID=18","")</f>
        <v/>
      </c>
      <c r="AE161" s="4" t="str">
        <f>HYPERLINK("http://141.218.60.56/~jnz1568/getInfo.php?workbook=01_01.xlsx&amp;sheet=A0&amp;row=161&amp;col=31&amp;number=&amp;sourceID=18","")</f>
        <v/>
      </c>
      <c r="AF161" s="4" t="str">
        <f>HYPERLINK("http://141.218.60.56/~jnz1568/getInfo.php?workbook=01_01.xlsx&amp;sheet=A0&amp;row=161&amp;col=32&amp;number=&amp;sourceID=18","")</f>
        <v/>
      </c>
      <c r="AG161" s="4" t="str">
        <f>HYPERLINK("http://141.218.60.56/~jnz1568/getInfo.php?workbook=01_01.xlsx&amp;sheet=A0&amp;row=161&amp;col=33&amp;number=&amp;sourceID=18","")</f>
        <v/>
      </c>
      <c r="AH161" s="4" t="str">
        <f>HYPERLINK("http://141.218.60.56/~jnz1568/getInfo.php?workbook=01_01.xlsx&amp;sheet=A0&amp;row=161&amp;col=34&amp;number=&amp;sourceID=20","")</f>
        <v/>
      </c>
    </row>
    <row r="162" spans="1:34">
      <c r="A162" s="3">
        <v>1</v>
      </c>
      <c r="B162" s="3">
        <v>1</v>
      </c>
      <c r="C162" s="3">
        <v>19</v>
      </c>
      <c r="D162" s="3">
        <v>13</v>
      </c>
      <c r="E162" s="3">
        <f>((1/(INDEX(E0!J$4:J$28,C162,1)-INDEX(E0!J$4:J$28,D162,1))))*100000000</f>
        <v>0</v>
      </c>
      <c r="F162" s="4" t="str">
        <f>HYPERLINK("http://141.218.60.56/~jnz1568/getInfo.php?workbook=01_01.xlsx&amp;sheet=A0&amp;row=162&amp;col=6&amp;number=&amp;sourceID=18","")</f>
        <v/>
      </c>
      <c r="G162" s="4" t="str">
        <f>HYPERLINK("http://141.218.60.56/~jnz1568/getInfo.php?workbook=01_01.xlsx&amp;sheet=A0&amp;row=162&amp;col=7&amp;number=247630&amp;sourceID=15","247630")</f>
        <v>247630</v>
      </c>
      <c r="H162" s="4" t="str">
        <f>HYPERLINK("http://141.218.60.56/~jnz1568/getInfo.php?workbook=01_01.xlsx&amp;sheet=A0&amp;row=162&amp;col=8&amp;number=247630&amp;sourceID=15","247630")</f>
        <v>247630</v>
      </c>
      <c r="I162" s="4" t="str">
        <f>HYPERLINK("http://141.218.60.56/~jnz1568/getInfo.php?workbook=01_01.xlsx&amp;sheet=A0&amp;row=162&amp;col=9&amp;number=&amp;sourceID=15","")</f>
        <v/>
      </c>
      <c r="J162" s="4" t="str">
        <f>HYPERLINK("http://141.218.60.56/~jnz1568/getInfo.php?workbook=01_01.xlsx&amp;sheet=A0&amp;row=162&amp;col=10&amp;number=&amp;sourceID=15","")</f>
        <v/>
      </c>
      <c r="K162" s="4" t="str">
        <f>HYPERLINK("http://141.218.60.56/~jnz1568/getInfo.php?workbook=01_01.xlsx&amp;sheet=A0&amp;row=162&amp;col=11&amp;number=&amp;sourceID=15","")</f>
        <v/>
      </c>
      <c r="L162" s="4" t="str">
        <f>HYPERLINK("http://141.218.60.56/~jnz1568/getInfo.php?workbook=01_01.xlsx&amp;sheet=A0&amp;row=162&amp;col=12&amp;number=&amp;sourceID=15","")</f>
        <v/>
      </c>
      <c r="M162" s="4" t="str">
        <f>HYPERLINK("http://141.218.60.56/~jnz1568/getInfo.php?workbook=01_01.xlsx&amp;sheet=A0&amp;row=162&amp;col=13&amp;number=&amp;sourceID=15","")</f>
        <v/>
      </c>
      <c r="N162" s="4" t="str">
        <f>HYPERLINK("http://141.218.60.56/~jnz1568/getInfo.php?workbook=01_01.xlsx&amp;sheet=A0&amp;row=162&amp;col=14&amp;number==&amp;sourceID=11","=")</f>
        <v>=</v>
      </c>
      <c r="O162" s="4" t="str">
        <f>HYPERLINK("http://141.218.60.56/~jnz1568/getInfo.php?workbook=01_01.xlsx&amp;sheet=A0&amp;row=162&amp;col=15&amp;number=247630&amp;sourceID=11","247630")</f>
        <v>247630</v>
      </c>
      <c r="P162" s="4" t="str">
        <f>HYPERLINK("http://141.218.60.56/~jnz1568/getInfo.php?workbook=01_01.xlsx&amp;sheet=A0&amp;row=162&amp;col=16&amp;number=&amp;sourceID=11","")</f>
        <v/>
      </c>
      <c r="Q162" s="4" t="str">
        <f>HYPERLINK("http://141.218.60.56/~jnz1568/getInfo.php?workbook=01_01.xlsx&amp;sheet=A0&amp;row=162&amp;col=17&amp;number=1.3078e-07&amp;sourceID=11","1.3078e-07")</f>
        <v>1.3078e-07</v>
      </c>
      <c r="R162" s="4" t="str">
        <f>HYPERLINK("http://141.218.60.56/~jnz1568/getInfo.php?workbook=01_01.xlsx&amp;sheet=A0&amp;row=162&amp;col=18&amp;number=&amp;sourceID=11","")</f>
        <v/>
      </c>
      <c r="S162" s="4" t="str">
        <f>HYPERLINK("http://141.218.60.56/~jnz1568/getInfo.php?workbook=01_01.xlsx&amp;sheet=A0&amp;row=162&amp;col=19&amp;number=&amp;sourceID=11","")</f>
        <v/>
      </c>
      <c r="T162" s="4" t="str">
        <f>HYPERLINK("http://141.218.60.56/~jnz1568/getInfo.php?workbook=01_01.xlsx&amp;sheet=A0&amp;row=162&amp;col=20&amp;number=&amp;sourceID=11","")</f>
        <v/>
      </c>
      <c r="U162" s="4" t="str">
        <f>HYPERLINK("http://141.218.60.56/~jnz1568/getInfo.php?workbook=01_01.xlsx&amp;sheet=A0&amp;row=162&amp;col=21&amp;number=247770&amp;sourceID=12","247770")</f>
        <v>247770</v>
      </c>
      <c r="V162" s="4" t="str">
        <f>HYPERLINK("http://141.218.60.56/~jnz1568/getInfo.php?workbook=01_01.xlsx&amp;sheet=A0&amp;row=162&amp;col=22&amp;number=247770&amp;sourceID=12","247770")</f>
        <v>247770</v>
      </c>
      <c r="W162" s="4" t="str">
        <f>HYPERLINK("http://141.218.60.56/~jnz1568/getInfo.php?workbook=01_01.xlsx&amp;sheet=A0&amp;row=162&amp;col=23&amp;number=&amp;sourceID=12","")</f>
        <v/>
      </c>
      <c r="X162" s="4" t="str">
        <f>HYPERLINK("http://141.218.60.56/~jnz1568/getInfo.php?workbook=01_01.xlsx&amp;sheet=A0&amp;row=162&amp;col=24&amp;number=1.3086e-07&amp;sourceID=12","1.3086e-07")</f>
        <v>1.3086e-07</v>
      </c>
      <c r="Y162" s="4" t="str">
        <f>HYPERLINK("http://141.218.60.56/~jnz1568/getInfo.php?workbook=01_01.xlsx&amp;sheet=A0&amp;row=162&amp;col=25&amp;number=&amp;sourceID=12","")</f>
        <v/>
      </c>
      <c r="Z162" s="4" t="str">
        <f>HYPERLINK("http://141.218.60.56/~jnz1568/getInfo.php?workbook=01_01.xlsx&amp;sheet=A0&amp;row=162&amp;col=26&amp;number=&amp;sourceID=12","")</f>
        <v/>
      </c>
      <c r="AA162" s="4" t="str">
        <f>HYPERLINK("http://141.218.60.56/~jnz1568/getInfo.php?workbook=01_01.xlsx&amp;sheet=A0&amp;row=162&amp;col=27&amp;number=&amp;sourceID=12","")</f>
        <v/>
      </c>
      <c r="AB162" s="4" t="str">
        <f>HYPERLINK("http://141.218.60.56/~jnz1568/getInfo.php?workbook=01_01.xlsx&amp;sheet=A0&amp;row=162&amp;col=28&amp;number=&amp;sourceID=18","")</f>
        <v/>
      </c>
      <c r="AC162" s="4" t="str">
        <f>HYPERLINK("http://141.218.60.56/~jnz1568/getInfo.php?workbook=01_01.xlsx&amp;sheet=A0&amp;row=162&amp;col=29&amp;number=&amp;sourceID=18","")</f>
        <v/>
      </c>
      <c r="AD162" s="4" t="str">
        <f>HYPERLINK("http://141.218.60.56/~jnz1568/getInfo.php?workbook=01_01.xlsx&amp;sheet=A0&amp;row=162&amp;col=30&amp;number=&amp;sourceID=18","")</f>
        <v/>
      </c>
      <c r="AE162" s="4" t="str">
        <f>HYPERLINK("http://141.218.60.56/~jnz1568/getInfo.php?workbook=01_01.xlsx&amp;sheet=A0&amp;row=162&amp;col=31&amp;number=&amp;sourceID=18","")</f>
        <v/>
      </c>
      <c r="AF162" s="4" t="str">
        <f>HYPERLINK("http://141.218.60.56/~jnz1568/getInfo.php?workbook=01_01.xlsx&amp;sheet=A0&amp;row=162&amp;col=32&amp;number=&amp;sourceID=18","")</f>
        <v/>
      </c>
      <c r="AG162" s="4" t="str">
        <f>HYPERLINK("http://141.218.60.56/~jnz1568/getInfo.php?workbook=01_01.xlsx&amp;sheet=A0&amp;row=162&amp;col=33&amp;number=&amp;sourceID=18","")</f>
        <v/>
      </c>
      <c r="AH162" s="4" t="str">
        <f>HYPERLINK("http://141.218.60.56/~jnz1568/getInfo.php?workbook=01_01.xlsx&amp;sheet=A0&amp;row=162&amp;col=34&amp;number=&amp;sourceID=20","")</f>
        <v/>
      </c>
    </row>
    <row r="163" spans="1:34">
      <c r="A163" s="3">
        <v>1</v>
      </c>
      <c r="B163" s="3">
        <v>1</v>
      </c>
      <c r="C163" s="3">
        <v>19</v>
      </c>
      <c r="D163" s="3">
        <v>14</v>
      </c>
      <c r="E163" s="3">
        <f>((1/(INDEX(E0!J$4:J$28,C163,1)-INDEX(E0!J$4:J$28,D163,1))))*100000000</f>
        <v>0</v>
      </c>
      <c r="F163" s="4" t="str">
        <f>HYPERLINK("http://141.218.60.56/~jnz1568/getInfo.php?workbook=01_01.xlsx&amp;sheet=A0&amp;row=163&amp;col=6&amp;number=&amp;sourceID=18","")</f>
        <v/>
      </c>
      <c r="G163" s="4" t="str">
        <f>HYPERLINK("http://141.218.60.56/~jnz1568/getInfo.php?workbook=01_01.xlsx&amp;sheet=A0&amp;row=163&amp;col=7&amp;number=&amp;sourceID=15","")</f>
        <v/>
      </c>
      <c r="H163" s="4" t="str">
        <f>HYPERLINK("http://141.218.60.56/~jnz1568/getInfo.php?workbook=01_01.xlsx&amp;sheet=A0&amp;row=163&amp;col=8&amp;number=&amp;sourceID=15","")</f>
        <v/>
      </c>
      <c r="I163" s="4" t="str">
        <f>HYPERLINK("http://141.218.60.56/~jnz1568/getInfo.php?workbook=01_01.xlsx&amp;sheet=A0&amp;row=163&amp;col=9&amp;number=&amp;sourceID=15","")</f>
        <v/>
      </c>
      <c r="J163" s="4" t="str">
        <f>HYPERLINK("http://141.218.60.56/~jnz1568/getInfo.php?workbook=01_01.xlsx&amp;sheet=A0&amp;row=163&amp;col=10&amp;number=&amp;sourceID=15","")</f>
        <v/>
      </c>
      <c r="K163" s="4" t="str">
        <f>HYPERLINK("http://141.218.60.56/~jnz1568/getInfo.php?workbook=01_01.xlsx&amp;sheet=A0&amp;row=163&amp;col=11&amp;number=&amp;sourceID=15","")</f>
        <v/>
      </c>
      <c r="L163" s="4" t="str">
        <f>HYPERLINK("http://141.218.60.56/~jnz1568/getInfo.php?workbook=01_01.xlsx&amp;sheet=A0&amp;row=163&amp;col=12&amp;number=&amp;sourceID=15","")</f>
        <v/>
      </c>
      <c r="M163" s="4" t="str">
        <f>HYPERLINK("http://141.218.60.56/~jnz1568/getInfo.php?workbook=01_01.xlsx&amp;sheet=A0&amp;row=163&amp;col=13&amp;number=&amp;sourceID=15","")</f>
        <v/>
      </c>
      <c r="N163" s="4" t="str">
        <f>HYPERLINK("http://141.218.60.56/~jnz1568/getInfo.php?workbook=01_01.xlsx&amp;sheet=A0&amp;row=163&amp;col=14&amp;number==&amp;sourceID=11","=")</f>
        <v>=</v>
      </c>
      <c r="O163" s="4" t="str">
        <f>HYPERLINK("http://141.218.60.56/~jnz1568/getInfo.php?workbook=01_01.xlsx&amp;sheet=A0&amp;row=163&amp;col=15&amp;number=&amp;sourceID=11","")</f>
        <v/>
      </c>
      <c r="P163" s="4" t="str">
        <f>HYPERLINK("http://141.218.60.56/~jnz1568/getInfo.php?workbook=01_01.xlsx&amp;sheet=A0&amp;row=163&amp;col=16&amp;number=0.079685&amp;sourceID=11","0.079685")</f>
        <v>0.079685</v>
      </c>
      <c r="Q163" s="4" t="str">
        <f>HYPERLINK("http://141.218.60.56/~jnz1568/getInfo.php?workbook=01_01.xlsx&amp;sheet=A0&amp;row=163&amp;col=17&amp;number=&amp;sourceID=11","")</f>
        <v/>
      </c>
      <c r="R163" s="4" t="str">
        <f>HYPERLINK("http://141.218.60.56/~jnz1568/getInfo.php?workbook=01_01.xlsx&amp;sheet=A0&amp;row=163&amp;col=18&amp;number=5.63e-12&amp;sourceID=11","5.63e-12")</f>
        <v>5.63e-12</v>
      </c>
      <c r="S163" s="4" t="str">
        <f>HYPERLINK("http://141.218.60.56/~jnz1568/getInfo.php?workbook=01_01.xlsx&amp;sheet=A0&amp;row=163&amp;col=19&amp;number=&amp;sourceID=11","")</f>
        <v/>
      </c>
      <c r="T163" s="4" t="str">
        <f>HYPERLINK("http://141.218.60.56/~jnz1568/getInfo.php?workbook=01_01.xlsx&amp;sheet=A0&amp;row=163&amp;col=20&amp;number=0&amp;sourceID=11","0")</f>
        <v>0</v>
      </c>
      <c r="U163" s="4" t="str">
        <f>HYPERLINK("http://141.218.60.56/~jnz1568/getInfo.php?workbook=01_01.xlsx&amp;sheet=A0&amp;row=163&amp;col=21&amp;number=0.079728&amp;sourceID=12","0.079728")</f>
        <v>0.079728</v>
      </c>
      <c r="V163" s="4" t="str">
        <f>HYPERLINK("http://141.218.60.56/~jnz1568/getInfo.php?workbook=01_01.xlsx&amp;sheet=A0&amp;row=163&amp;col=22&amp;number=&amp;sourceID=12","")</f>
        <v/>
      </c>
      <c r="W163" s="4" t="str">
        <f>HYPERLINK("http://141.218.60.56/~jnz1568/getInfo.php?workbook=01_01.xlsx&amp;sheet=A0&amp;row=163&amp;col=23&amp;number=0.079728&amp;sourceID=12","0.079728")</f>
        <v>0.079728</v>
      </c>
      <c r="X163" s="4" t="str">
        <f>HYPERLINK("http://141.218.60.56/~jnz1568/getInfo.php?workbook=01_01.xlsx&amp;sheet=A0&amp;row=163&amp;col=24&amp;number=&amp;sourceID=12","")</f>
        <v/>
      </c>
      <c r="Y163" s="4" t="str">
        <f>HYPERLINK("http://141.218.60.56/~jnz1568/getInfo.php?workbook=01_01.xlsx&amp;sheet=A0&amp;row=163&amp;col=25&amp;number=5.648e-12&amp;sourceID=12","5.648e-12")</f>
        <v>5.648e-12</v>
      </c>
      <c r="Z163" s="4" t="str">
        <f>HYPERLINK("http://141.218.60.56/~jnz1568/getInfo.php?workbook=01_01.xlsx&amp;sheet=A0&amp;row=163&amp;col=26&amp;number=&amp;sourceID=12","")</f>
        <v/>
      </c>
      <c r="AA163" s="4" t="str">
        <f>HYPERLINK("http://141.218.60.56/~jnz1568/getInfo.php?workbook=01_01.xlsx&amp;sheet=A0&amp;row=163&amp;col=27&amp;number=0&amp;sourceID=12","0")</f>
        <v>0</v>
      </c>
      <c r="AB163" s="4" t="str">
        <f>HYPERLINK("http://141.218.60.56/~jnz1568/getInfo.php?workbook=01_01.xlsx&amp;sheet=A0&amp;row=163&amp;col=28&amp;number=&amp;sourceID=18","")</f>
        <v/>
      </c>
      <c r="AC163" s="4" t="str">
        <f>HYPERLINK("http://141.218.60.56/~jnz1568/getInfo.php?workbook=01_01.xlsx&amp;sheet=A0&amp;row=163&amp;col=29&amp;number=&amp;sourceID=18","")</f>
        <v/>
      </c>
      <c r="AD163" s="4" t="str">
        <f>HYPERLINK("http://141.218.60.56/~jnz1568/getInfo.php?workbook=01_01.xlsx&amp;sheet=A0&amp;row=163&amp;col=30&amp;number=&amp;sourceID=18","")</f>
        <v/>
      </c>
      <c r="AE163" s="4" t="str">
        <f>HYPERLINK("http://141.218.60.56/~jnz1568/getInfo.php?workbook=01_01.xlsx&amp;sheet=A0&amp;row=163&amp;col=31&amp;number=&amp;sourceID=18","")</f>
        <v/>
      </c>
      <c r="AF163" s="4" t="str">
        <f>HYPERLINK("http://141.218.60.56/~jnz1568/getInfo.php?workbook=01_01.xlsx&amp;sheet=A0&amp;row=163&amp;col=32&amp;number=&amp;sourceID=18","")</f>
        <v/>
      </c>
      <c r="AG163" s="4" t="str">
        <f>HYPERLINK("http://141.218.60.56/~jnz1568/getInfo.php?workbook=01_01.xlsx&amp;sheet=A0&amp;row=163&amp;col=33&amp;number=&amp;sourceID=18","")</f>
        <v/>
      </c>
      <c r="AH163" s="4" t="str">
        <f>HYPERLINK("http://141.218.60.56/~jnz1568/getInfo.php?workbook=01_01.xlsx&amp;sheet=A0&amp;row=163&amp;col=34&amp;number=&amp;sourceID=20","")</f>
        <v/>
      </c>
    </row>
    <row r="164" spans="1:34">
      <c r="A164" s="3">
        <v>1</v>
      </c>
      <c r="B164" s="3">
        <v>1</v>
      </c>
      <c r="C164" s="3">
        <v>19</v>
      </c>
      <c r="D164" s="3">
        <v>15</v>
      </c>
      <c r="E164" s="3">
        <f>((1/(INDEX(E0!J$4:J$28,C164,1)-INDEX(E0!J$4:J$28,D164,1))))*100000000</f>
        <v>0</v>
      </c>
      <c r="F164" s="4" t="str">
        <f>HYPERLINK("http://141.218.60.56/~jnz1568/getInfo.php?workbook=01_01.xlsx&amp;sheet=A0&amp;row=164&amp;col=6&amp;number=&amp;sourceID=18","")</f>
        <v/>
      </c>
      <c r="G164" s="4" t="str">
        <f>HYPERLINK("http://141.218.60.56/~jnz1568/getInfo.php?workbook=01_01.xlsx&amp;sheet=A0&amp;row=164&amp;col=7&amp;number=50480&amp;sourceID=15","50480")</f>
        <v>50480</v>
      </c>
      <c r="H164" s="4" t="str">
        <f>HYPERLINK("http://141.218.60.56/~jnz1568/getInfo.php?workbook=01_01.xlsx&amp;sheet=A0&amp;row=164&amp;col=8&amp;number=50480&amp;sourceID=15","50480")</f>
        <v>50480</v>
      </c>
      <c r="I164" s="4" t="str">
        <f>HYPERLINK("http://141.218.60.56/~jnz1568/getInfo.php?workbook=01_01.xlsx&amp;sheet=A0&amp;row=164&amp;col=9&amp;number=&amp;sourceID=15","")</f>
        <v/>
      </c>
      <c r="J164" s="4" t="str">
        <f>HYPERLINK("http://141.218.60.56/~jnz1568/getInfo.php?workbook=01_01.xlsx&amp;sheet=A0&amp;row=164&amp;col=10&amp;number=&amp;sourceID=15","")</f>
        <v/>
      </c>
      <c r="K164" s="4" t="str">
        <f>HYPERLINK("http://141.218.60.56/~jnz1568/getInfo.php?workbook=01_01.xlsx&amp;sheet=A0&amp;row=164&amp;col=11&amp;number=&amp;sourceID=15","")</f>
        <v/>
      </c>
      <c r="L164" s="4" t="str">
        <f>HYPERLINK("http://141.218.60.56/~jnz1568/getInfo.php?workbook=01_01.xlsx&amp;sheet=A0&amp;row=164&amp;col=12&amp;number=&amp;sourceID=15","")</f>
        <v/>
      </c>
      <c r="M164" s="4" t="str">
        <f>HYPERLINK("http://141.218.60.56/~jnz1568/getInfo.php?workbook=01_01.xlsx&amp;sheet=A0&amp;row=164&amp;col=13&amp;number=&amp;sourceID=15","")</f>
        <v/>
      </c>
      <c r="N164" s="4" t="str">
        <f>HYPERLINK("http://141.218.60.56/~jnz1568/getInfo.php?workbook=01_01.xlsx&amp;sheet=A0&amp;row=164&amp;col=14&amp;number==&amp;sourceID=11","=")</f>
        <v>=</v>
      </c>
      <c r="O164" s="4" t="str">
        <f>HYPERLINK("http://141.218.60.56/~jnz1568/getInfo.php?workbook=01_01.xlsx&amp;sheet=A0&amp;row=164&amp;col=15&amp;number=50480&amp;sourceID=11","50480")</f>
        <v>50480</v>
      </c>
      <c r="P164" s="4" t="str">
        <f>HYPERLINK("http://141.218.60.56/~jnz1568/getInfo.php?workbook=01_01.xlsx&amp;sheet=A0&amp;row=164&amp;col=16&amp;number=&amp;sourceID=11","")</f>
        <v/>
      </c>
      <c r="Q164" s="4" t="str">
        <f>HYPERLINK("http://141.218.60.56/~jnz1568/getInfo.php?workbook=01_01.xlsx&amp;sheet=A0&amp;row=164&amp;col=17&amp;number=1.1779e-08&amp;sourceID=11","1.1779e-08")</f>
        <v>1.1779e-08</v>
      </c>
      <c r="R164" s="4" t="str">
        <f>HYPERLINK("http://141.218.60.56/~jnz1568/getInfo.php?workbook=01_01.xlsx&amp;sheet=A0&amp;row=164&amp;col=18&amp;number=&amp;sourceID=11","")</f>
        <v/>
      </c>
      <c r="S164" s="4" t="str">
        <f>HYPERLINK("http://141.218.60.56/~jnz1568/getInfo.php?workbook=01_01.xlsx&amp;sheet=A0&amp;row=164&amp;col=19&amp;number=8.0879e-10&amp;sourceID=11","8.0879e-10")</f>
        <v>8.0879e-10</v>
      </c>
      <c r="T164" s="4" t="str">
        <f>HYPERLINK("http://141.218.60.56/~jnz1568/getInfo.php?workbook=01_01.xlsx&amp;sheet=A0&amp;row=164&amp;col=20&amp;number=&amp;sourceID=11","")</f>
        <v/>
      </c>
      <c r="U164" s="4" t="str">
        <f>HYPERLINK("http://141.218.60.56/~jnz1568/getInfo.php?workbook=01_01.xlsx&amp;sheet=A0&amp;row=164&amp;col=21&amp;number=50507&amp;sourceID=12","50507")</f>
        <v>50507</v>
      </c>
      <c r="V164" s="4" t="str">
        <f>HYPERLINK("http://141.218.60.56/~jnz1568/getInfo.php?workbook=01_01.xlsx&amp;sheet=A0&amp;row=164&amp;col=22&amp;number=50507&amp;sourceID=12","50507")</f>
        <v>50507</v>
      </c>
      <c r="W164" s="4" t="str">
        <f>HYPERLINK("http://141.218.60.56/~jnz1568/getInfo.php?workbook=01_01.xlsx&amp;sheet=A0&amp;row=164&amp;col=23&amp;number=&amp;sourceID=12","")</f>
        <v/>
      </c>
      <c r="X164" s="4" t="str">
        <f>HYPERLINK("http://141.218.60.56/~jnz1568/getInfo.php?workbook=01_01.xlsx&amp;sheet=A0&amp;row=164&amp;col=24&amp;number=1.1785e-08&amp;sourceID=12","1.1785e-08")</f>
        <v>1.1785e-08</v>
      </c>
      <c r="Y164" s="4" t="str">
        <f>HYPERLINK("http://141.218.60.56/~jnz1568/getInfo.php?workbook=01_01.xlsx&amp;sheet=A0&amp;row=164&amp;col=25&amp;number=&amp;sourceID=12","")</f>
        <v/>
      </c>
      <c r="Z164" s="4" t="str">
        <f>HYPERLINK("http://141.218.60.56/~jnz1568/getInfo.php?workbook=01_01.xlsx&amp;sheet=A0&amp;row=164&amp;col=26&amp;number=8.0923e-10&amp;sourceID=12","8.0923e-10")</f>
        <v>8.0923e-10</v>
      </c>
      <c r="AA164" s="4" t="str">
        <f>HYPERLINK("http://141.218.60.56/~jnz1568/getInfo.php?workbook=01_01.xlsx&amp;sheet=A0&amp;row=164&amp;col=27&amp;number=&amp;sourceID=12","")</f>
        <v/>
      </c>
      <c r="AB164" s="4" t="str">
        <f>HYPERLINK("http://141.218.60.56/~jnz1568/getInfo.php?workbook=01_01.xlsx&amp;sheet=A0&amp;row=164&amp;col=28&amp;number=&amp;sourceID=18","")</f>
        <v/>
      </c>
      <c r="AC164" s="4" t="str">
        <f>HYPERLINK("http://141.218.60.56/~jnz1568/getInfo.php?workbook=01_01.xlsx&amp;sheet=A0&amp;row=164&amp;col=29&amp;number=&amp;sourceID=18","")</f>
        <v/>
      </c>
      <c r="AD164" s="4" t="str">
        <f>HYPERLINK("http://141.218.60.56/~jnz1568/getInfo.php?workbook=01_01.xlsx&amp;sheet=A0&amp;row=164&amp;col=30&amp;number=&amp;sourceID=18","")</f>
        <v/>
      </c>
      <c r="AE164" s="4" t="str">
        <f>HYPERLINK("http://141.218.60.56/~jnz1568/getInfo.php?workbook=01_01.xlsx&amp;sheet=A0&amp;row=164&amp;col=31&amp;number=&amp;sourceID=18","")</f>
        <v/>
      </c>
      <c r="AF164" s="4" t="str">
        <f>HYPERLINK("http://141.218.60.56/~jnz1568/getInfo.php?workbook=01_01.xlsx&amp;sheet=A0&amp;row=164&amp;col=32&amp;number=&amp;sourceID=18","")</f>
        <v/>
      </c>
      <c r="AG164" s="4" t="str">
        <f>HYPERLINK("http://141.218.60.56/~jnz1568/getInfo.php?workbook=01_01.xlsx&amp;sheet=A0&amp;row=164&amp;col=33&amp;number=&amp;sourceID=18","")</f>
        <v/>
      </c>
      <c r="AH164" s="4" t="str">
        <f>HYPERLINK("http://141.218.60.56/~jnz1568/getInfo.php?workbook=01_01.xlsx&amp;sheet=A0&amp;row=164&amp;col=34&amp;number=&amp;sourceID=20","")</f>
        <v/>
      </c>
    </row>
    <row r="165" spans="1:34">
      <c r="A165" s="3">
        <v>1</v>
      </c>
      <c r="B165" s="3">
        <v>1</v>
      </c>
      <c r="C165" s="3">
        <v>19</v>
      </c>
      <c r="D165" s="3">
        <v>16</v>
      </c>
      <c r="E165" s="3">
        <f>((1/(INDEX(E0!J$4:J$28,C165,1)-INDEX(E0!J$4:J$28,D165,1))))*100000000</f>
        <v>0</v>
      </c>
      <c r="F165" s="4" t="str">
        <f>HYPERLINK("http://141.218.60.56/~jnz1568/getInfo.php?workbook=01_01.xlsx&amp;sheet=A0&amp;row=165&amp;col=6&amp;number=&amp;sourceID=18","")</f>
        <v/>
      </c>
      <c r="G165" s="4" t="str">
        <f>HYPERLINK("http://141.218.60.56/~jnz1568/getInfo.php?workbook=01_01.xlsx&amp;sheet=A0&amp;row=165&amp;col=7&amp;number=&amp;sourceID=15","")</f>
        <v/>
      </c>
      <c r="H165" s="4" t="str">
        <f>HYPERLINK("http://141.218.60.56/~jnz1568/getInfo.php?workbook=01_01.xlsx&amp;sheet=A0&amp;row=165&amp;col=8&amp;number=&amp;sourceID=15","")</f>
        <v/>
      </c>
      <c r="I165" s="4" t="str">
        <f>HYPERLINK("http://141.218.60.56/~jnz1568/getInfo.php?workbook=01_01.xlsx&amp;sheet=A0&amp;row=165&amp;col=9&amp;number=&amp;sourceID=15","")</f>
        <v/>
      </c>
      <c r="J165" s="4" t="str">
        <f>HYPERLINK("http://141.218.60.56/~jnz1568/getInfo.php?workbook=01_01.xlsx&amp;sheet=A0&amp;row=165&amp;col=10&amp;number=&amp;sourceID=15","")</f>
        <v/>
      </c>
      <c r="K165" s="4" t="str">
        <f>HYPERLINK("http://141.218.60.56/~jnz1568/getInfo.php?workbook=01_01.xlsx&amp;sheet=A0&amp;row=165&amp;col=11&amp;number=&amp;sourceID=15","")</f>
        <v/>
      </c>
      <c r="L165" s="4" t="str">
        <f>HYPERLINK("http://141.218.60.56/~jnz1568/getInfo.php?workbook=01_01.xlsx&amp;sheet=A0&amp;row=165&amp;col=12&amp;number=&amp;sourceID=15","")</f>
        <v/>
      </c>
      <c r="M165" s="4" t="str">
        <f>HYPERLINK("http://141.218.60.56/~jnz1568/getInfo.php?workbook=01_01.xlsx&amp;sheet=A0&amp;row=165&amp;col=13&amp;number=&amp;sourceID=15","")</f>
        <v/>
      </c>
      <c r="N165" s="4" t="str">
        <f>HYPERLINK("http://141.218.60.56/~jnz1568/getInfo.php?workbook=01_01.xlsx&amp;sheet=A0&amp;row=165&amp;col=14&amp;number==&amp;sourceID=11","=")</f>
        <v>=</v>
      </c>
      <c r="O165" s="4" t="str">
        <f>HYPERLINK("http://141.218.60.56/~jnz1568/getInfo.php?workbook=01_01.xlsx&amp;sheet=A0&amp;row=165&amp;col=15&amp;number=&amp;sourceID=11","")</f>
        <v/>
      </c>
      <c r="P165" s="4" t="str">
        <f>HYPERLINK("http://141.218.60.56/~jnz1568/getInfo.php?workbook=01_01.xlsx&amp;sheet=A0&amp;row=165&amp;col=16&amp;number=&amp;sourceID=11","")</f>
        <v/>
      </c>
      <c r="Q165" s="4" t="str">
        <f>HYPERLINK("http://141.218.60.56/~jnz1568/getInfo.php?workbook=01_01.xlsx&amp;sheet=A0&amp;row=165&amp;col=17&amp;number=6.5437e-09&amp;sourceID=11","6.5437e-09")</f>
        <v>6.5437e-09</v>
      </c>
      <c r="R165" s="4" t="str">
        <f>HYPERLINK("http://141.218.60.56/~jnz1568/getInfo.php?workbook=01_01.xlsx&amp;sheet=A0&amp;row=165&amp;col=18&amp;number=&amp;sourceID=11","")</f>
        <v/>
      </c>
      <c r="S165" s="4" t="str">
        <f>HYPERLINK("http://141.218.60.56/~jnz1568/getInfo.php?workbook=01_01.xlsx&amp;sheet=A0&amp;row=165&amp;col=19&amp;number=1.3804e-09&amp;sourceID=11","1.3804e-09")</f>
        <v>1.3804e-09</v>
      </c>
      <c r="T165" s="4" t="str">
        <f>HYPERLINK("http://141.218.60.56/~jnz1568/getInfo.php?workbook=01_01.xlsx&amp;sheet=A0&amp;row=165&amp;col=20&amp;number=&amp;sourceID=11","")</f>
        <v/>
      </c>
      <c r="U165" s="4" t="str">
        <f>HYPERLINK("http://141.218.60.56/~jnz1568/getInfo.php?workbook=01_01.xlsx&amp;sheet=A0&amp;row=165&amp;col=21&amp;number=7.9284e-09&amp;sourceID=12","7.9284e-09")</f>
        <v>7.9284e-09</v>
      </c>
      <c r="V165" s="4" t="str">
        <f>HYPERLINK("http://141.218.60.56/~jnz1568/getInfo.php?workbook=01_01.xlsx&amp;sheet=A0&amp;row=165&amp;col=22&amp;number=&amp;sourceID=12","")</f>
        <v/>
      </c>
      <c r="W165" s="4" t="str">
        <f>HYPERLINK("http://141.218.60.56/~jnz1568/getInfo.php?workbook=01_01.xlsx&amp;sheet=A0&amp;row=165&amp;col=23&amp;number=&amp;sourceID=12","")</f>
        <v/>
      </c>
      <c r="X165" s="4" t="str">
        <f>HYPERLINK("http://141.218.60.56/~jnz1568/getInfo.php?workbook=01_01.xlsx&amp;sheet=A0&amp;row=165&amp;col=24&amp;number=6.5473e-09&amp;sourceID=12","6.5473e-09")</f>
        <v>6.5473e-09</v>
      </c>
      <c r="Y165" s="4" t="str">
        <f>HYPERLINK("http://141.218.60.56/~jnz1568/getInfo.php?workbook=01_01.xlsx&amp;sheet=A0&amp;row=165&amp;col=25&amp;number=&amp;sourceID=12","")</f>
        <v/>
      </c>
      <c r="Z165" s="4" t="str">
        <f>HYPERLINK("http://141.218.60.56/~jnz1568/getInfo.php?workbook=01_01.xlsx&amp;sheet=A0&amp;row=165&amp;col=26&amp;number=1.3811e-09&amp;sourceID=12","1.3811e-09")</f>
        <v>1.3811e-09</v>
      </c>
      <c r="AA165" s="4" t="str">
        <f>HYPERLINK("http://141.218.60.56/~jnz1568/getInfo.php?workbook=01_01.xlsx&amp;sheet=A0&amp;row=165&amp;col=27&amp;number=&amp;sourceID=12","")</f>
        <v/>
      </c>
      <c r="AB165" s="4" t="str">
        <f>HYPERLINK("http://141.218.60.56/~jnz1568/getInfo.php?workbook=01_01.xlsx&amp;sheet=A0&amp;row=165&amp;col=28&amp;number=&amp;sourceID=18","")</f>
        <v/>
      </c>
      <c r="AC165" s="4" t="str">
        <f>HYPERLINK("http://141.218.60.56/~jnz1568/getInfo.php?workbook=01_01.xlsx&amp;sheet=A0&amp;row=165&amp;col=29&amp;number=&amp;sourceID=18","")</f>
        <v/>
      </c>
      <c r="AD165" s="4" t="str">
        <f>HYPERLINK("http://141.218.60.56/~jnz1568/getInfo.php?workbook=01_01.xlsx&amp;sheet=A0&amp;row=165&amp;col=30&amp;number=&amp;sourceID=18","")</f>
        <v/>
      </c>
      <c r="AE165" s="4" t="str">
        <f>HYPERLINK("http://141.218.60.56/~jnz1568/getInfo.php?workbook=01_01.xlsx&amp;sheet=A0&amp;row=165&amp;col=31&amp;number=&amp;sourceID=18","")</f>
        <v/>
      </c>
      <c r="AF165" s="4" t="str">
        <f>HYPERLINK("http://141.218.60.56/~jnz1568/getInfo.php?workbook=01_01.xlsx&amp;sheet=A0&amp;row=165&amp;col=32&amp;number=&amp;sourceID=18","")</f>
        <v/>
      </c>
      <c r="AG165" s="4" t="str">
        <f>HYPERLINK("http://141.218.60.56/~jnz1568/getInfo.php?workbook=01_01.xlsx&amp;sheet=A0&amp;row=165&amp;col=33&amp;number=&amp;sourceID=18","")</f>
        <v/>
      </c>
      <c r="AH165" s="4" t="str">
        <f>HYPERLINK("http://141.218.60.56/~jnz1568/getInfo.php?workbook=01_01.xlsx&amp;sheet=A0&amp;row=165&amp;col=34&amp;number=&amp;sourceID=20","")</f>
        <v/>
      </c>
    </row>
    <row r="166" spans="1:34">
      <c r="A166" s="3">
        <v>1</v>
      </c>
      <c r="B166" s="3">
        <v>1</v>
      </c>
      <c r="C166" s="3">
        <v>19</v>
      </c>
      <c r="D166" s="3">
        <v>17</v>
      </c>
      <c r="E166" s="3">
        <f>((1/(INDEX(E0!J$4:J$28,C166,1)-INDEX(E0!J$4:J$28,D166,1))))*100000000</f>
        <v>0</v>
      </c>
      <c r="F166" s="4" t="str">
        <f>HYPERLINK("http://141.218.60.56/~jnz1568/getInfo.php?workbook=01_01.xlsx&amp;sheet=A0&amp;row=166&amp;col=6&amp;number=&amp;sourceID=18","")</f>
        <v/>
      </c>
      <c r="G166" s="4" t="str">
        <f>HYPERLINK("http://141.218.60.56/~jnz1568/getInfo.php?workbook=01_01.xlsx&amp;sheet=A0&amp;row=166&amp;col=7&amp;number=&amp;sourceID=15","")</f>
        <v/>
      </c>
      <c r="H166" s="4" t="str">
        <f>HYPERLINK("http://141.218.60.56/~jnz1568/getInfo.php?workbook=01_01.xlsx&amp;sheet=A0&amp;row=166&amp;col=8&amp;number=&amp;sourceID=15","")</f>
        <v/>
      </c>
      <c r="I166" s="4" t="str">
        <f>HYPERLINK("http://141.218.60.56/~jnz1568/getInfo.php?workbook=01_01.xlsx&amp;sheet=A0&amp;row=166&amp;col=9&amp;number=&amp;sourceID=15","")</f>
        <v/>
      </c>
      <c r="J166" s="4" t="str">
        <f>HYPERLINK("http://141.218.60.56/~jnz1568/getInfo.php?workbook=01_01.xlsx&amp;sheet=A0&amp;row=166&amp;col=10&amp;number=&amp;sourceID=15","")</f>
        <v/>
      </c>
      <c r="K166" s="4" t="str">
        <f>HYPERLINK("http://141.218.60.56/~jnz1568/getInfo.php?workbook=01_01.xlsx&amp;sheet=A0&amp;row=166&amp;col=11&amp;number=&amp;sourceID=15","")</f>
        <v/>
      </c>
      <c r="L166" s="4" t="str">
        <f>HYPERLINK("http://141.218.60.56/~jnz1568/getInfo.php?workbook=01_01.xlsx&amp;sheet=A0&amp;row=166&amp;col=12&amp;number=&amp;sourceID=15","")</f>
        <v/>
      </c>
      <c r="M166" s="4" t="str">
        <f>HYPERLINK("http://141.218.60.56/~jnz1568/getInfo.php?workbook=01_01.xlsx&amp;sheet=A0&amp;row=166&amp;col=13&amp;number=&amp;sourceID=15","")</f>
        <v/>
      </c>
      <c r="N166" s="4" t="str">
        <f>HYPERLINK("http://141.218.60.56/~jnz1568/getInfo.php?workbook=01_01.xlsx&amp;sheet=A0&amp;row=166&amp;col=14&amp;number==&amp;sourceID=11","=")</f>
        <v>=</v>
      </c>
      <c r="O166" s="4" t="str">
        <f>HYPERLINK("http://141.218.60.56/~jnz1568/getInfo.php?workbook=01_01.xlsx&amp;sheet=A0&amp;row=166&amp;col=15&amp;number=1.0184e-08&amp;sourceID=11","1.0184e-08")</f>
        <v>1.0184e-08</v>
      </c>
      <c r="P166" s="4" t="str">
        <f>HYPERLINK("http://141.218.60.56/~jnz1568/getInfo.php?workbook=01_01.xlsx&amp;sheet=A0&amp;row=166&amp;col=16&amp;number=&amp;sourceID=11","")</f>
        <v/>
      </c>
      <c r="Q166" s="4" t="str">
        <f>HYPERLINK("http://141.218.60.56/~jnz1568/getInfo.php?workbook=01_01.xlsx&amp;sheet=A0&amp;row=166&amp;col=17&amp;number=&amp;sourceID=11","")</f>
        <v/>
      </c>
      <c r="R166" s="4" t="str">
        <f>HYPERLINK("http://141.218.60.56/~jnz1568/getInfo.php?workbook=01_01.xlsx&amp;sheet=A0&amp;row=166&amp;col=18&amp;number=&amp;sourceID=11","")</f>
        <v/>
      </c>
      <c r="S166" s="4" t="str">
        <f>HYPERLINK("http://141.218.60.56/~jnz1568/getInfo.php?workbook=01_01.xlsx&amp;sheet=A0&amp;row=166&amp;col=19&amp;number=0&amp;sourceID=11","0")</f>
        <v>0</v>
      </c>
      <c r="T166" s="4" t="str">
        <f>HYPERLINK("http://141.218.60.56/~jnz1568/getInfo.php?workbook=01_01.xlsx&amp;sheet=A0&amp;row=166&amp;col=20&amp;number=&amp;sourceID=11","")</f>
        <v/>
      </c>
      <c r="U166" s="4" t="str">
        <f>HYPERLINK("http://141.218.60.56/~jnz1568/getInfo.php?workbook=01_01.xlsx&amp;sheet=A0&amp;row=166&amp;col=21&amp;number=1.0236e-08&amp;sourceID=12","1.0236e-08")</f>
        <v>1.0236e-08</v>
      </c>
      <c r="V166" s="4" t="str">
        <f>HYPERLINK("http://141.218.60.56/~jnz1568/getInfo.php?workbook=01_01.xlsx&amp;sheet=A0&amp;row=166&amp;col=22&amp;number=1.0236e-08&amp;sourceID=12","1.0236e-08")</f>
        <v>1.0236e-08</v>
      </c>
      <c r="W166" s="4" t="str">
        <f>HYPERLINK("http://141.218.60.56/~jnz1568/getInfo.php?workbook=01_01.xlsx&amp;sheet=A0&amp;row=166&amp;col=23&amp;number=&amp;sourceID=12","")</f>
        <v/>
      </c>
      <c r="X166" s="4" t="str">
        <f>HYPERLINK("http://141.218.60.56/~jnz1568/getInfo.php?workbook=01_01.xlsx&amp;sheet=A0&amp;row=166&amp;col=24&amp;number=&amp;sourceID=12","")</f>
        <v/>
      </c>
      <c r="Y166" s="4" t="str">
        <f>HYPERLINK("http://141.218.60.56/~jnz1568/getInfo.php?workbook=01_01.xlsx&amp;sheet=A0&amp;row=166&amp;col=25&amp;number=&amp;sourceID=12","")</f>
        <v/>
      </c>
      <c r="Z166" s="4" t="str">
        <f>HYPERLINK("http://141.218.60.56/~jnz1568/getInfo.php?workbook=01_01.xlsx&amp;sheet=A0&amp;row=166&amp;col=26&amp;number=0&amp;sourceID=12","0")</f>
        <v>0</v>
      </c>
      <c r="AA166" s="4" t="str">
        <f>HYPERLINK("http://141.218.60.56/~jnz1568/getInfo.php?workbook=01_01.xlsx&amp;sheet=A0&amp;row=166&amp;col=27&amp;number=&amp;sourceID=12","")</f>
        <v/>
      </c>
      <c r="AB166" s="4" t="str">
        <f>HYPERLINK("http://141.218.60.56/~jnz1568/getInfo.php?workbook=01_01.xlsx&amp;sheet=A0&amp;row=166&amp;col=28&amp;number=&amp;sourceID=18","")</f>
        <v/>
      </c>
      <c r="AC166" s="4" t="str">
        <f>HYPERLINK("http://141.218.60.56/~jnz1568/getInfo.php?workbook=01_01.xlsx&amp;sheet=A0&amp;row=166&amp;col=29&amp;number=&amp;sourceID=18","")</f>
        <v/>
      </c>
      <c r="AD166" s="4" t="str">
        <f>HYPERLINK("http://141.218.60.56/~jnz1568/getInfo.php?workbook=01_01.xlsx&amp;sheet=A0&amp;row=166&amp;col=30&amp;number=&amp;sourceID=18","")</f>
        <v/>
      </c>
      <c r="AE166" s="4" t="str">
        <f>HYPERLINK("http://141.218.60.56/~jnz1568/getInfo.php?workbook=01_01.xlsx&amp;sheet=A0&amp;row=166&amp;col=31&amp;number=&amp;sourceID=18","")</f>
        <v/>
      </c>
      <c r="AF166" s="4" t="str">
        <f>HYPERLINK("http://141.218.60.56/~jnz1568/getInfo.php?workbook=01_01.xlsx&amp;sheet=A0&amp;row=166&amp;col=32&amp;number=&amp;sourceID=18","")</f>
        <v/>
      </c>
      <c r="AG166" s="4" t="str">
        <f>HYPERLINK("http://141.218.60.56/~jnz1568/getInfo.php?workbook=01_01.xlsx&amp;sheet=A0&amp;row=166&amp;col=33&amp;number=&amp;sourceID=18","")</f>
        <v/>
      </c>
      <c r="AH166" s="4" t="str">
        <f>HYPERLINK("http://141.218.60.56/~jnz1568/getInfo.php?workbook=01_01.xlsx&amp;sheet=A0&amp;row=166&amp;col=34&amp;number=&amp;sourceID=20","")</f>
        <v/>
      </c>
    </row>
    <row r="167" spans="1:34">
      <c r="A167" s="3">
        <v>1</v>
      </c>
      <c r="B167" s="3">
        <v>1</v>
      </c>
      <c r="C167" s="3">
        <v>19</v>
      </c>
      <c r="D167" s="3">
        <v>18</v>
      </c>
      <c r="E167" s="3">
        <f>((1/(INDEX(E0!J$4:J$28,C167,1)-INDEX(E0!J$4:J$28,D167,1))))*100000000</f>
        <v>0</v>
      </c>
      <c r="F167" s="4" t="str">
        <f>HYPERLINK("http://141.218.60.56/~jnz1568/getInfo.php?workbook=01_01.xlsx&amp;sheet=A0&amp;row=167&amp;col=6&amp;number=&amp;sourceID=18","")</f>
        <v/>
      </c>
      <c r="G167" s="4" t="str">
        <f>HYPERLINK("http://141.218.60.56/~jnz1568/getInfo.php?workbook=01_01.xlsx&amp;sheet=A0&amp;row=167&amp;col=7&amp;number=&amp;sourceID=15","")</f>
        <v/>
      </c>
      <c r="H167" s="4" t="str">
        <f>HYPERLINK("http://141.218.60.56/~jnz1568/getInfo.php?workbook=01_01.xlsx&amp;sheet=A0&amp;row=167&amp;col=8&amp;number=&amp;sourceID=15","")</f>
        <v/>
      </c>
      <c r="I167" s="4" t="str">
        <f>HYPERLINK("http://141.218.60.56/~jnz1568/getInfo.php?workbook=01_01.xlsx&amp;sheet=A0&amp;row=167&amp;col=9&amp;number=&amp;sourceID=15","")</f>
        <v/>
      </c>
      <c r="J167" s="4" t="str">
        <f>HYPERLINK("http://141.218.60.56/~jnz1568/getInfo.php?workbook=01_01.xlsx&amp;sheet=A0&amp;row=167&amp;col=10&amp;number=&amp;sourceID=15","")</f>
        <v/>
      </c>
      <c r="K167" s="4" t="str">
        <f>HYPERLINK("http://141.218.60.56/~jnz1568/getInfo.php?workbook=01_01.xlsx&amp;sheet=A0&amp;row=167&amp;col=11&amp;number=&amp;sourceID=15","")</f>
        <v/>
      </c>
      <c r="L167" s="4" t="str">
        <f>HYPERLINK("http://141.218.60.56/~jnz1568/getInfo.php?workbook=01_01.xlsx&amp;sheet=A0&amp;row=167&amp;col=12&amp;number=&amp;sourceID=15","")</f>
        <v/>
      </c>
      <c r="M167" s="4" t="str">
        <f>HYPERLINK("http://141.218.60.56/~jnz1568/getInfo.php?workbook=01_01.xlsx&amp;sheet=A0&amp;row=167&amp;col=13&amp;number=&amp;sourceID=15","")</f>
        <v/>
      </c>
      <c r="N167" s="4" t="str">
        <f>HYPERLINK("http://141.218.60.56/~jnz1568/getInfo.php?workbook=01_01.xlsx&amp;sheet=A0&amp;row=167&amp;col=14&amp;number==&amp;sourceID=11","=")</f>
        <v>=</v>
      </c>
      <c r="O167" s="4" t="str">
        <f>HYPERLINK("http://141.218.60.56/~jnz1568/getInfo.php?workbook=01_01.xlsx&amp;sheet=A0&amp;row=167&amp;col=15&amp;number=&amp;sourceID=11","")</f>
        <v/>
      </c>
      <c r="P167" s="4" t="str">
        <f>HYPERLINK("http://141.218.60.56/~jnz1568/getInfo.php?workbook=01_01.xlsx&amp;sheet=A0&amp;row=167&amp;col=16&amp;number=0&amp;sourceID=11","0")</f>
        <v>0</v>
      </c>
      <c r="Q167" s="4" t="str">
        <f>HYPERLINK("http://141.218.60.56/~jnz1568/getInfo.php?workbook=01_01.xlsx&amp;sheet=A0&amp;row=167&amp;col=17&amp;number=&amp;sourceID=11","")</f>
        <v/>
      </c>
      <c r="R167" s="4" t="str">
        <f>HYPERLINK("http://141.218.60.56/~jnz1568/getInfo.php?workbook=01_01.xlsx&amp;sheet=A0&amp;row=167&amp;col=18&amp;number=0&amp;sourceID=11","0")</f>
        <v>0</v>
      </c>
      <c r="S167" s="4" t="str">
        <f>HYPERLINK("http://141.218.60.56/~jnz1568/getInfo.php?workbook=01_01.xlsx&amp;sheet=A0&amp;row=167&amp;col=19&amp;number=&amp;sourceID=11","")</f>
        <v/>
      </c>
      <c r="T167" s="4" t="str">
        <f>HYPERLINK("http://141.218.60.56/~jnz1568/getInfo.php?workbook=01_01.xlsx&amp;sheet=A0&amp;row=167&amp;col=20&amp;number=&amp;sourceID=11","")</f>
        <v/>
      </c>
      <c r="U167" s="4" t="str">
        <f>HYPERLINK("http://141.218.60.56/~jnz1568/getInfo.php?workbook=01_01.xlsx&amp;sheet=A0&amp;row=167&amp;col=21&amp;number=0&amp;sourceID=12","0")</f>
        <v>0</v>
      </c>
      <c r="V167" s="4" t="str">
        <f>HYPERLINK("http://141.218.60.56/~jnz1568/getInfo.php?workbook=01_01.xlsx&amp;sheet=A0&amp;row=167&amp;col=22&amp;number=&amp;sourceID=12","")</f>
        <v/>
      </c>
      <c r="W167" s="4" t="str">
        <f>HYPERLINK("http://141.218.60.56/~jnz1568/getInfo.php?workbook=01_01.xlsx&amp;sheet=A0&amp;row=167&amp;col=23&amp;number=0&amp;sourceID=12","0")</f>
        <v>0</v>
      </c>
      <c r="X167" s="4" t="str">
        <f>HYPERLINK("http://141.218.60.56/~jnz1568/getInfo.php?workbook=01_01.xlsx&amp;sheet=A0&amp;row=167&amp;col=24&amp;number=&amp;sourceID=12","")</f>
        <v/>
      </c>
      <c r="Y167" s="4" t="str">
        <f>HYPERLINK("http://141.218.60.56/~jnz1568/getInfo.php?workbook=01_01.xlsx&amp;sheet=A0&amp;row=167&amp;col=25&amp;number=0&amp;sourceID=12","0")</f>
        <v>0</v>
      </c>
      <c r="Z167" s="4" t="str">
        <f>HYPERLINK("http://141.218.60.56/~jnz1568/getInfo.php?workbook=01_01.xlsx&amp;sheet=A0&amp;row=167&amp;col=26&amp;number=&amp;sourceID=12","")</f>
        <v/>
      </c>
      <c r="AA167" s="4" t="str">
        <f>HYPERLINK("http://141.218.60.56/~jnz1568/getInfo.php?workbook=01_01.xlsx&amp;sheet=A0&amp;row=167&amp;col=27&amp;number=&amp;sourceID=12","")</f>
        <v/>
      </c>
      <c r="AB167" s="4" t="str">
        <f>HYPERLINK("http://141.218.60.56/~jnz1568/getInfo.php?workbook=01_01.xlsx&amp;sheet=A0&amp;row=167&amp;col=28&amp;number=&amp;sourceID=18","")</f>
        <v/>
      </c>
      <c r="AC167" s="4" t="str">
        <f>HYPERLINK("http://141.218.60.56/~jnz1568/getInfo.php?workbook=01_01.xlsx&amp;sheet=A0&amp;row=167&amp;col=29&amp;number=&amp;sourceID=18","")</f>
        <v/>
      </c>
      <c r="AD167" s="4" t="str">
        <f>HYPERLINK("http://141.218.60.56/~jnz1568/getInfo.php?workbook=01_01.xlsx&amp;sheet=A0&amp;row=167&amp;col=30&amp;number=&amp;sourceID=18","")</f>
        <v/>
      </c>
      <c r="AE167" s="4" t="str">
        <f>HYPERLINK("http://141.218.60.56/~jnz1568/getInfo.php?workbook=01_01.xlsx&amp;sheet=A0&amp;row=167&amp;col=31&amp;number=&amp;sourceID=18","")</f>
        <v/>
      </c>
      <c r="AF167" s="4" t="str">
        <f>HYPERLINK("http://141.218.60.56/~jnz1568/getInfo.php?workbook=01_01.xlsx&amp;sheet=A0&amp;row=167&amp;col=32&amp;number=&amp;sourceID=18","")</f>
        <v/>
      </c>
      <c r="AG167" s="4" t="str">
        <f>HYPERLINK("http://141.218.60.56/~jnz1568/getInfo.php?workbook=01_01.xlsx&amp;sheet=A0&amp;row=167&amp;col=33&amp;number=&amp;sourceID=18","")</f>
        <v/>
      </c>
      <c r="AH167" s="4" t="str">
        <f>HYPERLINK("http://141.218.60.56/~jnz1568/getInfo.php?workbook=01_01.xlsx&amp;sheet=A0&amp;row=167&amp;col=34&amp;number=&amp;sourceID=20","")</f>
        <v/>
      </c>
    </row>
    <row r="168" spans="1:34">
      <c r="A168" s="3">
        <v>1</v>
      </c>
      <c r="B168" s="3">
        <v>1</v>
      </c>
      <c r="C168" s="3">
        <v>20</v>
      </c>
      <c r="D168" s="3">
        <v>1</v>
      </c>
      <c r="E168" s="3">
        <f>((1/(INDEX(E0!J$4:J$28,C168,1)-INDEX(E0!J$4:J$28,D168,1))))*100000000</f>
        <v>0</v>
      </c>
      <c r="F168" s="4" t="str">
        <f>HYPERLINK("http://141.218.60.56/~jnz1568/getInfo.php?workbook=01_01.xlsx&amp;sheet=A0&amp;row=168&amp;col=6&amp;number=&amp;sourceID=18","")</f>
        <v/>
      </c>
      <c r="G168" s="4" t="str">
        <f>HYPERLINK("http://141.218.60.56/~jnz1568/getInfo.php?workbook=01_01.xlsx&amp;sheet=A0&amp;row=168&amp;col=7&amp;number=34375000&amp;sourceID=15","34375000")</f>
        <v>34375000</v>
      </c>
      <c r="H168" s="4" t="str">
        <f>HYPERLINK("http://141.218.60.56/~jnz1568/getInfo.php?workbook=01_01.xlsx&amp;sheet=A0&amp;row=168&amp;col=8&amp;number=34375000&amp;sourceID=15","34375000")</f>
        <v>34375000</v>
      </c>
      <c r="I168" s="4" t="str">
        <f>HYPERLINK("http://141.218.60.56/~jnz1568/getInfo.php?workbook=01_01.xlsx&amp;sheet=A0&amp;row=168&amp;col=9&amp;number=&amp;sourceID=15","")</f>
        <v/>
      </c>
      <c r="J168" s="4" t="str">
        <f>HYPERLINK("http://141.218.60.56/~jnz1568/getInfo.php?workbook=01_01.xlsx&amp;sheet=A0&amp;row=168&amp;col=10&amp;number=&amp;sourceID=15","")</f>
        <v/>
      </c>
      <c r="K168" s="4" t="str">
        <f>HYPERLINK("http://141.218.60.56/~jnz1568/getInfo.php?workbook=01_01.xlsx&amp;sheet=A0&amp;row=168&amp;col=11&amp;number=&amp;sourceID=15","")</f>
        <v/>
      </c>
      <c r="L168" s="4" t="str">
        <f>HYPERLINK("http://141.218.60.56/~jnz1568/getInfo.php?workbook=01_01.xlsx&amp;sheet=A0&amp;row=168&amp;col=12&amp;number=&amp;sourceID=15","")</f>
        <v/>
      </c>
      <c r="M168" s="4" t="str">
        <f>HYPERLINK("http://141.218.60.56/~jnz1568/getInfo.php?workbook=01_01.xlsx&amp;sheet=A0&amp;row=168&amp;col=13&amp;number=&amp;sourceID=15","")</f>
        <v/>
      </c>
      <c r="N168" s="4" t="str">
        <f>HYPERLINK("http://141.218.60.56/~jnz1568/getInfo.php?workbook=01_01.xlsx&amp;sheet=A0&amp;row=168&amp;col=14&amp;number==&amp;sourceID=11","=")</f>
        <v>=</v>
      </c>
      <c r="O168" s="4" t="str">
        <f>HYPERLINK("http://141.218.60.56/~jnz1568/getInfo.php?workbook=01_01.xlsx&amp;sheet=A0&amp;row=168&amp;col=15&amp;number=34375000&amp;sourceID=11","34375000")</f>
        <v>34375000</v>
      </c>
      <c r="P168" s="4" t="str">
        <f>HYPERLINK("http://141.218.60.56/~jnz1568/getInfo.php?workbook=01_01.xlsx&amp;sheet=A0&amp;row=168&amp;col=16&amp;number=&amp;sourceID=11","")</f>
        <v/>
      </c>
      <c r="Q168" s="4" t="str">
        <f>HYPERLINK("http://141.218.60.56/~jnz1568/getInfo.php?workbook=01_01.xlsx&amp;sheet=A0&amp;row=168&amp;col=17&amp;number=&amp;sourceID=11","")</f>
        <v/>
      </c>
      <c r="R168" s="4" t="str">
        <f>HYPERLINK("http://141.218.60.56/~jnz1568/getInfo.php?workbook=01_01.xlsx&amp;sheet=A0&amp;row=168&amp;col=18&amp;number=&amp;sourceID=11","")</f>
        <v/>
      </c>
      <c r="S168" s="4" t="str">
        <f>HYPERLINK("http://141.218.60.56/~jnz1568/getInfo.php?workbook=01_01.xlsx&amp;sheet=A0&amp;row=168&amp;col=19&amp;number=0.0042111&amp;sourceID=11","0.0042111")</f>
        <v>0.0042111</v>
      </c>
      <c r="T168" s="4" t="str">
        <f>HYPERLINK("http://141.218.60.56/~jnz1568/getInfo.php?workbook=01_01.xlsx&amp;sheet=A0&amp;row=168&amp;col=20&amp;number=&amp;sourceID=11","")</f>
        <v/>
      </c>
      <c r="U168" s="4" t="str">
        <f>HYPERLINK("http://141.218.60.56/~jnz1568/getInfo.php?workbook=01_01.xlsx&amp;sheet=A0&amp;row=168&amp;col=21&amp;number=34394000&amp;sourceID=12","34394000")</f>
        <v>34394000</v>
      </c>
      <c r="V168" s="4" t="str">
        <f>HYPERLINK("http://141.218.60.56/~jnz1568/getInfo.php?workbook=01_01.xlsx&amp;sheet=A0&amp;row=168&amp;col=22&amp;number=34394000&amp;sourceID=12","34394000")</f>
        <v>34394000</v>
      </c>
      <c r="W168" s="4" t="str">
        <f>HYPERLINK("http://141.218.60.56/~jnz1568/getInfo.php?workbook=01_01.xlsx&amp;sheet=A0&amp;row=168&amp;col=23&amp;number=&amp;sourceID=12","")</f>
        <v/>
      </c>
      <c r="X168" s="4" t="str">
        <f>HYPERLINK("http://141.218.60.56/~jnz1568/getInfo.php?workbook=01_01.xlsx&amp;sheet=A0&amp;row=168&amp;col=24&amp;number=&amp;sourceID=12","")</f>
        <v/>
      </c>
      <c r="Y168" s="4" t="str">
        <f>HYPERLINK("http://141.218.60.56/~jnz1568/getInfo.php?workbook=01_01.xlsx&amp;sheet=A0&amp;row=168&amp;col=25&amp;number=&amp;sourceID=12","")</f>
        <v/>
      </c>
      <c r="Z168" s="4" t="str">
        <f>HYPERLINK("http://141.218.60.56/~jnz1568/getInfo.php?workbook=01_01.xlsx&amp;sheet=A0&amp;row=168&amp;col=26&amp;number=0.0042134&amp;sourceID=12","0.0042134")</f>
        <v>0.0042134</v>
      </c>
      <c r="AA168" s="4" t="str">
        <f>HYPERLINK("http://141.218.60.56/~jnz1568/getInfo.php?workbook=01_01.xlsx&amp;sheet=A0&amp;row=168&amp;col=27&amp;number=&amp;sourceID=12","")</f>
        <v/>
      </c>
      <c r="AB168" s="4" t="str">
        <f>HYPERLINK("http://141.218.60.56/~jnz1568/getInfo.php?workbook=01_01.xlsx&amp;sheet=A0&amp;row=168&amp;col=28&amp;number=&amp;sourceID=18","")</f>
        <v/>
      </c>
      <c r="AC168" s="4" t="str">
        <f>HYPERLINK("http://141.218.60.56/~jnz1568/getInfo.php?workbook=01_01.xlsx&amp;sheet=A0&amp;row=168&amp;col=29&amp;number=&amp;sourceID=18","")</f>
        <v/>
      </c>
      <c r="AD168" s="4" t="str">
        <f>HYPERLINK("http://141.218.60.56/~jnz1568/getInfo.php?workbook=01_01.xlsx&amp;sheet=A0&amp;row=168&amp;col=30&amp;number=&amp;sourceID=18","")</f>
        <v/>
      </c>
      <c r="AE168" s="4" t="str">
        <f>HYPERLINK("http://141.218.60.56/~jnz1568/getInfo.php?workbook=01_01.xlsx&amp;sheet=A0&amp;row=168&amp;col=31&amp;number=&amp;sourceID=18","")</f>
        <v/>
      </c>
      <c r="AF168" s="4" t="str">
        <f>HYPERLINK("http://141.218.60.56/~jnz1568/getInfo.php?workbook=01_01.xlsx&amp;sheet=A0&amp;row=168&amp;col=32&amp;number=&amp;sourceID=18","")</f>
        <v/>
      </c>
      <c r="AG168" s="4" t="str">
        <f>HYPERLINK("http://141.218.60.56/~jnz1568/getInfo.php?workbook=01_01.xlsx&amp;sheet=A0&amp;row=168&amp;col=33&amp;number=&amp;sourceID=18","")</f>
        <v/>
      </c>
      <c r="AH168" s="4" t="str">
        <f>HYPERLINK("http://141.218.60.56/~jnz1568/getInfo.php?workbook=01_01.xlsx&amp;sheet=A0&amp;row=168&amp;col=34&amp;number=&amp;sourceID=20","")</f>
        <v/>
      </c>
    </row>
    <row r="169" spans="1:34">
      <c r="A169" s="3">
        <v>1</v>
      </c>
      <c r="B169" s="3">
        <v>1</v>
      </c>
      <c r="C169" s="3">
        <v>20</v>
      </c>
      <c r="D169" s="3">
        <v>2</v>
      </c>
      <c r="E169" s="3">
        <f>((1/(INDEX(E0!J$4:J$28,C169,1)-INDEX(E0!J$4:J$28,D169,1))))*100000000</f>
        <v>0</v>
      </c>
      <c r="F169" s="4" t="str">
        <f>HYPERLINK("http://141.218.60.56/~jnz1568/getInfo.php?workbook=01_01.xlsx&amp;sheet=A0&amp;row=169&amp;col=6&amp;number=&amp;sourceID=18","")</f>
        <v/>
      </c>
      <c r="G169" s="4" t="str">
        <f>HYPERLINK("http://141.218.60.56/~jnz1568/getInfo.php?workbook=01_01.xlsx&amp;sheet=A0&amp;row=169&amp;col=7&amp;number=&amp;sourceID=15","")</f>
        <v/>
      </c>
      <c r="H169" s="4" t="str">
        <f>HYPERLINK("http://141.218.60.56/~jnz1568/getInfo.php?workbook=01_01.xlsx&amp;sheet=A0&amp;row=169&amp;col=8&amp;number=&amp;sourceID=15","")</f>
        <v/>
      </c>
      <c r="I169" s="4" t="str">
        <f>HYPERLINK("http://141.218.60.56/~jnz1568/getInfo.php?workbook=01_01.xlsx&amp;sheet=A0&amp;row=169&amp;col=9&amp;number=&amp;sourceID=15","")</f>
        <v/>
      </c>
      <c r="J169" s="4" t="str">
        <f>HYPERLINK("http://141.218.60.56/~jnz1568/getInfo.php?workbook=01_01.xlsx&amp;sheet=A0&amp;row=169&amp;col=10&amp;number=&amp;sourceID=15","")</f>
        <v/>
      </c>
      <c r="K169" s="4" t="str">
        <f>HYPERLINK("http://141.218.60.56/~jnz1568/getInfo.php?workbook=01_01.xlsx&amp;sheet=A0&amp;row=169&amp;col=11&amp;number=&amp;sourceID=15","")</f>
        <v/>
      </c>
      <c r="L169" s="4" t="str">
        <f>HYPERLINK("http://141.218.60.56/~jnz1568/getInfo.php?workbook=01_01.xlsx&amp;sheet=A0&amp;row=169&amp;col=12&amp;number=&amp;sourceID=15","")</f>
        <v/>
      </c>
      <c r="M169" s="4" t="str">
        <f>HYPERLINK("http://141.218.60.56/~jnz1568/getInfo.php?workbook=01_01.xlsx&amp;sheet=A0&amp;row=169&amp;col=13&amp;number=&amp;sourceID=15","")</f>
        <v/>
      </c>
      <c r="N169" s="4" t="str">
        <f>HYPERLINK("http://141.218.60.56/~jnz1568/getInfo.php?workbook=01_01.xlsx&amp;sheet=A0&amp;row=169&amp;col=14&amp;number==&amp;sourceID=11","=")</f>
        <v>=</v>
      </c>
      <c r="O169" s="4" t="str">
        <f>HYPERLINK("http://141.218.60.56/~jnz1568/getInfo.php?workbook=01_01.xlsx&amp;sheet=A0&amp;row=169&amp;col=15&amp;number=&amp;sourceID=11","")</f>
        <v/>
      </c>
      <c r="P169" s="4" t="str">
        <f>HYPERLINK("http://141.218.60.56/~jnz1568/getInfo.php?workbook=01_01.xlsx&amp;sheet=A0&amp;row=169&amp;col=16&amp;number=2.6351&amp;sourceID=11","2.6351")</f>
        <v>2.6351</v>
      </c>
      <c r="Q169" s="4" t="str">
        <f>HYPERLINK("http://141.218.60.56/~jnz1568/getInfo.php?workbook=01_01.xlsx&amp;sheet=A0&amp;row=169&amp;col=17&amp;number=&amp;sourceID=11","")</f>
        <v/>
      </c>
      <c r="R169" s="4" t="str">
        <f>HYPERLINK("http://141.218.60.56/~jnz1568/getInfo.php?workbook=01_01.xlsx&amp;sheet=A0&amp;row=169&amp;col=18&amp;number=9.559e-10&amp;sourceID=11","9.559e-10")</f>
        <v>9.559e-10</v>
      </c>
      <c r="S169" s="4" t="str">
        <f>HYPERLINK("http://141.218.60.56/~jnz1568/getInfo.php?workbook=01_01.xlsx&amp;sheet=A0&amp;row=169&amp;col=19&amp;number=&amp;sourceID=11","")</f>
        <v/>
      </c>
      <c r="T169" s="4" t="str">
        <f>HYPERLINK("http://141.218.60.56/~jnz1568/getInfo.php?workbook=01_01.xlsx&amp;sheet=A0&amp;row=169&amp;col=20&amp;number=&amp;sourceID=11","")</f>
        <v/>
      </c>
      <c r="U169" s="4" t="str">
        <f>HYPERLINK("http://141.218.60.56/~jnz1568/getInfo.php?workbook=01_01.xlsx&amp;sheet=A0&amp;row=169&amp;col=21&amp;number=2.6366&amp;sourceID=12","2.6366")</f>
        <v>2.6366</v>
      </c>
      <c r="V169" s="4" t="str">
        <f>HYPERLINK("http://141.218.60.56/~jnz1568/getInfo.php?workbook=01_01.xlsx&amp;sheet=A0&amp;row=169&amp;col=22&amp;number=&amp;sourceID=12","")</f>
        <v/>
      </c>
      <c r="W169" s="4" t="str">
        <f>HYPERLINK("http://141.218.60.56/~jnz1568/getInfo.php?workbook=01_01.xlsx&amp;sheet=A0&amp;row=169&amp;col=23&amp;number=2.6366&amp;sourceID=12","2.6366")</f>
        <v>2.6366</v>
      </c>
      <c r="X169" s="4" t="str">
        <f>HYPERLINK("http://141.218.60.56/~jnz1568/getInfo.php?workbook=01_01.xlsx&amp;sheet=A0&amp;row=169&amp;col=24&amp;number=&amp;sourceID=12","")</f>
        <v/>
      </c>
      <c r="Y169" s="4" t="str">
        <f>HYPERLINK("http://141.218.60.56/~jnz1568/getInfo.php?workbook=01_01.xlsx&amp;sheet=A0&amp;row=169&amp;col=25&amp;number=9.8838e-10&amp;sourceID=12","9.8838e-10")</f>
        <v>9.8838e-10</v>
      </c>
      <c r="Z169" s="4" t="str">
        <f>HYPERLINK("http://141.218.60.56/~jnz1568/getInfo.php?workbook=01_01.xlsx&amp;sheet=A0&amp;row=169&amp;col=26&amp;number=&amp;sourceID=12","")</f>
        <v/>
      </c>
      <c r="AA169" s="4" t="str">
        <f>HYPERLINK("http://141.218.60.56/~jnz1568/getInfo.php?workbook=01_01.xlsx&amp;sheet=A0&amp;row=169&amp;col=27&amp;number=&amp;sourceID=12","")</f>
        <v/>
      </c>
      <c r="AB169" s="4" t="str">
        <f>HYPERLINK("http://141.218.60.56/~jnz1568/getInfo.php?workbook=01_01.xlsx&amp;sheet=A0&amp;row=169&amp;col=28&amp;number=&amp;sourceID=18","")</f>
        <v/>
      </c>
      <c r="AC169" s="4" t="str">
        <f>HYPERLINK("http://141.218.60.56/~jnz1568/getInfo.php?workbook=01_01.xlsx&amp;sheet=A0&amp;row=169&amp;col=29&amp;number=&amp;sourceID=18","")</f>
        <v/>
      </c>
      <c r="AD169" s="4" t="str">
        <f>HYPERLINK("http://141.218.60.56/~jnz1568/getInfo.php?workbook=01_01.xlsx&amp;sheet=A0&amp;row=169&amp;col=30&amp;number=&amp;sourceID=18","")</f>
        <v/>
      </c>
      <c r="AE169" s="4" t="str">
        <f>HYPERLINK("http://141.218.60.56/~jnz1568/getInfo.php?workbook=01_01.xlsx&amp;sheet=A0&amp;row=169&amp;col=31&amp;number=&amp;sourceID=18","")</f>
        <v/>
      </c>
      <c r="AF169" s="4" t="str">
        <f>HYPERLINK("http://141.218.60.56/~jnz1568/getInfo.php?workbook=01_01.xlsx&amp;sheet=A0&amp;row=169&amp;col=32&amp;number=&amp;sourceID=18","")</f>
        <v/>
      </c>
      <c r="AG169" s="4" t="str">
        <f>HYPERLINK("http://141.218.60.56/~jnz1568/getInfo.php?workbook=01_01.xlsx&amp;sheet=A0&amp;row=169&amp;col=33&amp;number=&amp;sourceID=18","")</f>
        <v/>
      </c>
      <c r="AH169" s="4" t="str">
        <f>HYPERLINK("http://141.218.60.56/~jnz1568/getInfo.php?workbook=01_01.xlsx&amp;sheet=A0&amp;row=169&amp;col=34&amp;number=&amp;sourceID=20","")</f>
        <v/>
      </c>
    </row>
    <row r="170" spans="1:34">
      <c r="A170" s="3">
        <v>1</v>
      </c>
      <c r="B170" s="3">
        <v>1</v>
      </c>
      <c r="C170" s="3">
        <v>20</v>
      </c>
      <c r="D170" s="3">
        <v>3</v>
      </c>
      <c r="E170" s="3">
        <f>((1/(INDEX(E0!J$4:J$28,C170,1)-INDEX(E0!J$4:J$28,D170,1))))*100000000</f>
        <v>0</v>
      </c>
      <c r="F170" s="4" t="str">
        <f>HYPERLINK("http://141.218.60.56/~jnz1568/getInfo.php?workbook=01_01.xlsx&amp;sheet=A0&amp;row=170&amp;col=6&amp;number=&amp;sourceID=18","")</f>
        <v/>
      </c>
      <c r="G170" s="4" t="str">
        <f>HYPERLINK("http://141.218.60.56/~jnz1568/getInfo.php?workbook=01_01.xlsx&amp;sheet=A0&amp;row=170&amp;col=7&amp;number=4948300&amp;sourceID=15","4948300")</f>
        <v>4948300</v>
      </c>
      <c r="H170" s="4" t="str">
        <f>HYPERLINK("http://141.218.60.56/~jnz1568/getInfo.php?workbook=01_01.xlsx&amp;sheet=A0&amp;row=170&amp;col=8&amp;number=4948300&amp;sourceID=15","4948300")</f>
        <v>4948300</v>
      </c>
      <c r="I170" s="4" t="str">
        <f>HYPERLINK("http://141.218.60.56/~jnz1568/getInfo.php?workbook=01_01.xlsx&amp;sheet=A0&amp;row=170&amp;col=9&amp;number=&amp;sourceID=15","")</f>
        <v/>
      </c>
      <c r="J170" s="4" t="str">
        <f>HYPERLINK("http://141.218.60.56/~jnz1568/getInfo.php?workbook=01_01.xlsx&amp;sheet=A0&amp;row=170&amp;col=10&amp;number=&amp;sourceID=15","")</f>
        <v/>
      </c>
      <c r="K170" s="4" t="str">
        <f>HYPERLINK("http://141.218.60.56/~jnz1568/getInfo.php?workbook=01_01.xlsx&amp;sheet=A0&amp;row=170&amp;col=11&amp;number=&amp;sourceID=15","")</f>
        <v/>
      </c>
      <c r="L170" s="4" t="str">
        <f>HYPERLINK("http://141.218.60.56/~jnz1568/getInfo.php?workbook=01_01.xlsx&amp;sheet=A0&amp;row=170&amp;col=12&amp;number=&amp;sourceID=15","")</f>
        <v/>
      </c>
      <c r="M170" s="4" t="str">
        <f>HYPERLINK("http://141.218.60.56/~jnz1568/getInfo.php?workbook=01_01.xlsx&amp;sheet=A0&amp;row=170&amp;col=13&amp;number=&amp;sourceID=15","")</f>
        <v/>
      </c>
      <c r="N170" s="4" t="str">
        <f>HYPERLINK("http://141.218.60.56/~jnz1568/getInfo.php?workbook=01_01.xlsx&amp;sheet=A0&amp;row=170&amp;col=14&amp;number==&amp;sourceID=11","=")</f>
        <v>=</v>
      </c>
      <c r="O170" s="4" t="str">
        <f>HYPERLINK("http://141.218.60.56/~jnz1568/getInfo.php?workbook=01_01.xlsx&amp;sheet=A0&amp;row=170&amp;col=15&amp;number=4948300&amp;sourceID=11","4948300")</f>
        <v>4948300</v>
      </c>
      <c r="P170" s="4" t="str">
        <f>HYPERLINK("http://141.218.60.56/~jnz1568/getInfo.php?workbook=01_01.xlsx&amp;sheet=A0&amp;row=170&amp;col=16&amp;number=&amp;sourceID=11","")</f>
        <v/>
      </c>
      <c r="Q170" s="4" t="str">
        <f>HYPERLINK("http://141.218.60.56/~jnz1568/getInfo.php?workbook=01_01.xlsx&amp;sheet=A0&amp;row=170&amp;col=17&amp;number=&amp;sourceID=11","")</f>
        <v/>
      </c>
      <c r="R170" s="4" t="str">
        <f>HYPERLINK("http://141.218.60.56/~jnz1568/getInfo.php?workbook=01_01.xlsx&amp;sheet=A0&amp;row=170&amp;col=18&amp;number=&amp;sourceID=11","")</f>
        <v/>
      </c>
      <c r="S170" s="4" t="str">
        <f>HYPERLINK("http://141.218.60.56/~jnz1568/getInfo.php?workbook=01_01.xlsx&amp;sheet=A0&amp;row=170&amp;col=19&amp;number=2.9008e-05&amp;sourceID=11","2.9008e-05")</f>
        <v>2.9008e-05</v>
      </c>
      <c r="T170" s="4" t="str">
        <f>HYPERLINK("http://141.218.60.56/~jnz1568/getInfo.php?workbook=01_01.xlsx&amp;sheet=A0&amp;row=170&amp;col=20&amp;number=&amp;sourceID=11","")</f>
        <v/>
      </c>
      <c r="U170" s="4" t="str">
        <f>HYPERLINK("http://141.218.60.56/~jnz1568/getInfo.php?workbook=01_01.xlsx&amp;sheet=A0&amp;row=170&amp;col=21&amp;number=4951000&amp;sourceID=12","4951000")</f>
        <v>4951000</v>
      </c>
      <c r="V170" s="4" t="str">
        <f>HYPERLINK("http://141.218.60.56/~jnz1568/getInfo.php?workbook=01_01.xlsx&amp;sheet=A0&amp;row=170&amp;col=22&amp;number=4951000&amp;sourceID=12","4951000")</f>
        <v>4951000</v>
      </c>
      <c r="W170" s="4" t="str">
        <f>HYPERLINK("http://141.218.60.56/~jnz1568/getInfo.php?workbook=01_01.xlsx&amp;sheet=A0&amp;row=170&amp;col=23&amp;number=&amp;sourceID=12","")</f>
        <v/>
      </c>
      <c r="X170" s="4" t="str">
        <f>HYPERLINK("http://141.218.60.56/~jnz1568/getInfo.php?workbook=01_01.xlsx&amp;sheet=A0&amp;row=170&amp;col=24&amp;number=&amp;sourceID=12","")</f>
        <v/>
      </c>
      <c r="Y170" s="4" t="str">
        <f>HYPERLINK("http://141.218.60.56/~jnz1568/getInfo.php?workbook=01_01.xlsx&amp;sheet=A0&amp;row=170&amp;col=25&amp;number=&amp;sourceID=12","")</f>
        <v/>
      </c>
      <c r="Z170" s="4" t="str">
        <f>HYPERLINK("http://141.218.60.56/~jnz1568/getInfo.php?workbook=01_01.xlsx&amp;sheet=A0&amp;row=170&amp;col=26&amp;number=2.9024e-05&amp;sourceID=12","2.9024e-05")</f>
        <v>2.9024e-05</v>
      </c>
      <c r="AA170" s="4" t="str">
        <f>HYPERLINK("http://141.218.60.56/~jnz1568/getInfo.php?workbook=01_01.xlsx&amp;sheet=A0&amp;row=170&amp;col=27&amp;number=&amp;sourceID=12","")</f>
        <v/>
      </c>
      <c r="AB170" s="4" t="str">
        <f>HYPERLINK("http://141.218.60.56/~jnz1568/getInfo.php?workbook=01_01.xlsx&amp;sheet=A0&amp;row=170&amp;col=28&amp;number=&amp;sourceID=18","")</f>
        <v/>
      </c>
      <c r="AC170" s="4" t="str">
        <f>HYPERLINK("http://141.218.60.56/~jnz1568/getInfo.php?workbook=01_01.xlsx&amp;sheet=A0&amp;row=170&amp;col=29&amp;number=&amp;sourceID=18","")</f>
        <v/>
      </c>
      <c r="AD170" s="4" t="str">
        <f>HYPERLINK("http://141.218.60.56/~jnz1568/getInfo.php?workbook=01_01.xlsx&amp;sheet=A0&amp;row=170&amp;col=30&amp;number=&amp;sourceID=18","")</f>
        <v/>
      </c>
      <c r="AE170" s="4" t="str">
        <f>HYPERLINK("http://141.218.60.56/~jnz1568/getInfo.php?workbook=01_01.xlsx&amp;sheet=A0&amp;row=170&amp;col=31&amp;number=&amp;sourceID=18","")</f>
        <v/>
      </c>
      <c r="AF170" s="4" t="str">
        <f>HYPERLINK("http://141.218.60.56/~jnz1568/getInfo.php?workbook=01_01.xlsx&amp;sheet=A0&amp;row=170&amp;col=32&amp;number=&amp;sourceID=18","")</f>
        <v/>
      </c>
      <c r="AG170" s="4" t="str">
        <f>HYPERLINK("http://141.218.60.56/~jnz1568/getInfo.php?workbook=01_01.xlsx&amp;sheet=A0&amp;row=170&amp;col=33&amp;number=&amp;sourceID=18","")</f>
        <v/>
      </c>
      <c r="AH170" s="4" t="str">
        <f>HYPERLINK("http://141.218.60.56/~jnz1568/getInfo.php?workbook=01_01.xlsx&amp;sheet=A0&amp;row=170&amp;col=34&amp;number=&amp;sourceID=20","")</f>
        <v/>
      </c>
    </row>
    <row r="171" spans="1:34">
      <c r="A171" s="3">
        <v>1</v>
      </c>
      <c r="B171" s="3">
        <v>1</v>
      </c>
      <c r="C171" s="3">
        <v>20</v>
      </c>
      <c r="D171" s="3">
        <v>4</v>
      </c>
      <c r="E171" s="3">
        <f>((1/(INDEX(E0!J$4:J$28,C171,1)-INDEX(E0!J$4:J$28,D171,1))))*100000000</f>
        <v>0</v>
      </c>
      <c r="F171" s="4" t="str">
        <f>HYPERLINK("http://141.218.60.56/~jnz1568/getInfo.php?workbook=01_01.xlsx&amp;sheet=A0&amp;row=171&amp;col=6&amp;number=&amp;sourceID=18","")</f>
        <v/>
      </c>
      <c r="G171" s="4" t="str">
        <f>HYPERLINK("http://141.218.60.56/~jnz1568/getInfo.php?workbook=01_01.xlsx&amp;sheet=A0&amp;row=171&amp;col=7&amp;number=&amp;sourceID=15","")</f>
        <v/>
      </c>
      <c r="H171" s="4" t="str">
        <f>HYPERLINK("http://141.218.60.56/~jnz1568/getInfo.php?workbook=01_01.xlsx&amp;sheet=A0&amp;row=171&amp;col=8&amp;number=&amp;sourceID=15","")</f>
        <v/>
      </c>
      <c r="I171" s="4" t="str">
        <f>HYPERLINK("http://141.218.60.56/~jnz1568/getInfo.php?workbook=01_01.xlsx&amp;sheet=A0&amp;row=171&amp;col=9&amp;number=&amp;sourceID=15","")</f>
        <v/>
      </c>
      <c r="J171" s="4" t="str">
        <f>HYPERLINK("http://141.218.60.56/~jnz1568/getInfo.php?workbook=01_01.xlsx&amp;sheet=A0&amp;row=171&amp;col=10&amp;number=&amp;sourceID=15","")</f>
        <v/>
      </c>
      <c r="K171" s="4" t="str">
        <f>HYPERLINK("http://141.218.60.56/~jnz1568/getInfo.php?workbook=01_01.xlsx&amp;sheet=A0&amp;row=171&amp;col=11&amp;number=&amp;sourceID=15","")</f>
        <v/>
      </c>
      <c r="L171" s="4" t="str">
        <f>HYPERLINK("http://141.218.60.56/~jnz1568/getInfo.php?workbook=01_01.xlsx&amp;sheet=A0&amp;row=171&amp;col=12&amp;number=&amp;sourceID=15","")</f>
        <v/>
      </c>
      <c r="M171" s="4" t="str">
        <f>HYPERLINK("http://141.218.60.56/~jnz1568/getInfo.php?workbook=01_01.xlsx&amp;sheet=A0&amp;row=171&amp;col=13&amp;number=&amp;sourceID=15","")</f>
        <v/>
      </c>
      <c r="N171" s="4" t="str">
        <f>HYPERLINK("http://141.218.60.56/~jnz1568/getInfo.php?workbook=01_01.xlsx&amp;sheet=A0&amp;row=171&amp;col=14&amp;number==&amp;sourceID=11","=")</f>
        <v>=</v>
      </c>
      <c r="O171" s="4" t="str">
        <f>HYPERLINK("http://141.218.60.56/~jnz1568/getInfo.php?workbook=01_01.xlsx&amp;sheet=A0&amp;row=171&amp;col=15&amp;number=&amp;sourceID=11","")</f>
        <v/>
      </c>
      <c r="P171" s="4" t="str">
        <f>HYPERLINK("http://141.218.60.56/~jnz1568/getInfo.php?workbook=01_01.xlsx&amp;sheet=A0&amp;row=171&amp;col=16&amp;number=2.635&amp;sourceID=11","2.635")</f>
        <v>2.635</v>
      </c>
      <c r="Q171" s="4" t="str">
        <f>HYPERLINK("http://141.218.60.56/~jnz1568/getInfo.php?workbook=01_01.xlsx&amp;sheet=A0&amp;row=171&amp;col=17&amp;number=&amp;sourceID=11","")</f>
        <v/>
      </c>
      <c r="R171" s="4" t="str">
        <f>HYPERLINK("http://141.218.60.56/~jnz1568/getInfo.php?workbook=01_01.xlsx&amp;sheet=A0&amp;row=171&amp;col=18&amp;number=1.7786e-09&amp;sourceID=11","1.7786e-09")</f>
        <v>1.7786e-09</v>
      </c>
      <c r="S171" s="4" t="str">
        <f>HYPERLINK("http://141.218.60.56/~jnz1568/getInfo.php?workbook=01_01.xlsx&amp;sheet=A0&amp;row=171&amp;col=19&amp;number=&amp;sourceID=11","")</f>
        <v/>
      </c>
      <c r="T171" s="4" t="str">
        <f>HYPERLINK("http://141.218.60.56/~jnz1568/getInfo.php?workbook=01_01.xlsx&amp;sheet=A0&amp;row=171&amp;col=20&amp;number=3.2952e-11&amp;sourceID=11","3.2952e-11")</f>
        <v>3.2952e-11</v>
      </c>
      <c r="U171" s="4" t="str">
        <f>HYPERLINK("http://141.218.60.56/~jnz1568/getInfo.php?workbook=01_01.xlsx&amp;sheet=A0&amp;row=171&amp;col=21&amp;number=2.6364&amp;sourceID=12","2.6364")</f>
        <v>2.6364</v>
      </c>
      <c r="V171" s="4" t="str">
        <f>HYPERLINK("http://141.218.60.56/~jnz1568/getInfo.php?workbook=01_01.xlsx&amp;sheet=A0&amp;row=171&amp;col=22&amp;number=&amp;sourceID=12","")</f>
        <v/>
      </c>
      <c r="W171" s="4" t="str">
        <f>HYPERLINK("http://141.218.60.56/~jnz1568/getInfo.php?workbook=01_01.xlsx&amp;sheet=A0&amp;row=171&amp;col=23&amp;number=2.6364&amp;sourceID=12","2.6364")</f>
        <v>2.6364</v>
      </c>
      <c r="X171" s="4" t="str">
        <f>HYPERLINK("http://141.218.60.56/~jnz1568/getInfo.php?workbook=01_01.xlsx&amp;sheet=A0&amp;row=171&amp;col=24&amp;number=&amp;sourceID=12","")</f>
        <v/>
      </c>
      <c r="Y171" s="4" t="str">
        <f>HYPERLINK("http://141.218.60.56/~jnz1568/getInfo.php?workbook=01_01.xlsx&amp;sheet=A0&amp;row=171&amp;col=25&amp;number=1.7474e-09&amp;sourceID=12","1.7474e-09")</f>
        <v>1.7474e-09</v>
      </c>
      <c r="Z171" s="4" t="str">
        <f>HYPERLINK("http://141.218.60.56/~jnz1568/getInfo.php?workbook=01_01.xlsx&amp;sheet=A0&amp;row=171&amp;col=26&amp;number=&amp;sourceID=12","")</f>
        <v/>
      </c>
      <c r="AA171" s="4" t="str">
        <f>HYPERLINK("http://141.218.60.56/~jnz1568/getInfo.php?workbook=01_01.xlsx&amp;sheet=A0&amp;row=171&amp;col=27&amp;number=3.297e-11&amp;sourceID=12","3.297e-11")</f>
        <v>3.297e-11</v>
      </c>
      <c r="AB171" s="4" t="str">
        <f>HYPERLINK("http://141.218.60.56/~jnz1568/getInfo.php?workbook=01_01.xlsx&amp;sheet=A0&amp;row=171&amp;col=28&amp;number=&amp;sourceID=18","")</f>
        <v/>
      </c>
      <c r="AC171" s="4" t="str">
        <f>HYPERLINK("http://141.218.60.56/~jnz1568/getInfo.php?workbook=01_01.xlsx&amp;sheet=A0&amp;row=171&amp;col=29&amp;number=&amp;sourceID=18","")</f>
        <v/>
      </c>
      <c r="AD171" s="4" t="str">
        <f>HYPERLINK("http://141.218.60.56/~jnz1568/getInfo.php?workbook=01_01.xlsx&amp;sheet=A0&amp;row=171&amp;col=30&amp;number=&amp;sourceID=18","")</f>
        <v/>
      </c>
      <c r="AE171" s="4" t="str">
        <f>HYPERLINK("http://141.218.60.56/~jnz1568/getInfo.php?workbook=01_01.xlsx&amp;sheet=A0&amp;row=171&amp;col=31&amp;number=&amp;sourceID=18","")</f>
        <v/>
      </c>
      <c r="AF171" s="4" t="str">
        <f>HYPERLINK("http://141.218.60.56/~jnz1568/getInfo.php?workbook=01_01.xlsx&amp;sheet=A0&amp;row=171&amp;col=32&amp;number=&amp;sourceID=18","")</f>
        <v/>
      </c>
      <c r="AG171" s="4" t="str">
        <f>HYPERLINK("http://141.218.60.56/~jnz1568/getInfo.php?workbook=01_01.xlsx&amp;sheet=A0&amp;row=171&amp;col=33&amp;number=&amp;sourceID=18","")</f>
        <v/>
      </c>
      <c r="AH171" s="4" t="str">
        <f>HYPERLINK("http://141.218.60.56/~jnz1568/getInfo.php?workbook=01_01.xlsx&amp;sheet=A0&amp;row=171&amp;col=34&amp;number=&amp;sourceID=20","")</f>
        <v/>
      </c>
    </row>
    <row r="172" spans="1:34">
      <c r="A172" s="3">
        <v>1</v>
      </c>
      <c r="B172" s="3">
        <v>1</v>
      </c>
      <c r="C172" s="3">
        <v>20</v>
      </c>
      <c r="D172" s="3">
        <v>5</v>
      </c>
      <c r="E172" s="3">
        <f>((1/(INDEX(E0!J$4:J$28,C172,1)-INDEX(E0!J$4:J$28,D172,1))))*100000000</f>
        <v>0</v>
      </c>
      <c r="F172" s="4" t="str">
        <f>HYPERLINK("http://141.218.60.56/~jnz1568/getInfo.php?workbook=01_01.xlsx&amp;sheet=A0&amp;row=172&amp;col=6&amp;number=&amp;sourceID=18","")</f>
        <v/>
      </c>
      <c r="G172" s="4" t="str">
        <f>HYPERLINK("http://141.218.60.56/~jnz1568/getInfo.php?workbook=01_01.xlsx&amp;sheet=A0&amp;row=172&amp;col=7&amp;number=&amp;sourceID=15","")</f>
        <v/>
      </c>
      <c r="H172" s="4" t="str">
        <f>HYPERLINK("http://141.218.60.56/~jnz1568/getInfo.php?workbook=01_01.xlsx&amp;sheet=A0&amp;row=172&amp;col=8&amp;number=&amp;sourceID=15","")</f>
        <v/>
      </c>
      <c r="I172" s="4" t="str">
        <f>HYPERLINK("http://141.218.60.56/~jnz1568/getInfo.php?workbook=01_01.xlsx&amp;sheet=A0&amp;row=172&amp;col=9&amp;number=&amp;sourceID=15","")</f>
        <v/>
      </c>
      <c r="J172" s="4" t="str">
        <f>HYPERLINK("http://141.218.60.56/~jnz1568/getInfo.php?workbook=01_01.xlsx&amp;sheet=A0&amp;row=172&amp;col=10&amp;number=&amp;sourceID=15","")</f>
        <v/>
      </c>
      <c r="K172" s="4" t="str">
        <f>HYPERLINK("http://141.218.60.56/~jnz1568/getInfo.php?workbook=01_01.xlsx&amp;sheet=A0&amp;row=172&amp;col=11&amp;number=&amp;sourceID=15","")</f>
        <v/>
      </c>
      <c r="L172" s="4" t="str">
        <f>HYPERLINK("http://141.218.60.56/~jnz1568/getInfo.php?workbook=01_01.xlsx&amp;sheet=A0&amp;row=172&amp;col=12&amp;number=&amp;sourceID=15","")</f>
        <v/>
      </c>
      <c r="M172" s="4" t="str">
        <f>HYPERLINK("http://141.218.60.56/~jnz1568/getInfo.php?workbook=01_01.xlsx&amp;sheet=A0&amp;row=172&amp;col=13&amp;number=&amp;sourceID=15","")</f>
        <v/>
      </c>
      <c r="N172" s="4" t="str">
        <f>HYPERLINK("http://141.218.60.56/~jnz1568/getInfo.php?workbook=01_01.xlsx&amp;sheet=A0&amp;row=172&amp;col=14&amp;number==&amp;sourceID=11","=")</f>
        <v>=</v>
      </c>
      <c r="O172" s="4" t="str">
        <f>HYPERLINK("http://141.218.60.56/~jnz1568/getInfo.php?workbook=01_01.xlsx&amp;sheet=A0&amp;row=172&amp;col=15&amp;number=&amp;sourceID=11","")</f>
        <v/>
      </c>
      <c r="P172" s="4" t="str">
        <f>HYPERLINK("http://141.218.60.56/~jnz1568/getInfo.php?workbook=01_01.xlsx&amp;sheet=A0&amp;row=172&amp;col=16&amp;number=0.71393&amp;sourceID=11","0.71393")</f>
        <v>0.71393</v>
      </c>
      <c r="Q172" s="4" t="str">
        <f>HYPERLINK("http://141.218.60.56/~jnz1568/getInfo.php?workbook=01_01.xlsx&amp;sheet=A0&amp;row=172&amp;col=17&amp;number=&amp;sourceID=11","")</f>
        <v/>
      </c>
      <c r="R172" s="4" t="str">
        <f>HYPERLINK("http://141.218.60.56/~jnz1568/getInfo.php?workbook=01_01.xlsx&amp;sheet=A0&amp;row=172&amp;col=18&amp;number=1.3513e-10&amp;sourceID=11","1.3513e-10")</f>
        <v>1.3513e-10</v>
      </c>
      <c r="S172" s="4" t="str">
        <f>HYPERLINK("http://141.218.60.56/~jnz1568/getInfo.php?workbook=01_01.xlsx&amp;sheet=A0&amp;row=172&amp;col=19&amp;number=&amp;sourceID=11","")</f>
        <v/>
      </c>
      <c r="T172" s="4" t="str">
        <f>HYPERLINK("http://141.218.60.56/~jnz1568/getInfo.php?workbook=01_01.xlsx&amp;sheet=A0&amp;row=172&amp;col=20&amp;number=&amp;sourceID=11","")</f>
        <v/>
      </c>
      <c r="U172" s="4" t="str">
        <f>HYPERLINK("http://141.218.60.56/~jnz1568/getInfo.php?workbook=01_01.xlsx&amp;sheet=A0&amp;row=172&amp;col=21&amp;number=0.71432&amp;sourceID=12","0.71432")</f>
        <v>0.71432</v>
      </c>
      <c r="V172" s="4" t="str">
        <f>HYPERLINK("http://141.218.60.56/~jnz1568/getInfo.php?workbook=01_01.xlsx&amp;sheet=A0&amp;row=172&amp;col=22&amp;number=&amp;sourceID=12","")</f>
        <v/>
      </c>
      <c r="W172" s="4" t="str">
        <f>HYPERLINK("http://141.218.60.56/~jnz1568/getInfo.php?workbook=01_01.xlsx&amp;sheet=A0&amp;row=172&amp;col=23&amp;number=0.71432&amp;sourceID=12","0.71432")</f>
        <v>0.71432</v>
      </c>
      <c r="X172" s="4" t="str">
        <f>HYPERLINK("http://141.218.60.56/~jnz1568/getInfo.php?workbook=01_01.xlsx&amp;sheet=A0&amp;row=172&amp;col=24&amp;number=&amp;sourceID=12","")</f>
        <v/>
      </c>
      <c r="Y172" s="4" t="str">
        <f>HYPERLINK("http://141.218.60.56/~jnz1568/getInfo.php?workbook=01_01.xlsx&amp;sheet=A0&amp;row=172&amp;col=25&amp;number=1.35e-10&amp;sourceID=12","1.35e-10")</f>
        <v>1.35e-10</v>
      </c>
      <c r="Z172" s="4" t="str">
        <f>HYPERLINK("http://141.218.60.56/~jnz1568/getInfo.php?workbook=01_01.xlsx&amp;sheet=A0&amp;row=172&amp;col=26&amp;number=&amp;sourceID=12","")</f>
        <v/>
      </c>
      <c r="AA172" s="4" t="str">
        <f>HYPERLINK("http://141.218.60.56/~jnz1568/getInfo.php?workbook=01_01.xlsx&amp;sheet=A0&amp;row=172&amp;col=27&amp;number=&amp;sourceID=12","")</f>
        <v/>
      </c>
      <c r="AB172" s="4" t="str">
        <f>HYPERLINK("http://141.218.60.56/~jnz1568/getInfo.php?workbook=01_01.xlsx&amp;sheet=A0&amp;row=172&amp;col=28&amp;number=&amp;sourceID=18","")</f>
        <v/>
      </c>
      <c r="AC172" s="4" t="str">
        <f>HYPERLINK("http://141.218.60.56/~jnz1568/getInfo.php?workbook=01_01.xlsx&amp;sheet=A0&amp;row=172&amp;col=29&amp;number=&amp;sourceID=18","")</f>
        <v/>
      </c>
      <c r="AD172" s="4" t="str">
        <f>HYPERLINK("http://141.218.60.56/~jnz1568/getInfo.php?workbook=01_01.xlsx&amp;sheet=A0&amp;row=172&amp;col=30&amp;number=&amp;sourceID=18","")</f>
        <v/>
      </c>
      <c r="AE172" s="4" t="str">
        <f>HYPERLINK("http://141.218.60.56/~jnz1568/getInfo.php?workbook=01_01.xlsx&amp;sheet=A0&amp;row=172&amp;col=31&amp;number=&amp;sourceID=18","")</f>
        <v/>
      </c>
      <c r="AF172" s="4" t="str">
        <f>HYPERLINK("http://141.218.60.56/~jnz1568/getInfo.php?workbook=01_01.xlsx&amp;sheet=A0&amp;row=172&amp;col=32&amp;number=&amp;sourceID=18","")</f>
        <v/>
      </c>
      <c r="AG172" s="4" t="str">
        <f>HYPERLINK("http://141.218.60.56/~jnz1568/getInfo.php?workbook=01_01.xlsx&amp;sheet=A0&amp;row=172&amp;col=33&amp;number=&amp;sourceID=18","")</f>
        <v/>
      </c>
      <c r="AH172" s="4" t="str">
        <f>HYPERLINK("http://141.218.60.56/~jnz1568/getInfo.php?workbook=01_01.xlsx&amp;sheet=A0&amp;row=172&amp;col=34&amp;number=&amp;sourceID=20","")</f>
        <v/>
      </c>
    </row>
    <row r="173" spans="1:34">
      <c r="A173" s="3">
        <v>1</v>
      </c>
      <c r="B173" s="3">
        <v>1</v>
      </c>
      <c r="C173" s="3">
        <v>20</v>
      </c>
      <c r="D173" s="3">
        <v>6</v>
      </c>
      <c r="E173" s="3">
        <f>((1/(INDEX(E0!J$4:J$28,C173,1)-INDEX(E0!J$4:J$28,D173,1))))*100000000</f>
        <v>0</v>
      </c>
      <c r="F173" s="4" t="str">
        <f>HYPERLINK("http://141.218.60.56/~jnz1568/getInfo.php?workbook=01_01.xlsx&amp;sheet=A0&amp;row=173&amp;col=6&amp;number=&amp;sourceID=18","")</f>
        <v/>
      </c>
      <c r="G173" s="4" t="str">
        <f>HYPERLINK("http://141.218.60.56/~jnz1568/getInfo.php?workbook=01_01.xlsx&amp;sheet=A0&amp;row=173&amp;col=7&amp;number=1637700&amp;sourceID=15","1637700")</f>
        <v>1637700</v>
      </c>
      <c r="H173" s="4" t="str">
        <f>HYPERLINK("http://141.218.60.56/~jnz1568/getInfo.php?workbook=01_01.xlsx&amp;sheet=A0&amp;row=173&amp;col=8&amp;number=1637700&amp;sourceID=15","1637700")</f>
        <v>1637700</v>
      </c>
      <c r="I173" s="4" t="str">
        <f>HYPERLINK("http://141.218.60.56/~jnz1568/getInfo.php?workbook=01_01.xlsx&amp;sheet=A0&amp;row=173&amp;col=9&amp;number=&amp;sourceID=15","")</f>
        <v/>
      </c>
      <c r="J173" s="4" t="str">
        <f>HYPERLINK("http://141.218.60.56/~jnz1568/getInfo.php?workbook=01_01.xlsx&amp;sheet=A0&amp;row=173&amp;col=10&amp;number=&amp;sourceID=15","")</f>
        <v/>
      </c>
      <c r="K173" s="4" t="str">
        <f>HYPERLINK("http://141.218.60.56/~jnz1568/getInfo.php?workbook=01_01.xlsx&amp;sheet=A0&amp;row=173&amp;col=11&amp;number=&amp;sourceID=15","")</f>
        <v/>
      </c>
      <c r="L173" s="4" t="str">
        <f>HYPERLINK("http://141.218.60.56/~jnz1568/getInfo.php?workbook=01_01.xlsx&amp;sheet=A0&amp;row=173&amp;col=12&amp;number=&amp;sourceID=15","")</f>
        <v/>
      </c>
      <c r="M173" s="4" t="str">
        <f>HYPERLINK("http://141.218.60.56/~jnz1568/getInfo.php?workbook=01_01.xlsx&amp;sheet=A0&amp;row=173&amp;col=13&amp;number=&amp;sourceID=15","")</f>
        <v/>
      </c>
      <c r="N173" s="4" t="str">
        <f>HYPERLINK("http://141.218.60.56/~jnz1568/getInfo.php?workbook=01_01.xlsx&amp;sheet=A0&amp;row=173&amp;col=14&amp;number==&amp;sourceID=11","=")</f>
        <v>=</v>
      </c>
      <c r="O173" s="4" t="str">
        <f>HYPERLINK("http://141.218.60.56/~jnz1568/getInfo.php?workbook=01_01.xlsx&amp;sheet=A0&amp;row=173&amp;col=15&amp;number=1637700&amp;sourceID=11","1637700")</f>
        <v>1637700</v>
      </c>
      <c r="P173" s="4" t="str">
        <f>HYPERLINK("http://141.218.60.56/~jnz1568/getInfo.php?workbook=01_01.xlsx&amp;sheet=A0&amp;row=173&amp;col=16&amp;number=&amp;sourceID=11","")</f>
        <v/>
      </c>
      <c r="Q173" s="4" t="str">
        <f>HYPERLINK("http://141.218.60.56/~jnz1568/getInfo.php?workbook=01_01.xlsx&amp;sheet=A0&amp;row=173&amp;col=17&amp;number=&amp;sourceID=11","")</f>
        <v/>
      </c>
      <c r="R173" s="4" t="str">
        <f>HYPERLINK("http://141.218.60.56/~jnz1568/getInfo.php?workbook=01_01.xlsx&amp;sheet=A0&amp;row=173&amp;col=18&amp;number=&amp;sourceID=11","")</f>
        <v/>
      </c>
      <c r="S173" s="4" t="str">
        <f>HYPERLINK("http://141.218.60.56/~jnz1568/getInfo.php?workbook=01_01.xlsx&amp;sheet=A0&amp;row=173&amp;col=19&amp;number=1.1008e-06&amp;sourceID=11","1.1008e-06")</f>
        <v>1.1008e-06</v>
      </c>
      <c r="T173" s="4" t="str">
        <f>HYPERLINK("http://141.218.60.56/~jnz1568/getInfo.php?workbook=01_01.xlsx&amp;sheet=A0&amp;row=173&amp;col=20&amp;number=&amp;sourceID=11","")</f>
        <v/>
      </c>
      <c r="U173" s="4" t="str">
        <f>HYPERLINK("http://141.218.60.56/~jnz1568/getInfo.php?workbook=01_01.xlsx&amp;sheet=A0&amp;row=173&amp;col=21&amp;number=1638600&amp;sourceID=12","1638600")</f>
        <v>1638600</v>
      </c>
      <c r="V173" s="4" t="str">
        <f>HYPERLINK("http://141.218.60.56/~jnz1568/getInfo.php?workbook=01_01.xlsx&amp;sheet=A0&amp;row=173&amp;col=22&amp;number=1638600&amp;sourceID=12","1638600")</f>
        <v>1638600</v>
      </c>
      <c r="W173" s="4" t="str">
        <f>HYPERLINK("http://141.218.60.56/~jnz1568/getInfo.php?workbook=01_01.xlsx&amp;sheet=A0&amp;row=173&amp;col=23&amp;number=&amp;sourceID=12","")</f>
        <v/>
      </c>
      <c r="X173" s="4" t="str">
        <f>HYPERLINK("http://141.218.60.56/~jnz1568/getInfo.php?workbook=01_01.xlsx&amp;sheet=A0&amp;row=173&amp;col=24&amp;number=&amp;sourceID=12","")</f>
        <v/>
      </c>
      <c r="Y173" s="4" t="str">
        <f>HYPERLINK("http://141.218.60.56/~jnz1568/getInfo.php?workbook=01_01.xlsx&amp;sheet=A0&amp;row=173&amp;col=25&amp;number=&amp;sourceID=12","")</f>
        <v/>
      </c>
      <c r="Z173" s="4" t="str">
        <f>HYPERLINK("http://141.218.60.56/~jnz1568/getInfo.php?workbook=01_01.xlsx&amp;sheet=A0&amp;row=173&amp;col=26&amp;number=1.1014e-06&amp;sourceID=12","1.1014e-06")</f>
        <v>1.1014e-06</v>
      </c>
      <c r="AA173" s="4" t="str">
        <f>HYPERLINK("http://141.218.60.56/~jnz1568/getInfo.php?workbook=01_01.xlsx&amp;sheet=A0&amp;row=173&amp;col=27&amp;number=&amp;sourceID=12","")</f>
        <v/>
      </c>
      <c r="AB173" s="4" t="str">
        <f>HYPERLINK("http://141.218.60.56/~jnz1568/getInfo.php?workbook=01_01.xlsx&amp;sheet=A0&amp;row=173&amp;col=28&amp;number=&amp;sourceID=18","")</f>
        <v/>
      </c>
      <c r="AC173" s="4" t="str">
        <f>HYPERLINK("http://141.218.60.56/~jnz1568/getInfo.php?workbook=01_01.xlsx&amp;sheet=A0&amp;row=173&amp;col=29&amp;number=&amp;sourceID=18","")</f>
        <v/>
      </c>
      <c r="AD173" s="4" t="str">
        <f>HYPERLINK("http://141.218.60.56/~jnz1568/getInfo.php?workbook=01_01.xlsx&amp;sheet=A0&amp;row=173&amp;col=30&amp;number=&amp;sourceID=18","")</f>
        <v/>
      </c>
      <c r="AE173" s="4" t="str">
        <f>HYPERLINK("http://141.218.60.56/~jnz1568/getInfo.php?workbook=01_01.xlsx&amp;sheet=A0&amp;row=173&amp;col=31&amp;number=&amp;sourceID=18","")</f>
        <v/>
      </c>
      <c r="AF173" s="4" t="str">
        <f>HYPERLINK("http://141.218.60.56/~jnz1568/getInfo.php?workbook=01_01.xlsx&amp;sheet=A0&amp;row=173&amp;col=32&amp;number=&amp;sourceID=18","")</f>
        <v/>
      </c>
      <c r="AG173" s="4" t="str">
        <f>HYPERLINK("http://141.218.60.56/~jnz1568/getInfo.php?workbook=01_01.xlsx&amp;sheet=A0&amp;row=173&amp;col=33&amp;number=&amp;sourceID=18","")</f>
        <v/>
      </c>
      <c r="AH173" s="4" t="str">
        <f>HYPERLINK("http://141.218.60.56/~jnz1568/getInfo.php?workbook=01_01.xlsx&amp;sheet=A0&amp;row=173&amp;col=34&amp;number=&amp;sourceID=20","")</f>
        <v/>
      </c>
    </row>
    <row r="174" spans="1:34">
      <c r="A174" s="3">
        <v>1</v>
      </c>
      <c r="B174" s="3">
        <v>1</v>
      </c>
      <c r="C174" s="3">
        <v>20</v>
      </c>
      <c r="D174" s="3">
        <v>7</v>
      </c>
      <c r="E174" s="3">
        <f>((1/(INDEX(E0!J$4:J$28,C174,1)-INDEX(E0!J$4:J$28,D174,1))))*100000000</f>
        <v>0</v>
      </c>
      <c r="F174" s="4" t="str">
        <f>HYPERLINK("http://141.218.60.56/~jnz1568/getInfo.php?workbook=01_01.xlsx&amp;sheet=A0&amp;row=174&amp;col=6&amp;number=&amp;sourceID=18","")</f>
        <v/>
      </c>
      <c r="G174" s="4" t="str">
        <f>HYPERLINK("http://141.218.60.56/~jnz1568/getInfo.php?workbook=01_01.xlsx&amp;sheet=A0&amp;row=174&amp;col=7&amp;number=14954&amp;sourceID=15","14954")</f>
        <v>14954</v>
      </c>
      <c r="H174" s="4" t="str">
        <f>HYPERLINK("http://141.218.60.56/~jnz1568/getInfo.php?workbook=01_01.xlsx&amp;sheet=A0&amp;row=174&amp;col=8&amp;number=14954&amp;sourceID=15","14954")</f>
        <v>14954</v>
      </c>
      <c r="I174" s="4" t="str">
        <f>HYPERLINK("http://141.218.60.56/~jnz1568/getInfo.php?workbook=01_01.xlsx&amp;sheet=A0&amp;row=174&amp;col=9&amp;number=&amp;sourceID=15","")</f>
        <v/>
      </c>
      <c r="J174" s="4" t="str">
        <f>HYPERLINK("http://141.218.60.56/~jnz1568/getInfo.php?workbook=01_01.xlsx&amp;sheet=A0&amp;row=174&amp;col=10&amp;number=&amp;sourceID=15","")</f>
        <v/>
      </c>
      <c r="K174" s="4" t="str">
        <f>HYPERLINK("http://141.218.60.56/~jnz1568/getInfo.php?workbook=01_01.xlsx&amp;sheet=A0&amp;row=174&amp;col=11&amp;number=&amp;sourceID=15","")</f>
        <v/>
      </c>
      <c r="L174" s="4" t="str">
        <f>HYPERLINK("http://141.218.60.56/~jnz1568/getInfo.php?workbook=01_01.xlsx&amp;sheet=A0&amp;row=174&amp;col=12&amp;number=&amp;sourceID=15","")</f>
        <v/>
      </c>
      <c r="M174" s="4" t="str">
        <f>HYPERLINK("http://141.218.60.56/~jnz1568/getInfo.php?workbook=01_01.xlsx&amp;sheet=A0&amp;row=174&amp;col=13&amp;number=&amp;sourceID=15","")</f>
        <v/>
      </c>
      <c r="N174" s="4" t="str">
        <f>HYPERLINK("http://141.218.60.56/~jnz1568/getInfo.php?workbook=01_01.xlsx&amp;sheet=A0&amp;row=174&amp;col=14&amp;number==&amp;sourceID=11","=")</f>
        <v>=</v>
      </c>
      <c r="O174" s="4" t="str">
        <f>HYPERLINK("http://141.218.60.56/~jnz1568/getInfo.php?workbook=01_01.xlsx&amp;sheet=A0&amp;row=174&amp;col=15&amp;number=14954&amp;sourceID=11","14954")</f>
        <v>14954</v>
      </c>
      <c r="P174" s="4" t="str">
        <f>HYPERLINK("http://141.218.60.56/~jnz1568/getInfo.php?workbook=01_01.xlsx&amp;sheet=A0&amp;row=174&amp;col=16&amp;number=&amp;sourceID=11","")</f>
        <v/>
      </c>
      <c r="Q174" s="4" t="str">
        <f>HYPERLINK("http://141.218.60.56/~jnz1568/getInfo.php?workbook=01_01.xlsx&amp;sheet=A0&amp;row=174&amp;col=17&amp;number=1.3589e-07&amp;sourceID=11","1.3589e-07")</f>
        <v>1.3589e-07</v>
      </c>
      <c r="R174" s="4" t="str">
        <f>HYPERLINK("http://141.218.60.56/~jnz1568/getInfo.php?workbook=01_01.xlsx&amp;sheet=A0&amp;row=174&amp;col=18&amp;number=&amp;sourceID=11","")</f>
        <v/>
      </c>
      <c r="S174" s="4" t="str">
        <f>HYPERLINK("http://141.218.60.56/~jnz1568/getInfo.php?workbook=01_01.xlsx&amp;sheet=A0&amp;row=174&amp;col=19&amp;number=&amp;sourceID=11","")</f>
        <v/>
      </c>
      <c r="T174" s="4" t="str">
        <f>HYPERLINK("http://141.218.60.56/~jnz1568/getInfo.php?workbook=01_01.xlsx&amp;sheet=A0&amp;row=174&amp;col=20&amp;number=&amp;sourceID=11","")</f>
        <v/>
      </c>
      <c r="U174" s="4" t="str">
        <f>HYPERLINK("http://141.218.60.56/~jnz1568/getInfo.php?workbook=01_01.xlsx&amp;sheet=A0&amp;row=174&amp;col=21&amp;number=14962&amp;sourceID=12","14962")</f>
        <v>14962</v>
      </c>
      <c r="V174" s="4" t="str">
        <f>HYPERLINK("http://141.218.60.56/~jnz1568/getInfo.php?workbook=01_01.xlsx&amp;sheet=A0&amp;row=174&amp;col=22&amp;number=14962&amp;sourceID=12","14962")</f>
        <v>14962</v>
      </c>
      <c r="W174" s="4" t="str">
        <f>HYPERLINK("http://141.218.60.56/~jnz1568/getInfo.php?workbook=01_01.xlsx&amp;sheet=A0&amp;row=174&amp;col=23&amp;number=&amp;sourceID=12","")</f>
        <v/>
      </c>
      <c r="X174" s="4" t="str">
        <f>HYPERLINK("http://141.218.60.56/~jnz1568/getInfo.php?workbook=01_01.xlsx&amp;sheet=A0&amp;row=174&amp;col=24&amp;number=1.3597e-07&amp;sourceID=12","1.3597e-07")</f>
        <v>1.3597e-07</v>
      </c>
      <c r="Y174" s="4" t="str">
        <f>HYPERLINK("http://141.218.60.56/~jnz1568/getInfo.php?workbook=01_01.xlsx&amp;sheet=A0&amp;row=174&amp;col=25&amp;number=&amp;sourceID=12","")</f>
        <v/>
      </c>
      <c r="Z174" s="4" t="str">
        <f>HYPERLINK("http://141.218.60.56/~jnz1568/getInfo.php?workbook=01_01.xlsx&amp;sheet=A0&amp;row=174&amp;col=26&amp;number=&amp;sourceID=12","")</f>
        <v/>
      </c>
      <c r="AA174" s="4" t="str">
        <f>HYPERLINK("http://141.218.60.56/~jnz1568/getInfo.php?workbook=01_01.xlsx&amp;sheet=A0&amp;row=174&amp;col=27&amp;number=&amp;sourceID=12","")</f>
        <v/>
      </c>
      <c r="AB174" s="4" t="str">
        <f>HYPERLINK("http://141.218.60.56/~jnz1568/getInfo.php?workbook=01_01.xlsx&amp;sheet=A0&amp;row=174&amp;col=28&amp;number=&amp;sourceID=18","")</f>
        <v/>
      </c>
      <c r="AC174" s="4" t="str">
        <f>HYPERLINK("http://141.218.60.56/~jnz1568/getInfo.php?workbook=01_01.xlsx&amp;sheet=A0&amp;row=174&amp;col=29&amp;number=&amp;sourceID=18","")</f>
        <v/>
      </c>
      <c r="AD174" s="4" t="str">
        <f>HYPERLINK("http://141.218.60.56/~jnz1568/getInfo.php?workbook=01_01.xlsx&amp;sheet=A0&amp;row=174&amp;col=30&amp;number=&amp;sourceID=18","")</f>
        <v/>
      </c>
      <c r="AE174" s="4" t="str">
        <f>HYPERLINK("http://141.218.60.56/~jnz1568/getInfo.php?workbook=01_01.xlsx&amp;sheet=A0&amp;row=174&amp;col=31&amp;number=&amp;sourceID=18","")</f>
        <v/>
      </c>
      <c r="AF174" s="4" t="str">
        <f>HYPERLINK("http://141.218.60.56/~jnz1568/getInfo.php?workbook=01_01.xlsx&amp;sheet=A0&amp;row=174&amp;col=32&amp;number=&amp;sourceID=18","")</f>
        <v/>
      </c>
      <c r="AG174" s="4" t="str">
        <f>HYPERLINK("http://141.218.60.56/~jnz1568/getInfo.php?workbook=01_01.xlsx&amp;sheet=A0&amp;row=174&amp;col=33&amp;number=&amp;sourceID=18","")</f>
        <v/>
      </c>
      <c r="AH174" s="4" t="str">
        <f>HYPERLINK("http://141.218.60.56/~jnz1568/getInfo.php?workbook=01_01.xlsx&amp;sheet=A0&amp;row=174&amp;col=34&amp;number=&amp;sourceID=20","")</f>
        <v/>
      </c>
    </row>
    <row r="175" spans="1:34">
      <c r="A175" s="3">
        <v>1</v>
      </c>
      <c r="B175" s="3">
        <v>1</v>
      </c>
      <c r="C175" s="3">
        <v>20</v>
      </c>
      <c r="D175" s="3">
        <v>8</v>
      </c>
      <c r="E175" s="3">
        <f>((1/(INDEX(E0!J$4:J$28,C175,1)-INDEX(E0!J$4:J$28,D175,1))))*100000000</f>
        <v>0</v>
      </c>
      <c r="F175" s="4" t="str">
        <f>HYPERLINK("http://141.218.60.56/~jnz1568/getInfo.php?workbook=01_01.xlsx&amp;sheet=A0&amp;row=175&amp;col=6&amp;number=&amp;sourceID=18","")</f>
        <v/>
      </c>
      <c r="G175" s="4" t="str">
        <f>HYPERLINK("http://141.218.60.56/~jnz1568/getInfo.php?workbook=01_01.xlsx&amp;sheet=A0&amp;row=175&amp;col=7&amp;number=&amp;sourceID=15","")</f>
        <v/>
      </c>
      <c r="H175" s="4" t="str">
        <f>HYPERLINK("http://141.218.60.56/~jnz1568/getInfo.php?workbook=01_01.xlsx&amp;sheet=A0&amp;row=175&amp;col=8&amp;number=&amp;sourceID=15","")</f>
        <v/>
      </c>
      <c r="I175" s="4" t="str">
        <f>HYPERLINK("http://141.218.60.56/~jnz1568/getInfo.php?workbook=01_01.xlsx&amp;sheet=A0&amp;row=175&amp;col=9&amp;number=&amp;sourceID=15","")</f>
        <v/>
      </c>
      <c r="J175" s="4" t="str">
        <f>HYPERLINK("http://141.218.60.56/~jnz1568/getInfo.php?workbook=01_01.xlsx&amp;sheet=A0&amp;row=175&amp;col=10&amp;number=&amp;sourceID=15","")</f>
        <v/>
      </c>
      <c r="K175" s="4" t="str">
        <f>HYPERLINK("http://141.218.60.56/~jnz1568/getInfo.php?workbook=01_01.xlsx&amp;sheet=A0&amp;row=175&amp;col=11&amp;number=&amp;sourceID=15","")</f>
        <v/>
      </c>
      <c r="L175" s="4" t="str">
        <f>HYPERLINK("http://141.218.60.56/~jnz1568/getInfo.php?workbook=01_01.xlsx&amp;sheet=A0&amp;row=175&amp;col=12&amp;number=&amp;sourceID=15","")</f>
        <v/>
      </c>
      <c r="M175" s="4" t="str">
        <f>HYPERLINK("http://141.218.60.56/~jnz1568/getInfo.php?workbook=01_01.xlsx&amp;sheet=A0&amp;row=175&amp;col=13&amp;number=&amp;sourceID=15","")</f>
        <v/>
      </c>
      <c r="N175" s="4" t="str">
        <f>HYPERLINK("http://141.218.60.56/~jnz1568/getInfo.php?workbook=01_01.xlsx&amp;sheet=A0&amp;row=175&amp;col=14&amp;number==&amp;sourceID=11","=")</f>
        <v>=</v>
      </c>
      <c r="O175" s="4" t="str">
        <f>HYPERLINK("http://141.218.60.56/~jnz1568/getInfo.php?workbook=01_01.xlsx&amp;sheet=A0&amp;row=175&amp;col=15&amp;number=&amp;sourceID=11","")</f>
        <v/>
      </c>
      <c r="P175" s="4" t="str">
        <f>HYPERLINK("http://141.218.60.56/~jnz1568/getInfo.php?workbook=01_01.xlsx&amp;sheet=A0&amp;row=175&amp;col=16&amp;number=0.71391&amp;sourceID=11","0.71391")</f>
        <v>0.71391</v>
      </c>
      <c r="Q175" s="4" t="str">
        <f>HYPERLINK("http://141.218.60.56/~jnz1568/getInfo.php?workbook=01_01.xlsx&amp;sheet=A0&amp;row=175&amp;col=17&amp;number=&amp;sourceID=11","")</f>
        <v/>
      </c>
      <c r="R175" s="4" t="str">
        <f>HYPERLINK("http://141.218.60.56/~jnz1568/getInfo.php?workbook=01_01.xlsx&amp;sheet=A0&amp;row=175&amp;col=18&amp;number=5.5282e-11&amp;sourceID=11","5.5282e-11")</f>
        <v>5.5282e-11</v>
      </c>
      <c r="S175" s="4" t="str">
        <f>HYPERLINK("http://141.218.60.56/~jnz1568/getInfo.php?workbook=01_01.xlsx&amp;sheet=A0&amp;row=175&amp;col=19&amp;number=&amp;sourceID=11","")</f>
        <v/>
      </c>
      <c r="T175" s="4" t="str">
        <f>HYPERLINK("http://141.218.60.56/~jnz1568/getInfo.php?workbook=01_01.xlsx&amp;sheet=A0&amp;row=175&amp;col=20&amp;number=1.024e-12&amp;sourceID=11","1.024e-12")</f>
        <v>1.024e-12</v>
      </c>
      <c r="U175" s="4" t="str">
        <f>HYPERLINK("http://141.218.60.56/~jnz1568/getInfo.php?workbook=01_01.xlsx&amp;sheet=A0&amp;row=175&amp;col=21&amp;number=0.7143&amp;sourceID=12","0.7143")</f>
        <v>0.7143</v>
      </c>
      <c r="V175" s="4" t="str">
        <f>HYPERLINK("http://141.218.60.56/~jnz1568/getInfo.php?workbook=01_01.xlsx&amp;sheet=A0&amp;row=175&amp;col=22&amp;number=&amp;sourceID=12","")</f>
        <v/>
      </c>
      <c r="W175" s="4" t="str">
        <f>HYPERLINK("http://141.218.60.56/~jnz1568/getInfo.php?workbook=01_01.xlsx&amp;sheet=A0&amp;row=175&amp;col=23&amp;number=0.7143&amp;sourceID=12","0.7143")</f>
        <v>0.7143</v>
      </c>
      <c r="X175" s="4" t="str">
        <f>HYPERLINK("http://141.218.60.56/~jnz1568/getInfo.php?workbook=01_01.xlsx&amp;sheet=A0&amp;row=175&amp;col=24&amp;number=&amp;sourceID=12","")</f>
        <v/>
      </c>
      <c r="Y175" s="4" t="str">
        <f>HYPERLINK("http://141.218.60.56/~jnz1568/getInfo.php?workbook=01_01.xlsx&amp;sheet=A0&amp;row=175&amp;col=25&amp;number=5.5403e-11&amp;sourceID=12","5.5403e-11")</f>
        <v>5.5403e-11</v>
      </c>
      <c r="Z175" s="4" t="str">
        <f>HYPERLINK("http://141.218.60.56/~jnz1568/getInfo.php?workbook=01_01.xlsx&amp;sheet=A0&amp;row=175&amp;col=26&amp;number=&amp;sourceID=12","")</f>
        <v/>
      </c>
      <c r="AA175" s="4" t="str">
        <f>HYPERLINK("http://141.218.60.56/~jnz1568/getInfo.php?workbook=01_01.xlsx&amp;sheet=A0&amp;row=175&amp;col=27&amp;number=1.024e-12&amp;sourceID=12","1.024e-12")</f>
        <v>1.024e-12</v>
      </c>
      <c r="AB175" s="4" t="str">
        <f>HYPERLINK("http://141.218.60.56/~jnz1568/getInfo.php?workbook=01_01.xlsx&amp;sheet=A0&amp;row=175&amp;col=28&amp;number=&amp;sourceID=18","")</f>
        <v/>
      </c>
      <c r="AC175" s="4" t="str">
        <f>HYPERLINK("http://141.218.60.56/~jnz1568/getInfo.php?workbook=01_01.xlsx&amp;sheet=A0&amp;row=175&amp;col=29&amp;number=&amp;sourceID=18","")</f>
        <v/>
      </c>
      <c r="AD175" s="4" t="str">
        <f>HYPERLINK("http://141.218.60.56/~jnz1568/getInfo.php?workbook=01_01.xlsx&amp;sheet=A0&amp;row=175&amp;col=30&amp;number=&amp;sourceID=18","")</f>
        <v/>
      </c>
      <c r="AE175" s="4" t="str">
        <f>HYPERLINK("http://141.218.60.56/~jnz1568/getInfo.php?workbook=01_01.xlsx&amp;sheet=A0&amp;row=175&amp;col=31&amp;number=&amp;sourceID=18","")</f>
        <v/>
      </c>
      <c r="AF175" s="4" t="str">
        <f>HYPERLINK("http://141.218.60.56/~jnz1568/getInfo.php?workbook=01_01.xlsx&amp;sheet=A0&amp;row=175&amp;col=32&amp;number=&amp;sourceID=18","")</f>
        <v/>
      </c>
      <c r="AG175" s="4" t="str">
        <f>HYPERLINK("http://141.218.60.56/~jnz1568/getInfo.php?workbook=01_01.xlsx&amp;sheet=A0&amp;row=175&amp;col=33&amp;number=&amp;sourceID=18","")</f>
        <v/>
      </c>
      <c r="AH175" s="4" t="str">
        <f>HYPERLINK("http://141.218.60.56/~jnz1568/getInfo.php?workbook=01_01.xlsx&amp;sheet=A0&amp;row=175&amp;col=34&amp;number=&amp;sourceID=20","")</f>
        <v/>
      </c>
    </row>
    <row r="176" spans="1:34">
      <c r="A176" s="3">
        <v>1</v>
      </c>
      <c r="B176" s="3">
        <v>1</v>
      </c>
      <c r="C176" s="3">
        <v>20</v>
      </c>
      <c r="D176" s="3">
        <v>9</v>
      </c>
      <c r="E176" s="3">
        <f>((1/(INDEX(E0!J$4:J$28,C176,1)-INDEX(E0!J$4:J$28,D176,1))))*100000000</f>
        <v>0</v>
      </c>
      <c r="F176" s="4" t="str">
        <f>HYPERLINK("http://141.218.60.56/~jnz1568/getInfo.php?workbook=01_01.xlsx&amp;sheet=A0&amp;row=176&amp;col=6&amp;number=&amp;sourceID=18","")</f>
        <v/>
      </c>
      <c r="G176" s="4" t="str">
        <f>HYPERLINK("http://141.218.60.56/~jnz1568/getInfo.php?workbook=01_01.xlsx&amp;sheet=A0&amp;row=176&amp;col=7&amp;number=134590&amp;sourceID=15","134590")</f>
        <v>134590</v>
      </c>
      <c r="H176" s="4" t="str">
        <f>HYPERLINK("http://141.218.60.56/~jnz1568/getInfo.php?workbook=01_01.xlsx&amp;sheet=A0&amp;row=176&amp;col=8&amp;number=134590&amp;sourceID=15","134590")</f>
        <v>134590</v>
      </c>
      <c r="I176" s="4" t="str">
        <f>HYPERLINK("http://141.218.60.56/~jnz1568/getInfo.php?workbook=01_01.xlsx&amp;sheet=A0&amp;row=176&amp;col=9&amp;number=&amp;sourceID=15","")</f>
        <v/>
      </c>
      <c r="J176" s="4" t="str">
        <f>HYPERLINK("http://141.218.60.56/~jnz1568/getInfo.php?workbook=01_01.xlsx&amp;sheet=A0&amp;row=176&amp;col=10&amp;number=&amp;sourceID=15","")</f>
        <v/>
      </c>
      <c r="K176" s="4" t="str">
        <f>HYPERLINK("http://141.218.60.56/~jnz1568/getInfo.php?workbook=01_01.xlsx&amp;sheet=A0&amp;row=176&amp;col=11&amp;number=&amp;sourceID=15","")</f>
        <v/>
      </c>
      <c r="L176" s="4" t="str">
        <f>HYPERLINK("http://141.218.60.56/~jnz1568/getInfo.php?workbook=01_01.xlsx&amp;sheet=A0&amp;row=176&amp;col=12&amp;number=&amp;sourceID=15","")</f>
        <v/>
      </c>
      <c r="M176" s="4" t="str">
        <f>HYPERLINK("http://141.218.60.56/~jnz1568/getInfo.php?workbook=01_01.xlsx&amp;sheet=A0&amp;row=176&amp;col=13&amp;number=&amp;sourceID=15","")</f>
        <v/>
      </c>
      <c r="N176" s="4" t="str">
        <f>HYPERLINK("http://141.218.60.56/~jnz1568/getInfo.php?workbook=01_01.xlsx&amp;sheet=A0&amp;row=176&amp;col=14&amp;number==&amp;sourceID=11","=")</f>
        <v>=</v>
      </c>
      <c r="O176" s="4" t="str">
        <f>HYPERLINK("http://141.218.60.56/~jnz1568/getInfo.php?workbook=01_01.xlsx&amp;sheet=A0&amp;row=176&amp;col=15&amp;number=134590&amp;sourceID=11","134590")</f>
        <v>134590</v>
      </c>
      <c r="P176" s="4" t="str">
        <f>HYPERLINK("http://141.218.60.56/~jnz1568/getInfo.php?workbook=01_01.xlsx&amp;sheet=A0&amp;row=176&amp;col=16&amp;number=&amp;sourceID=11","")</f>
        <v/>
      </c>
      <c r="Q176" s="4" t="str">
        <f>HYPERLINK("http://141.218.60.56/~jnz1568/getInfo.php?workbook=01_01.xlsx&amp;sheet=A0&amp;row=176&amp;col=17&amp;number=9.0593e-08&amp;sourceID=11","9.0593e-08")</f>
        <v>9.0593e-08</v>
      </c>
      <c r="R176" s="4" t="str">
        <f>HYPERLINK("http://141.218.60.56/~jnz1568/getInfo.php?workbook=01_01.xlsx&amp;sheet=A0&amp;row=176&amp;col=18&amp;number=&amp;sourceID=11","")</f>
        <v/>
      </c>
      <c r="S176" s="4" t="str">
        <f>HYPERLINK("http://141.218.60.56/~jnz1568/getInfo.php?workbook=01_01.xlsx&amp;sheet=A0&amp;row=176&amp;col=19&amp;number=1.1727e-07&amp;sourceID=11","1.1727e-07")</f>
        <v>1.1727e-07</v>
      </c>
      <c r="T176" s="4" t="str">
        <f>HYPERLINK("http://141.218.60.56/~jnz1568/getInfo.php?workbook=01_01.xlsx&amp;sheet=A0&amp;row=176&amp;col=20&amp;number=&amp;sourceID=11","")</f>
        <v/>
      </c>
      <c r="U176" s="4" t="str">
        <f>HYPERLINK("http://141.218.60.56/~jnz1568/getInfo.php?workbook=01_01.xlsx&amp;sheet=A0&amp;row=176&amp;col=21&amp;number=134660&amp;sourceID=12","134660")</f>
        <v>134660</v>
      </c>
      <c r="V176" s="4" t="str">
        <f>HYPERLINK("http://141.218.60.56/~jnz1568/getInfo.php?workbook=01_01.xlsx&amp;sheet=A0&amp;row=176&amp;col=22&amp;number=134660&amp;sourceID=12","134660")</f>
        <v>134660</v>
      </c>
      <c r="W176" s="4" t="str">
        <f>HYPERLINK("http://141.218.60.56/~jnz1568/getInfo.php?workbook=01_01.xlsx&amp;sheet=A0&amp;row=176&amp;col=23&amp;number=&amp;sourceID=12","")</f>
        <v/>
      </c>
      <c r="X176" s="4" t="str">
        <f>HYPERLINK("http://141.218.60.56/~jnz1568/getInfo.php?workbook=01_01.xlsx&amp;sheet=A0&amp;row=176&amp;col=24&amp;number=9.0642e-08&amp;sourceID=12","9.0642e-08")</f>
        <v>9.0642e-08</v>
      </c>
      <c r="Y176" s="4" t="str">
        <f>HYPERLINK("http://141.218.60.56/~jnz1568/getInfo.php?workbook=01_01.xlsx&amp;sheet=A0&amp;row=176&amp;col=25&amp;number=&amp;sourceID=12","")</f>
        <v/>
      </c>
      <c r="Z176" s="4" t="str">
        <f>HYPERLINK("http://141.218.60.56/~jnz1568/getInfo.php?workbook=01_01.xlsx&amp;sheet=A0&amp;row=176&amp;col=26&amp;number=1.1734e-07&amp;sourceID=12","1.1734e-07")</f>
        <v>1.1734e-07</v>
      </c>
      <c r="AA176" s="4" t="str">
        <f>HYPERLINK("http://141.218.60.56/~jnz1568/getInfo.php?workbook=01_01.xlsx&amp;sheet=A0&amp;row=176&amp;col=27&amp;number=&amp;sourceID=12","")</f>
        <v/>
      </c>
      <c r="AB176" s="4" t="str">
        <f>HYPERLINK("http://141.218.60.56/~jnz1568/getInfo.php?workbook=01_01.xlsx&amp;sheet=A0&amp;row=176&amp;col=28&amp;number=&amp;sourceID=18","")</f>
        <v/>
      </c>
      <c r="AC176" s="4" t="str">
        <f>HYPERLINK("http://141.218.60.56/~jnz1568/getInfo.php?workbook=01_01.xlsx&amp;sheet=A0&amp;row=176&amp;col=29&amp;number=&amp;sourceID=18","")</f>
        <v/>
      </c>
      <c r="AD176" s="4" t="str">
        <f>HYPERLINK("http://141.218.60.56/~jnz1568/getInfo.php?workbook=01_01.xlsx&amp;sheet=A0&amp;row=176&amp;col=30&amp;number=&amp;sourceID=18","")</f>
        <v/>
      </c>
      <c r="AE176" s="4" t="str">
        <f>HYPERLINK("http://141.218.60.56/~jnz1568/getInfo.php?workbook=01_01.xlsx&amp;sheet=A0&amp;row=176&amp;col=31&amp;number=&amp;sourceID=18","")</f>
        <v/>
      </c>
      <c r="AF176" s="4" t="str">
        <f>HYPERLINK("http://141.218.60.56/~jnz1568/getInfo.php?workbook=01_01.xlsx&amp;sheet=A0&amp;row=176&amp;col=32&amp;number=&amp;sourceID=18","")</f>
        <v/>
      </c>
      <c r="AG176" s="4" t="str">
        <f>HYPERLINK("http://141.218.60.56/~jnz1568/getInfo.php?workbook=01_01.xlsx&amp;sheet=A0&amp;row=176&amp;col=33&amp;number=&amp;sourceID=18","")</f>
        <v/>
      </c>
      <c r="AH176" s="4" t="str">
        <f>HYPERLINK("http://141.218.60.56/~jnz1568/getInfo.php?workbook=01_01.xlsx&amp;sheet=A0&amp;row=176&amp;col=34&amp;number=&amp;sourceID=20","")</f>
        <v/>
      </c>
    </row>
    <row r="177" spans="1:34">
      <c r="A177" s="3">
        <v>1</v>
      </c>
      <c r="B177" s="3">
        <v>1</v>
      </c>
      <c r="C177" s="3">
        <v>20</v>
      </c>
      <c r="D177" s="3">
        <v>10</v>
      </c>
      <c r="E177" s="3">
        <f>((1/(INDEX(E0!J$4:J$28,C177,1)-INDEX(E0!J$4:J$28,D177,1))))*100000000</f>
        <v>0</v>
      </c>
      <c r="F177" s="4" t="str">
        <f>HYPERLINK("http://141.218.60.56/~jnz1568/getInfo.php?workbook=01_01.xlsx&amp;sheet=A0&amp;row=177&amp;col=6&amp;number=&amp;sourceID=18","")</f>
        <v/>
      </c>
      <c r="G177" s="4" t="str">
        <f>HYPERLINK("http://141.218.60.56/~jnz1568/getInfo.php?workbook=01_01.xlsx&amp;sheet=A0&amp;row=177&amp;col=7&amp;number=&amp;sourceID=15","")</f>
        <v/>
      </c>
      <c r="H177" s="4" t="str">
        <f>HYPERLINK("http://141.218.60.56/~jnz1568/getInfo.php?workbook=01_01.xlsx&amp;sheet=A0&amp;row=177&amp;col=8&amp;number=&amp;sourceID=15","")</f>
        <v/>
      </c>
      <c r="I177" s="4" t="str">
        <f>HYPERLINK("http://141.218.60.56/~jnz1568/getInfo.php?workbook=01_01.xlsx&amp;sheet=A0&amp;row=177&amp;col=9&amp;number=&amp;sourceID=15","")</f>
        <v/>
      </c>
      <c r="J177" s="4" t="str">
        <f>HYPERLINK("http://141.218.60.56/~jnz1568/getInfo.php?workbook=01_01.xlsx&amp;sheet=A0&amp;row=177&amp;col=10&amp;number=&amp;sourceID=15","")</f>
        <v/>
      </c>
      <c r="K177" s="4" t="str">
        <f>HYPERLINK("http://141.218.60.56/~jnz1568/getInfo.php?workbook=01_01.xlsx&amp;sheet=A0&amp;row=177&amp;col=11&amp;number=&amp;sourceID=15","")</f>
        <v/>
      </c>
      <c r="L177" s="4" t="str">
        <f>HYPERLINK("http://141.218.60.56/~jnz1568/getInfo.php?workbook=01_01.xlsx&amp;sheet=A0&amp;row=177&amp;col=12&amp;number=&amp;sourceID=15","")</f>
        <v/>
      </c>
      <c r="M177" s="4" t="str">
        <f>HYPERLINK("http://141.218.60.56/~jnz1568/getInfo.php?workbook=01_01.xlsx&amp;sheet=A0&amp;row=177&amp;col=13&amp;number=&amp;sourceID=15","")</f>
        <v/>
      </c>
      <c r="N177" s="4" t="str">
        <f>HYPERLINK("http://141.218.60.56/~jnz1568/getInfo.php?workbook=01_01.xlsx&amp;sheet=A0&amp;row=177&amp;col=14&amp;number==&amp;sourceID=11","=")</f>
        <v>=</v>
      </c>
      <c r="O177" s="4" t="str">
        <f>HYPERLINK("http://141.218.60.56/~jnz1568/getInfo.php?workbook=01_01.xlsx&amp;sheet=A0&amp;row=177&amp;col=15&amp;number=&amp;sourceID=11","")</f>
        <v/>
      </c>
      <c r="P177" s="4" t="str">
        <f>HYPERLINK("http://141.218.60.56/~jnz1568/getInfo.php?workbook=01_01.xlsx&amp;sheet=A0&amp;row=177&amp;col=16&amp;number=0.22705&amp;sourceID=11","0.22705")</f>
        <v>0.22705</v>
      </c>
      <c r="Q177" s="4" t="str">
        <f>HYPERLINK("http://141.218.60.56/~jnz1568/getInfo.php?workbook=01_01.xlsx&amp;sheet=A0&amp;row=177&amp;col=17&amp;number=&amp;sourceID=11","")</f>
        <v/>
      </c>
      <c r="R177" s="4" t="str">
        <f>HYPERLINK("http://141.218.60.56/~jnz1568/getInfo.php?workbook=01_01.xlsx&amp;sheet=A0&amp;row=177&amp;col=18&amp;number=2.0993e-11&amp;sourceID=11","2.0993e-11")</f>
        <v>2.0993e-11</v>
      </c>
      <c r="S177" s="4" t="str">
        <f>HYPERLINK("http://141.218.60.56/~jnz1568/getInfo.php?workbook=01_01.xlsx&amp;sheet=A0&amp;row=177&amp;col=19&amp;number=&amp;sourceID=11","")</f>
        <v/>
      </c>
      <c r="T177" s="4" t="str">
        <f>HYPERLINK("http://141.218.60.56/~jnz1568/getInfo.php?workbook=01_01.xlsx&amp;sheet=A0&amp;row=177&amp;col=20&amp;number=&amp;sourceID=11","")</f>
        <v/>
      </c>
      <c r="U177" s="4" t="str">
        <f>HYPERLINK("http://141.218.60.56/~jnz1568/getInfo.php?workbook=01_01.xlsx&amp;sheet=A0&amp;row=177&amp;col=21&amp;number=0.22718&amp;sourceID=12","0.22718")</f>
        <v>0.22718</v>
      </c>
      <c r="V177" s="4" t="str">
        <f>HYPERLINK("http://141.218.60.56/~jnz1568/getInfo.php?workbook=01_01.xlsx&amp;sheet=A0&amp;row=177&amp;col=22&amp;number=&amp;sourceID=12","")</f>
        <v/>
      </c>
      <c r="W177" s="4" t="str">
        <f>HYPERLINK("http://141.218.60.56/~jnz1568/getInfo.php?workbook=01_01.xlsx&amp;sheet=A0&amp;row=177&amp;col=23&amp;number=0.22718&amp;sourceID=12","0.22718")</f>
        <v>0.22718</v>
      </c>
      <c r="X177" s="4" t="str">
        <f>HYPERLINK("http://141.218.60.56/~jnz1568/getInfo.php?workbook=01_01.xlsx&amp;sheet=A0&amp;row=177&amp;col=24&amp;number=&amp;sourceID=12","")</f>
        <v/>
      </c>
      <c r="Y177" s="4" t="str">
        <f>HYPERLINK("http://141.218.60.56/~jnz1568/getInfo.php?workbook=01_01.xlsx&amp;sheet=A0&amp;row=177&amp;col=25&amp;number=2.1033e-11&amp;sourceID=12","2.1033e-11")</f>
        <v>2.1033e-11</v>
      </c>
      <c r="Z177" s="4" t="str">
        <f>HYPERLINK("http://141.218.60.56/~jnz1568/getInfo.php?workbook=01_01.xlsx&amp;sheet=A0&amp;row=177&amp;col=26&amp;number=&amp;sourceID=12","")</f>
        <v/>
      </c>
      <c r="AA177" s="4" t="str">
        <f>HYPERLINK("http://141.218.60.56/~jnz1568/getInfo.php?workbook=01_01.xlsx&amp;sheet=A0&amp;row=177&amp;col=27&amp;number=&amp;sourceID=12","")</f>
        <v/>
      </c>
      <c r="AB177" s="4" t="str">
        <f>HYPERLINK("http://141.218.60.56/~jnz1568/getInfo.php?workbook=01_01.xlsx&amp;sheet=A0&amp;row=177&amp;col=28&amp;number=&amp;sourceID=18","")</f>
        <v/>
      </c>
      <c r="AC177" s="4" t="str">
        <f>HYPERLINK("http://141.218.60.56/~jnz1568/getInfo.php?workbook=01_01.xlsx&amp;sheet=A0&amp;row=177&amp;col=29&amp;number=&amp;sourceID=18","")</f>
        <v/>
      </c>
      <c r="AD177" s="4" t="str">
        <f>HYPERLINK("http://141.218.60.56/~jnz1568/getInfo.php?workbook=01_01.xlsx&amp;sheet=A0&amp;row=177&amp;col=30&amp;number=&amp;sourceID=18","")</f>
        <v/>
      </c>
      <c r="AE177" s="4" t="str">
        <f>HYPERLINK("http://141.218.60.56/~jnz1568/getInfo.php?workbook=01_01.xlsx&amp;sheet=A0&amp;row=177&amp;col=31&amp;number=&amp;sourceID=18","")</f>
        <v/>
      </c>
      <c r="AF177" s="4" t="str">
        <f>HYPERLINK("http://141.218.60.56/~jnz1568/getInfo.php?workbook=01_01.xlsx&amp;sheet=A0&amp;row=177&amp;col=32&amp;number=&amp;sourceID=18","")</f>
        <v/>
      </c>
      <c r="AG177" s="4" t="str">
        <f>HYPERLINK("http://141.218.60.56/~jnz1568/getInfo.php?workbook=01_01.xlsx&amp;sheet=A0&amp;row=177&amp;col=33&amp;number=&amp;sourceID=18","")</f>
        <v/>
      </c>
      <c r="AH177" s="4" t="str">
        <f>HYPERLINK("http://141.218.60.56/~jnz1568/getInfo.php?workbook=01_01.xlsx&amp;sheet=A0&amp;row=177&amp;col=34&amp;number=&amp;sourceID=20","")</f>
        <v/>
      </c>
    </row>
    <row r="178" spans="1:34">
      <c r="A178" s="3">
        <v>1</v>
      </c>
      <c r="B178" s="3">
        <v>1</v>
      </c>
      <c r="C178" s="3">
        <v>20</v>
      </c>
      <c r="D178" s="3">
        <v>11</v>
      </c>
      <c r="E178" s="3">
        <f>((1/(INDEX(E0!J$4:J$28,C178,1)-INDEX(E0!J$4:J$28,D178,1))))*100000000</f>
        <v>0</v>
      </c>
      <c r="F178" s="4" t="str">
        <f>HYPERLINK("http://141.218.60.56/~jnz1568/getInfo.php?workbook=01_01.xlsx&amp;sheet=A0&amp;row=178&amp;col=6&amp;number=&amp;sourceID=18","")</f>
        <v/>
      </c>
      <c r="G178" s="4" t="str">
        <f>HYPERLINK("http://141.218.60.56/~jnz1568/getInfo.php?workbook=01_01.xlsx&amp;sheet=A0&amp;row=178&amp;col=7&amp;number=737160&amp;sourceID=15","737160")</f>
        <v>737160</v>
      </c>
      <c r="H178" s="4" t="str">
        <f>HYPERLINK("http://141.218.60.56/~jnz1568/getInfo.php?workbook=01_01.xlsx&amp;sheet=A0&amp;row=178&amp;col=8&amp;number=737160&amp;sourceID=15","737160")</f>
        <v>737160</v>
      </c>
      <c r="I178" s="4" t="str">
        <f>HYPERLINK("http://141.218.60.56/~jnz1568/getInfo.php?workbook=01_01.xlsx&amp;sheet=A0&amp;row=178&amp;col=9&amp;number=&amp;sourceID=15","")</f>
        <v/>
      </c>
      <c r="J178" s="4" t="str">
        <f>HYPERLINK("http://141.218.60.56/~jnz1568/getInfo.php?workbook=01_01.xlsx&amp;sheet=A0&amp;row=178&amp;col=10&amp;number=&amp;sourceID=15","")</f>
        <v/>
      </c>
      <c r="K178" s="4" t="str">
        <f>HYPERLINK("http://141.218.60.56/~jnz1568/getInfo.php?workbook=01_01.xlsx&amp;sheet=A0&amp;row=178&amp;col=11&amp;number=&amp;sourceID=15","")</f>
        <v/>
      </c>
      <c r="L178" s="4" t="str">
        <f>HYPERLINK("http://141.218.60.56/~jnz1568/getInfo.php?workbook=01_01.xlsx&amp;sheet=A0&amp;row=178&amp;col=12&amp;number=&amp;sourceID=15","")</f>
        <v/>
      </c>
      <c r="M178" s="4" t="str">
        <f>HYPERLINK("http://141.218.60.56/~jnz1568/getInfo.php?workbook=01_01.xlsx&amp;sheet=A0&amp;row=178&amp;col=13&amp;number=&amp;sourceID=15","")</f>
        <v/>
      </c>
      <c r="N178" s="4" t="str">
        <f>HYPERLINK("http://141.218.60.56/~jnz1568/getInfo.php?workbook=01_01.xlsx&amp;sheet=A0&amp;row=178&amp;col=14&amp;number==&amp;sourceID=11","=")</f>
        <v>=</v>
      </c>
      <c r="O178" s="4" t="str">
        <f>HYPERLINK("http://141.218.60.56/~jnz1568/getInfo.php?workbook=01_01.xlsx&amp;sheet=A0&amp;row=178&amp;col=15&amp;number=737160&amp;sourceID=11","737160")</f>
        <v>737160</v>
      </c>
      <c r="P178" s="4" t="str">
        <f>HYPERLINK("http://141.218.60.56/~jnz1568/getInfo.php?workbook=01_01.xlsx&amp;sheet=A0&amp;row=178&amp;col=16&amp;number=&amp;sourceID=11","")</f>
        <v/>
      </c>
      <c r="Q178" s="4" t="str">
        <f>HYPERLINK("http://141.218.60.56/~jnz1568/getInfo.php?workbook=01_01.xlsx&amp;sheet=A0&amp;row=178&amp;col=17&amp;number=&amp;sourceID=11","")</f>
        <v/>
      </c>
      <c r="R178" s="4" t="str">
        <f>HYPERLINK("http://141.218.60.56/~jnz1568/getInfo.php?workbook=01_01.xlsx&amp;sheet=A0&amp;row=178&amp;col=18&amp;number=&amp;sourceID=11","")</f>
        <v/>
      </c>
      <c r="S178" s="4" t="str">
        <f>HYPERLINK("http://141.218.60.56/~jnz1568/getInfo.php?workbook=01_01.xlsx&amp;sheet=A0&amp;row=178&amp;col=19&amp;number=4.9608e-08&amp;sourceID=11","4.9608e-08")</f>
        <v>4.9608e-08</v>
      </c>
      <c r="T178" s="4" t="str">
        <f>HYPERLINK("http://141.218.60.56/~jnz1568/getInfo.php?workbook=01_01.xlsx&amp;sheet=A0&amp;row=178&amp;col=20&amp;number=&amp;sourceID=11","")</f>
        <v/>
      </c>
      <c r="U178" s="4" t="str">
        <f>HYPERLINK("http://141.218.60.56/~jnz1568/getInfo.php?workbook=01_01.xlsx&amp;sheet=A0&amp;row=178&amp;col=21&amp;number=737560&amp;sourceID=12","737560")</f>
        <v>737560</v>
      </c>
      <c r="V178" s="4" t="str">
        <f>HYPERLINK("http://141.218.60.56/~jnz1568/getInfo.php?workbook=01_01.xlsx&amp;sheet=A0&amp;row=178&amp;col=22&amp;number=737560&amp;sourceID=12","737560")</f>
        <v>737560</v>
      </c>
      <c r="W178" s="4" t="str">
        <f>HYPERLINK("http://141.218.60.56/~jnz1568/getInfo.php?workbook=01_01.xlsx&amp;sheet=A0&amp;row=178&amp;col=23&amp;number=&amp;sourceID=12","")</f>
        <v/>
      </c>
      <c r="X178" s="4" t="str">
        <f>HYPERLINK("http://141.218.60.56/~jnz1568/getInfo.php?workbook=01_01.xlsx&amp;sheet=A0&amp;row=178&amp;col=24&amp;number=&amp;sourceID=12","")</f>
        <v/>
      </c>
      <c r="Y178" s="4" t="str">
        <f>HYPERLINK("http://141.218.60.56/~jnz1568/getInfo.php?workbook=01_01.xlsx&amp;sheet=A0&amp;row=178&amp;col=25&amp;number=&amp;sourceID=12","")</f>
        <v/>
      </c>
      <c r="Z178" s="4" t="str">
        <f>HYPERLINK("http://141.218.60.56/~jnz1568/getInfo.php?workbook=01_01.xlsx&amp;sheet=A0&amp;row=178&amp;col=26&amp;number=4.9635e-08&amp;sourceID=12","4.9635e-08")</f>
        <v>4.9635e-08</v>
      </c>
      <c r="AA178" s="4" t="str">
        <f>HYPERLINK("http://141.218.60.56/~jnz1568/getInfo.php?workbook=01_01.xlsx&amp;sheet=A0&amp;row=178&amp;col=27&amp;number=&amp;sourceID=12","")</f>
        <v/>
      </c>
      <c r="AB178" s="4" t="str">
        <f>HYPERLINK("http://141.218.60.56/~jnz1568/getInfo.php?workbook=01_01.xlsx&amp;sheet=A0&amp;row=178&amp;col=28&amp;number=&amp;sourceID=18","")</f>
        <v/>
      </c>
      <c r="AC178" s="4" t="str">
        <f>HYPERLINK("http://141.218.60.56/~jnz1568/getInfo.php?workbook=01_01.xlsx&amp;sheet=A0&amp;row=178&amp;col=29&amp;number=&amp;sourceID=18","")</f>
        <v/>
      </c>
      <c r="AD178" s="4" t="str">
        <f>HYPERLINK("http://141.218.60.56/~jnz1568/getInfo.php?workbook=01_01.xlsx&amp;sheet=A0&amp;row=178&amp;col=30&amp;number=&amp;sourceID=18","")</f>
        <v/>
      </c>
      <c r="AE178" s="4" t="str">
        <f>HYPERLINK("http://141.218.60.56/~jnz1568/getInfo.php?workbook=01_01.xlsx&amp;sheet=A0&amp;row=178&amp;col=31&amp;number=&amp;sourceID=18","")</f>
        <v/>
      </c>
      <c r="AF178" s="4" t="str">
        <f>HYPERLINK("http://141.218.60.56/~jnz1568/getInfo.php?workbook=01_01.xlsx&amp;sheet=A0&amp;row=178&amp;col=32&amp;number=&amp;sourceID=18","")</f>
        <v/>
      </c>
      <c r="AG178" s="4" t="str">
        <f>HYPERLINK("http://141.218.60.56/~jnz1568/getInfo.php?workbook=01_01.xlsx&amp;sheet=A0&amp;row=178&amp;col=33&amp;number=&amp;sourceID=18","")</f>
        <v/>
      </c>
      <c r="AH178" s="4" t="str">
        <f>HYPERLINK("http://141.218.60.56/~jnz1568/getInfo.php?workbook=01_01.xlsx&amp;sheet=A0&amp;row=178&amp;col=34&amp;number=&amp;sourceID=20","")</f>
        <v/>
      </c>
    </row>
    <row r="179" spans="1:34">
      <c r="A179" s="3">
        <v>1</v>
      </c>
      <c r="B179" s="3">
        <v>1</v>
      </c>
      <c r="C179" s="3">
        <v>20</v>
      </c>
      <c r="D179" s="3">
        <v>12</v>
      </c>
      <c r="E179" s="3">
        <f>((1/(INDEX(E0!J$4:J$28,C179,1)-INDEX(E0!J$4:J$28,D179,1))))*100000000</f>
        <v>0</v>
      </c>
      <c r="F179" s="4" t="str">
        <f>HYPERLINK("http://141.218.60.56/~jnz1568/getInfo.php?workbook=01_01.xlsx&amp;sheet=A0&amp;row=179&amp;col=6&amp;number=&amp;sourceID=18","")</f>
        <v/>
      </c>
      <c r="G179" s="4" t="str">
        <f>HYPERLINK("http://141.218.60.56/~jnz1568/getInfo.php?workbook=01_01.xlsx&amp;sheet=A0&amp;row=179&amp;col=7&amp;number=18846&amp;sourceID=15","18846")</f>
        <v>18846</v>
      </c>
      <c r="H179" s="4" t="str">
        <f>HYPERLINK("http://141.218.60.56/~jnz1568/getInfo.php?workbook=01_01.xlsx&amp;sheet=A0&amp;row=179&amp;col=8&amp;number=18846&amp;sourceID=15","18846")</f>
        <v>18846</v>
      </c>
      <c r="I179" s="4" t="str">
        <f>HYPERLINK("http://141.218.60.56/~jnz1568/getInfo.php?workbook=01_01.xlsx&amp;sheet=A0&amp;row=179&amp;col=9&amp;number=&amp;sourceID=15","")</f>
        <v/>
      </c>
      <c r="J179" s="4" t="str">
        <f>HYPERLINK("http://141.218.60.56/~jnz1568/getInfo.php?workbook=01_01.xlsx&amp;sheet=A0&amp;row=179&amp;col=10&amp;number=&amp;sourceID=15","")</f>
        <v/>
      </c>
      <c r="K179" s="4" t="str">
        <f>HYPERLINK("http://141.218.60.56/~jnz1568/getInfo.php?workbook=01_01.xlsx&amp;sheet=A0&amp;row=179&amp;col=11&amp;number=&amp;sourceID=15","")</f>
        <v/>
      </c>
      <c r="L179" s="4" t="str">
        <f>HYPERLINK("http://141.218.60.56/~jnz1568/getInfo.php?workbook=01_01.xlsx&amp;sheet=A0&amp;row=179&amp;col=12&amp;number=&amp;sourceID=15","")</f>
        <v/>
      </c>
      <c r="M179" s="4" t="str">
        <f>HYPERLINK("http://141.218.60.56/~jnz1568/getInfo.php?workbook=01_01.xlsx&amp;sheet=A0&amp;row=179&amp;col=13&amp;number=&amp;sourceID=15","")</f>
        <v/>
      </c>
      <c r="N179" s="4" t="str">
        <f>HYPERLINK("http://141.218.60.56/~jnz1568/getInfo.php?workbook=01_01.xlsx&amp;sheet=A0&amp;row=179&amp;col=14&amp;number==&amp;sourceID=11","=")</f>
        <v>=</v>
      </c>
      <c r="O179" s="4" t="str">
        <f>HYPERLINK("http://141.218.60.56/~jnz1568/getInfo.php?workbook=01_01.xlsx&amp;sheet=A0&amp;row=179&amp;col=15&amp;number=18846&amp;sourceID=11","18846")</f>
        <v>18846</v>
      </c>
      <c r="P179" s="4" t="str">
        <f>HYPERLINK("http://141.218.60.56/~jnz1568/getInfo.php?workbook=01_01.xlsx&amp;sheet=A0&amp;row=179&amp;col=16&amp;number=&amp;sourceID=11","")</f>
        <v/>
      </c>
      <c r="Q179" s="4" t="str">
        <f>HYPERLINK("http://141.218.60.56/~jnz1568/getInfo.php?workbook=01_01.xlsx&amp;sheet=A0&amp;row=179&amp;col=17&amp;number=4.6174e-08&amp;sourceID=11","4.6174e-08")</f>
        <v>4.6174e-08</v>
      </c>
      <c r="R179" s="4" t="str">
        <f>HYPERLINK("http://141.218.60.56/~jnz1568/getInfo.php?workbook=01_01.xlsx&amp;sheet=A0&amp;row=179&amp;col=18&amp;number=&amp;sourceID=11","")</f>
        <v/>
      </c>
      <c r="S179" s="4" t="str">
        <f>HYPERLINK("http://141.218.60.56/~jnz1568/getInfo.php?workbook=01_01.xlsx&amp;sheet=A0&amp;row=179&amp;col=19&amp;number=&amp;sourceID=11","")</f>
        <v/>
      </c>
      <c r="T179" s="4" t="str">
        <f>HYPERLINK("http://141.218.60.56/~jnz1568/getInfo.php?workbook=01_01.xlsx&amp;sheet=A0&amp;row=179&amp;col=20&amp;number=&amp;sourceID=11","")</f>
        <v/>
      </c>
      <c r="U179" s="4" t="str">
        <f>HYPERLINK("http://141.218.60.56/~jnz1568/getInfo.php?workbook=01_01.xlsx&amp;sheet=A0&amp;row=179&amp;col=21&amp;number=18856&amp;sourceID=12","18856")</f>
        <v>18856</v>
      </c>
      <c r="V179" s="4" t="str">
        <f>HYPERLINK("http://141.218.60.56/~jnz1568/getInfo.php?workbook=01_01.xlsx&amp;sheet=A0&amp;row=179&amp;col=22&amp;number=18856&amp;sourceID=12","18856")</f>
        <v>18856</v>
      </c>
      <c r="W179" s="4" t="str">
        <f>HYPERLINK("http://141.218.60.56/~jnz1568/getInfo.php?workbook=01_01.xlsx&amp;sheet=A0&amp;row=179&amp;col=23&amp;number=&amp;sourceID=12","")</f>
        <v/>
      </c>
      <c r="X179" s="4" t="str">
        <f>HYPERLINK("http://141.218.60.56/~jnz1568/getInfo.php?workbook=01_01.xlsx&amp;sheet=A0&amp;row=179&amp;col=24&amp;number=4.6199e-08&amp;sourceID=12","4.6199e-08")</f>
        <v>4.6199e-08</v>
      </c>
      <c r="Y179" s="4" t="str">
        <f>HYPERLINK("http://141.218.60.56/~jnz1568/getInfo.php?workbook=01_01.xlsx&amp;sheet=A0&amp;row=179&amp;col=25&amp;number=&amp;sourceID=12","")</f>
        <v/>
      </c>
      <c r="Z179" s="4" t="str">
        <f>HYPERLINK("http://141.218.60.56/~jnz1568/getInfo.php?workbook=01_01.xlsx&amp;sheet=A0&amp;row=179&amp;col=26&amp;number=&amp;sourceID=12","")</f>
        <v/>
      </c>
      <c r="AA179" s="4" t="str">
        <f>HYPERLINK("http://141.218.60.56/~jnz1568/getInfo.php?workbook=01_01.xlsx&amp;sheet=A0&amp;row=179&amp;col=27&amp;number=&amp;sourceID=12","")</f>
        <v/>
      </c>
      <c r="AB179" s="4" t="str">
        <f>HYPERLINK("http://141.218.60.56/~jnz1568/getInfo.php?workbook=01_01.xlsx&amp;sheet=A0&amp;row=179&amp;col=28&amp;number=&amp;sourceID=18","")</f>
        <v/>
      </c>
      <c r="AC179" s="4" t="str">
        <f>HYPERLINK("http://141.218.60.56/~jnz1568/getInfo.php?workbook=01_01.xlsx&amp;sheet=A0&amp;row=179&amp;col=29&amp;number=&amp;sourceID=18","")</f>
        <v/>
      </c>
      <c r="AD179" s="4" t="str">
        <f>HYPERLINK("http://141.218.60.56/~jnz1568/getInfo.php?workbook=01_01.xlsx&amp;sheet=A0&amp;row=179&amp;col=30&amp;number=&amp;sourceID=18","")</f>
        <v/>
      </c>
      <c r="AE179" s="4" t="str">
        <f>HYPERLINK("http://141.218.60.56/~jnz1568/getInfo.php?workbook=01_01.xlsx&amp;sheet=A0&amp;row=179&amp;col=31&amp;number=&amp;sourceID=18","")</f>
        <v/>
      </c>
      <c r="AF179" s="4" t="str">
        <f>HYPERLINK("http://141.218.60.56/~jnz1568/getInfo.php?workbook=01_01.xlsx&amp;sheet=A0&amp;row=179&amp;col=32&amp;number=&amp;sourceID=18","")</f>
        <v/>
      </c>
      <c r="AG179" s="4" t="str">
        <f>HYPERLINK("http://141.218.60.56/~jnz1568/getInfo.php?workbook=01_01.xlsx&amp;sheet=A0&amp;row=179&amp;col=33&amp;number=&amp;sourceID=18","")</f>
        <v/>
      </c>
      <c r="AH179" s="4" t="str">
        <f>HYPERLINK("http://141.218.60.56/~jnz1568/getInfo.php?workbook=01_01.xlsx&amp;sheet=A0&amp;row=179&amp;col=34&amp;number=&amp;sourceID=20","")</f>
        <v/>
      </c>
    </row>
    <row r="180" spans="1:34">
      <c r="A180" s="3">
        <v>1</v>
      </c>
      <c r="B180" s="3">
        <v>1</v>
      </c>
      <c r="C180" s="3">
        <v>20</v>
      </c>
      <c r="D180" s="3">
        <v>13</v>
      </c>
      <c r="E180" s="3">
        <f>((1/(INDEX(E0!J$4:J$28,C180,1)-INDEX(E0!J$4:J$28,D180,1))))*100000000</f>
        <v>0</v>
      </c>
      <c r="F180" s="4" t="str">
        <f>HYPERLINK("http://141.218.60.56/~jnz1568/getInfo.php?workbook=01_01.xlsx&amp;sheet=A0&amp;row=180&amp;col=6&amp;number=&amp;sourceID=18","")</f>
        <v/>
      </c>
      <c r="G180" s="4" t="str">
        <f>HYPERLINK("http://141.218.60.56/~jnz1568/getInfo.php?workbook=01_01.xlsx&amp;sheet=A0&amp;row=180&amp;col=7&amp;number=&amp;sourceID=15","")</f>
        <v/>
      </c>
      <c r="H180" s="4" t="str">
        <f>HYPERLINK("http://141.218.60.56/~jnz1568/getInfo.php?workbook=01_01.xlsx&amp;sheet=A0&amp;row=180&amp;col=8&amp;number=&amp;sourceID=15","")</f>
        <v/>
      </c>
      <c r="I180" s="4" t="str">
        <f>HYPERLINK("http://141.218.60.56/~jnz1568/getInfo.php?workbook=01_01.xlsx&amp;sheet=A0&amp;row=180&amp;col=9&amp;number=&amp;sourceID=15","")</f>
        <v/>
      </c>
      <c r="J180" s="4" t="str">
        <f>HYPERLINK("http://141.218.60.56/~jnz1568/getInfo.php?workbook=01_01.xlsx&amp;sheet=A0&amp;row=180&amp;col=10&amp;number=&amp;sourceID=15","")</f>
        <v/>
      </c>
      <c r="K180" s="4" t="str">
        <f>HYPERLINK("http://141.218.60.56/~jnz1568/getInfo.php?workbook=01_01.xlsx&amp;sheet=A0&amp;row=180&amp;col=11&amp;number=&amp;sourceID=15","")</f>
        <v/>
      </c>
      <c r="L180" s="4" t="str">
        <f>HYPERLINK("http://141.218.60.56/~jnz1568/getInfo.php?workbook=01_01.xlsx&amp;sheet=A0&amp;row=180&amp;col=12&amp;number=&amp;sourceID=15","")</f>
        <v/>
      </c>
      <c r="M180" s="4" t="str">
        <f>HYPERLINK("http://141.218.60.56/~jnz1568/getInfo.php?workbook=01_01.xlsx&amp;sheet=A0&amp;row=180&amp;col=13&amp;number=&amp;sourceID=15","")</f>
        <v/>
      </c>
      <c r="N180" s="4" t="str">
        <f>HYPERLINK("http://141.218.60.56/~jnz1568/getInfo.php?workbook=01_01.xlsx&amp;sheet=A0&amp;row=180&amp;col=14&amp;number==&amp;sourceID=11","=")</f>
        <v>=</v>
      </c>
      <c r="O180" s="4" t="str">
        <f>HYPERLINK("http://141.218.60.56/~jnz1568/getInfo.php?workbook=01_01.xlsx&amp;sheet=A0&amp;row=180&amp;col=15&amp;number=&amp;sourceID=11","")</f>
        <v/>
      </c>
      <c r="P180" s="4" t="str">
        <f>HYPERLINK("http://141.218.60.56/~jnz1568/getInfo.php?workbook=01_01.xlsx&amp;sheet=A0&amp;row=180&amp;col=16&amp;number=0.22705&amp;sourceID=11","0.22705")</f>
        <v>0.22705</v>
      </c>
      <c r="Q180" s="4" t="str">
        <f>HYPERLINK("http://141.218.60.56/~jnz1568/getInfo.php?workbook=01_01.xlsx&amp;sheet=A0&amp;row=180&amp;col=17&amp;number=&amp;sourceID=11","")</f>
        <v/>
      </c>
      <c r="R180" s="4" t="str">
        <f>HYPERLINK("http://141.218.60.56/~jnz1568/getInfo.php?workbook=01_01.xlsx&amp;sheet=A0&amp;row=180&amp;col=18&amp;number=1.771e-12&amp;sourceID=11","1.771e-12")</f>
        <v>1.771e-12</v>
      </c>
      <c r="S180" s="4" t="str">
        <f>HYPERLINK("http://141.218.60.56/~jnz1568/getInfo.php?workbook=01_01.xlsx&amp;sheet=A0&amp;row=180&amp;col=19&amp;number=&amp;sourceID=11","")</f>
        <v/>
      </c>
      <c r="T180" s="4" t="str">
        <f>HYPERLINK("http://141.218.60.56/~jnz1568/getInfo.php?workbook=01_01.xlsx&amp;sheet=A0&amp;row=180&amp;col=20&amp;number=3.3e-14&amp;sourceID=11","3.3e-14")</f>
        <v>3.3e-14</v>
      </c>
      <c r="U180" s="4" t="str">
        <f>HYPERLINK("http://141.218.60.56/~jnz1568/getInfo.php?workbook=01_01.xlsx&amp;sheet=A0&amp;row=180&amp;col=21&amp;number=0.22717&amp;sourceID=12","0.22717")</f>
        <v>0.22717</v>
      </c>
      <c r="V180" s="4" t="str">
        <f>HYPERLINK("http://141.218.60.56/~jnz1568/getInfo.php?workbook=01_01.xlsx&amp;sheet=A0&amp;row=180&amp;col=22&amp;number=&amp;sourceID=12","")</f>
        <v/>
      </c>
      <c r="W180" s="4" t="str">
        <f>HYPERLINK("http://141.218.60.56/~jnz1568/getInfo.php?workbook=01_01.xlsx&amp;sheet=A0&amp;row=180&amp;col=23&amp;number=0.22717&amp;sourceID=12","0.22717")</f>
        <v>0.22717</v>
      </c>
      <c r="X180" s="4" t="str">
        <f>HYPERLINK("http://141.218.60.56/~jnz1568/getInfo.php?workbook=01_01.xlsx&amp;sheet=A0&amp;row=180&amp;col=24&amp;number=&amp;sourceID=12","")</f>
        <v/>
      </c>
      <c r="Y180" s="4" t="str">
        <f>HYPERLINK("http://141.218.60.56/~jnz1568/getInfo.php?workbook=01_01.xlsx&amp;sheet=A0&amp;row=180&amp;col=25&amp;number=1.761e-12&amp;sourceID=12","1.761e-12")</f>
        <v>1.761e-12</v>
      </c>
      <c r="Z180" s="4" t="str">
        <f>HYPERLINK("http://141.218.60.56/~jnz1568/getInfo.php?workbook=01_01.xlsx&amp;sheet=A0&amp;row=180&amp;col=26&amp;number=&amp;sourceID=12","")</f>
        <v/>
      </c>
      <c r="AA180" s="4" t="str">
        <f>HYPERLINK("http://141.218.60.56/~jnz1568/getInfo.php?workbook=01_01.xlsx&amp;sheet=A0&amp;row=180&amp;col=27&amp;number=3.3e-14&amp;sourceID=12","3.3e-14")</f>
        <v>3.3e-14</v>
      </c>
      <c r="AB180" s="4" t="str">
        <f>HYPERLINK("http://141.218.60.56/~jnz1568/getInfo.php?workbook=01_01.xlsx&amp;sheet=A0&amp;row=180&amp;col=28&amp;number=&amp;sourceID=18","")</f>
        <v/>
      </c>
      <c r="AC180" s="4" t="str">
        <f>HYPERLINK("http://141.218.60.56/~jnz1568/getInfo.php?workbook=01_01.xlsx&amp;sheet=A0&amp;row=180&amp;col=29&amp;number=&amp;sourceID=18","")</f>
        <v/>
      </c>
      <c r="AD180" s="4" t="str">
        <f>HYPERLINK("http://141.218.60.56/~jnz1568/getInfo.php?workbook=01_01.xlsx&amp;sheet=A0&amp;row=180&amp;col=30&amp;number=&amp;sourceID=18","")</f>
        <v/>
      </c>
      <c r="AE180" s="4" t="str">
        <f>HYPERLINK("http://141.218.60.56/~jnz1568/getInfo.php?workbook=01_01.xlsx&amp;sheet=A0&amp;row=180&amp;col=31&amp;number=&amp;sourceID=18","")</f>
        <v/>
      </c>
      <c r="AF180" s="4" t="str">
        <f>HYPERLINK("http://141.218.60.56/~jnz1568/getInfo.php?workbook=01_01.xlsx&amp;sheet=A0&amp;row=180&amp;col=32&amp;number=&amp;sourceID=18","")</f>
        <v/>
      </c>
      <c r="AG180" s="4" t="str">
        <f>HYPERLINK("http://141.218.60.56/~jnz1568/getInfo.php?workbook=01_01.xlsx&amp;sheet=A0&amp;row=180&amp;col=33&amp;number=&amp;sourceID=18","")</f>
        <v/>
      </c>
      <c r="AH180" s="4" t="str">
        <f>HYPERLINK("http://141.218.60.56/~jnz1568/getInfo.php?workbook=01_01.xlsx&amp;sheet=A0&amp;row=180&amp;col=34&amp;number=&amp;sourceID=20","")</f>
        <v/>
      </c>
    </row>
    <row r="181" spans="1:34">
      <c r="A181" s="3">
        <v>1</v>
      </c>
      <c r="B181" s="3">
        <v>1</v>
      </c>
      <c r="C181" s="3">
        <v>20</v>
      </c>
      <c r="D181" s="3">
        <v>14</v>
      </c>
      <c r="E181" s="3">
        <f>((1/(INDEX(E0!J$4:J$28,C181,1)-INDEX(E0!J$4:J$28,D181,1))))*100000000</f>
        <v>0</v>
      </c>
      <c r="F181" s="4" t="str">
        <f>HYPERLINK("http://141.218.60.56/~jnz1568/getInfo.php?workbook=01_01.xlsx&amp;sheet=A0&amp;row=181&amp;col=6&amp;number=&amp;sourceID=18","")</f>
        <v/>
      </c>
      <c r="G181" s="4" t="str">
        <f>HYPERLINK("http://141.218.60.56/~jnz1568/getInfo.php?workbook=01_01.xlsx&amp;sheet=A0&amp;row=181&amp;col=7&amp;number=169620&amp;sourceID=15","169620")</f>
        <v>169620</v>
      </c>
      <c r="H181" s="4" t="str">
        <f>HYPERLINK("http://141.218.60.56/~jnz1568/getInfo.php?workbook=01_01.xlsx&amp;sheet=A0&amp;row=181&amp;col=8&amp;number=169620&amp;sourceID=15","169620")</f>
        <v>169620</v>
      </c>
      <c r="I181" s="4" t="str">
        <f>HYPERLINK("http://141.218.60.56/~jnz1568/getInfo.php?workbook=01_01.xlsx&amp;sheet=A0&amp;row=181&amp;col=9&amp;number=&amp;sourceID=15","")</f>
        <v/>
      </c>
      <c r="J181" s="4" t="str">
        <f>HYPERLINK("http://141.218.60.56/~jnz1568/getInfo.php?workbook=01_01.xlsx&amp;sheet=A0&amp;row=181&amp;col=10&amp;number=&amp;sourceID=15","")</f>
        <v/>
      </c>
      <c r="K181" s="4" t="str">
        <f>HYPERLINK("http://141.218.60.56/~jnz1568/getInfo.php?workbook=01_01.xlsx&amp;sheet=A0&amp;row=181&amp;col=11&amp;number=&amp;sourceID=15","")</f>
        <v/>
      </c>
      <c r="L181" s="4" t="str">
        <f>HYPERLINK("http://141.218.60.56/~jnz1568/getInfo.php?workbook=01_01.xlsx&amp;sheet=A0&amp;row=181&amp;col=12&amp;number=&amp;sourceID=15","")</f>
        <v/>
      </c>
      <c r="M181" s="4" t="str">
        <f>HYPERLINK("http://141.218.60.56/~jnz1568/getInfo.php?workbook=01_01.xlsx&amp;sheet=A0&amp;row=181&amp;col=13&amp;number=&amp;sourceID=15","")</f>
        <v/>
      </c>
      <c r="N181" s="4" t="str">
        <f>HYPERLINK("http://141.218.60.56/~jnz1568/getInfo.php?workbook=01_01.xlsx&amp;sheet=A0&amp;row=181&amp;col=14&amp;number==&amp;sourceID=11","=")</f>
        <v>=</v>
      </c>
      <c r="O181" s="4" t="str">
        <f>HYPERLINK("http://141.218.60.56/~jnz1568/getInfo.php?workbook=01_01.xlsx&amp;sheet=A0&amp;row=181&amp;col=15&amp;number=169620&amp;sourceID=11","169620")</f>
        <v>169620</v>
      </c>
      <c r="P181" s="4" t="str">
        <f>HYPERLINK("http://141.218.60.56/~jnz1568/getInfo.php?workbook=01_01.xlsx&amp;sheet=A0&amp;row=181&amp;col=16&amp;number=&amp;sourceID=11","")</f>
        <v/>
      </c>
      <c r="Q181" s="4" t="str">
        <f>HYPERLINK("http://141.218.60.56/~jnz1568/getInfo.php?workbook=01_01.xlsx&amp;sheet=A0&amp;row=181&amp;col=17&amp;number=3.0782e-08&amp;sourceID=11","3.0782e-08")</f>
        <v>3.0782e-08</v>
      </c>
      <c r="R181" s="4" t="str">
        <f>HYPERLINK("http://141.218.60.56/~jnz1568/getInfo.php?workbook=01_01.xlsx&amp;sheet=A0&amp;row=181&amp;col=18&amp;number=&amp;sourceID=11","")</f>
        <v/>
      </c>
      <c r="S181" s="4" t="str">
        <f>HYPERLINK("http://141.218.60.56/~jnz1568/getInfo.php?workbook=01_01.xlsx&amp;sheet=A0&amp;row=181&amp;col=19&amp;number=1.4796e-08&amp;sourceID=11","1.4796e-08")</f>
        <v>1.4796e-08</v>
      </c>
      <c r="T181" s="4" t="str">
        <f>HYPERLINK("http://141.218.60.56/~jnz1568/getInfo.php?workbook=01_01.xlsx&amp;sheet=A0&amp;row=181&amp;col=20&amp;number=&amp;sourceID=11","")</f>
        <v/>
      </c>
      <c r="U181" s="4" t="str">
        <f>HYPERLINK("http://141.218.60.56/~jnz1568/getInfo.php?workbook=01_01.xlsx&amp;sheet=A0&amp;row=181&amp;col=21&amp;number=169710&amp;sourceID=12","169710")</f>
        <v>169710</v>
      </c>
      <c r="V181" s="4" t="str">
        <f>HYPERLINK("http://141.218.60.56/~jnz1568/getInfo.php?workbook=01_01.xlsx&amp;sheet=A0&amp;row=181&amp;col=22&amp;number=169710&amp;sourceID=12","169710")</f>
        <v>169710</v>
      </c>
      <c r="W181" s="4" t="str">
        <f>HYPERLINK("http://141.218.60.56/~jnz1568/getInfo.php?workbook=01_01.xlsx&amp;sheet=A0&amp;row=181&amp;col=23&amp;number=&amp;sourceID=12","")</f>
        <v/>
      </c>
      <c r="X181" s="4" t="str">
        <f>HYPERLINK("http://141.218.60.56/~jnz1568/getInfo.php?workbook=01_01.xlsx&amp;sheet=A0&amp;row=181&amp;col=24&amp;number=3.0799e-08&amp;sourceID=12","3.0799e-08")</f>
        <v>3.0799e-08</v>
      </c>
      <c r="Y181" s="4" t="str">
        <f>HYPERLINK("http://141.218.60.56/~jnz1568/getInfo.php?workbook=01_01.xlsx&amp;sheet=A0&amp;row=181&amp;col=25&amp;number=&amp;sourceID=12","")</f>
        <v/>
      </c>
      <c r="Z181" s="4" t="str">
        <f>HYPERLINK("http://141.218.60.56/~jnz1568/getInfo.php?workbook=01_01.xlsx&amp;sheet=A0&amp;row=181&amp;col=26&amp;number=1.4804e-08&amp;sourceID=12","1.4804e-08")</f>
        <v>1.4804e-08</v>
      </c>
      <c r="AA181" s="4" t="str">
        <f>HYPERLINK("http://141.218.60.56/~jnz1568/getInfo.php?workbook=01_01.xlsx&amp;sheet=A0&amp;row=181&amp;col=27&amp;number=&amp;sourceID=12","")</f>
        <v/>
      </c>
      <c r="AB181" s="4" t="str">
        <f>HYPERLINK("http://141.218.60.56/~jnz1568/getInfo.php?workbook=01_01.xlsx&amp;sheet=A0&amp;row=181&amp;col=28&amp;number=&amp;sourceID=18","")</f>
        <v/>
      </c>
      <c r="AC181" s="4" t="str">
        <f>HYPERLINK("http://141.218.60.56/~jnz1568/getInfo.php?workbook=01_01.xlsx&amp;sheet=A0&amp;row=181&amp;col=29&amp;number=&amp;sourceID=18","")</f>
        <v/>
      </c>
      <c r="AD181" s="4" t="str">
        <f>HYPERLINK("http://141.218.60.56/~jnz1568/getInfo.php?workbook=01_01.xlsx&amp;sheet=A0&amp;row=181&amp;col=30&amp;number=&amp;sourceID=18","")</f>
        <v/>
      </c>
      <c r="AE181" s="4" t="str">
        <f>HYPERLINK("http://141.218.60.56/~jnz1568/getInfo.php?workbook=01_01.xlsx&amp;sheet=A0&amp;row=181&amp;col=31&amp;number=&amp;sourceID=18","")</f>
        <v/>
      </c>
      <c r="AF181" s="4" t="str">
        <f>HYPERLINK("http://141.218.60.56/~jnz1568/getInfo.php?workbook=01_01.xlsx&amp;sheet=A0&amp;row=181&amp;col=32&amp;number=&amp;sourceID=18","")</f>
        <v/>
      </c>
      <c r="AG181" s="4" t="str">
        <f>HYPERLINK("http://141.218.60.56/~jnz1568/getInfo.php?workbook=01_01.xlsx&amp;sheet=A0&amp;row=181&amp;col=33&amp;number=&amp;sourceID=18","")</f>
        <v/>
      </c>
      <c r="AH181" s="4" t="str">
        <f>HYPERLINK("http://141.218.60.56/~jnz1568/getInfo.php?workbook=01_01.xlsx&amp;sheet=A0&amp;row=181&amp;col=34&amp;number=&amp;sourceID=20","")</f>
        <v/>
      </c>
    </row>
    <row r="182" spans="1:34">
      <c r="A182" s="3">
        <v>1</v>
      </c>
      <c r="B182" s="3">
        <v>1</v>
      </c>
      <c r="C182" s="3">
        <v>20</v>
      </c>
      <c r="D182" s="3">
        <v>15</v>
      </c>
      <c r="E182" s="3">
        <f>((1/(INDEX(E0!J$4:J$28,C182,1)-INDEX(E0!J$4:J$28,D182,1))))*100000000</f>
        <v>0</v>
      </c>
      <c r="F182" s="4" t="str">
        <f>HYPERLINK("http://141.218.60.56/~jnz1568/getInfo.php?workbook=01_01.xlsx&amp;sheet=A0&amp;row=182&amp;col=6&amp;number=&amp;sourceID=18","")</f>
        <v/>
      </c>
      <c r="G182" s="4" t="str">
        <f>HYPERLINK("http://141.218.60.56/~jnz1568/getInfo.php?workbook=01_01.xlsx&amp;sheet=A0&amp;row=182&amp;col=7&amp;number=&amp;sourceID=15","")</f>
        <v/>
      </c>
      <c r="H182" s="4" t="str">
        <f>HYPERLINK("http://141.218.60.56/~jnz1568/getInfo.php?workbook=01_01.xlsx&amp;sheet=A0&amp;row=182&amp;col=8&amp;number=&amp;sourceID=15","")</f>
        <v/>
      </c>
      <c r="I182" s="4" t="str">
        <f>HYPERLINK("http://141.218.60.56/~jnz1568/getInfo.php?workbook=01_01.xlsx&amp;sheet=A0&amp;row=182&amp;col=9&amp;number=&amp;sourceID=15","")</f>
        <v/>
      </c>
      <c r="J182" s="4" t="str">
        <f>HYPERLINK("http://141.218.60.56/~jnz1568/getInfo.php?workbook=01_01.xlsx&amp;sheet=A0&amp;row=182&amp;col=10&amp;number=&amp;sourceID=15","")</f>
        <v/>
      </c>
      <c r="K182" s="4" t="str">
        <f>HYPERLINK("http://141.218.60.56/~jnz1568/getInfo.php?workbook=01_01.xlsx&amp;sheet=A0&amp;row=182&amp;col=11&amp;number=&amp;sourceID=15","")</f>
        <v/>
      </c>
      <c r="L182" s="4" t="str">
        <f>HYPERLINK("http://141.218.60.56/~jnz1568/getInfo.php?workbook=01_01.xlsx&amp;sheet=A0&amp;row=182&amp;col=12&amp;number=&amp;sourceID=15","")</f>
        <v/>
      </c>
      <c r="M182" s="4" t="str">
        <f>HYPERLINK("http://141.218.60.56/~jnz1568/getInfo.php?workbook=01_01.xlsx&amp;sheet=A0&amp;row=182&amp;col=13&amp;number=&amp;sourceID=15","")</f>
        <v/>
      </c>
      <c r="N182" s="4" t="str">
        <f>HYPERLINK("http://141.218.60.56/~jnz1568/getInfo.php?workbook=01_01.xlsx&amp;sheet=A0&amp;row=182&amp;col=14&amp;number==&amp;sourceID=11","=")</f>
        <v>=</v>
      </c>
      <c r="O182" s="4" t="str">
        <f>HYPERLINK("http://141.218.60.56/~jnz1568/getInfo.php?workbook=01_01.xlsx&amp;sheet=A0&amp;row=182&amp;col=15&amp;number=&amp;sourceID=11","")</f>
        <v/>
      </c>
      <c r="P182" s="4" t="str">
        <f>HYPERLINK("http://141.218.60.56/~jnz1568/getInfo.php?workbook=01_01.xlsx&amp;sheet=A0&amp;row=182&amp;col=16&amp;number=0.006727&amp;sourceID=11","0.006727")</f>
        <v>0.006727</v>
      </c>
      <c r="Q182" s="4" t="str">
        <f>HYPERLINK("http://141.218.60.56/~jnz1568/getInfo.php?workbook=01_01.xlsx&amp;sheet=A0&amp;row=182&amp;col=17&amp;number=&amp;sourceID=11","")</f>
        <v/>
      </c>
      <c r="R182" s="4" t="str">
        <f>HYPERLINK("http://141.218.60.56/~jnz1568/getInfo.php?workbook=01_01.xlsx&amp;sheet=A0&amp;row=182&amp;col=18&amp;number=0&amp;sourceID=11","0")</f>
        <v>0</v>
      </c>
      <c r="S182" s="4" t="str">
        <f>HYPERLINK("http://141.218.60.56/~jnz1568/getInfo.php?workbook=01_01.xlsx&amp;sheet=A0&amp;row=182&amp;col=19&amp;number=&amp;sourceID=11","")</f>
        <v/>
      </c>
      <c r="T182" s="4" t="str">
        <f>HYPERLINK("http://141.218.60.56/~jnz1568/getInfo.php?workbook=01_01.xlsx&amp;sheet=A0&amp;row=182&amp;col=20&amp;number=0&amp;sourceID=11","0")</f>
        <v>0</v>
      </c>
      <c r="U182" s="4" t="str">
        <f>HYPERLINK("http://141.218.60.56/~jnz1568/getInfo.php?workbook=01_01.xlsx&amp;sheet=A0&amp;row=182&amp;col=21&amp;number=0.0067307&amp;sourceID=12","0.0067307")</f>
        <v>0.0067307</v>
      </c>
      <c r="V182" s="4" t="str">
        <f>HYPERLINK("http://141.218.60.56/~jnz1568/getInfo.php?workbook=01_01.xlsx&amp;sheet=A0&amp;row=182&amp;col=22&amp;number=&amp;sourceID=12","")</f>
        <v/>
      </c>
      <c r="W182" s="4" t="str">
        <f>HYPERLINK("http://141.218.60.56/~jnz1568/getInfo.php?workbook=01_01.xlsx&amp;sheet=A0&amp;row=182&amp;col=23&amp;number=0.0067307&amp;sourceID=12","0.0067307")</f>
        <v>0.0067307</v>
      </c>
      <c r="X182" s="4" t="str">
        <f>HYPERLINK("http://141.218.60.56/~jnz1568/getInfo.php?workbook=01_01.xlsx&amp;sheet=A0&amp;row=182&amp;col=24&amp;number=&amp;sourceID=12","")</f>
        <v/>
      </c>
      <c r="Y182" s="4" t="str">
        <f>HYPERLINK("http://141.218.60.56/~jnz1568/getInfo.php?workbook=01_01.xlsx&amp;sheet=A0&amp;row=182&amp;col=25&amp;number=0&amp;sourceID=12","0")</f>
        <v>0</v>
      </c>
      <c r="Z182" s="4" t="str">
        <f>HYPERLINK("http://141.218.60.56/~jnz1568/getInfo.php?workbook=01_01.xlsx&amp;sheet=A0&amp;row=182&amp;col=26&amp;number=&amp;sourceID=12","")</f>
        <v/>
      </c>
      <c r="AA182" s="4" t="str">
        <f>HYPERLINK("http://141.218.60.56/~jnz1568/getInfo.php?workbook=01_01.xlsx&amp;sheet=A0&amp;row=182&amp;col=27&amp;number=0&amp;sourceID=12","0")</f>
        <v>0</v>
      </c>
      <c r="AB182" s="4" t="str">
        <f>HYPERLINK("http://141.218.60.56/~jnz1568/getInfo.php?workbook=01_01.xlsx&amp;sheet=A0&amp;row=182&amp;col=28&amp;number=&amp;sourceID=18","")</f>
        <v/>
      </c>
      <c r="AC182" s="4" t="str">
        <f>HYPERLINK("http://141.218.60.56/~jnz1568/getInfo.php?workbook=01_01.xlsx&amp;sheet=A0&amp;row=182&amp;col=29&amp;number=&amp;sourceID=18","")</f>
        <v/>
      </c>
      <c r="AD182" s="4" t="str">
        <f>HYPERLINK("http://141.218.60.56/~jnz1568/getInfo.php?workbook=01_01.xlsx&amp;sheet=A0&amp;row=182&amp;col=30&amp;number=&amp;sourceID=18","")</f>
        <v/>
      </c>
      <c r="AE182" s="4" t="str">
        <f>HYPERLINK("http://141.218.60.56/~jnz1568/getInfo.php?workbook=01_01.xlsx&amp;sheet=A0&amp;row=182&amp;col=31&amp;number=&amp;sourceID=18","")</f>
        <v/>
      </c>
      <c r="AF182" s="4" t="str">
        <f>HYPERLINK("http://141.218.60.56/~jnz1568/getInfo.php?workbook=01_01.xlsx&amp;sheet=A0&amp;row=182&amp;col=32&amp;number=&amp;sourceID=18","")</f>
        <v/>
      </c>
      <c r="AG182" s="4" t="str">
        <f>HYPERLINK("http://141.218.60.56/~jnz1568/getInfo.php?workbook=01_01.xlsx&amp;sheet=A0&amp;row=182&amp;col=33&amp;number=&amp;sourceID=18","")</f>
        <v/>
      </c>
      <c r="AH182" s="4" t="str">
        <f>HYPERLINK("http://141.218.60.56/~jnz1568/getInfo.php?workbook=01_01.xlsx&amp;sheet=A0&amp;row=182&amp;col=34&amp;number=&amp;sourceID=20","")</f>
        <v/>
      </c>
    </row>
    <row r="183" spans="1:34">
      <c r="A183" s="3">
        <v>1</v>
      </c>
      <c r="B183" s="3">
        <v>1</v>
      </c>
      <c r="C183" s="3">
        <v>20</v>
      </c>
      <c r="D183" s="3">
        <v>16</v>
      </c>
      <c r="E183" s="3">
        <f>((1/(INDEX(E0!J$4:J$28,C183,1)-INDEX(E0!J$4:J$28,D183,1))))*100000000</f>
        <v>0</v>
      </c>
      <c r="F183" s="4" t="str">
        <f>HYPERLINK("http://141.218.60.56/~jnz1568/getInfo.php?workbook=01_01.xlsx&amp;sheet=A0&amp;row=183&amp;col=6&amp;number=&amp;sourceID=18","")</f>
        <v/>
      </c>
      <c r="G183" s="4" t="str">
        <f>HYPERLINK("http://141.218.60.56/~jnz1568/getInfo.php?workbook=01_01.xlsx&amp;sheet=A0&amp;row=183&amp;col=7&amp;number=&amp;sourceID=15","")</f>
        <v/>
      </c>
      <c r="H183" s="4" t="str">
        <f>HYPERLINK("http://141.218.60.56/~jnz1568/getInfo.php?workbook=01_01.xlsx&amp;sheet=A0&amp;row=183&amp;col=8&amp;number=&amp;sourceID=15","")</f>
        <v/>
      </c>
      <c r="I183" s="4" t="str">
        <f>HYPERLINK("http://141.218.60.56/~jnz1568/getInfo.php?workbook=01_01.xlsx&amp;sheet=A0&amp;row=183&amp;col=9&amp;number=&amp;sourceID=15","")</f>
        <v/>
      </c>
      <c r="J183" s="4" t="str">
        <f>HYPERLINK("http://141.218.60.56/~jnz1568/getInfo.php?workbook=01_01.xlsx&amp;sheet=A0&amp;row=183&amp;col=10&amp;number=&amp;sourceID=15","")</f>
        <v/>
      </c>
      <c r="K183" s="4" t="str">
        <f>HYPERLINK("http://141.218.60.56/~jnz1568/getInfo.php?workbook=01_01.xlsx&amp;sheet=A0&amp;row=183&amp;col=11&amp;number=&amp;sourceID=15","")</f>
        <v/>
      </c>
      <c r="L183" s="4" t="str">
        <f>HYPERLINK("http://141.218.60.56/~jnz1568/getInfo.php?workbook=01_01.xlsx&amp;sheet=A0&amp;row=183&amp;col=12&amp;number=&amp;sourceID=15","")</f>
        <v/>
      </c>
      <c r="M183" s="4" t="str">
        <f>HYPERLINK("http://141.218.60.56/~jnz1568/getInfo.php?workbook=01_01.xlsx&amp;sheet=A0&amp;row=183&amp;col=13&amp;number=&amp;sourceID=15","")</f>
        <v/>
      </c>
      <c r="N183" s="4" t="str">
        <f>HYPERLINK("http://141.218.60.56/~jnz1568/getInfo.php?workbook=01_01.xlsx&amp;sheet=A0&amp;row=183&amp;col=14&amp;number==&amp;sourceID=11","=")</f>
        <v>=</v>
      </c>
      <c r="O183" s="4" t="str">
        <f>HYPERLINK("http://141.218.60.56/~jnz1568/getInfo.php?workbook=01_01.xlsx&amp;sheet=A0&amp;row=183&amp;col=15&amp;number=&amp;sourceID=11","")</f>
        <v/>
      </c>
      <c r="P183" s="4" t="str">
        <f>HYPERLINK("http://141.218.60.56/~jnz1568/getInfo.php?workbook=01_01.xlsx&amp;sheet=A0&amp;row=183&amp;col=16&amp;number=0.040362&amp;sourceID=11","0.040362")</f>
        <v>0.040362</v>
      </c>
      <c r="Q183" s="4" t="str">
        <f>HYPERLINK("http://141.218.60.56/~jnz1568/getInfo.php?workbook=01_01.xlsx&amp;sheet=A0&amp;row=183&amp;col=17&amp;number=&amp;sourceID=11","")</f>
        <v/>
      </c>
      <c r="R183" s="4" t="str">
        <f>HYPERLINK("http://141.218.60.56/~jnz1568/getInfo.php?workbook=01_01.xlsx&amp;sheet=A0&amp;row=183&amp;col=18&amp;number=&amp;sourceID=11","")</f>
        <v/>
      </c>
      <c r="S183" s="4" t="str">
        <f>HYPERLINK("http://141.218.60.56/~jnz1568/getInfo.php?workbook=01_01.xlsx&amp;sheet=A0&amp;row=183&amp;col=19&amp;number=&amp;sourceID=11","")</f>
        <v/>
      </c>
      <c r="T183" s="4" t="str">
        <f>HYPERLINK("http://141.218.60.56/~jnz1568/getInfo.php?workbook=01_01.xlsx&amp;sheet=A0&amp;row=183&amp;col=20&amp;number=3e-15&amp;sourceID=11","3e-15")</f>
        <v>3e-15</v>
      </c>
      <c r="U183" s="4" t="str">
        <f>HYPERLINK("http://141.218.60.56/~jnz1568/getInfo.php?workbook=01_01.xlsx&amp;sheet=A0&amp;row=183&amp;col=21&amp;number=0.040384&amp;sourceID=12","0.040384")</f>
        <v>0.040384</v>
      </c>
      <c r="V183" s="4" t="str">
        <f>HYPERLINK("http://141.218.60.56/~jnz1568/getInfo.php?workbook=01_01.xlsx&amp;sheet=A0&amp;row=183&amp;col=22&amp;number=&amp;sourceID=12","")</f>
        <v/>
      </c>
      <c r="W183" s="4" t="str">
        <f>HYPERLINK("http://141.218.60.56/~jnz1568/getInfo.php?workbook=01_01.xlsx&amp;sheet=A0&amp;row=183&amp;col=23&amp;number=0.040384&amp;sourceID=12","0.040384")</f>
        <v>0.040384</v>
      </c>
      <c r="X183" s="4" t="str">
        <f>HYPERLINK("http://141.218.60.56/~jnz1568/getInfo.php?workbook=01_01.xlsx&amp;sheet=A0&amp;row=183&amp;col=24&amp;number=&amp;sourceID=12","")</f>
        <v/>
      </c>
      <c r="Y183" s="4" t="str">
        <f>HYPERLINK("http://141.218.60.56/~jnz1568/getInfo.php?workbook=01_01.xlsx&amp;sheet=A0&amp;row=183&amp;col=25&amp;number=&amp;sourceID=12","")</f>
        <v/>
      </c>
      <c r="Z183" s="4" t="str">
        <f>HYPERLINK("http://141.218.60.56/~jnz1568/getInfo.php?workbook=01_01.xlsx&amp;sheet=A0&amp;row=183&amp;col=26&amp;number=&amp;sourceID=12","")</f>
        <v/>
      </c>
      <c r="AA183" s="4" t="str">
        <f>HYPERLINK("http://141.218.60.56/~jnz1568/getInfo.php?workbook=01_01.xlsx&amp;sheet=A0&amp;row=183&amp;col=27&amp;number=3e-15&amp;sourceID=12","3e-15")</f>
        <v>3e-15</v>
      </c>
      <c r="AB183" s="4" t="str">
        <f>HYPERLINK("http://141.218.60.56/~jnz1568/getInfo.php?workbook=01_01.xlsx&amp;sheet=A0&amp;row=183&amp;col=28&amp;number=&amp;sourceID=18","")</f>
        <v/>
      </c>
      <c r="AC183" s="4" t="str">
        <f>HYPERLINK("http://141.218.60.56/~jnz1568/getInfo.php?workbook=01_01.xlsx&amp;sheet=A0&amp;row=183&amp;col=29&amp;number=&amp;sourceID=18","")</f>
        <v/>
      </c>
      <c r="AD183" s="4" t="str">
        <f>HYPERLINK("http://141.218.60.56/~jnz1568/getInfo.php?workbook=01_01.xlsx&amp;sheet=A0&amp;row=183&amp;col=30&amp;number=&amp;sourceID=18","")</f>
        <v/>
      </c>
      <c r="AE183" s="4" t="str">
        <f>HYPERLINK("http://141.218.60.56/~jnz1568/getInfo.php?workbook=01_01.xlsx&amp;sheet=A0&amp;row=183&amp;col=31&amp;number=&amp;sourceID=18","")</f>
        <v/>
      </c>
      <c r="AF183" s="4" t="str">
        <f>HYPERLINK("http://141.218.60.56/~jnz1568/getInfo.php?workbook=01_01.xlsx&amp;sheet=A0&amp;row=183&amp;col=32&amp;number=&amp;sourceID=18","")</f>
        <v/>
      </c>
      <c r="AG183" s="4" t="str">
        <f>HYPERLINK("http://141.218.60.56/~jnz1568/getInfo.php?workbook=01_01.xlsx&amp;sheet=A0&amp;row=183&amp;col=33&amp;number=&amp;sourceID=18","")</f>
        <v/>
      </c>
      <c r="AH183" s="4" t="str">
        <f>HYPERLINK("http://141.218.60.56/~jnz1568/getInfo.php?workbook=01_01.xlsx&amp;sheet=A0&amp;row=183&amp;col=34&amp;number=&amp;sourceID=20","")</f>
        <v/>
      </c>
    </row>
    <row r="184" spans="1:34">
      <c r="A184" s="3">
        <v>1</v>
      </c>
      <c r="B184" s="3">
        <v>1</v>
      </c>
      <c r="C184" s="3">
        <v>20</v>
      </c>
      <c r="D184" s="3">
        <v>17</v>
      </c>
      <c r="E184" s="3">
        <f>((1/(INDEX(E0!J$4:J$28,C184,1)-INDEX(E0!J$4:J$28,D184,1))))*100000000</f>
        <v>0</v>
      </c>
      <c r="F184" s="4" t="str">
        <f>HYPERLINK("http://141.218.60.56/~jnz1568/getInfo.php?workbook=01_01.xlsx&amp;sheet=A0&amp;row=184&amp;col=6&amp;number=&amp;sourceID=18","")</f>
        <v/>
      </c>
      <c r="G184" s="4" t="str">
        <f>HYPERLINK("http://141.218.60.56/~jnz1568/getInfo.php?workbook=01_01.xlsx&amp;sheet=A0&amp;row=184&amp;col=7&amp;number=&amp;sourceID=15","")</f>
        <v/>
      </c>
      <c r="H184" s="4" t="str">
        <f>HYPERLINK("http://141.218.60.56/~jnz1568/getInfo.php?workbook=01_01.xlsx&amp;sheet=A0&amp;row=184&amp;col=8&amp;number=&amp;sourceID=15","")</f>
        <v/>
      </c>
      <c r="I184" s="4" t="str">
        <f>HYPERLINK("http://141.218.60.56/~jnz1568/getInfo.php?workbook=01_01.xlsx&amp;sheet=A0&amp;row=184&amp;col=9&amp;number=&amp;sourceID=15","")</f>
        <v/>
      </c>
      <c r="J184" s="4" t="str">
        <f>HYPERLINK("http://141.218.60.56/~jnz1568/getInfo.php?workbook=01_01.xlsx&amp;sheet=A0&amp;row=184&amp;col=10&amp;number=&amp;sourceID=15","")</f>
        <v/>
      </c>
      <c r="K184" s="4" t="str">
        <f>HYPERLINK("http://141.218.60.56/~jnz1568/getInfo.php?workbook=01_01.xlsx&amp;sheet=A0&amp;row=184&amp;col=11&amp;number=&amp;sourceID=15","")</f>
        <v/>
      </c>
      <c r="L184" s="4" t="str">
        <f>HYPERLINK("http://141.218.60.56/~jnz1568/getInfo.php?workbook=01_01.xlsx&amp;sheet=A0&amp;row=184&amp;col=12&amp;number=&amp;sourceID=15","")</f>
        <v/>
      </c>
      <c r="M184" s="4" t="str">
        <f>HYPERLINK("http://141.218.60.56/~jnz1568/getInfo.php?workbook=01_01.xlsx&amp;sheet=A0&amp;row=184&amp;col=13&amp;number=&amp;sourceID=15","")</f>
        <v/>
      </c>
      <c r="N184" s="4" t="str">
        <f>HYPERLINK("http://141.218.60.56/~jnz1568/getInfo.php?workbook=01_01.xlsx&amp;sheet=A0&amp;row=184&amp;col=14&amp;number==&amp;sourceID=11","=")</f>
        <v>=</v>
      </c>
      <c r="O184" s="4" t="str">
        <f>HYPERLINK("http://141.218.60.56/~jnz1568/getInfo.php?workbook=01_01.xlsx&amp;sheet=A0&amp;row=184&amp;col=15&amp;number=&amp;sourceID=11","")</f>
        <v/>
      </c>
      <c r="P184" s="4" t="str">
        <f>HYPERLINK("http://141.218.60.56/~jnz1568/getInfo.php?workbook=01_01.xlsx&amp;sheet=A0&amp;row=184&amp;col=16&amp;number=0&amp;sourceID=11","0")</f>
        <v>0</v>
      </c>
      <c r="Q184" s="4" t="str">
        <f>HYPERLINK("http://141.218.60.56/~jnz1568/getInfo.php?workbook=01_01.xlsx&amp;sheet=A0&amp;row=184&amp;col=17&amp;number=&amp;sourceID=11","")</f>
        <v/>
      </c>
      <c r="R184" s="4" t="str">
        <f>HYPERLINK("http://141.218.60.56/~jnz1568/getInfo.php?workbook=01_01.xlsx&amp;sheet=A0&amp;row=184&amp;col=18&amp;number=0&amp;sourceID=11","0")</f>
        <v>0</v>
      </c>
      <c r="S184" s="4" t="str">
        <f>HYPERLINK("http://141.218.60.56/~jnz1568/getInfo.php?workbook=01_01.xlsx&amp;sheet=A0&amp;row=184&amp;col=19&amp;number=&amp;sourceID=11","")</f>
        <v/>
      </c>
      <c r="T184" s="4" t="str">
        <f>HYPERLINK("http://141.218.60.56/~jnz1568/getInfo.php?workbook=01_01.xlsx&amp;sheet=A0&amp;row=184&amp;col=20&amp;number=&amp;sourceID=11","")</f>
        <v/>
      </c>
      <c r="U184" s="4" t="str">
        <f>HYPERLINK("http://141.218.60.56/~jnz1568/getInfo.php?workbook=01_01.xlsx&amp;sheet=A0&amp;row=184&amp;col=21&amp;number=0&amp;sourceID=12","0")</f>
        <v>0</v>
      </c>
      <c r="V184" s="4" t="str">
        <f>HYPERLINK("http://141.218.60.56/~jnz1568/getInfo.php?workbook=01_01.xlsx&amp;sheet=A0&amp;row=184&amp;col=22&amp;number=&amp;sourceID=12","")</f>
        <v/>
      </c>
      <c r="W184" s="4" t="str">
        <f>HYPERLINK("http://141.218.60.56/~jnz1568/getInfo.php?workbook=01_01.xlsx&amp;sheet=A0&amp;row=184&amp;col=23&amp;number=0&amp;sourceID=12","0")</f>
        <v>0</v>
      </c>
      <c r="X184" s="4" t="str">
        <f>HYPERLINK("http://141.218.60.56/~jnz1568/getInfo.php?workbook=01_01.xlsx&amp;sheet=A0&amp;row=184&amp;col=24&amp;number=&amp;sourceID=12","")</f>
        <v/>
      </c>
      <c r="Y184" s="4" t="str">
        <f>HYPERLINK("http://141.218.60.56/~jnz1568/getInfo.php?workbook=01_01.xlsx&amp;sheet=A0&amp;row=184&amp;col=25&amp;number=0&amp;sourceID=12","0")</f>
        <v>0</v>
      </c>
      <c r="Z184" s="4" t="str">
        <f>HYPERLINK("http://141.218.60.56/~jnz1568/getInfo.php?workbook=01_01.xlsx&amp;sheet=A0&amp;row=184&amp;col=26&amp;number=&amp;sourceID=12","")</f>
        <v/>
      </c>
      <c r="AA184" s="4" t="str">
        <f>HYPERLINK("http://141.218.60.56/~jnz1568/getInfo.php?workbook=01_01.xlsx&amp;sheet=A0&amp;row=184&amp;col=27&amp;number=&amp;sourceID=12","")</f>
        <v/>
      </c>
      <c r="AB184" s="4" t="str">
        <f>HYPERLINK("http://141.218.60.56/~jnz1568/getInfo.php?workbook=01_01.xlsx&amp;sheet=A0&amp;row=184&amp;col=28&amp;number=&amp;sourceID=18","")</f>
        <v/>
      </c>
      <c r="AC184" s="4" t="str">
        <f>HYPERLINK("http://141.218.60.56/~jnz1568/getInfo.php?workbook=01_01.xlsx&amp;sheet=A0&amp;row=184&amp;col=29&amp;number=&amp;sourceID=18","")</f>
        <v/>
      </c>
      <c r="AD184" s="4" t="str">
        <f>HYPERLINK("http://141.218.60.56/~jnz1568/getInfo.php?workbook=01_01.xlsx&amp;sheet=A0&amp;row=184&amp;col=30&amp;number=&amp;sourceID=18","")</f>
        <v/>
      </c>
      <c r="AE184" s="4" t="str">
        <f>HYPERLINK("http://141.218.60.56/~jnz1568/getInfo.php?workbook=01_01.xlsx&amp;sheet=A0&amp;row=184&amp;col=31&amp;number=&amp;sourceID=18","")</f>
        <v/>
      </c>
      <c r="AF184" s="4" t="str">
        <f>HYPERLINK("http://141.218.60.56/~jnz1568/getInfo.php?workbook=01_01.xlsx&amp;sheet=A0&amp;row=184&amp;col=32&amp;number=&amp;sourceID=18","")</f>
        <v/>
      </c>
      <c r="AG184" s="4" t="str">
        <f>HYPERLINK("http://141.218.60.56/~jnz1568/getInfo.php?workbook=01_01.xlsx&amp;sheet=A0&amp;row=184&amp;col=33&amp;number=&amp;sourceID=18","")</f>
        <v/>
      </c>
      <c r="AH184" s="4" t="str">
        <f>HYPERLINK("http://141.218.60.56/~jnz1568/getInfo.php?workbook=01_01.xlsx&amp;sheet=A0&amp;row=184&amp;col=34&amp;number=&amp;sourceID=20","")</f>
        <v/>
      </c>
    </row>
    <row r="185" spans="1:34">
      <c r="A185" s="3">
        <v>1</v>
      </c>
      <c r="B185" s="3">
        <v>1</v>
      </c>
      <c r="C185" s="3">
        <v>20</v>
      </c>
      <c r="D185" s="3">
        <v>18</v>
      </c>
      <c r="E185" s="3">
        <f>((1/(INDEX(E0!J$4:J$28,C185,1)-INDEX(E0!J$4:J$28,D185,1))))*100000000</f>
        <v>0</v>
      </c>
      <c r="F185" s="4" t="str">
        <f>HYPERLINK("http://141.218.60.56/~jnz1568/getInfo.php?workbook=01_01.xlsx&amp;sheet=A0&amp;row=185&amp;col=6&amp;number=&amp;sourceID=18","")</f>
        <v/>
      </c>
      <c r="G185" s="4" t="str">
        <f>HYPERLINK("http://141.218.60.56/~jnz1568/getInfo.php?workbook=01_01.xlsx&amp;sheet=A0&amp;row=185&amp;col=7&amp;number=&amp;sourceID=15","")</f>
        <v/>
      </c>
      <c r="H185" s="4" t="str">
        <f>HYPERLINK("http://141.218.60.56/~jnz1568/getInfo.php?workbook=01_01.xlsx&amp;sheet=A0&amp;row=185&amp;col=8&amp;number=&amp;sourceID=15","")</f>
        <v/>
      </c>
      <c r="I185" s="4" t="str">
        <f>HYPERLINK("http://141.218.60.56/~jnz1568/getInfo.php?workbook=01_01.xlsx&amp;sheet=A0&amp;row=185&amp;col=9&amp;number=&amp;sourceID=15","")</f>
        <v/>
      </c>
      <c r="J185" s="4" t="str">
        <f>HYPERLINK("http://141.218.60.56/~jnz1568/getInfo.php?workbook=01_01.xlsx&amp;sheet=A0&amp;row=185&amp;col=10&amp;number=&amp;sourceID=15","")</f>
        <v/>
      </c>
      <c r="K185" s="4" t="str">
        <f>HYPERLINK("http://141.218.60.56/~jnz1568/getInfo.php?workbook=01_01.xlsx&amp;sheet=A0&amp;row=185&amp;col=11&amp;number=&amp;sourceID=15","")</f>
        <v/>
      </c>
      <c r="L185" s="4" t="str">
        <f>HYPERLINK("http://141.218.60.56/~jnz1568/getInfo.php?workbook=01_01.xlsx&amp;sheet=A0&amp;row=185&amp;col=12&amp;number=&amp;sourceID=15","")</f>
        <v/>
      </c>
      <c r="M185" s="4" t="str">
        <f>HYPERLINK("http://141.218.60.56/~jnz1568/getInfo.php?workbook=01_01.xlsx&amp;sheet=A0&amp;row=185&amp;col=13&amp;number=&amp;sourceID=15","")</f>
        <v/>
      </c>
      <c r="N185" s="4" t="str">
        <f>HYPERLINK("http://141.218.60.56/~jnz1568/getInfo.php?workbook=01_01.xlsx&amp;sheet=A0&amp;row=185&amp;col=14&amp;number==&amp;sourceID=11","=")</f>
        <v>=</v>
      </c>
      <c r="O185" s="4" t="str">
        <f>HYPERLINK("http://141.218.60.56/~jnz1568/getInfo.php?workbook=01_01.xlsx&amp;sheet=A0&amp;row=185&amp;col=15&amp;number=1.1639e-08&amp;sourceID=11","1.1639e-08")</f>
        <v>1.1639e-08</v>
      </c>
      <c r="P185" s="4" t="str">
        <f>HYPERLINK("http://141.218.60.56/~jnz1568/getInfo.php?workbook=01_01.xlsx&amp;sheet=A0&amp;row=185&amp;col=16&amp;number=&amp;sourceID=11","")</f>
        <v/>
      </c>
      <c r="Q185" s="4" t="str">
        <f>HYPERLINK("http://141.218.60.56/~jnz1568/getInfo.php?workbook=01_01.xlsx&amp;sheet=A0&amp;row=185&amp;col=17&amp;number=&amp;sourceID=11","")</f>
        <v/>
      </c>
      <c r="R185" s="4" t="str">
        <f>HYPERLINK("http://141.218.60.56/~jnz1568/getInfo.php?workbook=01_01.xlsx&amp;sheet=A0&amp;row=185&amp;col=18&amp;number=&amp;sourceID=11","")</f>
        <v/>
      </c>
      <c r="S185" s="4" t="str">
        <f>HYPERLINK("http://141.218.60.56/~jnz1568/getInfo.php?workbook=01_01.xlsx&amp;sheet=A0&amp;row=185&amp;col=19&amp;number=0&amp;sourceID=11","0")</f>
        <v>0</v>
      </c>
      <c r="T185" s="4" t="str">
        <f>HYPERLINK("http://141.218.60.56/~jnz1568/getInfo.php?workbook=01_01.xlsx&amp;sheet=A0&amp;row=185&amp;col=20&amp;number=&amp;sourceID=11","")</f>
        <v/>
      </c>
      <c r="U185" s="4" t="str">
        <f>HYPERLINK("http://141.218.60.56/~jnz1568/getInfo.php?workbook=01_01.xlsx&amp;sheet=A0&amp;row=185&amp;col=21&amp;number=1.1699e-08&amp;sourceID=12","1.1699e-08")</f>
        <v>1.1699e-08</v>
      </c>
      <c r="V185" s="4" t="str">
        <f>HYPERLINK("http://141.218.60.56/~jnz1568/getInfo.php?workbook=01_01.xlsx&amp;sheet=A0&amp;row=185&amp;col=22&amp;number=1.1699e-08&amp;sourceID=12","1.1699e-08")</f>
        <v>1.1699e-08</v>
      </c>
      <c r="W185" s="4" t="str">
        <f>HYPERLINK("http://141.218.60.56/~jnz1568/getInfo.php?workbook=01_01.xlsx&amp;sheet=A0&amp;row=185&amp;col=23&amp;number=&amp;sourceID=12","")</f>
        <v/>
      </c>
      <c r="X185" s="4" t="str">
        <f>HYPERLINK("http://141.218.60.56/~jnz1568/getInfo.php?workbook=01_01.xlsx&amp;sheet=A0&amp;row=185&amp;col=24&amp;number=&amp;sourceID=12","")</f>
        <v/>
      </c>
      <c r="Y185" s="4" t="str">
        <f>HYPERLINK("http://141.218.60.56/~jnz1568/getInfo.php?workbook=01_01.xlsx&amp;sheet=A0&amp;row=185&amp;col=25&amp;number=&amp;sourceID=12","")</f>
        <v/>
      </c>
      <c r="Z185" s="4" t="str">
        <f>HYPERLINK("http://141.218.60.56/~jnz1568/getInfo.php?workbook=01_01.xlsx&amp;sheet=A0&amp;row=185&amp;col=26&amp;number=0&amp;sourceID=12","0")</f>
        <v>0</v>
      </c>
      <c r="AA185" s="4" t="str">
        <f>HYPERLINK("http://141.218.60.56/~jnz1568/getInfo.php?workbook=01_01.xlsx&amp;sheet=A0&amp;row=185&amp;col=27&amp;number=&amp;sourceID=12","")</f>
        <v/>
      </c>
      <c r="AB185" s="4" t="str">
        <f>HYPERLINK("http://141.218.60.56/~jnz1568/getInfo.php?workbook=01_01.xlsx&amp;sheet=A0&amp;row=185&amp;col=28&amp;number=&amp;sourceID=18","")</f>
        <v/>
      </c>
      <c r="AC185" s="4" t="str">
        <f>HYPERLINK("http://141.218.60.56/~jnz1568/getInfo.php?workbook=01_01.xlsx&amp;sheet=A0&amp;row=185&amp;col=29&amp;number=&amp;sourceID=18","")</f>
        <v/>
      </c>
      <c r="AD185" s="4" t="str">
        <f>HYPERLINK("http://141.218.60.56/~jnz1568/getInfo.php?workbook=01_01.xlsx&amp;sheet=A0&amp;row=185&amp;col=30&amp;number=&amp;sourceID=18","")</f>
        <v/>
      </c>
      <c r="AE185" s="4" t="str">
        <f>HYPERLINK("http://141.218.60.56/~jnz1568/getInfo.php?workbook=01_01.xlsx&amp;sheet=A0&amp;row=185&amp;col=31&amp;number=&amp;sourceID=18","")</f>
        <v/>
      </c>
      <c r="AF185" s="4" t="str">
        <f>HYPERLINK("http://141.218.60.56/~jnz1568/getInfo.php?workbook=01_01.xlsx&amp;sheet=A0&amp;row=185&amp;col=32&amp;number=&amp;sourceID=18","")</f>
        <v/>
      </c>
      <c r="AG185" s="4" t="str">
        <f>HYPERLINK("http://141.218.60.56/~jnz1568/getInfo.php?workbook=01_01.xlsx&amp;sheet=A0&amp;row=185&amp;col=33&amp;number=&amp;sourceID=18","")</f>
        <v/>
      </c>
      <c r="AH185" s="4" t="str">
        <f>HYPERLINK("http://141.218.60.56/~jnz1568/getInfo.php?workbook=01_01.xlsx&amp;sheet=A0&amp;row=185&amp;col=34&amp;number=&amp;sourceID=20","")</f>
        <v/>
      </c>
    </row>
    <row r="186" spans="1:34">
      <c r="A186" s="3">
        <v>1</v>
      </c>
      <c r="B186" s="3">
        <v>1</v>
      </c>
      <c r="C186" s="3">
        <v>21</v>
      </c>
      <c r="D186" s="3">
        <v>1</v>
      </c>
      <c r="E186" s="3">
        <f>((1/(INDEX(E0!J$4:J$28,C186,1)-INDEX(E0!J$4:J$28,D186,1))))*100000000</f>
        <v>0</v>
      </c>
      <c r="F186" s="4" t="str">
        <f>HYPERLINK("http://141.218.60.56/~jnz1568/getInfo.php?workbook=01_01.xlsx&amp;sheet=A0&amp;row=186&amp;col=6&amp;number=&amp;sourceID=18","")</f>
        <v/>
      </c>
      <c r="G186" s="4" t="str">
        <f>HYPERLINK("http://141.218.60.56/~jnz1568/getInfo.php?workbook=01_01.xlsx&amp;sheet=A0&amp;row=186&amp;col=7&amp;number=&amp;sourceID=15","")</f>
        <v/>
      </c>
      <c r="H186" s="4" t="str">
        <f>HYPERLINK("http://141.218.60.56/~jnz1568/getInfo.php?workbook=01_01.xlsx&amp;sheet=A0&amp;row=186&amp;col=8&amp;number=&amp;sourceID=15","")</f>
        <v/>
      </c>
      <c r="I186" s="4" t="str">
        <f>HYPERLINK("http://141.218.60.56/~jnz1568/getInfo.php?workbook=01_01.xlsx&amp;sheet=A0&amp;row=186&amp;col=9&amp;number=&amp;sourceID=15","")</f>
        <v/>
      </c>
      <c r="J186" s="4" t="str">
        <f>HYPERLINK("http://141.218.60.56/~jnz1568/getInfo.php?workbook=01_01.xlsx&amp;sheet=A0&amp;row=186&amp;col=10&amp;number=&amp;sourceID=15","")</f>
        <v/>
      </c>
      <c r="K186" s="4" t="str">
        <f>HYPERLINK("http://141.218.60.56/~jnz1568/getInfo.php?workbook=01_01.xlsx&amp;sheet=A0&amp;row=186&amp;col=11&amp;number=&amp;sourceID=15","")</f>
        <v/>
      </c>
      <c r="L186" s="4" t="str">
        <f>HYPERLINK("http://141.218.60.56/~jnz1568/getInfo.php?workbook=01_01.xlsx&amp;sheet=A0&amp;row=186&amp;col=12&amp;number=&amp;sourceID=15","")</f>
        <v/>
      </c>
      <c r="M186" s="4" t="str">
        <f>HYPERLINK("http://141.218.60.56/~jnz1568/getInfo.php?workbook=01_01.xlsx&amp;sheet=A0&amp;row=186&amp;col=13&amp;number=&amp;sourceID=15","")</f>
        <v/>
      </c>
      <c r="N186" s="4" t="str">
        <f>HYPERLINK("http://141.218.60.56/~jnz1568/getInfo.php?workbook=01_01.xlsx&amp;sheet=A0&amp;row=186&amp;col=14&amp;number==&amp;sourceID=11","=")</f>
        <v>=</v>
      </c>
      <c r="O186" s="4" t="str">
        <f>HYPERLINK("http://141.218.60.56/~jnz1568/getInfo.php?workbook=01_01.xlsx&amp;sheet=A0&amp;row=186&amp;col=15&amp;number=&amp;sourceID=11","")</f>
        <v/>
      </c>
      <c r="P186" s="4" t="str">
        <f>HYPERLINK("http://141.218.60.56/~jnz1568/getInfo.php?workbook=01_01.xlsx&amp;sheet=A0&amp;row=186&amp;col=16&amp;number=184.51&amp;sourceID=11","184.51")</f>
        <v>184.51</v>
      </c>
      <c r="Q186" s="4" t="str">
        <f>HYPERLINK("http://141.218.60.56/~jnz1568/getInfo.php?workbook=01_01.xlsx&amp;sheet=A0&amp;row=186&amp;col=17&amp;number=&amp;sourceID=11","")</f>
        <v/>
      </c>
      <c r="R186" s="4" t="str">
        <f>HYPERLINK("http://141.218.60.56/~jnz1568/getInfo.php?workbook=01_01.xlsx&amp;sheet=A0&amp;row=186&amp;col=18&amp;number=&amp;sourceID=11","")</f>
        <v/>
      </c>
      <c r="S186" s="4" t="str">
        <f>HYPERLINK("http://141.218.60.56/~jnz1568/getInfo.php?workbook=01_01.xlsx&amp;sheet=A0&amp;row=186&amp;col=19&amp;number=&amp;sourceID=11","")</f>
        <v/>
      </c>
      <c r="T186" s="4" t="str">
        <f>HYPERLINK("http://141.218.60.56/~jnz1568/getInfo.php?workbook=01_01.xlsx&amp;sheet=A0&amp;row=186&amp;col=20&amp;number=2.679e-08&amp;sourceID=11","2.679e-08")</f>
        <v>2.679e-08</v>
      </c>
      <c r="U186" s="4" t="str">
        <f>HYPERLINK("http://141.218.60.56/~jnz1568/getInfo.php?workbook=01_01.xlsx&amp;sheet=A0&amp;row=186&amp;col=21&amp;number=184.61&amp;sourceID=12","184.61")</f>
        <v>184.61</v>
      </c>
      <c r="V186" s="4" t="str">
        <f>HYPERLINK("http://141.218.60.56/~jnz1568/getInfo.php?workbook=01_01.xlsx&amp;sheet=A0&amp;row=186&amp;col=22&amp;number=&amp;sourceID=12","")</f>
        <v/>
      </c>
      <c r="W186" s="4" t="str">
        <f>HYPERLINK("http://141.218.60.56/~jnz1568/getInfo.php?workbook=01_01.xlsx&amp;sheet=A0&amp;row=186&amp;col=23&amp;number=184.61&amp;sourceID=12","184.61")</f>
        <v>184.61</v>
      </c>
      <c r="X186" s="4" t="str">
        <f>HYPERLINK("http://141.218.60.56/~jnz1568/getInfo.php?workbook=01_01.xlsx&amp;sheet=A0&amp;row=186&amp;col=24&amp;number=&amp;sourceID=12","")</f>
        <v/>
      </c>
      <c r="Y186" s="4" t="str">
        <f>HYPERLINK("http://141.218.60.56/~jnz1568/getInfo.php?workbook=01_01.xlsx&amp;sheet=A0&amp;row=186&amp;col=25&amp;number=&amp;sourceID=12","")</f>
        <v/>
      </c>
      <c r="Z186" s="4" t="str">
        <f>HYPERLINK("http://141.218.60.56/~jnz1568/getInfo.php?workbook=01_01.xlsx&amp;sheet=A0&amp;row=186&amp;col=26&amp;number=&amp;sourceID=12","")</f>
        <v/>
      </c>
      <c r="AA186" s="4" t="str">
        <f>HYPERLINK("http://141.218.60.56/~jnz1568/getInfo.php?workbook=01_01.xlsx&amp;sheet=A0&amp;row=186&amp;col=27&amp;number=2.6804e-08&amp;sourceID=12","2.6804e-08")</f>
        <v>2.6804e-08</v>
      </c>
      <c r="AB186" s="4" t="str">
        <f>HYPERLINK("http://141.218.60.56/~jnz1568/getInfo.php?workbook=01_01.xlsx&amp;sheet=A0&amp;row=186&amp;col=28&amp;number=&amp;sourceID=18","")</f>
        <v/>
      </c>
      <c r="AC186" s="4" t="str">
        <f>HYPERLINK("http://141.218.60.56/~jnz1568/getInfo.php?workbook=01_01.xlsx&amp;sheet=A0&amp;row=186&amp;col=29&amp;number=&amp;sourceID=18","")</f>
        <v/>
      </c>
      <c r="AD186" s="4" t="str">
        <f>HYPERLINK("http://141.218.60.56/~jnz1568/getInfo.php?workbook=01_01.xlsx&amp;sheet=A0&amp;row=186&amp;col=30&amp;number=&amp;sourceID=18","")</f>
        <v/>
      </c>
      <c r="AE186" s="4" t="str">
        <f>HYPERLINK("http://141.218.60.56/~jnz1568/getInfo.php?workbook=01_01.xlsx&amp;sheet=A0&amp;row=186&amp;col=31&amp;number=&amp;sourceID=18","")</f>
        <v/>
      </c>
      <c r="AF186" s="4" t="str">
        <f>HYPERLINK("http://141.218.60.56/~jnz1568/getInfo.php?workbook=01_01.xlsx&amp;sheet=A0&amp;row=186&amp;col=32&amp;number=&amp;sourceID=18","")</f>
        <v/>
      </c>
      <c r="AG186" s="4" t="str">
        <f>HYPERLINK("http://141.218.60.56/~jnz1568/getInfo.php?workbook=01_01.xlsx&amp;sheet=A0&amp;row=186&amp;col=33&amp;number=&amp;sourceID=18","")</f>
        <v/>
      </c>
      <c r="AH186" s="4" t="str">
        <f>HYPERLINK("http://141.218.60.56/~jnz1568/getInfo.php?workbook=01_01.xlsx&amp;sheet=A0&amp;row=186&amp;col=34&amp;number=&amp;sourceID=20","")</f>
        <v/>
      </c>
    </row>
    <row r="187" spans="1:34">
      <c r="A187" s="3">
        <v>1</v>
      </c>
      <c r="B187" s="3">
        <v>1</v>
      </c>
      <c r="C187" s="3">
        <v>21</v>
      </c>
      <c r="D187" s="3">
        <v>2</v>
      </c>
      <c r="E187" s="3">
        <f>((1/(INDEX(E0!J$4:J$28,C187,1)-INDEX(E0!J$4:J$28,D187,1))))*100000000</f>
        <v>0</v>
      </c>
      <c r="F187" s="4" t="str">
        <f>HYPERLINK("http://141.218.60.56/~jnz1568/getInfo.php?workbook=01_01.xlsx&amp;sheet=A0&amp;row=187&amp;col=6&amp;number=&amp;sourceID=18","")</f>
        <v/>
      </c>
      <c r="G187" s="4" t="str">
        <f>HYPERLINK("http://141.218.60.56/~jnz1568/getInfo.php?workbook=01_01.xlsx&amp;sheet=A0&amp;row=187&amp;col=7&amp;number=&amp;sourceID=15","")</f>
        <v/>
      </c>
      <c r="H187" s="4" t="str">
        <f>HYPERLINK("http://141.218.60.56/~jnz1568/getInfo.php?workbook=01_01.xlsx&amp;sheet=A0&amp;row=187&amp;col=8&amp;number=&amp;sourceID=15","")</f>
        <v/>
      </c>
      <c r="I187" s="4" t="str">
        <f>HYPERLINK("http://141.218.60.56/~jnz1568/getInfo.php?workbook=01_01.xlsx&amp;sheet=A0&amp;row=187&amp;col=9&amp;number=&amp;sourceID=15","")</f>
        <v/>
      </c>
      <c r="J187" s="4" t="str">
        <f>HYPERLINK("http://141.218.60.56/~jnz1568/getInfo.php?workbook=01_01.xlsx&amp;sheet=A0&amp;row=187&amp;col=10&amp;number=&amp;sourceID=15","")</f>
        <v/>
      </c>
      <c r="K187" s="4" t="str">
        <f>HYPERLINK("http://141.218.60.56/~jnz1568/getInfo.php?workbook=01_01.xlsx&amp;sheet=A0&amp;row=187&amp;col=11&amp;number=&amp;sourceID=15","")</f>
        <v/>
      </c>
      <c r="L187" s="4" t="str">
        <f>HYPERLINK("http://141.218.60.56/~jnz1568/getInfo.php?workbook=01_01.xlsx&amp;sheet=A0&amp;row=187&amp;col=12&amp;number=&amp;sourceID=15","")</f>
        <v/>
      </c>
      <c r="M187" s="4" t="str">
        <f>HYPERLINK("http://141.218.60.56/~jnz1568/getInfo.php?workbook=01_01.xlsx&amp;sheet=A0&amp;row=187&amp;col=13&amp;number=&amp;sourceID=15","")</f>
        <v/>
      </c>
      <c r="N187" s="4" t="str">
        <f>HYPERLINK("http://141.218.60.56/~jnz1568/getInfo.php?workbook=01_01.xlsx&amp;sheet=A0&amp;row=187&amp;col=14&amp;number==&amp;sourceID=11","=")</f>
        <v>=</v>
      </c>
      <c r="O187" s="4" t="str">
        <f>HYPERLINK("http://141.218.60.56/~jnz1568/getInfo.php?workbook=01_01.xlsx&amp;sheet=A0&amp;row=187&amp;col=15&amp;number=&amp;sourceID=11","")</f>
        <v/>
      </c>
      <c r="P187" s="4" t="str">
        <f>HYPERLINK("http://141.218.60.56/~jnz1568/getInfo.php?workbook=01_01.xlsx&amp;sheet=A0&amp;row=187&amp;col=16&amp;number=&amp;sourceID=11","")</f>
        <v/>
      </c>
      <c r="Q187" s="4" t="str">
        <f>HYPERLINK("http://141.218.60.56/~jnz1568/getInfo.php?workbook=01_01.xlsx&amp;sheet=A0&amp;row=187&amp;col=17&amp;number=3.9261e-07&amp;sourceID=11","3.9261e-07")</f>
        <v>3.9261e-07</v>
      </c>
      <c r="R187" s="4" t="str">
        <f>HYPERLINK("http://141.218.60.56/~jnz1568/getInfo.php?workbook=01_01.xlsx&amp;sheet=A0&amp;row=187&amp;col=18&amp;number=&amp;sourceID=11","")</f>
        <v/>
      </c>
      <c r="S187" s="4" t="str">
        <f>HYPERLINK("http://141.218.60.56/~jnz1568/getInfo.php?workbook=01_01.xlsx&amp;sheet=A0&amp;row=187&amp;col=19&amp;number=1.3098e-05&amp;sourceID=11","1.3098e-05")</f>
        <v>1.3098e-05</v>
      </c>
      <c r="T187" s="4" t="str">
        <f>HYPERLINK("http://141.218.60.56/~jnz1568/getInfo.php?workbook=01_01.xlsx&amp;sheet=A0&amp;row=187&amp;col=20&amp;number=&amp;sourceID=11","")</f>
        <v/>
      </c>
      <c r="U187" s="4" t="str">
        <f>HYPERLINK("http://141.218.60.56/~jnz1568/getInfo.php?workbook=01_01.xlsx&amp;sheet=A0&amp;row=187&amp;col=21&amp;number=1.3498e-05&amp;sourceID=12","1.3498e-05")</f>
        <v>1.3498e-05</v>
      </c>
      <c r="V187" s="4" t="str">
        <f>HYPERLINK("http://141.218.60.56/~jnz1568/getInfo.php?workbook=01_01.xlsx&amp;sheet=A0&amp;row=187&amp;col=22&amp;number=&amp;sourceID=12","")</f>
        <v/>
      </c>
      <c r="W187" s="4" t="str">
        <f>HYPERLINK("http://141.218.60.56/~jnz1568/getInfo.php?workbook=01_01.xlsx&amp;sheet=A0&amp;row=187&amp;col=23&amp;number=&amp;sourceID=12","")</f>
        <v/>
      </c>
      <c r="X187" s="4" t="str">
        <f>HYPERLINK("http://141.218.60.56/~jnz1568/getInfo.php?workbook=01_01.xlsx&amp;sheet=A0&amp;row=187&amp;col=24&amp;number=3.9284e-07&amp;sourceID=12","3.9284e-07")</f>
        <v>3.9284e-07</v>
      </c>
      <c r="Y187" s="4" t="str">
        <f>HYPERLINK("http://141.218.60.56/~jnz1568/getInfo.php?workbook=01_01.xlsx&amp;sheet=A0&amp;row=187&amp;col=25&amp;number=&amp;sourceID=12","")</f>
        <v/>
      </c>
      <c r="Z187" s="4" t="str">
        <f>HYPERLINK("http://141.218.60.56/~jnz1568/getInfo.php?workbook=01_01.xlsx&amp;sheet=A0&amp;row=187&amp;col=26&amp;number=1.3105e-05&amp;sourceID=12","1.3105e-05")</f>
        <v>1.3105e-05</v>
      </c>
      <c r="AA187" s="4" t="str">
        <f>HYPERLINK("http://141.218.60.56/~jnz1568/getInfo.php?workbook=01_01.xlsx&amp;sheet=A0&amp;row=187&amp;col=27&amp;number=&amp;sourceID=12","")</f>
        <v/>
      </c>
      <c r="AB187" s="4" t="str">
        <f>HYPERLINK("http://141.218.60.56/~jnz1568/getInfo.php?workbook=01_01.xlsx&amp;sheet=A0&amp;row=187&amp;col=28&amp;number=&amp;sourceID=18","")</f>
        <v/>
      </c>
      <c r="AC187" s="4" t="str">
        <f>HYPERLINK("http://141.218.60.56/~jnz1568/getInfo.php?workbook=01_01.xlsx&amp;sheet=A0&amp;row=187&amp;col=29&amp;number=&amp;sourceID=18","")</f>
        <v/>
      </c>
      <c r="AD187" s="4" t="str">
        <f>HYPERLINK("http://141.218.60.56/~jnz1568/getInfo.php?workbook=01_01.xlsx&amp;sheet=A0&amp;row=187&amp;col=30&amp;number=&amp;sourceID=18","")</f>
        <v/>
      </c>
      <c r="AE187" s="4" t="str">
        <f>HYPERLINK("http://141.218.60.56/~jnz1568/getInfo.php?workbook=01_01.xlsx&amp;sheet=A0&amp;row=187&amp;col=31&amp;number=&amp;sourceID=18","")</f>
        <v/>
      </c>
      <c r="AF187" s="4" t="str">
        <f>HYPERLINK("http://141.218.60.56/~jnz1568/getInfo.php?workbook=01_01.xlsx&amp;sheet=A0&amp;row=187&amp;col=32&amp;number=&amp;sourceID=18","")</f>
        <v/>
      </c>
      <c r="AG187" s="4" t="str">
        <f>HYPERLINK("http://141.218.60.56/~jnz1568/getInfo.php?workbook=01_01.xlsx&amp;sheet=A0&amp;row=187&amp;col=33&amp;number=&amp;sourceID=18","")</f>
        <v/>
      </c>
      <c r="AH187" s="4" t="str">
        <f>HYPERLINK("http://141.218.60.56/~jnz1568/getInfo.php?workbook=01_01.xlsx&amp;sheet=A0&amp;row=187&amp;col=34&amp;number=&amp;sourceID=20","")</f>
        <v/>
      </c>
    </row>
    <row r="188" spans="1:34">
      <c r="A188" s="3">
        <v>1</v>
      </c>
      <c r="B188" s="3">
        <v>1</v>
      </c>
      <c r="C188" s="3">
        <v>21</v>
      </c>
      <c r="D188" s="3">
        <v>3</v>
      </c>
      <c r="E188" s="3">
        <f>((1/(INDEX(E0!J$4:J$28,C188,1)-INDEX(E0!J$4:J$28,D188,1))))*100000000</f>
        <v>0</v>
      </c>
      <c r="F188" s="4" t="str">
        <f>HYPERLINK("http://141.218.60.56/~jnz1568/getInfo.php?workbook=01_01.xlsx&amp;sheet=A0&amp;row=188&amp;col=6&amp;number=&amp;sourceID=18","")</f>
        <v/>
      </c>
      <c r="G188" s="4" t="str">
        <f>HYPERLINK("http://141.218.60.56/~jnz1568/getInfo.php?workbook=01_01.xlsx&amp;sheet=A0&amp;row=188&amp;col=7&amp;number=&amp;sourceID=15","")</f>
        <v/>
      </c>
      <c r="H188" s="4" t="str">
        <f>HYPERLINK("http://141.218.60.56/~jnz1568/getInfo.php?workbook=01_01.xlsx&amp;sheet=A0&amp;row=188&amp;col=8&amp;number=&amp;sourceID=15","")</f>
        <v/>
      </c>
      <c r="I188" s="4" t="str">
        <f>HYPERLINK("http://141.218.60.56/~jnz1568/getInfo.php?workbook=01_01.xlsx&amp;sheet=A0&amp;row=188&amp;col=9&amp;number=&amp;sourceID=15","")</f>
        <v/>
      </c>
      <c r="J188" s="4" t="str">
        <f>HYPERLINK("http://141.218.60.56/~jnz1568/getInfo.php?workbook=01_01.xlsx&amp;sheet=A0&amp;row=188&amp;col=10&amp;number=&amp;sourceID=15","")</f>
        <v/>
      </c>
      <c r="K188" s="4" t="str">
        <f>HYPERLINK("http://141.218.60.56/~jnz1568/getInfo.php?workbook=01_01.xlsx&amp;sheet=A0&amp;row=188&amp;col=11&amp;number=&amp;sourceID=15","")</f>
        <v/>
      </c>
      <c r="L188" s="4" t="str">
        <f>HYPERLINK("http://141.218.60.56/~jnz1568/getInfo.php?workbook=01_01.xlsx&amp;sheet=A0&amp;row=188&amp;col=12&amp;number=&amp;sourceID=15","")</f>
        <v/>
      </c>
      <c r="M188" s="4" t="str">
        <f>HYPERLINK("http://141.218.60.56/~jnz1568/getInfo.php?workbook=01_01.xlsx&amp;sheet=A0&amp;row=188&amp;col=13&amp;number=&amp;sourceID=15","")</f>
        <v/>
      </c>
      <c r="N188" s="4" t="str">
        <f>HYPERLINK("http://141.218.60.56/~jnz1568/getInfo.php?workbook=01_01.xlsx&amp;sheet=A0&amp;row=188&amp;col=14&amp;number==&amp;sourceID=11","=")</f>
        <v>=</v>
      </c>
      <c r="O188" s="4" t="str">
        <f>HYPERLINK("http://141.218.60.56/~jnz1568/getInfo.php?workbook=01_01.xlsx&amp;sheet=A0&amp;row=188&amp;col=15&amp;number=&amp;sourceID=11","")</f>
        <v/>
      </c>
      <c r="P188" s="4" t="str">
        <f>HYPERLINK("http://141.218.60.56/~jnz1568/getInfo.php?workbook=01_01.xlsx&amp;sheet=A0&amp;row=188&amp;col=16&amp;number=0.96398&amp;sourceID=11","0.96398")</f>
        <v>0.96398</v>
      </c>
      <c r="Q188" s="4" t="str">
        <f>HYPERLINK("http://141.218.60.56/~jnz1568/getInfo.php?workbook=01_01.xlsx&amp;sheet=A0&amp;row=188&amp;col=17&amp;number=&amp;sourceID=11","")</f>
        <v/>
      </c>
      <c r="R188" s="4" t="str">
        <f>HYPERLINK("http://141.218.60.56/~jnz1568/getInfo.php?workbook=01_01.xlsx&amp;sheet=A0&amp;row=188&amp;col=18&amp;number=&amp;sourceID=11","")</f>
        <v/>
      </c>
      <c r="S188" s="4" t="str">
        <f>HYPERLINK("http://141.218.60.56/~jnz1568/getInfo.php?workbook=01_01.xlsx&amp;sheet=A0&amp;row=188&amp;col=19&amp;number=&amp;sourceID=11","")</f>
        <v/>
      </c>
      <c r="T188" s="4" t="str">
        <f>HYPERLINK("http://141.218.60.56/~jnz1568/getInfo.php?workbook=01_01.xlsx&amp;sheet=A0&amp;row=188&amp;col=20&amp;number=6.697e-12&amp;sourceID=11","6.697e-12")</f>
        <v>6.697e-12</v>
      </c>
      <c r="U188" s="4" t="str">
        <f>HYPERLINK("http://141.218.60.56/~jnz1568/getInfo.php?workbook=01_01.xlsx&amp;sheet=A0&amp;row=188&amp;col=21&amp;number=0.96449&amp;sourceID=12","0.96449")</f>
        <v>0.96449</v>
      </c>
      <c r="V188" s="4" t="str">
        <f>HYPERLINK("http://141.218.60.56/~jnz1568/getInfo.php?workbook=01_01.xlsx&amp;sheet=A0&amp;row=188&amp;col=22&amp;number=&amp;sourceID=12","")</f>
        <v/>
      </c>
      <c r="W188" s="4" t="str">
        <f>HYPERLINK("http://141.218.60.56/~jnz1568/getInfo.php?workbook=01_01.xlsx&amp;sheet=A0&amp;row=188&amp;col=23&amp;number=0.96449&amp;sourceID=12","0.96449")</f>
        <v>0.96449</v>
      </c>
      <c r="X188" s="4" t="str">
        <f>HYPERLINK("http://141.218.60.56/~jnz1568/getInfo.php?workbook=01_01.xlsx&amp;sheet=A0&amp;row=188&amp;col=24&amp;number=&amp;sourceID=12","")</f>
        <v/>
      </c>
      <c r="Y188" s="4" t="str">
        <f>HYPERLINK("http://141.218.60.56/~jnz1568/getInfo.php?workbook=01_01.xlsx&amp;sheet=A0&amp;row=188&amp;col=25&amp;number=&amp;sourceID=12","")</f>
        <v/>
      </c>
      <c r="Z188" s="4" t="str">
        <f>HYPERLINK("http://141.218.60.56/~jnz1568/getInfo.php?workbook=01_01.xlsx&amp;sheet=A0&amp;row=188&amp;col=26&amp;number=&amp;sourceID=12","")</f>
        <v/>
      </c>
      <c r="AA188" s="4" t="str">
        <f>HYPERLINK("http://141.218.60.56/~jnz1568/getInfo.php?workbook=01_01.xlsx&amp;sheet=A0&amp;row=188&amp;col=27&amp;number=6.701e-12&amp;sourceID=12","6.701e-12")</f>
        <v>6.701e-12</v>
      </c>
      <c r="AB188" s="4" t="str">
        <f>HYPERLINK("http://141.218.60.56/~jnz1568/getInfo.php?workbook=01_01.xlsx&amp;sheet=A0&amp;row=188&amp;col=28&amp;number=&amp;sourceID=18","")</f>
        <v/>
      </c>
      <c r="AC188" s="4" t="str">
        <f>HYPERLINK("http://141.218.60.56/~jnz1568/getInfo.php?workbook=01_01.xlsx&amp;sheet=A0&amp;row=188&amp;col=29&amp;number=&amp;sourceID=18","")</f>
        <v/>
      </c>
      <c r="AD188" s="4" t="str">
        <f>HYPERLINK("http://141.218.60.56/~jnz1568/getInfo.php?workbook=01_01.xlsx&amp;sheet=A0&amp;row=188&amp;col=30&amp;number=&amp;sourceID=18","")</f>
        <v/>
      </c>
      <c r="AE188" s="4" t="str">
        <f>HYPERLINK("http://141.218.60.56/~jnz1568/getInfo.php?workbook=01_01.xlsx&amp;sheet=A0&amp;row=188&amp;col=31&amp;number=&amp;sourceID=18","")</f>
        <v/>
      </c>
      <c r="AF188" s="4" t="str">
        <f>HYPERLINK("http://141.218.60.56/~jnz1568/getInfo.php?workbook=01_01.xlsx&amp;sheet=A0&amp;row=188&amp;col=32&amp;number=&amp;sourceID=18","")</f>
        <v/>
      </c>
      <c r="AG188" s="4" t="str">
        <f>HYPERLINK("http://141.218.60.56/~jnz1568/getInfo.php?workbook=01_01.xlsx&amp;sheet=A0&amp;row=188&amp;col=33&amp;number=&amp;sourceID=18","")</f>
        <v/>
      </c>
      <c r="AH188" s="4" t="str">
        <f>HYPERLINK("http://141.218.60.56/~jnz1568/getInfo.php?workbook=01_01.xlsx&amp;sheet=A0&amp;row=188&amp;col=34&amp;number=&amp;sourceID=20","")</f>
        <v/>
      </c>
    </row>
    <row r="189" spans="1:34">
      <c r="A189" s="3">
        <v>1</v>
      </c>
      <c r="B189" s="3">
        <v>1</v>
      </c>
      <c r="C189" s="3">
        <v>21</v>
      </c>
      <c r="D189" s="3">
        <v>4</v>
      </c>
      <c r="E189" s="3">
        <f>((1/(INDEX(E0!J$4:J$28,C189,1)-INDEX(E0!J$4:J$28,D189,1))))*100000000</f>
        <v>0</v>
      </c>
      <c r="F189" s="4" t="str">
        <f>HYPERLINK("http://141.218.60.56/~jnz1568/getInfo.php?workbook=01_01.xlsx&amp;sheet=A0&amp;row=189&amp;col=6&amp;number=&amp;sourceID=18","")</f>
        <v/>
      </c>
      <c r="G189" s="4" t="str">
        <f>HYPERLINK("http://141.218.60.56/~jnz1568/getInfo.php?workbook=01_01.xlsx&amp;sheet=A0&amp;row=189&amp;col=7&amp;number=9425400&amp;sourceID=15","9425400")</f>
        <v>9425400</v>
      </c>
      <c r="H189" s="4" t="str">
        <f>HYPERLINK("http://141.218.60.56/~jnz1568/getInfo.php?workbook=01_01.xlsx&amp;sheet=A0&amp;row=189&amp;col=8&amp;number=9425400&amp;sourceID=15","9425400")</f>
        <v>9425400</v>
      </c>
      <c r="I189" s="4" t="str">
        <f>HYPERLINK("http://141.218.60.56/~jnz1568/getInfo.php?workbook=01_01.xlsx&amp;sheet=A0&amp;row=189&amp;col=9&amp;number=&amp;sourceID=15","")</f>
        <v/>
      </c>
      <c r="J189" s="4" t="str">
        <f>HYPERLINK("http://141.218.60.56/~jnz1568/getInfo.php?workbook=01_01.xlsx&amp;sheet=A0&amp;row=189&amp;col=10&amp;number=&amp;sourceID=15","")</f>
        <v/>
      </c>
      <c r="K189" s="4" t="str">
        <f>HYPERLINK("http://141.218.60.56/~jnz1568/getInfo.php?workbook=01_01.xlsx&amp;sheet=A0&amp;row=189&amp;col=11&amp;number=&amp;sourceID=15","")</f>
        <v/>
      </c>
      <c r="L189" s="4" t="str">
        <f>HYPERLINK("http://141.218.60.56/~jnz1568/getInfo.php?workbook=01_01.xlsx&amp;sheet=A0&amp;row=189&amp;col=12&amp;number=&amp;sourceID=15","")</f>
        <v/>
      </c>
      <c r="M189" s="4" t="str">
        <f>HYPERLINK("http://141.218.60.56/~jnz1568/getInfo.php?workbook=01_01.xlsx&amp;sheet=A0&amp;row=189&amp;col=13&amp;number=&amp;sourceID=15","")</f>
        <v/>
      </c>
      <c r="N189" s="4" t="str">
        <f>HYPERLINK("http://141.218.60.56/~jnz1568/getInfo.php?workbook=01_01.xlsx&amp;sheet=A0&amp;row=189&amp;col=14&amp;number==&amp;sourceID=11","=")</f>
        <v>=</v>
      </c>
      <c r="O189" s="4" t="str">
        <f>HYPERLINK("http://141.218.60.56/~jnz1568/getInfo.php?workbook=01_01.xlsx&amp;sheet=A0&amp;row=189&amp;col=15&amp;number=9425400&amp;sourceID=11","9425400")</f>
        <v>9425400</v>
      </c>
      <c r="P189" s="4" t="str">
        <f>HYPERLINK("http://141.218.60.56/~jnz1568/getInfo.php?workbook=01_01.xlsx&amp;sheet=A0&amp;row=189&amp;col=16&amp;number=&amp;sourceID=11","")</f>
        <v/>
      </c>
      <c r="Q189" s="4" t="str">
        <f>HYPERLINK("http://141.218.60.56/~jnz1568/getInfo.php?workbook=01_01.xlsx&amp;sheet=A0&amp;row=189&amp;col=17&amp;number=3.1418e-07&amp;sourceID=11","3.1418e-07")</f>
        <v>3.1418e-07</v>
      </c>
      <c r="R189" s="4" t="str">
        <f>HYPERLINK("http://141.218.60.56/~jnz1568/getInfo.php?workbook=01_01.xlsx&amp;sheet=A0&amp;row=189&amp;col=18&amp;number=&amp;sourceID=11","")</f>
        <v/>
      </c>
      <c r="S189" s="4" t="str">
        <f>HYPERLINK("http://141.218.60.56/~jnz1568/getInfo.php?workbook=01_01.xlsx&amp;sheet=A0&amp;row=189&amp;col=19&amp;number=7.1621e-05&amp;sourceID=11","7.1621e-05")</f>
        <v>7.1621e-05</v>
      </c>
      <c r="T189" s="4" t="str">
        <f>HYPERLINK("http://141.218.60.56/~jnz1568/getInfo.php?workbook=01_01.xlsx&amp;sheet=A0&amp;row=189&amp;col=20&amp;number=&amp;sourceID=11","")</f>
        <v/>
      </c>
      <c r="U189" s="4" t="str">
        <f>HYPERLINK("http://141.218.60.56/~jnz1568/getInfo.php?workbook=01_01.xlsx&amp;sheet=A0&amp;row=189&amp;col=21&amp;number=9430500&amp;sourceID=12","9430500")</f>
        <v>9430500</v>
      </c>
      <c r="V189" s="4" t="str">
        <f>HYPERLINK("http://141.218.60.56/~jnz1568/getInfo.php?workbook=01_01.xlsx&amp;sheet=A0&amp;row=189&amp;col=22&amp;number=9430500&amp;sourceID=12","9430500")</f>
        <v>9430500</v>
      </c>
      <c r="W189" s="4" t="str">
        <f>HYPERLINK("http://141.218.60.56/~jnz1568/getInfo.php?workbook=01_01.xlsx&amp;sheet=A0&amp;row=189&amp;col=23&amp;number=&amp;sourceID=12","")</f>
        <v/>
      </c>
      <c r="X189" s="4" t="str">
        <f>HYPERLINK("http://141.218.60.56/~jnz1568/getInfo.php?workbook=01_01.xlsx&amp;sheet=A0&amp;row=189&amp;col=24&amp;number=3.1436e-07&amp;sourceID=12","3.1436e-07")</f>
        <v>3.1436e-07</v>
      </c>
      <c r="Y189" s="4" t="str">
        <f>HYPERLINK("http://141.218.60.56/~jnz1568/getInfo.php?workbook=01_01.xlsx&amp;sheet=A0&amp;row=189&amp;col=25&amp;number=&amp;sourceID=12","")</f>
        <v/>
      </c>
      <c r="Z189" s="4" t="str">
        <f>HYPERLINK("http://141.218.60.56/~jnz1568/getInfo.php?workbook=01_01.xlsx&amp;sheet=A0&amp;row=189&amp;col=26&amp;number=7.166e-05&amp;sourceID=12","7.166e-05")</f>
        <v>7.166e-05</v>
      </c>
      <c r="AA189" s="4" t="str">
        <f>HYPERLINK("http://141.218.60.56/~jnz1568/getInfo.php?workbook=01_01.xlsx&amp;sheet=A0&amp;row=189&amp;col=27&amp;number=&amp;sourceID=12","")</f>
        <v/>
      </c>
      <c r="AB189" s="4" t="str">
        <f>HYPERLINK("http://141.218.60.56/~jnz1568/getInfo.php?workbook=01_01.xlsx&amp;sheet=A0&amp;row=189&amp;col=28&amp;number=&amp;sourceID=18","")</f>
        <v/>
      </c>
      <c r="AC189" s="4" t="str">
        <f>HYPERLINK("http://141.218.60.56/~jnz1568/getInfo.php?workbook=01_01.xlsx&amp;sheet=A0&amp;row=189&amp;col=29&amp;number=&amp;sourceID=18","")</f>
        <v/>
      </c>
      <c r="AD189" s="4" t="str">
        <f>HYPERLINK("http://141.218.60.56/~jnz1568/getInfo.php?workbook=01_01.xlsx&amp;sheet=A0&amp;row=189&amp;col=30&amp;number=&amp;sourceID=18","")</f>
        <v/>
      </c>
      <c r="AE189" s="4" t="str">
        <f>HYPERLINK("http://141.218.60.56/~jnz1568/getInfo.php?workbook=01_01.xlsx&amp;sheet=A0&amp;row=189&amp;col=31&amp;number=&amp;sourceID=18","")</f>
        <v/>
      </c>
      <c r="AF189" s="4" t="str">
        <f>HYPERLINK("http://141.218.60.56/~jnz1568/getInfo.php?workbook=01_01.xlsx&amp;sheet=A0&amp;row=189&amp;col=32&amp;number=&amp;sourceID=18","")</f>
        <v/>
      </c>
      <c r="AG189" s="4" t="str">
        <f>HYPERLINK("http://141.218.60.56/~jnz1568/getInfo.php?workbook=01_01.xlsx&amp;sheet=A0&amp;row=189&amp;col=33&amp;number=&amp;sourceID=18","")</f>
        <v/>
      </c>
      <c r="AH189" s="4" t="str">
        <f>HYPERLINK("http://141.218.60.56/~jnz1568/getInfo.php?workbook=01_01.xlsx&amp;sheet=A0&amp;row=189&amp;col=34&amp;number=&amp;sourceID=20","")</f>
        <v/>
      </c>
    </row>
    <row r="190" spans="1:34">
      <c r="A190" s="3">
        <v>1</v>
      </c>
      <c r="B190" s="3">
        <v>1</v>
      </c>
      <c r="C190" s="3">
        <v>21</v>
      </c>
      <c r="D190" s="3">
        <v>5</v>
      </c>
      <c r="E190" s="3">
        <f>((1/(INDEX(E0!J$4:J$28,C190,1)-INDEX(E0!J$4:J$28,D190,1))))*100000000</f>
        <v>0</v>
      </c>
      <c r="F190" s="4" t="str">
        <f>HYPERLINK("http://141.218.60.56/~jnz1568/getInfo.php?workbook=01_01.xlsx&amp;sheet=A0&amp;row=190&amp;col=6&amp;number=&amp;sourceID=18","")</f>
        <v/>
      </c>
      <c r="G190" s="4" t="str">
        <f>HYPERLINK("http://141.218.60.56/~jnz1568/getInfo.php?workbook=01_01.xlsx&amp;sheet=A0&amp;row=190&amp;col=7&amp;number=&amp;sourceID=15","")</f>
        <v/>
      </c>
      <c r="H190" s="4" t="str">
        <f>HYPERLINK("http://141.218.60.56/~jnz1568/getInfo.php?workbook=01_01.xlsx&amp;sheet=A0&amp;row=190&amp;col=8&amp;number=&amp;sourceID=15","")</f>
        <v/>
      </c>
      <c r="I190" s="4" t="str">
        <f>HYPERLINK("http://141.218.60.56/~jnz1568/getInfo.php?workbook=01_01.xlsx&amp;sheet=A0&amp;row=190&amp;col=9&amp;number=&amp;sourceID=15","")</f>
        <v/>
      </c>
      <c r="J190" s="4" t="str">
        <f>HYPERLINK("http://141.218.60.56/~jnz1568/getInfo.php?workbook=01_01.xlsx&amp;sheet=A0&amp;row=190&amp;col=10&amp;number=&amp;sourceID=15","")</f>
        <v/>
      </c>
      <c r="K190" s="4" t="str">
        <f>HYPERLINK("http://141.218.60.56/~jnz1568/getInfo.php?workbook=01_01.xlsx&amp;sheet=A0&amp;row=190&amp;col=11&amp;number=&amp;sourceID=15","")</f>
        <v/>
      </c>
      <c r="L190" s="4" t="str">
        <f>HYPERLINK("http://141.218.60.56/~jnz1568/getInfo.php?workbook=01_01.xlsx&amp;sheet=A0&amp;row=190&amp;col=12&amp;number=&amp;sourceID=15","")</f>
        <v/>
      </c>
      <c r="M190" s="4" t="str">
        <f>HYPERLINK("http://141.218.60.56/~jnz1568/getInfo.php?workbook=01_01.xlsx&amp;sheet=A0&amp;row=190&amp;col=13&amp;number=&amp;sourceID=15","")</f>
        <v/>
      </c>
      <c r="N190" s="4" t="str">
        <f>HYPERLINK("http://141.218.60.56/~jnz1568/getInfo.php?workbook=01_01.xlsx&amp;sheet=A0&amp;row=190&amp;col=14&amp;number==&amp;sourceID=11","=")</f>
        <v>=</v>
      </c>
      <c r="O190" s="4" t="str">
        <f>HYPERLINK("http://141.218.60.56/~jnz1568/getInfo.php?workbook=01_01.xlsx&amp;sheet=A0&amp;row=190&amp;col=15&amp;number=&amp;sourceID=11","")</f>
        <v/>
      </c>
      <c r="P190" s="4" t="str">
        <f>HYPERLINK("http://141.218.60.56/~jnz1568/getInfo.php?workbook=01_01.xlsx&amp;sheet=A0&amp;row=190&amp;col=16&amp;number=&amp;sourceID=11","")</f>
        <v/>
      </c>
      <c r="Q190" s="4" t="str">
        <f>HYPERLINK("http://141.218.60.56/~jnz1568/getInfo.php?workbook=01_01.xlsx&amp;sheet=A0&amp;row=190&amp;col=17&amp;number=4.1716e-08&amp;sourceID=11","4.1716e-08")</f>
        <v>4.1716e-08</v>
      </c>
      <c r="R190" s="4" t="str">
        <f>HYPERLINK("http://141.218.60.56/~jnz1568/getInfo.php?workbook=01_01.xlsx&amp;sheet=A0&amp;row=190&amp;col=18&amp;number=&amp;sourceID=11","")</f>
        <v/>
      </c>
      <c r="S190" s="4" t="str">
        <f>HYPERLINK("http://141.218.60.56/~jnz1568/getInfo.php?workbook=01_01.xlsx&amp;sheet=A0&amp;row=190&amp;col=19&amp;number=5.4039e-07&amp;sourceID=11","5.4039e-07")</f>
        <v>5.4039e-07</v>
      </c>
      <c r="T190" s="4" t="str">
        <f>HYPERLINK("http://141.218.60.56/~jnz1568/getInfo.php?workbook=01_01.xlsx&amp;sheet=A0&amp;row=190&amp;col=20&amp;number=&amp;sourceID=11","")</f>
        <v/>
      </c>
      <c r="U190" s="4" t="str">
        <f>HYPERLINK("http://141.218.60.56/~jnz1568/getInfo.php?workbook=01_01.xlsx&amp;sheet=A0&amp;row=190&amp;col=21&amp;number=5.8242e-07&amp;sourceID=12","5.8242e-07")</f>
        <v>5.8242e-07</v>
      </c>
      <c r="V190" s="4" t="str">
        <f>HYPERLINK("http://141.218.60.56/~jnz1568/getInfo.php?workbook=01_01.xlsx&amp;sheet=A0&amp;row=190&amp;col=22&amp;number=&amp;sourceID=12","")</f>
        <v/>
      </c>
      <c r="W190" s="4" t="str">
        <f>HYPERLINK("http://141.218.60.56/~jnz1568/getInfo.php?workbook=01_01.xlsx&amp;sheet=A0&amp;row=190&amp;col=23&amp;number=&amp;sourceID=12","")</f>
        <v/>
      </c>
      <c r="X190" s="4" t="str">
        <f>HYPERLINK("http://141.218.60.56/~jnz1568/getInfo.php?workbook=01_01.xlsx&amp;sheet=A0&amp;row=190&amp;col=24&amp;number=4.1739e-08&amp;sourceID=12","4.1739e-08")</f>
        <v>4.1739e-08</v>
      </c>
      <c r="Y190" s="4" t="str">
        <f>HYPERLINK("http://141.218.60.56/~jnz1568/getInfo.php?workbook=01_01.xlsx&amp;sheet=A0&amp;row=190&amp;col=25&amp;number=&amp;sourceID=12","")</f>
        <v/>
      </c>
      <c r="Z190" s="4" t="str">
        <f>HYPERLINK("http://141.218.60.56/~jnz1568/getInfo.php?workbook=01_01.xlsx&amp;sheet=A0&amp;row=190&amp;col=26&amp;number=5.4068e-07&amp;sourceID=12","5.4068e-07")</f>
        <v>5.4068e-07</v>
      </c>
      <c r="AA190" s="4" t="str">
        <f>HYPERLINK("http://141.218.60.56/~jnz1568/getInfo.php?workbook=01_01.xlsx&amp;sheet=A0&amp;row=190&amp;col=27&amp;number=&amp;sourceID=12","")</f>
        <v/>
      </c>
      <c r="AB190" s="4" t="str">
        <f>HYPERLINK("http://141.218.60.56/~jnz1568/getInfo.php?workbook=01_01.xlsx&amp;sheet=A0&amp;row=190&amp;col=28&amp;number=&amp;sourceID=18","")</f>
        <v/>
      </c>
      <c r="AC190" s="4" t="str">
        <f>HYPERLINK("http://141.218.60.56/~jnz1568/getInfo.php?workbook=01_01.xlsx&amp;sheet=A0&amp;row=190&amp;col=29&amp;number=&amp;sourceID=18","")</f>
        <v/>
      </c>
      <c r="AD190" s="4" t="str">
        <f>HYPERLINK("http://141.218.60.56/~jnz1568/getInfo.php?workbook=01_01.xlsx&amp;sheet=A0&amp;row=190&amp;col=30&amp;number=&amp;sourceID=18","")</f>
        <v/>
      </c>
      <c r="AE190" s="4" t="str">
        <f>HYPERLINK("http://141.218.60.56/~jnz1568/getInfo.php?workbook=01_01.xlsx&amp;sheet=A0&amp;row=190&amp;col=31&amp;number=&amp;sourceID=18","")</f>
        <v/>
      </c>
      <c r="AF190" s="4" t="str">
        <f>HYPERLINK("http://141.218.60.56/~jnz1568/getInfo.php?workbook=01_01.xlsx&amp;sheet=A0&amp;row=190&amp;col=32&amp;number=&amp;sourceID=18","")</f>
        <v/>
      </c>
      <c r="AG190" s="4" t="str">
        <f>HYPERLINK("http://141.218.60.56/~jnz1568/getInfo.php?workbook=01_01.xlsx&amp;sheet=A0&amp;row=190&amp;col=33&amp;number=&amp;sourceID=18","")</f>
        <v/>
      </c>
      <c r="AH190" s="4" t="str">
        <f>HYPERLINK("http://141.218.60.56/~jnz1568/getInfo.php?workbook=01_01.xlsx&amp;sheet=A0&amp;row=190&amp;col=34&amp;number=&amp;sourceID=20","")</f>
        <v/>
      </c>
    </row>
    <row r="191" spans="1:34">
      <c r="A191" s="3">
        <v>1</v>
      </c>
      <c r="B191" s="3">
        <v>1</v>
      </c>
      <c r="C191" s="3">
        <v>21</v>
      </c>
      <c r="D191" s="3">
        <v>6</v>
      </c>
      <c r="E191" s="3">
        <f>((1/(INDEX(E0!J$4:J$28,C191,1)-INDEX(E0!J$4:J$28,D191,1))))*100000000</f>
        <v>0</v>
      </c>
      <c r="F191" s="4" t="str">
        <f>HYPERLINK("http://141.218.60.56/~jnz1568/getInfo.php?workbook=01_01.xlsx&amp;sheet=A0&amp;row=191&amp;col=6&amp;number=&amp;sourceID=18","")</f>
        <v/>
      </c>
      <c r="G191" s="4" t="str">
        <f>HYPERLINK("http://141.218.60.56/~jnz1568/getInfo.php?workbook=01_01.xlsx&amp;sheet=A0&amp;row=191&amp;col=7&amp;number=&amp;sourceID=15","")</f>
        <v/>
      </c>
      <c r="H191" s="4" t="str">
        <f>HYPERLINK("http://141.218.60.56/~jnz1568/getInfo.php?workbook=01_01.xlsx&amp;sheet=A0&amp;row=191&amp;col=8&amp;number=&amp;sourceID=15","")</f>
        <v/>
      </c>
      <c r="I191" s="4" t="str">
        <f>HYPERLINK("http://141.218.60.56/~jnz1568/getInfo.php?workbook=01_01.xlsx&amp;sheet=A0&amp;row=191&amp;col=9&amp;number=&amp;sourceID=15","")</f>
        <v/>
      </c>
      <c r="J191" s="4" t="str">
        <f>HYPERLINK("http://141.218.60.56/~jnz1568/getInfo.php?workbook=01_01.xlsx&amp;sheet=A0&amp;row=191&amp;col=10&amp;number=&amp;sourceID=15","")</f>
        <v/>
      </c>
      <c r="K191" s="4" t="str">
        <f>HYPERLINK("http://141.218.60.56/~jnz1568/getInfo.php?workbook=01_01.xlsx&amp;sheet=A0&amp;row=191&amp;col=11&amp;number=&amp;sourceID=15","")</f>
        <v/>
      </c>
      <c r="L191" s="4" t="str">
        <f>HYPERLINK("http://141.218.60.56/~jnz1568/getInfo.php?workbook=01_01.xlsx&amp;sheet=A0&amp;row=191&amp;col=12&amp;number=&amp;sourceID=15","")</f>
        <v/>
      </c>
      <c r="M191" s="4" t="str">
        <f>HYPERLINK("http://141.218.60.56/~jnz1568/getInfo.php?workbook=01_01.xlsx&amp;sheet=A0&amp;row=191&amp;col=13&amp;number=&amp;sourceID=15","")</f>
        <v/>
      </c>
      <c r="N191" s="4" t="str">
        <f>HYPERLINK("http://141.218.60.56/~jnz1568/getInfo.php?workbook=01_01.xlsx&amp;sheet=A0&amp;row=191&amp;col=14&amp;number==&amp;sourceID=11","=")</f>
        <v>=</v>
      </c>
      <c r="O191" s="4" t="str">
        <f>HYPERLINK("http://141.218.60.56/~jnz1568/getInfo.php?workbook=01_01.xlsx&amp;sheet=A0&amp;row=191&amp;col=15&amp;number=&amp;sourceID=11","")</f>
        <v/>
      </c>
      <c r="P191" s="4" t="str">
        <f>HYPERLINK("http://141.218.60.56/~jnz1568/getInfo.php?workbook=01_01.xlsx&amp;sheet=A0&amp;row=191&amp;col=16&amp;number=1.0853&amp;sourceID=11","1.0853")</f>
        <v>1.0853</v>
      </c>
      <c r="Q191" s="4" t="str">
        <f>HYPERLINK("http://141.218.60.56/~jnz1568/getInfo.php?workbook=01_01.xlsx&amp;sheet=A0&amp;row=191&amp;col=17&amp;number=&amp;sourceID=11","")</f>
        <v/>
      </c>
      <c r="R191" s="4" t="str">
        <f>HYPERLINK("http://141.218.60.56/~jnz1568/getInfo.php?workbook=01_01.xlsx&amp;sheet=A0&amp;row=191&amp;col=18&amp;number=&amp;sourceID=11","")</f>
        <v/>
      </c>
      <c r="S191" s="4" t="str">
        <f>HYPERLINK("http://141.218.60.56/~jnz1568/getInfo.php?workbook=01_01.xlsx&amp;sheet=A0&amp;row=191&amp;col=19&amp;number=&amp;sourceID=11","")</f>
        <v/>
      </c>
      <c r="T191" s="4" t="str">
        <f>HYPERLINK("http://141.218.60.56/~jnz1568/getInfo.php?workbook=01_01.xlsx&amp;sheet=A0&amp;row=191&amp;col=20&amp;number=8.65e-13&amp;sourceID=11","8.65e-13")</f>
        <v>8.65e-13</v>
      </c>
      <c r="U191" s="4" t="str">
        <f>HYPERLINK("http://141.218.60.56/~jnz1568/getInfo.php?workbook=01_01.xlsx&amp;sheet=A0&amp;row=191&amp;col=21&amp;number=1.0859&amp;sourceID=12","1.0859")</f>
        <v>1.0859</v>
      </c>
      <c r="V191" s="4" t="str">
        <f>HYPERLINK("http://141.218.60.56/~jnz1568/getInfo.php?workbook=01_01.xlsx&amp;sheet=A0&amp;row=191&amp;col=22&amp;number=&amp;sourceID=12","")</f>
        <v/>
      </c>
      <c r="W191" s="4" t="str">
        <f>HYPERLINK("http://141.218.60.56/~jnz1568/getInfo.php?workbook=01_01.xlsx&amp;sheet=A0&amp;row=191&amp;col=23&amp;number=1.0859&amp;sourceID=12","1.0859")</f>
        <v>1.0859</v>
      </c>
      <c r="X191" s="4" t="str">
        <f>HYPERLINK("http://141.218.60.56/~jnz1568/getInfo.php?workbook=01_01.xlsx&amp;sheet=A0&amp;row=191&amp;col=24&amp;number=&amp;sourceID=12","")</f>
        <v/>
      </c>
      <c r="Y191" s="4" t="str">
        <f>HYPERLINK("http://141.218.60.56/~jnz1568/getInfo.php?workbook=01_01.xlsx&amp;sheet=A0&amp;row=191&amp;col=25&amp;number=&amp;sourceID=12","")</f>
        <v/>
      </c>
      <c r="Z191" s="4" t="str">
        <f>HYPERLINK("http://141.218.60.56/~jnz1568/getInfo.php?workbook=01_01.xlsx&amp;sheet=A0&amp;row=191&amp;col=26&amp;number=&amp;sourceID=12","")</f>
        <v/>
      </c>
      <c r="AA191" s="4" t="str">
        <f>HYPERLINK("http://141.218.60.56/~jnz1568/getInfo.php?workbook=01_01.xlsx&amp;sheet=A0&amp;row=191&amp;col=27&amp;number=8.65e-13&amp;sourceID=12","8.65e-13")</f>
        <v>8.65e-13</v>
      </c>
      <c r="AB191" s="4" t="str">
        <f>HYPERLINK("http://141.218.60.56/~jnz1568/getInfo.php?workbook=01_01.xlsx&amp;sheet=A0&amp;row=191&amp;col=28&amp;number=&amp;sourceID=18","")</f>
        <v/>
      </c>
      <c r="AC191" s="4" t="str">
        <f>HYPERLINK("http://141.218.60.56/~jnz1568/getInfo.php?workbook=01_01.xlsx&amp;sheet=A0&amp;row=191&amp;col=29&amp;number=&amp;sourceID=18","")</f>
        <v/>
      </c>
      <c r="AD191" s="4" t="str">
        <f>HYPERLINK("http://141.218.60.56/~jnz1568/getInfo.php?workbook=01_01.xlsx&amp;sheet=A0&amp;row=191&amp;col=30&amp;number=&amp;sourceID=18","")</f>
        <v/>
      </c>
      <c r="AE191" s="4" t="str">
        <f>HYPERLINK("http://141.218.60.56/~jnz1568/getInfo.php?workbook=01_01.xlsx&amp;sheet=A0&amp;row=191&amp;col=31&amp;number=&amp;sourceID=18","")</f>
        <v/>
      </c>
      <c r="AF191" s="4" t="str">
        <f>HYPERLINK("http://141.218.60.56/~jnz1568/getInfo.php?workbook=01_01.xlsx&amp;sheet=A0&amp;row=191&amp;col=32&amp;number=&amp;sourceID=18","")</f>
        <v/>
      </c>
      <c r="AG191" s="4" t="str">
        <f>HYPERLINK("http://141.218.60.56/~jnz1568/getInfo.php?workbook=01_01.xlsx&amp;sheet=A0&amp;row=191&amp;col=33&amp;number=&amp;sourceID=18","")</f>
        <v/>
      </c>
      <c r="AH191" s="4" t="str">
        <f>HYPERLINK("http://141.218.60.56/~jnz1568/getInfo.php?workbook=01_01.xlsx&amp;sheet=A0&amp;row=191&amp;col=34&amp;number=&amp;sourceID=20","")</f>
        <v/>
      </c>
    </row>
    <row r="192" spans="1:34">
      <c r="A192" s="3">
        <v>1</v>
      </c>
      <c r="B192" s="3">
        <v>1</v>
      </c>
      <c r="C192" s="3">
        <v>21</v>
      </c>
      <c r="D192" s="3">
        <v>7</v>
      </c>
      <c r="E192" s="3">
        <f>((1/(INDEX(E0!J$4:J$28,C192,1)-INDEX(E0!J$4:J$28,D192,1))))*100000000</f>
        <v>0</v>
      </c>
      <c r="F192" s="4" t="str">
        <f>HYPERLINK("http://141.218.60.56/~jnz1568/getInfo.php?workbook=01_01.xlsx&amp;sheet=A0&amp;row=192&amp;col=6&amp;number=&amp;sourceID=18","")</f>
        <v/>
      </c>
      <c r="G192" s="4" t="str">
        <f>HYPERLINK("http://141.218.60.56/~jnz1568/getInfo.php?workbook=01_01.xlsx&amp;sheet=A0&amp;row=192&amp;col=7&amp;number=&amp;sourceID=15","")</f>
        <v/>
      </c>
      <c r="H192" s="4" t="str">
        <f>HYPERLINK("http://141.218.60.56/~jnz1568/getInfo.php?workbook=01_01.xlsx&amp;sheet=A0&amp;row=192&amp;col=8&amp;number=&amp;sourceID=15","")</f>
        <v/>
      </c>
      <c r="I192" s="4" t="str">
        <f>HYPERLINK("http://141.218.60.56/~jnz1568/getInfo.php?workbook=01_01.xlsx&amp;sheet=A0&amp;row=192&amp;col=9&amp;number=&amp;sourceID=15","")</f>
        <v/>
      </c>
      <c r="J192" s="4" t="str">
        <f>HYPERLINK("http://141.218.60.56/~jnz1568/getInfo.php?workbook=01_01.xlsx&amp;sheet=A0&amp;row=192&amp;col=10&amp;number=&amp;sourceID=15","")</f>
        <v/>
      </c>
      <c r="K192" s="4" t="str">
        <f>HYPERLINK("http://141.218.60.56/~jnz1568/getInfo.php?workbook=01_01.xlsx&amp;sheet=A0&amp;row=192&amp;col=11&amp;number=&amp;sourceID=15","")</f>
        <v/>
      </c>
      <c r="L192" s="4" t="str">
        <f>HYPERLINK("http://141.218.60.56/~jnz1568/getInfo.php?workbook=01_01.xlsx&amp;sheet=A0&amp;row=192&amp;col=12&amp;number=&amp;sourceID=15","")</f>
        <v/>
      </c>
      <c r="M192" s="4" t="str">
        <f>HYPERLINK("http://141.218.60.56/~jnz1568/getInfo.php?workbook=01_01.xlsx&amp;sheet=A0&amp;row=192&amp;col=13&amp;number=&amp;sourceID=15","")</f>
        <v/>
      </c>
      <c r="N192" s="4" t="str">
        <f>HYPERLINK("http://141.218.60.56/~jnz1568/getInfo.php?workbook=01_01.xlsx&amp;sheet=A0&amp;row=192&amp;col=14&amp;number==&amp;sourceID=11","=")</f>
        <v>=</v>
      </c>
      <c r="O192" s="4" t="str">
        <f>HYPERLINK("http://141.218.60.56/~jnz1568/getInfo.php?workbook=01_01.xlsx&amp;sheet=A0&amp;row=192&amp;col=15&amp;number=&amp;sourceID=11","")</f>
        <v/>
      </c>
      <c r="P192" s="4" t="str">
        <f>HYPERLINK("http://141.218.60.56/~jnz1568/getInfo.php?workbook=01_01.xlsx&amp;sheet=A0&amp;row=192&amp;col=16&amp;number=0.11467&amp;sourceID=11","0.11467")</f>
        <v>0.11467</v>
      </c>
      <c r="Q192" s="4" t="str">
        <f>HYPERLINK("http://141.218.60.56/~jnz1568/getInfo.php?workbook=01_01.xlsx&amp;sheet=A0&amp;row=192&amp;col=17&amp;number=&amp;sourceID=11","")</f>
        <v/>
      </c>
      <c r="R192" s="4" t="str">
        <f>HYPERLINK("http://141.218.60.56/~jnz1568/getInfo.php?workbook=01_01.xlsx&amp;sheet=A0&amp;row=192&amp;col=18&amp;number=8.321e-12&amp;sourceID=11","8.321e-12")</f>
        <v>8.321e-12</v>
      </c>
      <c r="S192" s="4" t="str">
        <f>HYPERLINK("http://141.218.60.56/~jnz1568/getInfo.php?workbook=01_01.xlsx&amp;sheet=A0&amp;row=192&amp;col=19&amp;number=&amp;sourceID=11","")</f>
        <v/>
      </c>
      <c r="T192" s="4" t="str">
        <f>HYPERLINK("http://141.218.60.56/~jnz1568/getInfo.php?workbook=01_01.xlsx&amp;sheet=A0&amp;row=192&amp;col=20&amp;number=5e-15&amp;sourceID=11","5e-15")</f>
        <v>5e-15</v>
      </c>
      <c r="U192" s="4" t="str">
        <f>HYPERLINK("http://141.218.60.56/~jnz1568/getInfo.php?workbook=01_01.xlsx&amp;sheet=A0&amp;row=192&amp;col=21&amp;number=0.11473&amp;sourceID=12","0.11473")</f>
        <v>0.11473</v>
      </c>
      <c r="V192" s="4" t="str">
        <f>HYPERLINK("http://141.218.60.56/~jnz1568/getInfo.php?workbook=01_01.xlsx&amp;sheet=A0&amp;row=192&amp;col=22&amp;number=&amp;sourceID=12","")</f>
        <v/>
      </c>
      <c r="W192" s="4" t="str">
        <f>HYPERLINK("http://141.218.60.56/~jnz1568/getInfo.php?workbook=01_01.xlsx&amp;sheet=A0&amp;row=192&amp;col=23&amp;number=0.11473&amp;sourceID=12","0.11473")</f>
        <v>0.11473</v>
      </c>
      <c r="X192" s="4" t="str">
        <f>HYPERLINK("http://141.218.60.56/~jnz1568/getInfo.php?workbook=01_01.xlsx&amp;sheet=A0&amp;row=192&amp;col=24&amp;number=&amp;sourceID=12","")</f>
        <v/>
      </c>
      <c r="Y192" s="4" t="str">
        <f>HYPERLINK("http://141.218.60.56/~jnz1568/getInfo.php?workbook=01_01.xlsx&amp;sheet=A0&amp;row=192&amp;col=25&amp;number=8.568e-12&amp;sourceID=12","8.568e-12")</f>
        <v>8.568e-12</v>
      </c>
      <c r="Z192" s="4" t="str">
        <f>HYPERLINK("http://141.218.60.56/~jnz1568/getInfo.php?workbook=01_01.xlsx&amp;sheet=A0&amp;row=192&amp;col=26&amp;number=&amp;sourceID=12","")</f>
        <v/>
      </c>
      <c r="AA192" s="4" t="str">
        <f>HYPERLINK("http://141.218.60.56/~jnz1568/getInfo.php?workbook=01_01.xlsx&amp;sheet=A0&amp;row=192&amp;col=27&amp;number=5e-15&amp;sourceID=12","5e-15")</f>
        <v>5e-15</v>
      </c>
      <c r="AB192" s="4" t="str">
        <f>HYPERLINK("http://141.218.60.56/~jnz1568/getInfo.php?workbook=01_01.xlsx&amp;sheet=A0&amp;row=192&amp;col=28&amp;number=&amp;sourceID=18","")</f>
        <v/>
      </c>
      <c r="AC192" s="4" t="str">
        <f>HYPERLINK("http://141.218.60.56/~jnz1568/getInfo.php?workbook=01_01.xlsx&amp;sheet=A0&amp;row=192&amp;col=29&amp;number=&amp;sourceID=18","")</f>
        <v/>
      </c>
      <c r="AD192" s="4" t="str">
        <f>HYPERLINK("http://141.218.60.56/~jnz1568/getInfo.php?workbook=01_01.xlsx&amp;sheet=A0&amp;row=192&amp;col=30&amp;number=&amp;sourceID=18","")</f>
        <v/>
      </c>
      <c r="AE192" s="4" t="str">
        <f>HYPERLINK("http://141.218.60.56/~jnz1568/getInfo.php?workbook=01_01.xlsx&amp;sheet=A0&amp;row=192&amp;col=31&amp;number=&amp;sourceID=18","")</f>
        <v/>
      </c>
      <c r="AF192" s="4" t="str">
        <f>HYPERLINK("http://141.218.60.56/~jnz1568/getInfo.php?workbook=01_01.xlsx&amp;sheet=A0&amp;row=192&amp;col=32&amp;number=&amp;sourceID=18","")</f>
        <v/>
      </c>
      <c r="AG192" s="4" t="str">
        <f>HYPERLINK("http://141.218.60.56/~jnz1568/getInfo.php?workbook=01_01.xlsx&amp;sheet=A0&amp;row=192&amp;col=33&amp;number=&amp;sourceID=18","")</f>
        <v/>
      </c>
      <c r="AH192" s="4" t="str">
        <f>HYPERLINK("http://141.218.60.56/~jnz1568/getInfo.php?workbook=01_01.xlsx&amp;sheet=A0&amp;row=192&amp;col=34&amp;number=&amp;sourceID=20","")</f>
        <v/>
      </c>
    </row>
    <row r="193" spans="1:34">
      <c r="A193" s="3">
        <v>1</v>
      </c>
      <c r="B193" s="3">
        <v>1</v>
      </c>
      <c r="C193" s="3">
        <v>21</v>
      </c>
      <c r="D193" s="3">
        <v>8</v>
      </c>
      <c r="E193" s="3">
        <f>((1/(INDEX(E0!J$4:J$28,C193,1)-INDEX(E0!J$4:J$28,D193,1))))*100000000</f>
        <v>0</v>
      </c>
      <c r="F193" s="4" t="str">
        <f>HYPERLINK("http://141.218.60.56/~jnz1568/getInfo.php?workbook=01_01.xlsx&amp;sheet=A0&amp;row=193&amp;col=6&amp;number=&amp;sourceID=18","")</f>
        <v/>
      </c>
      <c r="G193" s="4" t="str">
        <f>HYPERLINK("http://141.218.60.56/~jnz1568/getInfo.php?workbook=01_01.xlsx&amp;sheet=A0&amp;row=193&amp;col=7&amp;number=3391500&amp;sourceID=15","3391500")</f>
        <v>3391500</v>
      </c>
      <c r="H193" s="4" t="str">
        <f>HYPERLINK("http://141.218.60.56/~jnz1568/getInfo.php?workbook=01_01.xlsx&amp;sheet=A0&amp;row=193&amp;col=8&amp;number=3391500&amp;sourceID=15","3391500")</f>
        <v>3391500</v>
      </c>
      <c r="I193" s="4" t="str">
        <f>HYPERLINK("http://141.218.60.56/~jnz1568/getInfo.php?workbook=01_01.xlsx&amp;sheet=A0&amp;row=193&amp;col=9&amp;number=&amp;sourceID=15","")</f>
        <v/>
      </c>
      <c r="J193" s="4" t="str">
        <f>HYPERLINK("http://141.218.60.56/~jnz1568/getInfo.php?workbook=01_01.xlsx&amp;sheet=A0&amp;row=193&amp;col=10&amp;number=&amp;sourceID=15","")</f>
        <v/>
      </c>
      <c r="K193" s="4" t="str">
        <f>HYPERLINK("http://141.218.60.56/~jnz1568/getInfo.php?workbook=01_01.xlsx&amp;sheet=A0&amp;row=193&amp;col=11&amp;number=&amp;sourceID=15","")</f>
        <v/>
      </c>
      <c r="L193" s="4" t="str">
        <f>HYPERLINK("http://141.218.60.56/~jnz1568/getInfo.php?workbook=01_01.xlsx&amp;sheet=A0&amp;row=193&amp;col=12&amp;number=&amp;sourceID=15","")</f>
        <v/>
      </c>
      <c r="M193" s="4" t="str">
        <f>HYPERLINK("http://141.218.60.56/~jnz1568/getInfo.php?workbook=01_01.xlsx&amp;sheet=A0&amp;row=193&amp;col=13&amp;number=&amp;sourceID=15","")</f>
        <v/>
      </c>
      <c r="N193" s="4" t="str">
        <f>HYPERLINK("http://141.218.60.56/~jnz1568/getInfo.php?workbook=01_01.xlsx&amp;sheet=A0&amp;row=193&amp;col=14&amp;number==&amp;sourceID=11","=")</f>
        <v>=</v>
      </c>
      <c r="O193" s="4" t="str">
        <f>HYPERLINK("http://141.218.60.56/~jnz1568/getInfo.php?workbook=01_01.xlsx&amp;sheet=A0&amp;row=193&amp;col=15&amp;number=3391500&amp;sourceID=11","3391500")</f>
        <v>3391500</v>
      </c>
      <c r="P193" s="4" t="str">
        <f>HYPERLINK("http://141.218.60.56/~jnz1568/getInfo.php?workbook=01_01.xlsx&amp;sheet=A0&amp;row=193&amp;col=16&amp;number=&amp;sourceID=11","")</f>
        <v/>
      </c>
      <c r="Q193" s="4" t="str">
        <f>HYPERLINK("http://141.218.60.56/~jnz1568/getInfo.php?workbook=01_01.xlsx&amp;sheet=A0&amp;row=193&amp;col=17&amp;number=3.3361e-08&amp;sourceID=11","3.3361e-08")</f>
        <v>3.3361e-08</v>
      </c>
      <c r="R193" s="4" t="str">
        <f>HYPERLINK("http://141.218.60.56/~jnz1568/getInfo.php?workbook=01_01.xlsx&amp;sheet=A0&amp;row=193&amp;col=18&amp;number=&amp;sourceID=11","")</f>
        <v/>
      </c>
      <c r="S193" s="4" t="str">
        <f>HYPERLINK("http://141.218.60.56/~jnz1568/getInfo.php?workbook=01_01.xlsx&amp;sheet=A0&amp;row=193&amp;col=19&amp;number=2.9551e-06&amp;sourceID=11","2.9551e-06")</f>
        <v>2.9551e-06</v>
      </c>
      <c r="T193" s="4" t="str">
        <f>HYPERLINK("http://141.218.60.56/~jnz1568/getInfo.php?workbook=01_01.xlsx&amp;sheet=A0&amp;row=193&amp;col=20&amp;number=&amp;sourceID=11","")</f>
        <v/>
      </c>
      <c r="U193" s="4" t="str">
        <f>HYPERLINK("http://141.218.60.56/~jnz1568/getInfo.php?workbook=01_01.xlsx&amp;sheet=A0&amp;row=193&amp;col=21&amp;number=3393300&amp;sourceID=12","3393300")</f>
        <v>3393300</v>
      </c>
      <c r="V193" s="4" t="str">
        <f>HYPERLINK("http://141.218.60.56/~jnz1568/getInfo.php?workbook=01_01.xlsx&amp;sheet=A0&amp;row=193&amp;col=22&amp;number=3393300&amp;sourceID=12","3393300")</f>
        <v>3393300</v>
      </c>
      <c r="W193" s="4" t="str">
        <f>HYPERLINK("http://141.218.60.56/~jnz1568/getInfo.php?workbook=01_01.xlsx&amp;sheet=A0&amp;row=193&amp;col=23&amp;number=&amp;sourceID=12","")</f>
        <v/>
      </c>
      <c r="X193" s="4" t="str">
        <f>HYPERLINK("http://141.218.60.56/~jnz1568/getInfo.php?workbook=01_01.xlsx&amp;sheet=A0&amp;row=193&amp;col=24&amp;number=3.3379e-08&amp;sourceID=12","3.3379e-08")</f>
        <v>3.3379e-08</v>
      </c>
      <c r="Y193" s="4" t="str">
        <f>HYPERLINK("http://141.218.60.56/~jnz1568/getInfo.php?workbook=01_01.xlsx&amp;sheet=A0&amp;row=193&amp;col=25&amp;number=&amp;sourceID=12","")</f>
        <v/>
      </c>
      <c r="Z193" s="4" t="str">
        <f>HYPERLINK("http://141.218.60.56/~jnz1568/getInfo.php?workbook=01_01.xlsx&amp;sheet=A0&amp;row=193&amp;col=26&amp;number=2.9567e-06&amp;sourceID=12","2.9567e-06")</f>
        <v>2.9567e-06</v>
      </c>
      <c r="AA193" s="4" t="str">
        <f>HYPERLINK("http://141.218.60.56/~jnz1568/getInfo.php?workbook=01_01.xlsx&amp;sheet=A0&amp;row=193&amp;col=27&amp;number=&amp;sourceID=12","")</f>
        <v/>
      </c>
      <c r="AB193" s="4" t="str">
        <f>HYPERLINK("http://141.218.60.56/~jnz1568/getInfo.php?workbook=01_01.xlsx&amp;sheet=A0&amp;row=193&amp;col=28&amp;number=&amp;sourceID=18","")</f>
        <v/>
      </c>
      <c r="AC193" s="4" t="str">
        <f>HYPERLINK("http://141.218.60.56/~jnz1568/getInfo.php?workbook=01_01.xlsx&amp;sheet=A0&amp;row=193&amp;col=29&amp;number=&amp;sourceID=18","")</f>
        <v/>
      </c>
      <c r="AD193" s="4" t="str">
        <f>HYPERLINK("http://141.218.60.56/~jnz1568/getInfo.php?workbook=01_01.xlsx&amp;sheet=A0&amp;row=193&amp;col=30&amp;number=&amp;sourceID=18","")</f>
        <v/>
      </c>
      <c r="AE193" s="4" t="str">
        <f>HYPERLINK("http://141.218.60.56/~jnz1568/getInfo.php?workbook=01_01.xlsx&amp;sheet=A0&amp;row=193&amp;col=31&amp;number=&amp;sourceID=18","")</f>
        <v/>
      </c>
      <c r="AF193" s="4" t="str">
        <f>HYPERLINK("http://141.218.60.56/~jnz1568/getInfo.php?workbook=01_01.xlsx&amp;sheet=A0&amp;row=193&amp;col=32&amp;number=&amp;sourceID=18","")</f>
        <v/>
      </c>
      <c r="AG193" s="4" t="str">
        <f>HYPERLINK("http://141.218.60.56/~jnz1568/getInfo.php?workbook=01_01.xlsx&amp;sheet=A0&amp;row=193&amp;col=33&amp;number=&amp;sourceID=18","")</f>
        <v/>
      </c>
      <c r="AH193" s="4" t="str">
        <f>HYPERLINK("http://141.218.60.56/~jnz1568/getInfo.php?workbook=01_01.xlsx&amp;sheet=A0&amp;row=193&amp;col=34&amp;number=&amp;sourceID=20","")</f>
        <v/>
      </c>
    </row>
    <row r="194" spans="1:34">
      <c r="A194" s="3">
        <v>1</v>
      </c>
      <c r="B194" s="3">
        <v>1</v>
      </c>
      <c r="C194" s="3">
        <v>21</v>
      </c>
      <c r="D194" s="3">
        <v>9</v>
      </c>
      <c r="E194" s="3">
        <f>((1/(INDEX(E0!J$4:J$28,C194,1)-INDEX(E0!J$4:J$28,D194,1))))*100000000</f>
        <v>0</v>
      </c>
      <c r="F194" s="4" t="str">
        <f>HYPERLINK("http://141.218.60.56/~jnz1568/getInfo.php?workbook=01_01.xlsx&amp;sheet=A0&amp;row=194&amp;col=6&amp;number=&amp;sourceID=18","")</f>
        <v/>
      </c>
      <c r="G194" s="4" t="str">
        <f>HYPERLINK("http://141.218.60.56/~jnz1568/getInfo.php?workbook=01_01.xlsx&amp;sheet=A0&amp;row=194&amp;col=7&amp;number=&amp;sourceID=15","")</f>
        <v/>
      </c>
      <c r="H194" s="4" t="str">
        <f>HYPERLINK("http://141.218.60.56/~jnz1568/getInfo.php?workbook=01_01.xlsx&amp;sheet=A0&amp;row=194&amp;col=8&amp;number=&amp;sourceID=15","")</f>
        <v/>
      </c>
      <c r="I194" s="4" t="str">
        <f>HYPERLINK("http://141.218.60.56/~jnz1568/getInfo.php?workbook=01_01.xlsx&amp;sheet=A0&amp;row=194&amp;col=9&amp;number=&amp;sourceID=15","")</f>
        <v/>
      </c>
      <c r="J194" s="4" t="str">
        <f>HYPERLINK("http://141.218.60.56/~jnz1568/getInfo.php?workbook=01_01.xlsx&amp;sheet=A0&amp;row=194&amp;col=10&amp;number=&amp;sourceID=15","")</f>
        <v/>
      </c>
      <c r="K194" s="4" t="str">
        <f>HYPERLINK("http://141.218.60.56/~jnz1568/getInfo.php?workbook=01_01.xlsx&amp;sheet=A0&amp;row=194&amp;col=11&amp;number=&amp;sourceID=15","")</f>
        <v/>
      </c>
      <c r="L194" s="4" t="str">
        <f>HYPERLINK("http://141.218.60.56/~jnz1568/getInfo.php?workbook=01_01.xlsx&amp;sheet=A0&amp;row=194&amp;col=12&amp;number=&amp;sourceID=15","")</f>
        <v/>
      </c>
      <c r="M194" s="4" t="str">
        <f>HYPERLINK("http://141.218.60.56/~jnz1568/getInfo.php?workbook=01_01.xlsx&amp;sheet=A0&amp;row=194&amp;col=13&amp;number=&amp;sourceID=15","")</f>
        <v/>
      </c>
      <c r="N194" s="4" t="str">
        <f>HYPERLINK("http://141.218.60.56/~jnz1568/getInfo.php?workbook=01_01.xlsx&amp;sheet=A0&amp;row=194&amp;col=14&amp;number==&amp;sourceID=11","=")</f>
        <v>=</v>
      </c>
      <c r="O194" s="4" t="str">
        <f>HYPERLINK("http://141.218.60.56/~jnz1568/getInfo.php?workbook=01_01.xlsx&amp;sheet=A0&amp;row=194&amp;col=15&amp;number=&amp;sourceID=11","")</f>
        <v/>
      </c>
      <c r="P194" s="4" t="str">
        <f>HYPERLINK("http://141.218.60.56/~jnz1568/getInfo.php?workbook=01_01.xlsx&amp;sheet=A0&amp;row=194&amp;col=16&amp;number=0.45866&amp;sourceID=11","0.45866")</f>
        <v>0.45866</v>
      </c>
      <c r="Q194" s="4" t="str">
        <f>HYPERLINK("http://141.218.60.56/~jnz1568/getInfo.php?workbook=01_01.xlsx&amp;sheet=A0&amp;row=194&amp;col=17&amp;number=&amp;sourceID=11","")</f>
        <v/>
      </c>
      <c r="R194" s="4" t="str">
        <f>HYPERLINK("http://141.218.60.56/~jnz1568/getInfo.php?workbook=01_01.xlsx&amp;sheet=A0&amp;row=194&amp;col=18&amp;number=6.2577e-11&amp;sourceID=11","6.2577e-11")</f>
        <v>6.2577e-11</v>
      </c>
      <c r="S194" s="4" t="str">
        <f>HYPERLINK("http://141.218.60.56/~jnz1568/getInfo.php?workbook=01_01.xlsx&amp;sheet=A0&amp;row=194&amp;col=19&amp;number=&amp;sourceID=11","")</f>
        <v/>
      </c>
      <c r="T194" s="4" t="str">
        <f>HYPERLINK("http://141.218.60.56/~jnz1568/getInfo.php?workbook=01_01.xlsx&amp;sheet=A0&amp;row=194&amp;col=20&amp;number=6.34e-13&amp;sourceID=11","6.34e-13")</f>
        <v>6.34e-13</v>
      </c>
      <c r="U194" s="4" t="str">
        <f>HYPERLINK("http://141.218.60.56/~jnz1568/getInfo.php?workbook=01_01.xlsx&amp;sheet=A0&amp;row=194&amp;col=21&amp;number=0.45891&amp;sourceID=12","0.45891")</f>
        <v>0.45891</v>
      </c>
      <c r="V194" s="4" t="str">
        <f>HYPERLINK("http://141.218.60.56/~jnz1568/getInfo.php?workbook=01_01.xlsx&amp;sheet=A0&amp;row=194&amp;col=22&amp;number=&amp;sourceID=12","")</f>
        <v/>
      </c>
      <c r="W194" s="4" t="str">
        <f>HYPERLINK("http://141.218.60.56/~jnz1568/getInfo.php?workbook=01_01.xlsx&amp;sheet=A0&amp;row=194&amp;col=23&amp;number=0.45891&amp;sourceID=12","0.45891")</f>
        <v>0.45891</v>
      </c>
      <c r="X194" s="4" t="str">
        <f>HYPERLINK("http://141.218.60.56/~jnz1568/getInfo.php?workbook=01_01.xlsx&amp;sheet=A0&amp;row=194&amp;col=24&amp;number=&amp;sourceID=12","")</f>
        <v/>
      </c>
      <c r="Y194" s="4" t="str">
        <f>HYPERLINK("http://141.218.60.56/~jnz1568/getInfo.php?workbook=01_01.xlsx&amp;sheet=A0&amp;row=194&amp;col=25&amp;number=6.2593e-11&amp;sourceID=12","6.2593e-11")</f>
        <v>6.2593e-11</v>
      </c>
      <c r="Z194" s="4" t="str">
        <f>HYPERLINK("http://141.218.60.56/~jnz1568/getInfo.php?workbook=01_01.xlsx&amp;sheet=A0&amp;row=194&amp;col=26&amp;number=&amp;sourceID=12","")</f>
        <v/>
      </c>
      <c r="AA194" s="4" t="str">
        <f>HYPERLINK("http://141.218.60.56/~jnz1568/getInfo.php?workbook=01_01.xlsx&amp;sheet=A0&amp;row=194&amp;col=27&amp;number=6.35e-13&amp;sourceID=12","6.35e-13")</f>
        <v>6.35e-13</v>
      </c>
      <c r="AB194" s="4" t="str">
        <f>HYPERLINK("http://141.218.60.56/~jnz1568/getInfo.php?workbook=01_01.xlsx&amp;sheet=A0&amp;row=194&amp;col=28&amp;number=&amp;sourceID=18","")</f>
        <v/>
      </c>
      <c r="AC194" s="4" t="str">
        <f>HYPERLINK("http://141.218.60.56/~jnz1568/getInfo.php?workbook=01_01.xlsx&amp;sheet=A0&amp;row=194&amp;col=29&amp;number=&amp;sourceID=18","")</f>
        <v/>
      </c>
      <c r="AD194" s="4" t="str">
        <f>HYPERLINK("http://141.218.60.56/~jnz1568/getInfo.php?workbook=01_01.xlsx&amp;sheet=A0&amp;row=194&amp;col=30&amp;number=&amp;sourceID=18","")</f>
        <v/>
      </c>
      <c r="AE194" s="4" t="str">
        <f>HYPERLINK("http://141.218.60.56/~jnz1568/getInfo.php?workbook=01_01.xlsx&amp;sheet=A0&amp;row=194&amp;col=31&amp;number=&amp;sourceID=18","")</f>
        <v/>
      </c>
      <c r="AF194" s="4" t="str">
        <f>HYPERLINK("http://141.218.60.56/~jnz1568/getInfo.php?workbook=01_01.xlsx&amp;sheet=A0&amp;row=194&amp;col=32&amp;number=&amp;sourceID=18","")</f>
        <v/>
      </c>
      <c r="AG194" s="4" t="str">
        <f>HYPERLINK("http://141.218.60.56/~jnz1568/getInfo.php?workbook=01_01.xlsx&amp;sheet=A0&amp;row=194&amp;col=33&amp;number=&amp;sourceID=18","")</f>
        <v/>
      </c>
      <c r="AH194" s="4" t="str">
        <f>HYPERLINK("http://141.218.60.56/~jnz1568/getInfo.php?workbook=01_01.xlsx&amp;sheet=A0&amp;row=194&amp;col=34&amp;number=&amp;sourceID=20","")</f>
        <v/>
      </c>
    </row>
    <row r="195" spans="1:34">
      <c r="A195" s="3">
        <v>1</v>
      </c>
      <c r="B195" s="3">
        <v>1</v>
      </c>
      <c r="C195" s="3">
        <v>21</v>
      </c>
      <c r="D195" s="3">
        <v>10</v>
      </c>
      <c r="E195" s="3">
        <f>((1/(INDEX(E0!J$4:J$28,C195,1)-INDEX(E0!J$4:J$28,D195,1))))*100000000</f>
        <v>0</v>
      </c>
      <c r="F195" s="4" t="str">
        <f>HYPERLINK("http://141.218.60.56/~jnz1568/getInfo.php?workbook=01_01.xlsx&amp;sheet=A0&amp;row=195&amp;col=6&amp;number=&amp;sourceID=18","")</f>
        <v/>
      </c>
      <c r="G195" s="4" t="str">
        <f>HYPERLINK("http://141.218.60.56/~jnz1568/getInfo.php?workbook=01_01.xlsx&amp;sheet=A0&amp;row=195&amp;col=7&amp;number=&amp;sourceID=15","")</f>
        <v/>
      </c>
      <c r="H195" s="4" t="str">
        <f>HYPERLINK("http://141.218.60.56/~jnz1568/getInfo.php?workbook=01_01.xlsx&amp;sheet=A0&amp;row=195&amp;col=8&amp;number=&amp;sourceID=15","")</f>
        <v/>
      </c>
      <c r="I195" s="4" t="str">
        <f>HYPERLINK("http://141.218.60.56/~jnz1568/getInfo.php?workbook=01_01.xlsx&amp;sheet=A0&amp;row=195&amp;col=9&amp;number=&amp;sourceID=15","")</f>
        <v/>
      </c>
      <c r="J195" s="4" t="str">
        <f>HYPERLINK("http://141.218.60.56/~jnz1568/getInfo.php?workbook=01_01.xlsx&amp;sheet=A0&amp;row=195&amp;col=10&amp;number=&amp;sourceID=15","")</f>
        <v/>
      </c>
      <c r="K195" s="4" t="str">
        <f>HYPERLINK("http://141.218.60.56/~jnz1568/getInfo.php?workbook=01_01.xlsx&amp;sheet=A0&amp;row=195&amp;col=11&amp;number=&amp;sourceID=15","")</f>
        <v/>
      </c>
      <c r="L195" s="4" t="str">
        <f>HYPERLINK("http://141.218.60.56/~jnz1568/getInfo.php?workbook=01_01.xlsx&amp;sheet=A0&amp;row=195&amp;col=12&amp;number=&amp;sourceID=15","")</f>
        <v/>
      </c>
      <c r="M195" s="4" t="str">
        <f>HYPERLINK("http://141.218.60.56/~jnz1568/getInfo.php?workbook=01_01.xlsx&amp;sheet=A0&amp;row=195&amp;col=13&amp;number=&amp;sourceID=15","")</f>
        <v/>
      </c>
      <c r="N195" s="4" t="str">
        <f>HYPERLINK("http://141.218.60.56/~jnz1568/getInfo.php?workbook=01_01.xlsx&amp;sheet=A0&amp;row=195&amp;col=14&amp;number==&amp;sourceID=11","=")</f>
        <v>=</v>
      </c>
      <c r="O195" s="4" t="str">
        <f>HYPERLINK("http://141.218.60.56/~jnz1568/getInfo.php?workbook=01_01.xlsx&amp;sheet=A0&amp;row=195&amp;col=15&amp;number=&amp;sourceID=11","")</f>
        <v/>
      </c>
      <c r="P195" s="4" t="str">
        <f>HYPERLINK("http://141.218.60.56/~jnz1568/getInfo.php?workbook=01_01.xlsx&amp;sheet=A0&amp;row=195&amp;col=16&amp;number=&amp;sourceID=11","")</f>
        <v/>
      </c>
      <c r="Q195" s="4" t="str">
        <f>HYPERLINK("http://141.218.60.56/~jnz1568/getInfo.php?workbook=01_01.xlsx&amp;sheet=A0&amp;row=195&amp;col=17&amp;number=7.2664e-08&amp;sourceID=11","7.2664e-08")</f>
        <v>7.2664e-08</v>
      </c>
      <c r="R195" s="4" t="str">
        <f>HYPERLINK("http://141.218.60.56/~jnz1568/getInfo.php?workbook=01_01.xlsx&amp;sheet=A0&amp;row=195&amp;col=18&amp;number=&amp;sourceID=11","")</f>
        <v/>
      </c>
      <c r="S195" s="4" t="str">
        <f>HYPERLINK("http://141.218.60.56/~jnz1568/getInfo.php?workbook=01_01.xlsx&amp;sheet=A0&amp;row=195&amp;col=19&amp;number=2.37e-08&amp;sourceID=11","2.37e-08")</f>
        <v>2.37e-08</v>
      </c>
      <c r="T195" s="4" t="str">
        <f>HYPERLINK("http://141.218.60.56/~jnz1568/getInfo.php?workbook=01_01.xlsx&amp;sheet=A0&amp;row=195&amp;col=20&amp;number=&amp;sourceID=11","")</f>
        <v/>
      </c>
      <c r="U195" s="4" t="str">
        <f>HYPERLINK("http://141.218.60.56/~jnz1568/getInfo.php?workbook=01_01.xlsx&amp;sheet=A0&amp;row=195&amp;col=21&amp;number=9.6416e-08&amp;sourceID=12","9.6416e-08")</f>
        <v>9.6416e-08</v>
      </c>
      <c r="V195" s="4" t="str">
        <f>HYPERLINK("http://141.218.60.56/~jnz1568/getInfo.php?workbook=01_01.xlsx&amp;sheet=A0&amp;row=195&amp;col=22&amp;number=&amp;sourceID=12","")</f>
        <v/>
      </c>
      <c r="W195" s="4" t="str">
        <f>HYPERLINK("http://141.218.60.56/~jnz1568/getInfo.php?workbook=01_01.xlsx&amp;sheet=A0&amp;row=195&amp;col=23&amp;number=&amp;sourceID=12","")</f>
        <v/>
      </c>
      <c r="X195" s="4" t="str">
        <f>HYPERLINK("http://141.218.60.56/~jnz1568/getInfo.php?workbook=01_01.xlsx&amp;sheet=A0&amp;row=195&amp;col=24&amp;number=7.2703e-08&amp;sourceID=12","7.2703e-08")</f>
        <v>7.2703e-08</v>
      </c>
      <c r="Y195" s="4" t="str">
        <f>HYPERLINK("http://141.218.60.56/~jnz1568/getInfo.php?workbook=01_01.xlsx&amp;sheet=A0&amp;row=195&amp;col=25&amp;number=&amp;sourceID=12","")</f>
        <v/>
      </c>
      <c r="Z195" s="4" t="str">
        <f>HYPERLINK("http://141.218.60.56/~jnz1568/getInfo.php?workbook=01_01.xlsx&amp;sheet=A0&amp;row=195&amp;col=26&amp;number=2.3713e-08&amp;sourceID=12","2.3713e-08")</f>
        <v>2.3713e-08</v>
      </c>
      <c r="AA195" s="4" t="str">
        <f>HYPERLINK("http://141.218.60.56/~jnz1568/getInfo.php?workbook=01_01.xlsx&amp;sheet=A0&amp;row=195&amp;col=27&amp;number=&amp;sourceID=12","")</f>
        <v/>
      </c>
      <c r="AB195" s="4" t="str">
        <f>HYPERLINK("http://141.218.60.56/~jnz1568/getInfo.php?workbook=01_01.xlsx&amp;sheet=A0&amp;row=195&amp;col=28&amp;number=&amp;sourceID=18","")</f>
        <v/>
      </c>
      <c r="AC195" s="4" t="str">
        <f>HYPERLINK("http://141.218.60.56/~jnz1568/getInfo.php?workbook=01_01.xlsx&amp;sheet=A0&amp;row=195&amp;col=29&amp;number=&amp;sourceID=18","")</f>
        <v/>
      </c>
      <c r="AD195" s="4" t="str">
        <f>HYPERLINK("http://141.218.60.56/~jnz1568/getInfo.php?workbook=01_01.xlsx&amp;sheet=A0&amp;row=195&amp;col=30&amp;number=&amp;sourceID=18","")</f>
        <v/>
      </c>
      <c r="AE195" s="4" t="str">
        <f>HYPERLINK("http://141.218.60.56/~jnz1568/getInfo.php?workbook=01_01.xlsx&amp;sheet=A0&amp;row=195&amp;col=31&amp;number=&amp;sourceID=18","")</f>
        <v/>
      </c>
      <c r="AF195" s="4" t="str">
        <f>HYPERLINK("http://141.218.60.56/~jnz1568/getInfo.php?workbook=01_01.xlsx&amp;sheet=A0&amp;row=195&amp;col=32&amp;number=&amp;sourceID=18","")</f>
        <v/>
      </c>
      <c r="AG195" s="4" t="str">
        <f>HYPERLINK("http://141.218.60.56/~jnz1568/getInfo.php?workbook=01_01.xlsx&amp;sheet=A0&amp;row=195&amp;col=33&amp;number=&amp;sourceID=18","")</f>
        <v/>
      </c>
      <c r="AH195" s="4" t="str">
        <f>HYPERLINK("http://141.218.60.56/~jnz1568/getInfo.php?workbook=01_01.xlsx&amp;sheet=A0&amp;row=195&amp;col=34&amp;number=&amp;sourceID=20","")</f>
        <v/>
      </c>
    </row>
    <row r="196" spans="1:34">
      <c r="A196" s="3">
        <v>1</v>
      </c>
      <c r="B196" s="3">
        <v>1</v>
      </c>
      <c r="C196" s="3">
        <v>21</v>
      </c>
      <c r="D196" s="3">
        <v>11</v>
      </c>
      <c r="E196" s="3">
        <f>((1/(INDEX(E0!J$4:J$28,C196,1)-INDEX(E0!J$4:J$28,D196,1))))*100000000</f>
        <v>0</v>
      </c>
      <c r="F196" s="4" t="str">
        <f>HYPERLINK("http://141.218.60.56/~jnz1568/getInfo.php?workbook=01_01.xlsx&amp;sheet=A0&amp;row=196&amp;col=6&amp;number=&amp;sourceID=18","")</f>
        <v/>
      </c>
      <c r="G196" s="4" t="str">
        <f>HYPERLINK("http://141.218.60.56/~jnz1568/getInfo.php?workbook=01_01.xlsx&amp;sheet=A0&amp;row=196&amp;col=7&amp;number=&amp;sourceID=15","")</f>
        <v/>
      </c>
      <c r="H196" s="4" t="str">
        <f>HYPERLINK("http://141.218.60.56/~jnz1568/getInfo.php?workbook=01_01.xlsx&amp;sheet=A0&amp;row=196&amp;col=8&amp;number=&amp;sourceID=15","")</f>
        <v/>
      </c>
      <c r="I196" s="4" t="str">
        <f>HYPERLINK("http://141.218.60.56/~jnz1568/getInfo.php?workbook=01_01.xlsx&amp;sheet=A0&amp;row=196&amp;col=9&amp;number=&amp;sourceID=15","")</f>
        <v/>
      </c>
      <c r="J196" s="4" t="str">
        <f>HYPERLINK("http://141.218.60.56/~jnz1568/getInfo.php?workbook=01_01.xlsx&amp;sheet=A0&amp;row=196&amp;col=10&amp;number=&amp;sourceID=15","")</f>
        <v/>
      </c>
      <c r="K196" s="4" t="str">
        <f>HYPERLINK("http://141.218.60.56/~jnz1568/getInfo.php?workbook=01_01.xlsx&amp;sheet=A0&amp;row=196&amp;col=11&amp;number=&amp;sourceID=15","")</f>
        <v/>
      </c>
      <c r="L196" s="4" t="str">
        <f>HYPERLINK("http://141.218.60.56/~jnz1568/getInfo.php?workbook=01_01.xlsx&amp;sheet=A0&amp;row=196&amp;col=12&amp;number=&amp;sourceID=15","")</f>
        <v/>
      </c>
      <c r="M196" s="4" t="str">
        <f>HYPERLINK("http://141.218.60.56/~jnz1568/getInfo.php?workbook=01_01.xlsx&amp;sheet=A0&amp;row=196&amp;col=13&amp;number=&amp;sourceID=15","")</f>
        <v/>
      </c>
      <c r="N196" s="4" t="str">
        <f>HYPERLINK("http://141.218.60.56/~jnz1568/getInfo.php?workbook=01_01.xlsx&amp;sheet=A0&amp;row=196&amp;col=14&amp;number==&amp;sourceID=11","=")</f>
        <v>=</v>
      </c>
      <c r="O196" s="4" t="str">
        <f>HYPERLINK("http://141.218.60.56/~jnz1568/getInfo.php?workbook=01_01.xlsx&amp;sheet=A0&amp;row=196&amp;col=15&amp;number=&amp;sourceID=11","")</f>
        <v/>
      </c>
      <c r="P196" s="4" t="str">
        <f>HYPERLINK("http://141.218.60.56/~jnz1568/getInfo.php?workbook=01_01.xlsx&amp;sheet=A0&amp;row=196&amp;col=16&amp;number=0.5392&amp;sourceID=11","0.5392")</f>
        <v>0.5392</v>
      </c>
      <c r="Q196" s="4" t="str">
        <f>HYPERLINK("http://141.218.60.56/~jnz1568/getInfo.php?workbook=01_01.xlsx&amp;sheet=A0&amp;row=196&amp;col=17&amp;number=&amp;sourceID=11","")</f>
        <v/>
      </c>
      <c r="R196" s="4" t="str">
        <f>HYPERLINK("http://141.218.60.56/~jnz1568/getInfo.php?workbook=01_01.xlsx&amp;sheet=A0&amp;row=196&amp;col=18&amp;number=&amp;sourceID=11","")</f>
        <v/>
      </c>
      <c r="S196" s="4" t="str">
        <f>HYPERLINK("http://141.218.60.56/~jnz1568/getInfo.php?workbook=01_01.xlsx&amp;sheet=A0&amp;row=196&amp;col=19&amp;number=&amp;sourceID=11","")</f>
        <v/>
      </c>
      <c r="T196" s="4" t="str">
        <f>HYPERLINK("http://141.218.60.56/~jnz1568/getInfo.php?workbook=01_01.xlsx&amp;sheet=A0&amp;row=196&amp;col=20&amp;number=4.3e-14&amp;sourceID=11","4.3e-14")</f>
        <v>4.3e-14</v>
      </c>
      <c r="U196" s="4" t="str">
        <f>HYPERLINK("http://141.218.60.56/~jnz1568/getInfo.php?workbook=01_01.xlsx&amp;sheet=A0&amp;row=196&amp;col=21&amp;number=0.53949&amp;sourceID=12","0.53949")</f>
        <v>0.53949</v>
      </c>
      <c r="V196" s="4" t="str">
        <f>HYPERLINK("http://141.218.60.56/~jnz1568/getInfo.php?workbook=01_01.xlsx&amp;sheet=A0&amp;row=196&amp;col=22&amp;number=&amp;sourceID=12","")</f>
        <v/>
      </c>
      <c r="W196" s="4" t="str">
        <f>HYPERLINK("http://141.218.60.56/~jnz1568/getInfo.php?workbook=01_01.xlsx&amp;sheet=A0&amp;row=196&amp;col=23&amp;number=0.53949&amp;sourceID=12","0.53949")</f>
        <v>0.53949</v>
      </c>
      <c r="X196" s="4" t="str">
        <f>HYPERLINK("http://141.218.60.56/~jnz1568/getInfo.php?workbook=01_01.xlsx&amp;sheet=A0&amp;row=196&amp;col=24&amp;number=&amp;sourceID=12","")</f>
        <v/>
      </c>
      <c r="Y196" s="4" t="str">
        <f>HYPERLINK("http://141.218.60.56/~jnz1568/getInfo.php?workbook=01_01.xlsx&amp;sheet=A0&amp;row=196&amp;col=25&amp;number=&amp;sourceID=12","")</f>
        <v/>
      </c>
      <c r="Z196" s="4" t="str">
        <f>HYPERLINK("http://141.218.60.56/~jnz1568/getInfo.php?workbook=01_01.xlsx&amp;sheet=A0&amp;row=196&amp;col=26&amp;number=&amp;sourceID=12","")</f>
        <v/>
      </c>
      <c r="AA196" s="4" t="str">
        <f>HYPERLINK("http://141.218.60.56/~jnz1568/getInfo.php?workbook=01_01.xlsx&amp;sheet=A0&amp;row=196&amp;col=27&amp;number=4.3e-14&amp;sourceID=12","4.3e-14")</f>
        <v>4.3e-14</v>
      </c>
      <c r="AB196" s="4" t="str">
        <f>HYPERLINK("http://141.218.60.56/~jnz1568/getInfo.php?workbook=01_01.xlsx&amp;sheet=A0&amp;row=196&amp;col=28&amp;number=&amp;sourceID=18","")</f>
        <v/>
      </c>
      <c r="AC196" s="4" t="str">
        <f>HYPERLINK("http://141.218.60.56/~jnz1568/getInfo.php?workbook=01_01.xlsx&amp;sheet=A0&amp;row=196&amp;col=29&amp;number=&amp;sourceID=18","")</f>
        <v/>
      </c>
      <c r="AD196" s="4" t="str">
        <f>HYPERLINK("http://141.218.60.56/~jnz1568/getInfo.php?workbook=01_01.xlsx&amp;sheet=A0&amp;row=196&amp;col=30&amp;number=&amp;sourceID=18","")</f>
        <v/>
      </c>
      <c r="AE196" s="4" t="str">
        <f>HYPERLINK("http://141.218.60.56/~jnz1568/getInfo.php?workbook=01_01.xlsx&amp;sheet=A0&amp;row=196&amp;col=31&amp;number=&amp;sourceID=18","")</f>
        <v/>
      </c>
      <c r="AF196" s="4" t="str">
        <f>HYPERLINK("http://141.218.60.56/~jnz1568/getInfo.php?workbook=01_01.xlsx&amp;sheet=A0&amp;row=196&amp;col=32&amp;number=&amp;sourceID=18","")</f>
        <v/>
      </c>
      <c r="AG196" s="4" t="str">
        <f>HYPERLINK("http://141.218.60.56/~jnz1568/getInfo.php?workbook=01_01.xlsx&amp;sheet=A0&amp;row=196&amp;col=33&amp;number=&amp;sourceID=18","")</f>
        <v/>
      </c>
      <c r="AH196" s="4" t="str">
        <f>HYPERLINK("http://141.218.60.56/~jnz1568/getInfo.php?workbook=01_01.xlsx&amp;sheet=A0&amp;row=196&amp;col=34&amp;number=&amp;sourceID=20","")</f>
        <v/>
      </c>
    </row>
    <row r="197" spans="1:34">
      <c r="A197" s="3">
        <v>1</v>
      </c>
      <c r="B197" s="3">
        <v>1</v>
      </c>
      <c r="C197" s="3">
        <v>21</v>
      </c>
      <c r="D197" s="3">
        <v>12</v>
      </c>
      <c r="E197" s="3">
        <f>((1/(INDEX(E0!J$4:J$28,C197,1)-INDEX(E0!J$4:J$28,D197,1))))*100000000</f>
        <v>0</v>
      </c>
      <c r="F197" s="4" t="str">
        <f>HYPERLINK("http://141.218.60.56/~jnz1568/getInfo.php?workbook=01_01.xlsx&amp;sheet=A0&amp;row=197&amp;col=6&amp;number=&amp;sourceID=18","")</f>
        <v/>
      </c>
      <c r="G197" s="4" t="str">
        <f>HYPERLINK("http://141.218.60.56/~jnz1568/getInfo.php?workbook=01_01.xlsx&amp;sheet=A0&amp;row=197&amp;col=7&amp;number=&amp;sourceID=15","")</f>
        <v/>
      </c>
      <c r="H197" s="4" t="str">
        <f>HYPERLINK("http://141.218.60.56/~jnz1568/getInfo.php?workbook=01_01.xlsx&amp;sheet=A0&amp;row=197&amp;col=8&amp;number=&amp;sourceID=15","")</f>
        <v/>
      </c>
      <c r="I197" s="4" t="str">
        <f>HYPERLINK("http://141.218.60.56/~jnz1568/getInfo.php?workbook=01_01.xlsx&amp;sheet=A0&amp;row=197&amp;col=9&amp;number=&amp;sourceID=15","")</f>
        <v/>
      </c>
      <c r="J197" s="4" t="str">
        <f>HYPERLINK("http://141.218.60.56/~jnz1568/getInfo.php?workbook=01_01.xlsx&amp;sheet=A0&amp;row=197&amp;col=10&amp;number=&amp;sourceID=15","")</f>
        <v/>
      </c>
      <c r="K197" s="4" t="str">
        <f>HYPERLINK("http://141.218.60.56/~jnz1568/getInfo.php?workbook=01_01.xlsx&amp;sheet=A0&amp;row=197&amp;col=11&amp;number=&amp;sourceID=15","")</f>
        <v/>
      </c>
      <c r="L197" s="4" t="str">
        <f>HYPERLINK("http://141.218.60.56/~jnz1568/getInfo.php?workbook=01_01.xlsx&amp;sheet=A0&amp;row=197&amp;col=12&amp;number=&amp;sourceID=15","")</f>
        <v/>
      </c>
      <c r="M197" s="4" t="str">
        <f>HYPERLINK("http://141.218.60.56/~jnz1568/getInfo.php?workbook=01_01.xlsx&amp;sheet=A0&amp;row=197&amp;col=13&amp;number=&amp;sourceID=15","")</f>
        <v/>
      </c>
      <c r="N197" s="4" t="str">
        <f>HYPERLINK("http://141.218.60.56/~jnz1568/getInfo.php?workbook=01_01.xlsx&amp;sheet=A0&amp;row=197&amp;col=14&amp;number==&amp;sourceID=11","=")</f>
        <v>=</v>
      </c>
      <c r="O197" s="4" t="str">
        <f>HYPERLINK("http://141.218.60.56/~jnz1568/getInfo.php?workbook=01_01.xlsx&amp;sheet=A0&amp;row=197&amp;col=15&amp;number=&amp;sourceID=11","")</f>
        <v/>
      </c>
      <c r="P197" s="4" t="str">
        <f>HYPERLINK("http://141.218.60.56/~jnz1568/getInfo.php?workbook=01_01.xlsx&amp;sheet=A0&amp;row=197&amp;col=16&amp;number=0.053123&amp;sourceID=11","0.053123")</f>
        <v>0.053123</v>
      </c>
      <c r="Q197" s="4" t="str">
        <f>HYPERLINK("http://141.218.60.56/~jnz1568/getInfo.php?workbook=01_01.xlsx&amp;sheet=A0&amp;row=197&amp;col=17&amp;number=&amp;sourceID=11","")</f>
        <v/>
      </c>
      <c r="R197" s="4" t="str">
        <f>HYPERLINK("http://141.218.60.56/~jnz1568/getInfo.php?workbook=01_01.xlsx&amp;sheet=A0&amp;row=197&amp;col=18&amp;number=2.117e-12&amp;sourceID=11","2.117e-12")</f>
        <v>2.117e-12</v>
      </c>
      <c r="S197" s="4" t="str">
        <f>HYPERLINK("http://141.218.60.56/~jnz1568/getInfo.php?workbook=01_01.xlsx&amp;sheet=A0&amp;row=197&amp;col=19&amp;number=&amp;sourceID=11","")</f>
        <v/>
      </c>
      <c r="T197" s="4" t="str">
        <f>HYPERLINK("http://141.218.60.56/~jnz1568/getInfo.php?workbook=01_01.xlsx&amp;sheet=A0&amp;row=197&amp;col=20&amp;number=0&amp;sourceID=11","0")</f>
        <v>0</v>
      </c>
      <c r="U197" s="4" t="str">
        <f>HYPERLINK("http://141.218.60.56/~jnz1568/getInfo.php?workbook=01_01.xlsx&amp;sheet=A0&amp;row=197&amp;col=21&amp;number=0.053152&amp;sourceID=12","0.053152")</f>
        <v>0.053152</v>
      </c>
      <c r="V197" s="4" t="str">
        <f>HYPERLINK("http://141.218.60.56/~jnz1568/getInfo.php?workbook=01_01.xlsx&amp;sheet=A0&amp;row=197&amp;col=22&amp;number=&amp;sourceID=12","")</f>
        <v/>
      </c>
      <c r="W197" s="4" t="str">
        <f>HYPERLINK("http://141.218.60.56/~jnz1568/getInfo.php?workbook=01_01.xlsx&amp;sheet=A0&amp;row=197&amp;col=23&amp;number=0.053152&amp;sourceID=12","0.053152")</f>
        <v>0.053152</v>
      </c>
      <c r="X197" s="4" t="str">
        <f>HYPERLINK("http://141.218.60.56/~jnz1568/getInfo.php?workbook=01_01.xlsx&amp;sheet=A0&amp;row=197&amp;col=24&amp;number=&amp;sourceID=12","")</f>
        <v/>
      </c>
      <c r="Y197" s="4" t="str">
        <f>HYPERLINK("http://141.218.60.56/~jnz1568/getInfo.php?workbook=01_01.xlsx&amp;sheet=A0&amp;row=197&amp;col=25&amp;number=2.103e-12&amp;sourceID=12","2.103e-12")</f>
        <v>2.103e-12</v>
      </c>
      <c r="Z197" s="4" t="str">
        <f>HYPERLINK("http://141.218.60.56/~jnz1568/getInfo.php?workbook=01_01.xlsx&amp;sheet=A0&amp;row=197&amp;col=26&amp;number=&amp;sourceID=12","")</f>
        <v/>
      </c>
      <c r="AA197" s="4" t="str">
        <f>HYPERLINK("http://141.218.60.56/~jnz1568/getInfo.php?workbook=01_01.xlsx&amp;sheet=A0&amp;row=197&amp;col=27&amp;number=0&amp;sourceID=12","0")</f>
        <v>0</v>
      </c>
      <c r="AB197" s="4" t="str">
        <f>HYPERLINK("http://141.218.60.56/~jnz1568/getInfo.php?workbook=01_01.xlsx&amp;sheet=A0&amp;row=197&amp;col=28&amp;number=&amp;sourceID=18","")</f>
        <v/>
      </c>
      <c r="AC197" s="4" t="str">
        <f>HYPERLINK("http://141.218.60.56/~jnz1568/getInfo.php?workbook=01_01.xlsx&amp;sheet=A0&amp;row=197&amp;col=29&amp;number=&amp;sourceID=18","")</f>
        <v/>
      </c>
      <c r="AD197" s="4" t="str">
        <f>HYPERLINK("http://141.218.60.56/~jnz1568/getInfo.php?workbook=01_01.xlsx&amp;sheet=A0&amp;row=197&amp;col=30&amp;number=&amp;sourceID=18","")</f>
        <v/>
      </c>
      <c r="AE197" s="4" t="str">
        <f>HYPERLINK("http://141.218.60.56/~jnz1568/getInfo.php?workbook=01_01.xlsx&amp;sheet=A0&amp;row=197&amp;col=31&amp;number=&amp;sourceID=18","")</f>
        <v/>
      </c>
      <c r="AF197" s="4" t="str">
        <f>HYPERLINK("http://141.218.60.56/~jnz1568/getInfo.php?workbook=01_01.xlsx&amp;sheet=A0&amp;row=197&amp;col=32&amp;number=&amp;sourceID=18","")</f>
        <v/>
      </c>
      <c r="AG197" s="4" t="str">
        <f>HYPERLINK("http://141.218.60.56/~jnz1568/getInfo.php?workbook=01_01.xlsx&amp;sheet=A0&amp;row=197&amp;col=33&amp;number=&amp;sourceID=18","")</f>
        <v/>
      </c>
      <c r="AH197" s="4" t="str">
        <f>HYPERLINK("http://141.218.60.56/~jnz1568/getInfo.php?workbook=01_01.xlsx&amp;sheet=A0&amp;row=197&amp;col=34&amp;number=&amp;sourceID=20","")</f>
        <v/>
      </c>
    </row>
    <row r="198" spans="1:34">
      <c r="A198" s="3">
        <v>1</v>
      </c>
      <c r="B198" s="3">
        <v>1</v>
      </c>
      <c r="C198" s="3">
        <v>21</v>
      </c>
      <c r="D198" s="3">
        <v>13</v>
      </c>
      <c r="E198" s="3">
        <f>((1/(INDEX(E0!J$4:J$28,C198,1)-INDEX(E0!J$4:J$28,D198,1))))*100000000</f>
        <v>0</v>
      </c>
      <c r="F198" s="4" t="str">
        <f>HYPERLINK("http://141.218.60.56/~jnz1568/getInfo.php?workbook=01_01.xlsx&amp;sheet=A0&amp;row=198&amp;col=6&amp;number=&amp;sourceID=18","")</f>
        <v/>
      </c>
      <c r="G198" s="4" t="str">
        <f>HYPERLINK("http://141.218.60.56/~jnz1568/getInfo.php?workbook=01_01.xlsx&amp;sheet=A0&amp;row=198&amp;col=7&amp;number=1485800&amp;sourceID=15","1485800")</f>
        <v>1485800</v>
      </c>
      <c r="H198" s="4" t="str">
        <f>HYPERLINK("http://141.218.60.56/~jnz1568/getInfo.php?workbook=01_01.xlsx&amp;sheet=A0&amp;row=198&amp;col=8&amp;number=1485800&amp;sourceID=15","1485800")</f>
        <v>1485800</v>
      </c>
      <c r="I198" s="4" t="str">
        <f>HYPERLINK("http://141.218.60.56/~jnz1568/getInfo.php?workbook=01_01.xlsx&amp;sheet=A0&amp;row=198&amp;col=9&amp;number=&amp;sourceID=15","")</f>
        <v/>
      </c>
      <c r="J198" s="4" t="str">
        <f>HYPERLINK("http://141.218.60.56/~jnz1568/getInfo.php?workbook=01_01.xlsx&amp;sheet=A0&amp;row=198&amp;col=10&amp;number=&amp;sourceID=15","")</f>
        <v/>
      </c>
      <c r="K198" s="4" t="str">
        <f>HYPERLINK("http://141.218.60.56/~jnz1568/getInfo.php?workbook=01_01.xlsx&amp;sheet=A0&amp;row=198&amp;col=11&amp;number=&amp;sourceID=15","")</f>
        <v/>
      </c>
      <c r="L198" s="4" t="str">
        <f>HYPERLINK("http://141.218.60.56/~jnz1568/getInfo.php?workbook=01_01.xlsx&amp;sheet=A0&amp;row=198&amp;col=12&amp;number=&amp;sourceID=15","")</f>
        <v/>
      </c>
      <c r="M198" s="4" t="str">
        <f>HYPERLINK("http://141.218.60.56/~jnz1568/getInfo.php?workbook=01_01.xlsx&amp;sheet=A0&amp;row=198&amp;col=13&amp;number=&amp;sourceID=15","")</f>
        <v/>
      </c>
      <c r="N198" s="4" t="str">
        <f>HYPERLINK("http://141.218.60.56/~jnz1568/getInfo.php?workbook=01_01.xlsx&amp;sheet=A0&amp;row=198&amp;col=14&amp;number==SUM(O198:T198)&amp;sourceID=11","=SUM(O198:T198)")</f>
        <v>=SUM(O198:T198)</v>
      </c>
      <c r="O198" s="4" t="str">
        <f>HYPERLINK("http://141.218.60.56/~jnz1568/getInfo.php?workbook=01_01.xlsx&amp;sheet=A0&amp;row=198&amp;col=15&amp;number=1485800&amp;sourceID=11","1485800")</f>
        <v>1485800</v>
      </c>
      <c r="P198" s="4" t="str">
        <f>HYPERLINK("http://141.218.60.56/~jnz1568/getInfo.php?workbook=01_01.xlsx&amp;sheet=A0&amp;row=198&amp;col=16&amp;number=&amp;sourceID=11","")</f>
        <v/>
      </c>
      <c r="Q198" s="4" t="str">
        <f>HYPERLINK("http://141.218.60.56/~jnz1568/getInfo.php?workbook=01_01.xlsx&amp;sheet=A0&amp;row=198&amp;col=17&amp;number=5.8127e-08&amp;sourceID=11","5.8127e-08")</f>
        <v>5.8127e-08</v>
      </c>
      <c r="R198" s="4" t="str">
        <f>HYPERLINK("http://141.218.60.56/~jnz1568/getInfo.php?workbook=01_01.xlsx&amp;sheet=A0&amp;row=198&amp;col=18&amp;number=&amp;sourceID=11","")</f>
        <v/>
      </c>
      <c r="S198" s="4" t="str">
        <f>HYPERLINK("http://141.218.60.56/~jnz1568/getInfo.php?workbook=01_01.xlsx&amp;sheet=A0&amp;row=198&amp;col=19&amp;number=1.2961e-07&amp;sourceID=11","1.2961e-07")</f>
        <v>1.2961e-07</v>
      </c>
      <c r="T198" s="4" t="str">
        <f>HYPERLINK("http://141.218.60.56/~jnz1568/getInfo.php?workbook=01_01.xlsx&amp;sheet=A0&amp;row=198&amp;col=20&amp;number=&amp;sourceID=11","")</f>
        <v/>
      </c>
      <c r="U198" s="4" t="str">
        <f>HYPERLINK("http://141.218.60.56/~jnz1568/getInfo.php?workbook=01_01.xlsx&amp;sheet=A0&amp;row=198&amp;col=21&amp;number=1486600&amp;sourceID=12","1486600")</f>
        <v>1486600</v>
      </c>
      <c r="V198" s="4" t="str">
        <f>HYPERLINK("http://141.218.60.56/~jnz1568/getInfo.php?workbook=01_01.xlsx&amp;sheet=A0&amp;row=198&amp;col=22&amp;number=1486600&amp;sourceID=12","1486600")</f>
        <v>1486600</v>
      </c>
      <c r="W198" s="4" t="str">
        <f>HYPERLINK("http://141.218.60.56/~jnz1568/getInfo.php?workbook=01_01.xlsx&amp;sheet=A0&amp;row=198&amp;col=23&amp;number=&amp;sourceID=12","")</f>
        <v/>
      </c>
      <c r="X198" s="4" t="str">
        <f>HYPERLINK("http://141.218.60.56/~jnz1568/getInfo.php?workbook=01_01.xlsx&amp;sheet=A0&amp;row=198&amp;col=24&amp;number=5.8159e-08&amp;sourceID=12","5.8159e-08")</f>
        <v>5.8159e-08</v>
      </c>
      <c r="Y198" s="4" t="str">
        <f>HYPERLINK("http://141.218.60.56/~jnz1568/getInfo.php?workbook=01_01.xlsx&amp;sheet=A0&amp;row=198&amp;col=25&amp;number=&amp;sourceID=12","")</f>
        <v/>
      </c>
      <c r="Z198" s="4" t="str">
        <f>HYPERLINK("http://141.218.60.56/~jnz1568/getInfo.php?workbook=01_01.xlsx&amp;sheet=A0&amp;row=198&amp;col=26&amp;number=1.2968e-07&amp;sourceID=12","1.2968e-07")</f>
        <v>1.2968e-07</v>
      </c>
      <c r="AA198" s="4" t="str">
        <f>HYPERLINK("http://141.218.60.56/~jnz1568/getInfo.php?workbook=01_01.xlsx&amp;sheet=A0&amp;row=198&amp;col=27&amp;number=&amp;sourceID=12","")</f>
        <v/>
      </c>
      <c r="AB198" s="4" t="str">
        <f>HYPERLINK("http://141.218.60.56/~jnz1568/getInfo.php?workbook=01_01.xlsx&amp;sheet=A0&amp;row=198&amp;col=28&amp;number=&amp;sourceID=18","")</f>
        <v/>
      </c>
      <c r="AC198" s="4" t="str">
        <f>HYPERLINK("http://141.218.60.56/~jnz1568/getInfo.php?workbook=01_01.xlsx&amp;sheet=A0&amp;row=198&amp;col=29&amp;number=&amp;sourceID=18","")</f>
        <v/>
      </c>
      <c r="AD198" s="4" t="str">
        <f>HYPERLINK("http://141.218.60.56/~jnz1568/getInfo.php?workbook=01_01.xlsx&amp;sheet=A0&amp;row=198&amp;col=30&amp;number=&amp;sourceID=18","")</f>
        <v/>
      </c>
      <c r="AE198" s="4" t="str">
        <f>HYPERLINK("http://141.218.60.56/~jnz1568/getInfo.php?workbook=01_01.xlsx&amp;sheet=A0&amp;row=198&amp;col=31&amp;number=&amp;sourceID=18","")</f>
        <v/>
      </c>
      <c r="AF198" s="4" t="str">
        <f>HYPERLINK("http://141.218.60.56/~jnz1568/getInfo.php?workbook=01_01.xlsx&amp;sheet=A0&amp;row=198&amp;col=32&amp;number=&amp;sourceID=18","")</f>
        <v/>
      </c>
      <c r="AG198" s="4" t="str">
        <f>HYPERLINK("http://141.218.60.56/~jnz1568/getInfo.php?workbook=01_01.xlsx&amp;sheet=A0&amp;row=198&amp;col=33&amp;number=&amp;sourceID=18","")</f>
        <v/>
      </c>
      <c r="AH198" s="4" t="str">
        <f>HYPERLINK("http://141.218.60.56/~jnz1568/getInfo.php?workbook=01_01.xlsx&amp;sheet=A0&amp;row=198&amp;col=34&amp;number=&amp;sourceID=20","")</f>
        <v/>
      </c>
    </row>
    <row r="199" spans="1:34">
      <c r="A199" s="3">
        <v>1</v>
      </c>
      <c r="B199" s="3">
        <v>1</v>
      </c>
      <c r="C199" s="3">
        <v>21</v>
      </c>
      <c r="D199" s="3">
        <v>14</v>
      </c>
      <c r="E199" s="3">
        <f>((1/(INDEX(E0!J$4:J$28,C199,1)-INDEX(E0!J$4:J$28,D199,1))))*100000000</f>
        <v>0</v>
      </c>
      <c r="F199" s="4" t="str">
        <f>HYPERLINK("http://141.218.60.56/~jnz1568/getInfo.php?workbook=01_01.xlsx&amp;sheet=A0&amp;row=199&amp;col=6&amp;number=&amp;sourceID=18","")</f>
        <v/>
      </c>
      <c r="G199" s="4" t="str">
        <f>HYPERLINK("http://141.218.60.56/~jnz1568/getInfo.php?workbook=01_01.xlsx&amp;sheet=A0&amp;row=199&amp;col=7&amp;number=&amp;sourceID=15","")</f>
        <v/>
      </c>
      <c r="H199" s="4" t="str">
        <f>HYPERLINK("http://141.218.60.56/~jnz1568/getInfo.php?workbook=01_01.xlsx&amp;sheet=A0&amp;row=199&amp;col=8&amp;number=&amp;sourceID=15","")</f>
        <v/>
      </c>
      <c r="I199" s="4" t="str">
        <f>HYPERLINK("http://141.218.60.56/~jnz1568/getInfo.php?workbook=01_01.xlsx&amp;sheet=A0&amp;row=199&amp;col=9&amp;number=&amp;sourceID=15","")</f>
        <v/>
      </c>
      <c r="J199" s="4" t="str">
        <f>HYPERLINK("http://141.218.60.56/~jnz1568/getInfo.php?workbook=01_01.xlsx&amp;sheet=A0&amp;row=199&amp;col=10&amp;number=&amp;sourceID=15","")</f>
        <v/>
      </c>
      <c r="K199" s="4" t="str">
        <f>HYPERLINK("http://141.218.60.56/~jnz1568/getInfo.php?workbook=01_01.xlsx&amp;sheet=A0&amp;row=199&amp;col=11&amp;number=&amp;sourceID=15","")</f>
        <v/>
      </c>
      <c r="L199" s="4" t="str">
        <f>HYPERLINK("http://141.218.60.56/~jnz1568/getInfo.php?workbook=01_01.xlsx&amp;sheet=A0&amp;row=199&amp;col=12&amp;number=&amp;sourceID=15","")</f>
        <v/>
      </c>
      <c r="M199" s="4" t="str">
        <f>HYPERLINK("http://141.218.60.56/~jnz1568/getInfo.php?workbook=01_01.xlsx&amp;sheet=A0&amp;row=199&amp;col=13&amp;number=&amp;sourceID=15","")</f>
        <v/>
      </c>
      <c r="N199" s="4" t="str">
        <f>HYPERLINK("http://141.218.60.56/~jnz1568/getInfo.php?workbook=01_01.xlsx&amp;sheet=A0&amp;row=199&amp;col=14&amp;number==&amp;sourceID=11","=")</f>
        <v>=</v>
      </c>
      <c r="O199" s="4" t="str">
        <f>HYPERLINK("http://141.218.60.56/~jnz1568/getInfo.php?workbook=01_01.xlsx&amp;sheet=A0&amp;row=199&amp;col=15&amp;number=&amp;sourceID=11","")</f>
        <v/>
      </c>
      <c r="P199" s="4" t="str">
        <f>HYPERLINK("http://141.218.60.56/~jnz1568/getInfo.php?workbook=01_01.xlsx&amp;sheet=A0&amp;row=199&amp;col=16&amp;number=0.21249&amp;sourceID=11","0.21249")</f>
        <v>0.21249</v>
      </c>
      <c r="Q199" s="4" t="str">
        <f>HYPERLINK("http://141.218.60.56/~jnz1568/getInfo.php?workbook=01_01.xlsx&amp;sheet=A0&amp;row=199&amp;col=17&amp;number=&amp;sourceID=11","")</f>
        <v/>
      </c>
      <c r="R199" s="4" t="str">
        <f>HYPERLINK("http://141.218.60.56/~jnz1568/getInfo.php?workbook=01_01.xlsx&amp;sheet=A0&amp;row=199&amp;col=18&amp;number=2.9e-12&amp;sourceID=11","2.9e-12")</f>
        <v>2.9e-12</v>
      </c>
      <c r="S199" s="4" t="str">
        <f>HYPERLINK("http://141.218.60.56/~jnz1568/getInfo.php?workbook=01_01.xlsx&amp;sheet=A0&amp;row=199&amp;col=19&amp;number=&amp;sourceID=11","")</f>
        <v/>
      </c>
      <c r="T199" s="4" t="str">
        <f>HYPERLINK("http://141.218.60.56/~jnz1568/getInfo.php?workbook=01_01.xlsx&amp;sheet=A0&amp;row=199&amp;col=20&amp;number=2.9e-14&amp;sourceID=11","2.9e-14")</f>
        <v>2.9e-14</v>
      </c>
      <c r="U199" s="4" t="str">
        <f>HYPERLINK("http://141.218.60.56/~jnz1568/getInfo.php?workbook=01_01.xlsx&amp;sheet=A0&amp;row=199&amp;col=21&amp;number=0.21261&amp;sourceID=12","0.21261")</f>
        <v>0.21261</v>
      </c>
      <c r="V199" s="4" t="str">
        <f>HYPERLINK("http://141.218.60.56/~jnz1568/getInfo.php?workbook=01_01.xlsx&amp;sheet=A0&amp;row=199&amp;col=22&amp;number=&amp;sourceID=12","")</f>
        <v/>
      </c>
      <c r="W199" s="4" t="str">
        <f>HYPERLINK("http://141.218.60.56/~jnz1568/getInfo.php?workbook=01_01.xlsx&amp;sheet=A0&amp;row=199&amp;col=23&amp;number=0.21261&amp;sourceID=12","0.21261")</f>
        <v>0.21261</v>
      </c>
      <c r="X199" s="4" t="str">
        <f>HYPERLINK("http://141.218.60.56/~jnz1568/getInfo.php?workbook=01_01.xlsx&amp;sheet=A0&amp;row=199&amp;col=24&amp;number=&amp;sourceID=12","")</f>
        <v/>
      </c>
      <c r="Y199" s="4" t="str">
        <f>HYPERLINK("http://141.218.60.56/~jnz1568/getInfo.php?workbook=01_01.xlsx&amp;sheet=A0&amp;row=199&amp;col=25&amp;number=2.901e-12&amp;sourceID=12","2.901e-12")</f>
        <v>2.901e-12</v>
      </c>
      <c r="Z199" s="4" t="str">
        <f>HYPERLINK("http://141.218.60.56/~jnz1568/getInfo.php?workbook=01_01.xlsx&amp;sheet=A0&amp;row=199&amp;col=26&amp;number=&amp;sourceID=12","")</f>
        <v/>
      </c>
      <c r="AA199" s="4" t="str">
        <f>HYPERLINK("http://141.218.60.56/~jnz1568/getInfo.php?workbook=01_01.xlsx&amp;sheet=A0&amp;row=199&amp;col=27&amp;number=2.9e-14&amp;sourceID=12","2.9e-14")</f>
        <v>2.9e-14</v>
      </c>
      <c r="AB199" s="4" t="str">
        <f>HYPERLINK("http://141.218.60.56/~jnz1568/getInfo.php?workbook=01_01.xlsx&amp;sheet=A0&amp;row=199&amp;col=28&amp;number=&amp;sourceID=18","")</f>
        <v/>
      </c>
      <c r="AC199" s="4" t="str">
        <f>HYPERLINK("http://141.218.60.56/~jnz1568/getInfo.php?workbook=01_01.xlsx&amp;sheet=A0&amp;row=199&amp;col=29&amp;number=&amp;sourceID=18","")</f>
        <v/>
      </c>
      <c r="AD199" s="4" t="str">
        <f>HYPERLINK("http://141.218.60.56/~jnz1568/getInfo.php?workbook=01_01.xlsx&amp;sheet=A0&amp;row=199&amp;col=30&amp;number=&amp;sourceID=18","")</f>
        <v/>
      </c>
      <c r="AE199" s="4" t="str">
        <f>HYPERLINK("http://141.218.60.56/~jnz1568/getInfo.php?workbook=01_01.xlsx&amp;sheet=A0&amp;row=199&amp;col=31&amp;number=&amp;sourceID=18","")</f>
        <v/>
      </c>
      <c r="AF199" s="4" t="str">
        <f>HYPERLINK("http://141.218.60.56/~jnz1568/getInfo.php?workbook=01_01.xlsx&amp;sheet=A0&amp;row=199&amp;col=32&amp;number=&amp;sourceID=18","")</f>
        <v/>
      </c>
      <c r="AG199" s="4" t="str">
        <f>HYPERLINK("http://141.218.60.56/~jnz1568/getInfo.php?workbook=01_01.xlsx&amp;sheet=A0&amp;row=199&amp;col=33&amp;number=&amp;sourceID=18","")</f>
        <v/>
      </c>
      <c r="AH199" s="4" t="str">
        <f>HYPERLINK("http://141.218.60.56/~jnz1568/getInfo.php?workbook=01_01.xlsx&amp;sheet=A0&amp;row=199&amp;col=34&amp;number=&amp;sourceID=20","")</f>
        <v/>
      </c>
    </row>
    <row r="200" spans="1:34">
      <c r="A200" s="3">
        <v>1</v>
      </c>
      <c r="B200" s="3">
        <v>1</v>
      </c>
      <c r="C200" s="3">
        <v>21</v>
      </c>
      <c r="D200" s="3">
        <v>15</v>
      </c>
      <c r="E200" s="3">
        <f>((1/(INDEX(E0!J$4:J$28,C200,1)-INDEX(E0!J$4:J$28,D200,1))))*100000000</f>
        <v>0</v>
      </c>
      <c r="F200" s="4" t="str">
        <f>HYPERLINK("http://141.218.60.56/~jnz1568/getInfo.php?workbook=01_01.xlsx&amp;sheet=A0&amp;row=200&amp;col=6&amp;number=&amp;sourceID=18","")</f>
        <v/>
      </c>
      <c r="G200" s="4" t="str">
        <f>HYPERLINK("http://141.218.60.56/~jnz1568/getInfo.php?workbook=01_01.xlsx&amp;sheet=A0&amp;row=200&amp;col=7&amp;number=2403.7&amp;sourceID=15","2403.7")</f>
        <v>2403.7</v>
      </c>
      <c r="H200" s="4" t="str">
        <f>HYPERLINK("http://141.218.60.56/~jnz1568/getInfo.php?workbook=01_01.xlsx&amp;sheet=A0&amp;row=200&amp;col=8&amp;number=2403.7&amp;sourceID=15","2403.7")</f>
        <v>2403.7</v>
      </c>
      <c r="I200" s="4" t="str">
        <f>HYPERLINK("http://141.218.60.56/~jnz1568/getInfo.php?workbook=01_01.xlsx&amp;sheet=A0&amp;row=200&amp;col=9&amp;number=&amp;sourceID=15","")</f>
        <v/>
      </c>
      <c r="J200" s="4" t="str">
        <f>HYPERLINK("http://141.218.60.56/~jnz1568/getInfo.php?workbook=01_01.xlsx&amp;sheet=A0&amp;row=200&amp;col=10&amp;number=&amp;sourceID=15","")</f>
        <v/>
      </c>
      <c r="K200" s="4" t="str">
        <f>HYPERLINK("http://141.218.60.56/~jnz1568/getInfo.php?workbook=01_01.xlsx&amp;sheet=A0&amp;row=200&amp;col=11&amp;number=&amp;sourceID=15","")</f>
        <v/>
      </c>
      <c r="L200" s="4" t="str">
        <f>HYPERLINK("http://141.218.60.56/~jnz1568/getInfo.php?workbook=01_01.xlsx&amp;sheet=A0&amp;row=200&amp;col=12&amp;number=&amp;sourceID=15","")</f>
        <v/>
      </c>
      <c r="M200" s="4" t="str">
        <f>HYPERLINK("http://141.218.60.56/~jnz1568/getInfo.php?workbook=01_01.xlsx&amp;sheet=A0&amp;row=200&amp;col=13&amp;number=&amp;sourceID=15","")</f>
        <v/>
      </c>
      <c r="N200" s="4" t="str">
        <f>HYPERLINK("http://141.218.60.56/~jnz1568/getInfo.php?workbook=01_01.xlsx&amp;sheet=A0&amp;row=200&amp;col=14&amp;number==&amp;sourceID=11","=")</f>
        <v>=</v>
      </c>
      <c r="O200" s="4" t="str">
        <f>HYPERLINK("http://141.218.60.56/~jnz1568/getInfo.php?workbook=01_01.xlsx&amp;sheet=A0&amp;row=200&amp;col=15&amp;number=2403.7&amp;sourceID=11","2403.7")</f>
        <v>2403.7</v>
      </c>
      <c r="P200" s="4" t="str">
        <f>HYPERLINK("http://141.218.60.56/~jnz1568/getInfo.php?workbook=01_01.xlsx&amp;sheet=A0&amp;row=200&amp;col=16&amp;number=&amp;sourceID=11","")</f>
        <v/>
      </c>
      <c r="Q200" s="4" t="str">
        <f>HYPERLINK("http://141.218.60.56/~jnz1568/getInfo.php?workbook=01_01.xlsx&amp;sheet=A0&amp;row=200&amp;col=17&amp;number=5.2351e-09&amp;sourceID=11","5.2351e-09")</f>
        <v>5.2351e-09</v>
      </c>
      <c r="R200" s="4" t="str">
        <f>HYPERLINK("http://141.218.60.56/~jnz1568/getInfo.php?workbook=01_01.xlsx&amp;sheet=A0&amp;row=200&amp;col=18&amp;number=&amp;sourceID=11","")</f>
        <v/>
      </c>
      <c r="S200" s="4" t="str">
        <f>HYPERLINK("http://141.218.60.56/~jnz1568/getInfo.php?workbook=01_01.xlsx&amp;sheet=A0&amp;row=200&amp;col=19&amp;number=&amp;sourceID=11","")</f>
        <v/>
      </c>
      <c r="T200" s="4" t="str">
        <f>HYPERLINK("http://141.218.60.56/~jnz1568/getInfo.php?workbook=01_01.xlsx&amp;sheet=A0&amp;row=200&amp;col=20&amp;number=&amp;sourceID=11","")</f>
        <v/>
      </c>
      <c r="U200" s="4" t="str">
        <f>HYPERLINK("http://141.218.60.56/~jnz1568/getInfo.php?workbook=01_01.xlsx&amp;sheet=A0&amp;row=200&amp;col=21&amp;number=2405&amp;sourceID=12","2405")</f>
        <v>2405</v>
      </c>
      <c r="V200" s="4" t="str">
        <f>HYPERLINK("http://141.218.60.56/~jnz1568/getInfo.php?workbook=01_01.xlsx&amp;sheet=A0&amp;row=200&amp;col=22&amp;number=2405&amp;sourceID=12","2405")</f>
        <v>2405</v>
      </c>
      <c r="W200" s="4" t="str">
        <f>HYPERLINK("http://141.218.60.56/~jnz1568/getInfo.php?workbook=01_01.xlsx&amp;sheet=A0&amp;row=200&amp;col=23&amp;number=&amp;sourceID=12","")</f>
        <v/>
      </c>
      <c r="X200" s="4" t="str">
        <f>HYPERLINK("http://141.218.60.56/~jnz1568/getInfo.php?workbook=01_01.xlsx&amp;sheet=A0&amp;row=200&amp;col=24&amp;number=5.2379e-09&amp;sourceID=12","5.2379e-09")</f>
        <v>5.2379e-09</v>
      </c>
      <c r="Y200" s="4" t="str">
        <f>HYPERLINK("http://141.218.60.56/~jnz1568/getInfo.php?workbook=01_01.xlsx&amp;sheet=A0&amp;row=200&amp;col=25&amp;number=&amp;sourceID=12","")</f>
        <v/>
      </c>
      <c r="Z200" s="4" t="str">
        <f>HYPERLINK("http://141.218.60.56/~jnz1568/getInfo.php?workbook=01_01.xlsx&amp;sheet=A0&amp;row=200&amp;col=26&amp;number=&amp;sourceID=12","")</f>
        <v/>
      </c>
      <c r="AA200" s="4" t="str">
        <f>HYPERLINK("http://141.218.60.56/~jnz1568/getInfo.php?workbook=01_01.xlsx&amp;sheet=A0&amp;row=200&amp;col=27&amp;number=&amp;sourceID=12","")</f>
        <v/>
      </c>
      <c r="AB200" s="4" t="str">
        <f>HYPERLINK("http://141.218.60.56/~jnz1568/getInfo.php?workbook=01_01.xlsx&amp;sheet=A0&amp;row=200&amp;col=28&amp;number=&amp;sourceID=18","")</f>
        <v/>
      </c>
      <c r="AC200" s="4" t="str">
        <f>HYPERLINK("http://141.218.60.56/~jnz1568/getInfo.php?workbook=01_01.xlsx&amp;sheet=A0&amp;row=200&amp;col=29&amp;number=&amp;sourceID=18","")</f>
        <v/>
      </c>
      <c r="AD200" s="4" t="str">
        <f>HYPERLINK("http://141.218.60.56/~jnz1568/getInfo.php?workbook=01_01.xlsx&amp;sheet=A0&amp;row=200&amp;col=30&amp;number=&amp;sourceID=18","")</f>
        <v/>
      </c>
      <c r="AE200" s="4" t="str">
        <f>HYPERLINK("http://141.218.60.56/~jnz1568/getInfo.php?workbook=01_01.xlsx&amp;sheet=A0&amp;row=200&amp;col=31&amp;number=&amp;sourceID=18","")</f>
        <v/>
      </c>
      <c r="AF200" s="4" t="str">
        <f>HYPERLINK("http://141.218.60.56/~jnz1568/getInfo.php?workbook=01_01.xlsx&amp;sheet=A0&amp;row=200&amp;col=32&amp;number=&amp;sourceID=18","")</f>
        <v/>
      </c>
      <c r="AG200" s="4" t="str">
        <f>HYPERLINK("http://141.218.60.56/~jnz1568/getInfo.php?workbook=01_01.xlsx&amp;sheet=A0&amp;row=200&amp;col=33&amp;number=&amp;sourceID=18","")</f>
        <v/>
      </c>
      <c r="AH200" s="4" t="str">
        <f>HYPERLINK("http://141.218.60.56/~jnz1568/getInfo.php?workbook=01_01.xlsx&amp;sheet=A0&amp;row=200&amp;col=34&amp;number=&amp;sourceID=20","")</f>
        <v/>
      </c>
    </row>
    <row r="201" spans="1:34">
      <c r="A201" s="3">
        <v>1</v>
      </c>
      <c r="B201" s="3">
        <v>1</v>
      </c>
      <c r="C201" s="3">
        <v>21</v>
      </c>
      <c r="D201" s="3">
        <v>16</v>
      </c>
      <c r="E201" s="3">
        <f>((1/(INDEX(E0!J$4:J$28,C201,1)-INDEX(E0!J$4:J$28,D201,1))))*100000000</f>
        <v>0</v>
      </c>
      <c r="F201" s="4" t="str">
        <f>HYPERLINK("http://141.218.60.56/~jnz1568/getInfo.php?workbook=01_01.xlsx&amp;sheet=A0&amp;row=201&amp;col=6&amp;number=&amp;sourceID=18","")</f>
        <v/>
      </c>
      <c r="G201" s="4" t="str">
        <f>HYPERLINK("http://141.218.60.56/~jnz1568/getInfo.php?workbook=01_01.xlsx&amp;sheet=A0&amp;row=201&amp;col=7&amp;number=48075&amp;sourceID=15","48075")</f>
        <v>48075</v>
      </c>
      <c r="H201" s="4" t="str">
        <f>HYPERLINK("http://141.218.60.56/~jnz1568/getInfo.php?workbook=01_01.xlsx&amp;sheet=A0&amp;row=201&amp;col=8&amp;number=48075&amp;sourceID=15","48075")</f>
        <v>48075</v>
      </c>
      <c r="I201" s="4" t="str">
        <f>HYPERLINK("http://141.218.60.56/~jnz1568/getInfo.php?workbook=01_01.xlsx&amp;sheet=A0&amp;row=201&amp;col=9&amp;number=&amp;sourceID=15","")</f>
        <v/>
      </c>
      <c r="J201" s="4" t="str">
        <f>HYPERLINK("http://141.218.60.56/~jnz1568/getInfo.php?workbook=01_01.xlsx&amp;sheet=A0&amp;row=201&amp;col=10&amp;number=&amp;sourceID=15","")</f>
        <v/>
      </c>
      <c r="K201" s="4" t="str">
        <f>HYPERLINK("http://141.218.60.56/~jnz1568/getInfo.php?workbook=01_01.xlsx&amp;sheet=A0&amp;row=201&amp;col=11&amp;number=&amp;sourceID=15","")</f>
        <v/>
      </c>
      <c r="L201" s="4" t="str">
        <f>HYPERLINK("http://141.218.60.56/~jnz1568/getInfo.php?workbook=01_01.xlsx&amp;sheet=A0&amp;row=201&amp;col=12&amp;number=&amp;sourceID=15","")</f>
        <v/>
      </c>
      <c r="M201" s="4" t="str">
        <f>HYPERLINK("http://141.218.60.56/~jnz1568/getInfo.php?workbook=01_01.xlsx&amp;sheet=A0&amp;row=201&amp;col=13&amp;number=&amp;sourceID=15","")</f>
        <v/>
      </c>
      <c r="N201" s="4" t="str">
        <f>HYPERLINK("http://141.218.60.56/~jnz1568/getInfo.php?workbook=01_01.xlsx&amp;sheet=A0&amp;row=201&amp;col=14&amp;number==&amp;sourceID=11","=")</f>
        <v>=</v>
      </c>
      <c r="O201" s="4" t="str">
        <f>HYPERLINK("http://141.218.60.56/~jnz1568/getInfo.php?workbook=01_01.xlsx&amp;sheet=A0&amp;row=201&amp;col=15&amp;number=48075&amp;sourceID=11","48075")</f>
        <v>48075</v>
      </c>
      <c r="P201" s="4" t="str">
        <f>HYPERLINK("http://141.218.60.56/~jnz1568/getInfo.php?workbook=01_01.xlsx&amp;sheet=A0&amp;row=201&amp;col=16&amp;number=&amp;sourceID=11","")</f>
        <v/>
      </c>
      <c r="Q201" s="4" t="str">
        <f>HYPERLINK("http://141.218.60.56/~jnz1568/getInfo.php?workbook=01_01.xlsx&amp;sheet=A0&amp;row=201&amp;col=17&amp;number=1.3088e-08&amp;sourceID=11","1.3088e-08")</f>
        <v>1.3088e-08</v>
      </c>
      <c r="R201" s="4" t="str">
        <f>HYPERLINK("http://141.218.60.56/~jnz1568/getInfo.php?workbook=01_01.xlsx&amp;sheet=A0&amp;row=201&amp;col=18&amp;number=&amp;sourceID=11","")</f>
        <v/>
      </c>
      <c r="S201" s="4" t="str">
        <f>HYPERLINK("http://141.218.60.56/~jnz1568/getInfo.php?workbook=01_01.xlsx&amp;sheet=A0&amp;row=201&amp;col=19&amp;number=6.3407e-09&amp;sourceID=11","6.3407e-09")</f>
        <v>6.3407e-09</v>
      </c>
      <c r="T201" s="4" t="str">
        <f>HYPERLINK("http://141.218.60.56/~jnz1568/getInfo.php?workbook=01_01.xlsx&amp;sheet=A0&amp;row=201&amp;col=20&amp;number=&amp;sourceID=11","")</f>
        <v/>
      </c>
      <c r="U201" s="4" t="str">
        <f>HYPERLINK("http://141.218.60.56/~jnz1568/getInfo.php?workbook=01_01.xlsx&amp;sheet=A0&amp;row=201&amp;col=21&amp;number=48101&amp;sourceID=12","48101")</f>
        <v>48101</v>
      </c>
      <c r="V201" s="4" t="str">
        <f>HYPERLINK("http://141.218.60.56/~jnz1568/getInfo.php?workbook=01_01.xlsx&amp;sheet=A0&amp;row=201&amp;col=22&amp;number=48101&amp;sourceID=12","48101")</f>
        <v>48101</v>
      </c>
      <c r="W201" s="4" t="str">
        <f>HYPERLINK("http://141.218.60.56/~jnz1568/getInfo.php?workbook=01_01.xlsx&amp;sheet=A0&amp;row=201&amp;col=23&amp;number=&amp;sourceID=12","")</f>
        <v/>
      </c>
      <c r="X201" s="4" t="str">
        <f>HYPERLINK("http://141.218.60.56/~jnz1568/getInfo.php?workbook=01_01.xlsx&amp;sheet=A0&amp;row=201&amp;col=24&amp;number=1.3095e-08&amp;sourceID=12","1.3095e-08")</f>
        <v>1.3095e-08</v>
      </c>
      <c r="Y201" s="4" t="str">
        <f>HYPERLINK("http://141.218.60.56/~jnz1568/getInfo.php?workbook=01_01.xlsx&amp;sheet=A0&amp;row=201&amp;col=25&amp;number=&amp;sourceID=12","")</f>
        <v/>
      </c>
      <c r="Z201" s="4" t="str">
        <f>HYPERLINK("http://141.218.60.56/~jnz1568/getInfo.php?workbook=01_01.xlsx&amp;sheet=A0&amp;row=201&amp;col=26&amp;number=6.3442e-09&amp;sourceID=12","6.3442e-09")</f>
        <v>6.3442e-09</v>
      </c>
      <c r="AA201" s="4" t="str">
        <f>HYPERLINK("http://141.218.60.56/~jnz1568/getInfo.php?workbook=01_01.xlsx&amp;sheet=A0&amp;row=201&amp;col=27&amp;number=&amp;sourceID=12","")</f>
        <v/>
      </c>
      <c r="AB201" s="4" t="str">
        <f>HYPERLINK("http://141.218.60.56/~jnz1568/getInfo.php?workbook=01_01.xlsx&amp;sheet=A0&amp;row=201&amp;col=28&amp;number=&amp;sourceID=18","")</f>
        <v/>
      </c>
      <c r="AC201" s="4" t="str">
        <f>HYPERLINK("http://141.218.60.56/~jnz1568/getInfo.php?workbook=01_01.xlsx&amp;sheet=A0&amp;row=201&amp;col=29&amp;number=&amp;sourceID=18","")</f>
        <v/>
      </c>
      <c r="AD201" s="4" t="str">
        <f>HYPERLINK("http://141.218.60.56/~jnz1568/getInfo.php?workbook=01_01.xlsx&amp;sheet=A0&amp;row=201&amp;col=30&amp;number=&amp;sourceID=18","")</f>
        <v/>
      </c>
      <c r="AE201" s="4" t="str">
        <f>HYPERLINK("http://141.218.60.56/~jnz1568/getInfo.php?workbook=01_01.xlsx&amp;sheet=A0&amp;row=201&amp;col=31&amp;number=&amp;sourceID=18","")</f>
        <v/>
      </c>
      <c r="AF201" s="4" t="str">
        <f>HYPERLINK("http://141.218.60.56/~jnz1568/getInfo.php?workbook=01_01.xlsx&amp;sheet=A0&amp;row=201&amp;col=32&amp;number=&amp;sourceID=18","")</f>
        <v/>
      </c>
      <c r="AG201" s="4" t="str">
        <f>HYPERLINK("http://141.218.60.56/~jnz1568/getInfo.php?workbook=01_01.xlsx&amp;sheet=A0&amp;row=201&amp;col=33&amp;number=&amp;sourceID=18","")</f>
        <v/>
      </c>
      <c r="AH201" s="4" t="str">
        <f>HYPERLINK("http://141.218.60.56/~jnz1568/getInfo.php?workbook=01_01.xlsx&amp;sheet=A0&amp;row=201&amp;col=34&amp;number=&amp;sourceID=20","")</f>
        <v/>
      </c>
    </row>
    <row r="202" spans="1:34">
      <c r="A202" s="3">
        <v>1</v>
      </c>
      <c r="B202" s="3">
        <v>1</v>
      </c>
      <c r="C202" s="3">
        <v>21</v>
      </c>
      <c r="D202" s="3">
        <v>17</v>
      </c>
      <c r="E202" s="3">
        <f>((1/(INDEX(E0!J$4:J$28,C202,1)-INDEX(E0!J$4:J$28,D202,1))))*100000000</f>
        <v>0</v>
      </c>
      <c r="F202" s="4" t="str">
        <f>HYPERLINK("http://141.218.60.56/~jnz1568/getInfo.php?workbook=01_01.xlsx&amp;sheet=A0&amp;row=202&amp;col=6&amp;number=&amp;sourceID=18","")</f>
        <v/>
      </c>
      <c r="G202" s="4" t="str">
        <f>HYPERLINK("http://141.218.60.56/~jnz1568/getInfo.php?workbook=01_01.xlsx&amp;sheet=A0&amp;row=202&amp;col=7&amp;number=&amp;sourceID=15","")</f>
        <v/>
      </c>
      <c r="H202" s="4" t="str">
        <f>HYPERLINK("http://141.218.60.56/~jnz1568/getInfo.php?workbook=01_01.xlsx&amp;sheet=A0&amp;row=202&amp;col=8&amp;number=&amp;sourceID=15","")</f>
        <v/>
      </c>
      <c r="I202" s="4" t="str">
        <f>HYPERLINK("http://141.218.60.56/~jnz1568/getInfo.php?workbook=01_01.xlsx&amp;sheet=A0&amp;row=202&amp;col=9&amp;number=&amp;sourceID=15","")</f>
        <v/>
      </c>
      <c r="J202" s="4" t="str">
        <f>HYPERLINK("http://141.218.60.56/~jnz1568/getInfo.php?workbook=01_01.xlsx&amp;sheet=A0&amp;row=202&amp;col=10&amp;number=&amp;sourceID=15","")</f>
        <v/>
      </c>
      <c r="K202" s="4" t="str">
        <f>HYPERLINK("http://141.218.60.56/~jnz1568/getInfo.php?workbook=01_01.xlsx&amp;sheet=A0&amp;row=202&amp;col=11&amp;number=&amp;sourceID=15","")</f>
        <v/>
      </c>
      <c r="L202" s="4" t="str">
        <f>HYPERLINK("http://141.218.60.56/~jnz1568/getInfo.php?workbook=01_01.xlsx&amp;sheet=A0&amp;row=202&amp;col=12&amp;number=&amp;sourceID=15","")</f>
        <v/>
      </c>
      <c r="M202" s="4" t="str">
        <f>HYPERLINK("http://141.218.60.56/~jnz1568/getInfo.php?workbook=01_01.xlsx&amp;sheet=A0&amp;row=202&amp;col=13&amp;number=&amp;sourceID=15","")</f>
        <v/>
      </c>
      <c r="N202" s="4" t="str">
        <f>HYPERLINK("http://141.218.60.56/~jnz1568/getInfo.php?workbook=01_01.xlsx&amp;sheet=A0&amp;row=202&amp;col=14&amp;number==&amp;sourceID=11","=")</f>
        <v>=</v>
      </c>
      <c r="O202" s="4" t="str">
        <f>HYPERLINK("http://141.218.60.56/~jnz1568/getInfo.php?workbook=01_01.xlsx&amp;sheet=A0&amp;row=202&amp;col=15&amp;number=&amp;sourceID=11","")</f>
        <v/>
      </c>
      <c r="P202" s="4" t="str">
        <f>HYPERLINK("http://141.218.60.56/~jnz1568/getInfo.php?workbook=01_01.xlsx&amp;sheet=A0&amp;row=202&amp;col=16&amp;number=&amp;sourceID=11","")</f>
        <v/>
      </c>
      <c r="Q202" s="4" t="str">
        <f>HYPERLINK("http://141.218.60.56/~jnz1568/getInfo.php?workbook=01_01.xlsx&amp;sheet=A0&amp;row=202&amp;col=17&amp;number=0&amp;sourceID=11","0")</f>
        <v>0</v>
      </c>
      <c r="R202" s="4" t="str">
        <f>HYPERLINK("http://141.218.60.56/~jnz1568/getInfo.php?workbook=01_01.xlsx&amp;sheet=A0&amp;row=202&amp;col=18&amp;number=&amp;sourceID=11","")</f>
        <v/>
      </c>
      <c r="S202" s="4" t="str">
        <f>HYPERLINK("http://141.218.60.56/~jnz1568/getInfo.php?workbook=01_01.xlsx&amp;sheet=A0&amp;row=202&amp;col=19&amp;number=0&amp;sourceID=11","0")</f>
        <v>0</v>
      </c>
      <c r="T202" s="4" t="str">
        <f>HYPERLINK("http://141.218.60.56/~jnz1568/getInfo.php?workbook=01_01.xlsx&amp;sheet=A0&amp;row=202&amp;col=20&amp;number=&amp;sourceID=11","")</f>
        <v/>
      </c>
      <c r="U202" s="4" t="str">
        <f>HYPERLINK("http://141.218.60.56/~jnz1568/getInfo.php?workbook=01_01.xlsx&amp;sheet=A0&amp;row=202&amp;col=21&amp;number=0&amp;sourceID=12","0")</f>
        <v>0</v>
      </c>
      <c r="V202" s="4" t="str">
        <f>HYPERLINK("http://141.218.60.56/~jnz1568/getInfo.php?workbook=01_01.xlsx&amp;sheet=A0&amp;row=202&amp;col=22&amp;number=&amp;sourceID=12","")</f>
        <v/>
      </c>
      <c r="W202" s="4" t="str">
        <f>HYPERLINK("http://141.218.60.56/~jnz1568/getInfo.php?workbook=01_01.xlsx&amp;sheet=A0&amp;row=202&amp;col=23&amp;number=&amp;sourceID=12","")</f>
        <v/>
      </c>
      <c r="X202" s="4" t="str">
        <f>HYPERLINK("http://141.218.60.56/~jnz1568/getInfo.php?workbook=01_01.xlsx&amp;sheet=A0&amp;row=202&amp;col=24&amp;number=0&amp;sourceID=12","0")</f>
        <v>0</v>
      </c>
      <c r="Y202" s="4" t="str">
        <f>HYPERLINK("http://141.218.60.56/~jnz1568/getInfo.php?workbook=01_01.xlsx&amp;sheet=A0&amp;row=202&amp;col=25&amp;number=&amp;sourceID=12","")</f>
        <v/>
      </c>
      <c r="Z202" s="4" t="str">
        <f>HYPERLINK("http://141.218.60.56/~jnz1568/getInfo.php?workbook=01_01.xlsx&amp;sheet=A0&amp;row=202&amp;col=26&amp;number=0&amp;sourceID=12","0")</f>
        <v>0</v>
      </c>
      <c r="AA202" s="4" t="str">
        <f>HYPERLINK("http://141.218.60.56/~jnz1568/getInfo.php?workbook=01_01.xlsx&amp;sheet=A0&amp;row=202&amp;col=27&amp;number=&amp;sourceID=12","")</f>
        <v/>
      </c>
      <c r="AB202" s="4" t="str">
        <f>HYPERLINK("http://141.218.60.56/~jnz1568/getInfo.php?workbook=01_01.xlsx&amp;sheet=A0&amp;row=202&amp;col=28&amp;number=&amp;sourceID=18","")</f>
        <v/>
      </c>
      <c r="AC202" s="4" t="str">
        <f>HYPERLINK("http://141.218.60.56/~jnz1568/getInfo.php?workbook=01_01.xlsx&amp;sheet=A0&amp;row=202&amp;col=29&amp;number=&amp;sourceID=18","")</f>
        <v/>
      </c>
      <c r="AD202" s="4" t="str">
        <f>HYPERLINK("http://141.218.60.56/~jnz1568/getInfo.php?workbook=01_01.xlsx&amp;sheet=A0&amp;row=202&amp;col=30&amp;number=&amp;sourceID=18","")</f>
        <v/>
      </c>
      <c r="AE202" s="4" t="str">
        <f>HYPERLINK("http://141.218.60.56/~jnz1568/getInfo.php?workbook=01_01.xlsx&amp;sheet=A0&amp;row=202&amp;col=31&amp;number=&amp;sourceID=18","")</f>
        <v/>
      </c>
      <c r="AF202" s="4" t="str">
        <f>HYPERLINK("http://141.218.60.56/~jnz1568/getInfo.php?workbook=01_01.xlsx&amp;sheet=A0&amp;row=202&amp;col=32&amp;number=&amp;sourceID=18","")</f>
        <v/>
      </c>
      <c r="AG202" s="4" t="str">
        <f>HYPERLINK("http://141.218.60.56/~jnz1568/getInfo.php?workbook=01_01.xlsx&amp;sheet=A0&amp;row=202&amp;col=33&amp;number=&amp;sourceID=18","")</f>
        <v/>
      </c>
      <c r="AH202" s="4" t="str">
        <f>HYPERLINK("http://141.218.60.56/~jnz1568/getInfo.php?workbook=01_01.xlsx&amp;sheet=A0&amp;row=202&amp;col=34&amp;number=&amp;sourceID=20","")</f>
        <v/>
      </c>
    </row>
    <row r="203" spans="1:34">
      <c r="A203" s="3">
        <v>1</v>
      </c>
      <c r="B203" s="3">
        <v>1</v>
      </c>
      <c r="C203" s="3">
        <v>21</v>
      </c>
      <c r="D203" s="3">
        <v>18</v>
      </c>
      <c r="E203" s="3">
        <f>((1/(INDEX(E0!J$4:J$28,C203,1)-INDEX(E0!J$4:J$28,D203,1))))*100000000</f>
        <v>0</v>
      </c>
      <c r="F203" s="4" t="str">
        <f>HYPERLINK("http://141.218.60.56/~jnz1568/getInfo.php?workbook=01_01.xlsx&amp;sheet=A0&amp;row=203&amp;col=6&amp;number=&amp;sourceID=18","")</f>
        <v/>
      </c>
      <c r="G203" s="4" t="str">
        <f>HYPERLINK("http://141.218.60.56/~jnz1568/getInfo.php?workbook=01_01.xlsx&amp;sheet=A0&amp;row=203&amp;col=7&amp;number=&amp;sourceID=15","")</f>
        <v/>
      </c>
      <c r="H203" s="4" t="str">
        <f>HYPERLINK("http://141.218.60.56/~jnz1568/getInfo.php?workbook=01_01.xlsx&amp;sheet=A0&amp;row=203&amp;col=8&amp;number=&amp;sourceID=15","")</f>
        <v/>
      </c>
      <c r="I203" s="4" t="str">
        <f>HYPERLINK("http://141.218.60.56/~jnz1568/getInfo.php?workbook=01_01.xlsx&amp;sheet=A0&amp;row=203&amp;col=9&amp;number=&amp;sourceID=15","")</f>
        <v/>
      </c>
      <c r="J203" s="4" t="str">
        <f>HYPERLINK("http://141.218.60.56/~jnz1568/getInfo.php?workbook=01_01.xlsx&amp;sheet=A0&amp;row=203&amp;col=10&amp;number=&amp;sourceID=15","")</f>
        <v/>
      </c>
      <c r="K203" s="4" t="str">
        <f>HYPERLINK("http://141.218.60.56/~jnz1568/getInfo.php?workbook=01_01.xlsx&amp;sheet=A0&amp;row=203&amp;col=11&amp;number=&amp;sourceID=15","")</f>
        <v/>
      </c>
      <c r="L203" s="4" t="str">
        <f>HYPERLINK("http://141.218.60.56/~jnz1568/getInfo.php?workbook=01_01.xlsx&amp;sheet=A0&amp;row=203&amp;col=12&amp;number=&amp;sourceID=15","")</f>
        <v/>
      </c>
      <c r="M203" s="4" t="str">
        <f>HYPERLINK("http://141.218.60.56/~jnz1568/getInfo.php?workbook=01_01.xlsx&amp;sheet=A0&amp;row=203&amp;col=13&amp;number=&amp;sourceID=15","")</f>
        <v/>
      </c>
      <c r="N203" s="4" t="str">
        <f>HYPERLINK("http://141.218.60.56/~jnz1568/getInfo.php?workbook=01_01.xlsx&amp;sheet=A0&amp;row=203&amp;col=14&amp;number==&amp;sourceID=11","=")</f>
        <v>=</v>
      </c>
      <c r="O203" s="4" t="str">
        <f>HYPERLINK("http://141.218.60.56/~jnz1568/getInfo.php?workbook=01_01.xlsx&amp;sheet=A0&amp;row=203&amp;col=15&amp;number=&amp;sourceID=11","")</f>
        <v/>
      </c>
      <c r="P203" s="4" t="str">
        <f>HYPERLINK("http://141.218.60.56/~jnz1568/getInfo.php?workbook=01_01.xlsx&amp;sheet=A0&amp;row=203&amp;col=16&amp;number=0&amp;sourceID=11","0")</f>
        <v>0</v>
      </c>
      <c r="Q203" s="4" t="str">
        <f>HYPERLINK("http://141.218.60.56/~jnz1568/getInfo.php?workbook=01_01.xlsx&amp;sheet=A0&amp;row=203&amp;col=17&amp;number=&amp;sourceID=11","")</f>
        <v/>
      </c>
      <c r="R203" s="4" t="str">
        <f>HYPERLINK("http://141.218.60.56/~jnz1568/getInfo.php?workbook=01_01.xlsx&amp;sheet=A0&amp;row=203&amp;col=18&amp;number=&amp;sourceID=11","")</f>
        <v/>
      </c>
      <c r="S203" s="4" t="str">
        <f>HYPERLINK("http://141.218.60.56/~jnz1568/getInfo.php?workbook=01_01.xlsx&amp;sheet=A0&amp;row=203&amp;col=19&amp;number=&amp;sourceID=11","")</f>
        <v/>
      </c>
      <c r="T203" s="4" t="str">
        <f>HYPERLINK("http://141.218.60.56/~jnz1568/getInfo.php?workbook=01_01.xlsx&amp;sheet=A0&amp;row=203&amp;col=20&amp;number=0&amp;sourceID=11","0")</f>
        <v>0</v>
      </c>
      <c r="U203" s="4" t="str">
        <f>HYPERLINK("http://141.218.60.56/~jnz1568/getInfo.php?workbook=01_01.xlsx&amp;sheet=A0&amp;row=203&amp;col=21&amp;number=0&amp;sourceID=12","0")</f>
        <v>0</v>
      </c>
      <c r="V203" s="4" t="str">
        <f>HYPERLINK("http://141.218.60.56/~jnz1568/getInfo.php?workbook=01_01.xlsx&amp;sheet=A0&amp;row=203&amp;col=22&amp;number=&amp;sourceID=12","")</f>
        <v/>
      </c>
      <c r="W203" s="4" t="str">
        <f>HYPERLINK("http://141.218.60.56/~jnz1568/getInfo.php?workbook=01_01.xlsx&amp;sheet=A0&amp;row=203&amp;col=23&amp;number=0&amp;sourceID=12","0")</f>
        <v>0</v>
      </c>
      <c r="X203" s="4" t="str">
        <f>HYPERLINK("http://141.218.60.56/~jnz1568/getInfo.php?workbook=01_01.xlsx&amp;sheet=A0&amp;row=203&amp;col=24&amp;number=&amp;sourceID=12","")</f>
        <v/>
      </c>
      <c r="Y203" s="4" t="str">
        <f>HYPERLINK("http://141.218.60.56/~jnz1568/getInfo.php?workbook=01_01.xlsx&amp;sheet=A0&amp;row=203&amp;col=25&amp;number=&amp;sourceID=12","")</f>
        <v/>
      </c>
      <c r="Z203" s="4" t="str">
        <f>HYPERLINK("http://141.218.60.56/~jnz1568/getInfo.php?workbook=01_01.xlsx&amp;sheet=A0&amp;row=203&amp;col=26&amp;number=&amp;sourceID=12","")</f>
        <v/>
      </c>
      <c r="AA203" s="4" t="str">
        <f>HYPERLINK("http://141.218.60.56/~jnz1568/getInfo.php?workbook=01_01.xlsx&amp;sheet=A0&amp;row=203&amp;col=27&amp;number=0&amp;sourceID=12","0")</f>
        <v>0</v>
      </c>
      <c r="AB203" s="4" t="str">
        <f>HYPERLINK("http://141.218.60.56/~jnz1568/getInfo.php?workbook=01_01.xlsx&amp;sheet=A0&amp;row=203&amp;col=28&amp;number=&amp;sourceID=18","")</f>
        <v/>
      </c>
      <c r="AC203" s="4" t="str">
        <f>HYPERLINK("http://141.218.60.56/~jnz1568/getInfo.php?workbook=01_01.xlsx&amp;sheet=A0&amp;row=203&amp;col=29&amp;number=&amp;sourceID=18","")</f>
        <v/>
      </c>
      <c r="AD203" s="4" t="str">
        <f>HYPERLINK("http://141.218.60.56/~jnz1568/getInfo.php?workbook=01_01.xlsx&amp;sheet=A0&amp;row=203&amp;col=30&amp;number=&amp;sourceID=18","")</f>
        <v/>
      </c>
      <c r="AE203" s="4" t="str">
        <f>HYPERLINK("http://141.218.60.56/~jnz1568/getInfo.php?workbook=01_01.xlsx&amp;sheet=A0&amp;row=203&amp;col=31&amp;number=&amp;sourceID=18","")</f>
        <v/>
      </c>
      <c r="AF203" s="4" t="str">
        <f>HYPERLINK("http://141.218.60.56/~jnz1568/getInfo.php?workbook=01_01.xlsx&amp;sheet=A0&amp;row=203&amp;col=32&amp;number=&amp;sourceID=18","")</f>
        <v/>
      </c>
      <c r="AG203" s="4" t="str">
        <f>HYPERLINK("http://141.218.60.56/~jnz1568/getInfo.php?workbook=01_01.xlsx&amp;sheet=A0&amp;row=203&amp;col=33&amp;number=&amp;sourceID=18","")</f>
        <v/>
      </c>
      <c r="AH203" s="4" t="str">
        <f>HYPERLINK("http://141.218.60.56/~jnz1568/getInfo.php?workbook=01_01.xlsx&amp;sheet=A0&amp;row=203&amp;col=34&amp;number=&amp;sourceID=20","")</f>
        <v/>
      </c>
    </row>
    <row r="204" spans="1:34">
      <c r="A204" s="3">
        <v>1</v>
      </c>
      <c r="B204" s="3">
        <v>1</v>
      </c>
      <c r="C204" s="3">
        <v>21</v>
      </c>
      <c r="D204" s="3">
        <v>19</v>
      </c>
      <c r="E204" s="3">
        <f>((1/(INDEX(E0!J$4:J$28,C204,1)-INDEX(E0!J$4:J$28,D204,1))))*100000000</f>
        <v>0</v>
      </c>
      <c r="F204" s="4" t="str">
        <f>HYPERLINK("http://141.218.60.56/~jnz1568/getInfo.php?workbook=01_01.xlsx&amp;sheet=A0&amp;row=204&amp;col=6&amp;number=&amp;sourceID=18","")</f>
        <v/>
      </c>
      <c r="G204" s="4" t="str">
        <f>HYPERLINK("http://141.218.60.56/~jnz1568/getInfo.php?workbook=01_01.xlsx&amp;sheet=A0&amp;row=204&amp;col=7&amp;number=&amp;sourceID=15","")</f>
        <v/>
      </c>
      <c r="H204" s="4" t="str">
        <f>HYPERLINK("http://141.218.60.56/~jnz1568/getInfo.php?workbook=01_01.xlsx&amp;sheet=A0&amp;row=204&amp;col=8&amp;number=&amp;sourceID=15","")</f>
        <v/>
      </c>
      <c r="I204" s="4" t="str">
        <f>HYPERLINK("http://141.218.60.56/~jnz1568/getInfo.php?workbook=01_01.xlsx&amp;sheet=A0&amp;row=204&amp;col=9&amp;number=&amp;sourceID=15","")</f>
        <v/>
      </c>
      <c r="J204" s="4" t="str">
        <f>HYPERLINK("http://141.218.60.56/~jnz1568/getInfo.php?workbook=01_01.xlsx&amp;sheet=A0&amp;row=204&amp;col=10&amp;number=&amp;sourceID=15","")</f>
        <v/>
      </c>
      <c r="K204" s="4" t="str">
        <f>HYPERLINK("http://141.218.60.56/~jnz1568/getInfo.php?workbook=01_01.xlsx&amp;sheet=A0&amp;row=204&amp;col=11&amp;number=&amp;sourceID=15","")</f>
        <v/>
      </c>
      <c r="L204" s="4" t="str">
        <f>HYPERLINK("http://141.218.60.56/~jnz1568/getInfo.php?workbook=01_01.xlsx&amp;sheet=A0&amp;row=204&amp;col=12&amp;number=&amp;sourceID=15","")</f>
        <v/>
      </c>
      <c r="M204" s="4" t="str">
        <f>HYPERLINK("http://141.218.60.56/~jnz1568/getInfo.php?workbook=01_01.xlsx&amp;sheet=A0&amp;row=204&amp;col=13&amp;number=&amp;sourceID=15","")</f>
        <v/>
      </c>
      <c r="N204" s="4" t="str">
        <f>HYPERLINK("http://141.218.60.56/~jnz1568/getInfo.php?workbook=01_01.xlsx&amp;sheet=A0&amp;row=204&amp;col=14&amp;number==&amp;sourceID=11","=")</f>
        <v>=</v>
      </c>
      <c r="O204" s="4" t="str">
        <f>HYPERLINK("http://141.218.60.56/~jnz1568/getInfo.php?workbook=01_01.xlsx&amp;sheet=A0&amp;row=204&amp;col=15&amp;number=&amp;sourceID=11","")</f>
        <v/>
      </c>
      <c r="P204" s="4" t="str">
        <f>HYPERLINK("http://141.218.60.56/~jnz1568/getInfo.php?workbook=01_01.xlsx&amp;sheet=A0&amp;row=204&amp;col=16&amp;number=0&amp;sourceID=11","0")</f>
        <v>0</v>
      </c>
      <c r="Q204" s="4" t="str">
        <f>HYPERLINK("http://141.218.60.56/~jnz1568/getInfo.php?workbook=01_01.xlsx&amp;sheet=A0&amp;row=204&amp;col=17&amp;number=&amp;sourceID=11","")</f>
        <v/>
      </c>
      <c r="R204" s="4" t="str">
        <f>HYPERLINK("http://141.218.60.56/~jnz1568/getInfo.php?workbook=01_01.xlsx&amp;sheet=A0&amp;row=204&amp;col=18&amp;number=0&amp;sourceID=11","0")</f>
        <v>0</v>
      </c>
      <c r="S204" s="4" t="str">
        <f>HYPERLINK("http://141.218.60.56/~jnz1568/getInfo.php?workbook=01_01.xlsx&amp;sheet=A0&amp;row=204&amp;col=19&amp;number=&amp;sourceID=11","")</f>
        <v/>
      </c>
      <c r="T204" s="4" t="str">
        <f>HYPERLINK("http://141.218.60.56/~jnz1568/getInfo.php?workbook=01_01.xlsx&amp;sheet=A0&amp;row=204&amp;col=20&amp;number=0&amp;sourceID=11","0")</f>
        <v>0</v>
      </c>
      <c r="U204" s="4" t="str">
        <f>HYPERLINK("http://141.218.60.56/~jnz1568/getInfo.php?workbook=01_01.xlsx&amp;sheet=A0&amp;row=204&amp;col=21&amp;number=0&amp;sourceID=12","0")</f>
        <v>0</v>
      </c>
      <c r="V204" s="4" t="str">
        <f>HYPERLINK("http://141.218.60.56/~jnz1568/getInfo.php?workbook=01_01.xlsx&amp;sheet=A0&amp;row=204&amp;col=22&amp;number=&amp;sourceID=12","")</f>
        <v/>
      </c>
      <c r="W204" s="4" t="str">
        <f>HYPERLINK("http://141.218.60.56/~jnz1568/getInfo.php?workbook=01_01.xlsx&amp;sheet=A0&amp;row=204&amp;col=23&amp;number=0&amp;sourceID=12","0")</f>
        <v>0</v>
      </c>
      <c r="X204" s="4" t="str">
        <f>HYPERLINK("http://141.218.60.56/~jnz1568/getInfo.php?workbook=01_01.xlsx&amp;sheet=A0&amp;row=204&amp;col=24&amp;number=&amp;sourceID=12","")</f>
        <v/>
      </c>
      <c r="Y204" s="4" t="str">
        <f>HYPERLINK("http://141.218.60.56/~jnz1568/getInfo.php?workbook=01_01.xlsx&amp;sheet=A0&amp;row=204&amp;col=25&amp;number=0&amp;sourceID=12","0")</f>
        <v>0</v>
      </c>
      <c r="Z204" s="4" t="str">
        <f>HYPERLINK("http://141.218.60.56/~jnz1568/getInfo.php?workbook=01_01.xlsx&amp;sheet=A0&amp;row=204&amp;col=26&amp;number=&amp;sourceID=12","")</f>
        <v/>
      </c>
      <c r="AA204" s="4" t="str">
        <f>HYPERLINK("http://141.218.60.56/~jnz1568/getInfo.php?workbook=01_01.xlsx&amp;sheet=A0&amp;row=204&amp;col=27&amp;number=0&amp;sourceID=12","0")</f>
        <v>0</v>
      </c>
      <c r="AB204" s="4" t="str">
        <f>HYPERLINK("http://141.218.60.56/~jnz1568/getInfo.php?workbook=01_01.xlsx&amp;sheet=A0&amp;row=204&amp;col=28&amp;number=&amp;sourceID=18","")</f>
        <v/>
      </c>
      <c r="AC204" s="4" t="str">
        <f>HYPERLINK("http://141.218.60.56/~jnz1568/getInfo.php?workbook=01_01.xlsx&amp;sheet=A0&amp;row=204&amp;col=29&amp;number=&amp;sourceID=18","")</f>
        <v/>
      </c>
      <c r="AD204" s="4" t="str">
        <f>HYPERLINK("http://141.218.60.56/~jnz1568/getInfo.php?workbook=01_01.xlsx&amp;sheet=A0&amp;row=204&amp;col=30&amp;number=&amp;sourceID=18","")</f>
        <v/>
      </c>
      <c r="AE204" s="4" t="str">
        <f>HYPERLINK("http://141.218.60.56/~jnz1568/getInfo.php?workbook=01_01.xlsx&amp;sheet=A0&amp;row=204&amp;col=31&amp;number=&amp;sourceID=18","")</f>
        <v/>
      </c>
      <c r="AF204" s="4" t="str">
        <f>HYPERLINK("http://141.218.60.56/~jnz1568/getInfo.php?workbook=01_01.xlsx&amp;sheet=A0&amp;row=204&amp;col=32&amp;number=&amp;sourceID=18","")</f>
        <v/>
      </c>
      <c r="AG204" s="4" t="str">
        <f>HYPERLINK("http://141.218.60.56/~jnz1568/getInfo.php?workbook=01_01.xlsx&amp;sheet=A0&amp;row=204&amp;col=33&amp;number=&amp;sourceID=18","")</f>
        <v/>
      </c>
      <c r="AH204" s="4" t="str">
        <f>HYPERLINK("http://141.218.60.56/~jnz1568/getInfo.php?workbook=01_01.xlsx&amp;sheet=A0&amp;row=204&amp;col=34&amp;number=&amp;sourceID=20","")</f>
        <v/>
      </c>
    </row>
    <row r="205" spans="1:34">
      <c r="A205" s="3">
        <v>1</v>
      </c>
      <c r="B205" s="3">
        <v>1</v>
      </c>
      <c r="C205" s="3">
        <v>21</v>
      </c>
      <c r="D205" s="3">
        <v>20</v>
      </c>
      <c r="E205" s="3">
        <f>((1/(INDEX(E0!J$4:J$28,C205,1)-INDEX(E0!J$4:J$28,D205,1))))*100000000</f>
        <v>0</v>
      </c>
      <c r="F205" s="4" t="str">
        <f>HYPERLINK("http://141.218.60.56/~jnz1568/getInfo.php?workbook=01_01.xlsx&amp;sheet=A0&amp;row=205&amp;col=6&amp;number=&amp;sourceID=18","")</f>
        <v/>
      </c>
      <c r="G205" s="4" t="str">
        <f>HYPERLINK("http://141.218.60.56/~jnz1568/getInfo.php?workbook=01_01.xlsx&amp;sheet=A0&amp;row=205&amp;col=7&amp;number=&amp;sourceID=15","")</f>
        <v/>
      </c>
      <c r="H205" s="4" t="str">
        <f>HYPERLINK("http://141.218.60.56/~jnz1568/getInfo.php?workbook=01_01.xlsx&amp;sheet=A0&amp;row=205&amp;col=8&amp;number=&amp;sourceID=15","")</f>
        <v/>
      </c>
      <c r="I205" s="4" t="str">
        <f>HYPERLINK("http://141.218.60.56/~jnz1568/getInfo.php?workbook=01_01.xlsx&amp;sheet=A0&amp;row=205&amp;col=9&amp;number=&amp;sourceID=15","")</f>
        <v/>
      </c>
      <c r="J205" s="4" t="str">
        <f>HYPERLINK("http://141.218.60.56/~jnz1568/getInfo.php?workbook=01_01.xlsx&amp;sheet=A0&amp;row=205&amp;col=10&amp;number=&amp;sourceID=15","")</f>
        <v/>
      </c>
      <c r="K205" s="4" t="str">
        <f>HYPERLINK("http://141.218.60.56/~jnz1568/getInfo.php?workbook=01_01.xlsx&amp;sheet=A0&amp;row=205&amp;col=11&amp;number=&amp;sourceID=15","")</f>
        <v/>
      </c>
      <c r="L205" s="4" t="str">
        <f>HYPERLINK("http://141.218.60.56/~jnz1568/getInfo.php?workbook=01_01.xlsx&amp;sheet=A0&amp;row=205&amp;col=12&amp;number=&amp;sourceID=15","")</f>
        <v/>
      </c>
      <c r="M205" s="4" t="str">
        <f>HYPERLINK("http://141.218.60.56/~jnz1568/getInfo.php?workbook=01_01.xlsx&amp;sheet=A0&amp;row=205&amp;col=13&amp;number=&amp;sourceID=15","")</f>
        <v/>
      </c>
      <c r="N205" s="4" t="str">
        <f>HYPERLINK("http://141.218.60.56/~jnz1568/getInfo.php?workbook=01_01.xlsx&amp;sheet=A0&amp;row=205&amp;col=14&amp;number==&amp;sourceID=11","=")</f>
        <v>=</v>
      </c>
      <c r="O205" s="4" t="str">
        <f>HYPERLINK("http://141.218.60.56/~jnz1568/getInfo.php?workbook=01_01.xlsx&amp;sheet=A0&amp;row=205&amp;col=15&amp;number=4.526e-10&amp;sourceID=11","4.526e-10")</f>
        <v>4.526e-10</v>
      </c>
      <c r="P205" s="4" t="str">
        <f>HYPERLINK("http://141.218.60.56/~jnz1568/getInfo.php?workbook=01_01.xlsx&amp;sheet=A0&amp;row=205&amp;col=16&amp;number=&amp;sourceID=11","")</f>
        <v/>
      </c>
      <c r="Q205" s="4" t="str">
        <f>HYPERLINK("http://141.218.60.56/~jnz1568/getInfo.php?workbook=01_01.xlsx&amp;sheet=A0&amp;row=205&amp;col=17&amp;number=0&amp;sourceID=11","0")</f>
        <v>0</v>
      </c>
      <c r="R205" s="4" t="str">
        <f>HYPERLINK("http://141.218.60.56/~jnz1568/getInfo.php?workbook=01_01.xlsx&amp;sheet=A0&amp;row=205&amp;col=18&amp;number=&amp;sourceID=11","")</f>
        <v/>
      </c>
      <c r="S205" s="4" t="str">
        <f>HYPERLINK("http://141.218.60.56/~jnz1568/getInfo.php?workbook=01_01.xlsx&amp;sheet=A0&amp;row=205&amp;col=19&amp;number=0&amp;sourceID=11","0")</f>
        <v>0</v>
      </c>
      <c r="T205" s="4" t="str">
        <f>HYPERLINK("http://141.218.60.56/~jnz1568/getInfo.php?workbook=01_01.xlsx&amp;sheet=A0&amp;row=205&amp;col=20&amp;number=&amp;sourceID=11","")</f>
        <v/>
      </c>
      <c r="U205" s="4" t="str">
        <f>HYPERLINK("http://141.218.60.56/~jnz1568/getInfo.php?workbook=01_01.xlsx&amp;sheet=A0&amp;row=205&amp;col=21&amp;number=4.5852e-10&amp;sourceID=12","4.5852e-10")</f>
        <v>4.5852e-10</v>
      </c>
      <c r="V205" s="4" t="str">
        <f>HYPERLINK("http://141.218.60.56/~jnz1568/getInfo.php?workbook=01_01.xlsx&amp;sheet=A0&amp;row=205&amp;col=22&amp;number=4.5852e-10&amp;sourceID=12","4.5852e-10")</f>
        <v>4.5852e-10</v>
      </c>
      <c r="W205" s="4" t="str">
        <f>HYPERLINK("http://141.218.60.56/~jnz1568/getInfo.php?workbook=01_01.xlsx&amp;sheet=A0&amp;row=205&amp;col=23&amp;number=&amp;sourceID=12","")</f>
        <v/>
      </c>
      <c r="X205" s="4" t="str">
        <f>HYPERLINK("http://141.218.60.56/~jnz1568/getInfo.php?workbook=01_01.xlsx&amp;sheet=A0&amp;row=205&amp;col=24&amp;number=0&amp;sourceID=12","0")</f>
        <v>0</v>
      </c>
      <c r="Y205" s="4" t="str">
        <f>HYPERLINK("http://141.218.60.56/~jnz1568/getInfo.php?workbook=01_01.xlsx&amp;sheet=A0&amp;row=205&amp;col=25&amp;number=&amp;sourceID=12","")</f>
        <v/>
      </c>
      <c r="Z205" s="4" t="str">
        <f>HYPERLINK("http://141.218.60.56/~jnz1568/getInfo.php?workbook=01_01.xlsx&amp;sheet=A0&amp;row=205&amp;col=26&amp;number=0&amp;sourceID=12","0")</f>
        <v>0</v>
      </c>
      <c r="AA205" s="4" t="str">
        <f>HYPERLINK("http://141.218.60.56/~jnz1568/getInfo.php?workbook=01_01.xlsx&amp;sheet=A0&amp;row=205&amp;col=27&amp;number=&amp;sourceID=12","")</f>
        <v/>
      </c>
      <c r="AB205" s="4" t="str">
        <f>HYPERLINK("http://141.218.60.56/~jnz1568/getInfo.php?workbook=01_01.xlsx&amp;sheet=A0&amp;row=205&amp;col=28&amp;number=&amp;sourceID=18","")</f>
        <v/>
      </c>
      <c r="AC205" s="4" t="str">
        <f>HYPERLINK("http://141.218.60.56/~jnz1568/getInfo.php?workbook=01_01.xlsx&amp;sheet=A0&amp;row=205&amp;col=29&amp;number=&amp;sourceID=18","")</f>
        <v/>
      </c>
      <c r="AD205" s="4" t="str">
        <f>HYPERLINK("http://141.218.60.56/~jnz1568/getInfo.php?workbook=01_01.xlsx&amp;sheet=A0&amp;row=205&amp;col=30&amp;number=&amp;sourceID=18","")</f>
        <v/>
      </c>
      <c r="AE205" s="4" t="str">
        <f>HYPERLINK("http://141.218.60.56/~jnz1568/getInfo.php?workbook=01_01.xlsx&amp;sheet=A0&amp;row=205&amp;col=31&amp;number=&amp;sourceID=18","")</f>
        <v/>
      </c>
      <c r="AF205" s="4" t="str">
        <f>HYPERLINK("http://141.218.60.56/~jnz1568/getInfo.php?workbook=01_01.xlsx&amp;sheet=A0&amp;row=205&amp;col=32&amp;number=&amp;sourceID=18","")</f>
        <v/>
      </c>
      <c r="AG205" s="4" t="str">
        <f>HYPERLINK("http://141.218.60.56/~jnz1568/getInfo.php?workbook=01_01.xlsx&amp;sheet=A0&amp;row=205&amp;col=33&amp;number=&amp;sourceID=18","")</f>
        <v/>
      </c>
      <c r="AH205" s="4" t="str">
        <f>HYPERLINK("http://141.218.60.56/~jnz1568/getInfo.php?workbook=01_01.xlsx&amp;sheet=A0&amp;row=205&amp;col=34&amp;number=&amp;sourceID=20","")</f>
        <v/>
      </c>
    </row>
    <row r="206" spans="1:34">
      <c r="A206" s="3">
        <v>1</v>
      </c>
      <c r="B206" s="3">
        <v>1</v>
      </c>
      <c r="C206" s="3">
        <v>22</v>
      </c>
      <c r="D206" s="3">
        <v>1</v>
      </c>
      <c r="E206" s="3">
        <f>((1/(INDEX(E0!J$4:J$28,C206,1)-INDEX(E0!J$4:J$28,D206,1))))*100000000</f>
        <v>0</v>
      </c>
      <c r="F206" s="4" t="str">
        <f>HYPERLINK("http://141.218.60.56/~jnz1568/getInfo.php?workbook=01_01.xlsx&amp;sheet=A0&amp;row=206&amp;col=6&amp;number=&amp;sourceID=18","")</f>
        <v/>
      </c>
      <c r="G206" s="4" t="str">
        <f>HYPERLINK("http://141.218.60.56/~jnz1568/getInfo.php?workbook=01_01.xlsx&amp;sheet=A0&amp;row=206&amp;col=7&amp;number=&amp;sourceID=15","")</f>
        <v/>
      </c>
      <c r="H206" s="4" t="str">
        <f>HYPERLINK("http://141.218.60.56/~jnz1568/getInfo.php?workbook=01_01.xlsx&amp;sheet=A0&amp;row=206&amp;col=8&amp;number=&amp;sourceID=15","")</f>
        <v/>
      </c>
      <c r="I206" s="4" t="str">
        <f>HYPERLINK("http://141.218.60.56/~jnz1568/getInfo.php?workbook=01_01.xlsx&amp;sheet=A0&amp;row=206&amp;col=9&amp;number=&amp;sourceID=15","")</f>
        <v/>
      </c>
      <c r="J206" s="4" t="str">
        <f>HYPERLINK("http://141.218.60.56/~jnz1568/getInfo.php?workbook=01_01.xlsx&amp;sheet=A0&amp;row=206&amp;col=10&amp;number=&amp;sourceID=15","")</f>
        <v/>
      </c>
      <c r="K206" s="4" t="str">
        <f>HYPERLINK("http://141.218.60.56/~jnz1568/getInfo.php?workbook=01_01.xlsx&amp;sheet=A0&amp;row=206&amp;col=11&amp;number=&amp;sourceID=15","")</f>
        <v/>
      </c>
      <c r="L206" s="4" t="str">
        <f>HYPERLINK("http://141.218.60.56/~jnz1568/getInfo.php?workbook=01_01.xlsx&amp;sheet=A0&amp;row=206&amp;col=12&amp;number=&amp;sourceID=15","")</f>
        <v/>
      </c>
      <c r="M206" s="4" t="str">
        <f>HYPERLINK("http://141.218.60.56/~jnz1568/getInfo.php?workbook=01_01.xlsx&amp;sheet=A0&amp;row=206&amp;col=13&amp;number=&amp;sourceID=15","")</f>
        <v/>
      </c>
      <c r="N206" s="4" t="str">
        <f>HYPERLINK("http://141.218.60.56/~jnz1568/getInfo.php?workbook=01_01.xlsx&amp;sheet=A0&amp;row=206&amp;col=14&amp;number==&amp;sourceID=11","=")</f>
        <v>=</v>
      </c>
      <c r="O206" s="4" t="str">
        <f>HYPERLINK("http://141.218.60.56/~jnz1568/getInfo.php?workbook=01_01.xlsx&amp;sheet=A0&amp;row=206&amp;col=15&amp;number=&amp;sourceID=11","")</f>
        <v/>
      </c>
      <c r="P206" s="4" t="str">
        <f>HYPERLINK("http://141.218.60.56/~jnz1568/getInfo.php?workbook=01_01.xlsx&amp;sheet=A0&amp;row=206&amp;col=16&amp;number=&amp;sourceID=11","")</f>
        <v/>
      </c>
      <c r="Q206" s="4" t="str">
        <f>HYPERLINK("http://141.218.60.56/~jnz1568/getInfo.php?workbook=01_01.xlsx&amp;sheet=A0&amp;row=206&amp;col=17&amp;number=0.00025666&amp;sourceID=11","0.00025666")</f>
        <v>0.00025666</v>
      </c>
      <c r="R206" s="4" t="str">
        <f>HYPERLINK("http://141.218.60.56/~jnz1568/getInfo.php?workbook=01_01.xlsx&amp;sheet=A0&amp;row=206&amp;col=18&amp;number=&amp;sourceID=11","")</f>
        <v/>
      </c>
      <c r="S206" s="4" t="str">
        <f>HYPERLINK("http://141.218.60.56/~jnz1568/getInfo.php?workbook=01_01.xlsx&amp;sheet=A0&amp;row=206&amp;col=19&amp;number=1e-15&amp;sourceID=11","1e-15")</f>
        <v>1e-15</v>
      </c>
      <c r="T206" s="4" t="str">
        <f>HYPERLINK("http://141.218.60.56/~jnz1568/getInfo.php?workbook=01_01.xlsx&amp;sheet=A0&amp;row=206&amp;col=20&amp;number=&amp;sourceID=11","")</f>
        <v/>
      </c>
      <c r="U206" s="4" t="str">
        <f>HYPERLINK("http://141.218.60.56/~jnz1568/getInfo.php?workbook=01_01.xlsx&amp;sheet=A0&amp;row=206&amp;col=21&amp;number=0.00025681&amp;sourceID=12","0.00025681")</f>
        <v>0.00025681</v>
      </c>
      <c r="V206" s="4" t="str">
        <f>HYPERLINK("http://141.218.60.56/~jnz1568/getInfo.php?workbook=01_01.xlsx&amp;sheet=A0&amp;row=206&amp;col=22&amp;number=&amp;sourceID=12","")</f>
        <v/>
      </c>
      <c r="W206" s="4" t="str">
        <f>HYPERLINK("http://141.218.60.56/~jnz1568/getInfo.php?workbook=01_01.xlsx&amp;sheet=A0&amp;row=206&amp;col=23&amp;number=&amp;sourceID=12","")</f>
        <v/>
      </c>
      <c r="X206" s="4" t="str">
        <f>HYPERLINK("http://141.218.60.56/~jnz1568/getInfo.php?workbook=01_01.xlsx&amp;sheet=A0&amp;row=206&amp;col=24&amp;number=0.00025681&amp;sourceID=12","0.00025681")</f>
        <v>0.00025681</v>
      </c>
      <c r="Y206" s="4" t="str">
        <f>HYPERLINK("http://141.218.60.56/~jnz1568/getInfo.php?workbook=01_01.xlsx&amp;sheet=A0&amp;row=206&amp;col=25&amp;number=&amp;sourceID=12","")</f>
        <v/>
      </c>
      <c r="Z206" s="4" t="str">
        <f>HYPERLINK("http://141.218.60.56/~jnz1568/getInfo.php?workbook=01_01.xlsx&amp;sheet=A0&amp;row=206&amp;col=26&amp;number=2e-15&amp;sourceID=12","2e-15")</f>
        <v>2e-15</v>
      </c>
      <c r="AA206" s="4" t="str">
        <f>HYPERLINK("http://141.218.60.56/~jnz1568/getInfo.php?workbook=01_01.xlsx&amp;sheet=A0&amp;row=206&amp;col=27&amp;number=&amp;sourceID=12","")</f>
        <v/>
      </c>
      <c r="AB206" s="4" t="str">
        <f>HYPERLINK("http://141.218.60.56/~jnz1568/getInfo.php?workbook=01_01.xlsx&amp;sheet=A0&amp;row=206&amp;col=28&amp;number=&amp;sourceID=18","")</f>
        <v/>
      </c>
      <c r="AC206" s="4" t="str">
        <f>HYPERLINK("http://141.218.60.56/~jnz1568/getInfo.php?workbook=01_01.xlsx&amp;sheet=A0&amp;row=206&amp;col=29&amp;number=&amp;sourceID=18","")</f>
        <v/>
      </c>
      <c r="AD206" s="4" t="str">
        <f>HYPERLINK("http://141.218.60.56/~jnz1568/getInfo.php?workbook=01_01.xlsx&amp;sheet=A0&amp;row=206&amp;col=30&amp;number=&amp;sourceID=18","")</f>
        <v/>
      </c>
      <c r="AE206" s="4" t="str">
        <f>HYPERLINK("http://141.218.60.56/~jnz1568/getInfo.php?workbook=01_01.xlsx&amp;sheet=A0&amp;row=206&amp;col=31&amp;number=&amp;sourceID=18","")</f>
        <v/>
      </c>
      <c r="AF206" s="4" t="str">
        <f>HYPERLINK("http://141.218.60.56/~jnz1568/getInfo.php?workbook=01_01.xlsx&amp;sheet=A0&amp;row=206&amp;col=32&amp;number=&amp;sourceID=18","")</f>
        <v/>
      </c>
      <c r="AG206" s="4" t="str">
        <f>HYPERLINK("http://141.218.60.56/~jnz1568/getInfo.php?workbook=01_01.xlsx&amp;sheet=A0&amp;row=206&amp;col=33&amp;number=&amp;sourceID=18","")</f>
        <v/>
      </c>
      <c r="AH206" s="4" t="str">
        <f>HYPERLINK("http://141.218.60.56/~jnz1568/getInfo.php?workbook=01_01.xlsx&amp;sheet=A0&amp;row=206&amp;col=34&amp;number=&amp;sourceID=20","")</f>
        <v/>
      </c>
    </row>
    <row r="207" spans="1:34">
      <c r="A207" s="3">
        <v>1</v>
      </c>
      <c r="B207" s="3">
        <v>1</v>
      </c>
      <c r="C207" s="3">
        <v>22</v>
      </c>
      <c r="D207" s="3">
        <v>2</v>
      </c>
      <c r="E207" s="3">
        <f>((1/(INDEX(E0!J$4:J$28,C207,1)-INDEX(E0!J$4:J$28,D207,1))))*100000000</f>
        <v>0</v>
      </c>
      <c r="F207" s="4" t="str">
        <f>HYPERLINK("http://141.218.60.56/~jnz1568/getInfo.php?workbook=01_01.xlsx&amp;sheet=A0&amp;row=207&amp;col=6&amp;number=&amp;sourceID=18","")</f>
        <v/>
      </c>
      <c r="G207" s="4" t="str">
        <f>HYPERLINK("http://141.218.60.56/~jnz1568/getInfo.php?workbook=01_01.xlsx&amp;sheet=A0&amp;row=207&amp;col=7&amp;number=&amp;sourceID=15","")</f>
        <v/>
      </c>
      <c r="H207" s="4" t="str">
        <f>HYPERLINK("http://141.218.60.56/~jnz1568/getInfo.php?workbook=01_01.xlsx&amp;sheet=A0&amp;row=207&amp;col=8&amp;number=&amp;sourceID=15","")</f>
        <v/>
      </c>
      <c r="I207" s="4" t="str">
        <f>HYPERLINK("http://141.218.60.56/~jnz1568/getInfo.php?workbook=01_01.xlsx&amp;sheet=A0&amp;row=207&amp;col=9&amp;number=&amp;sourceID=15","")</f>
        <v/>
      </c>
      <c r="J207" s="4" t="str">
        <f>HYPERLINK("http://141.218.60.56/~jnz1568/getInfo.php?workbook=01_01.xlsx&amp;sheet=A0&amp;row=207&amp;col=10&amp;number=&amp;sourceID=15","")</f>
        <v/>
      </c>
      <c r="K207" s="4" t="str">
        <f>HYPERLINK("http://141.218.60.56/~jnz1568/getInfo.php?workbook=01_01.xlsx&amp;sheet=A0&amp;row=207&amp;col=11&amp;number=&amp;sourceID=15","")</f>
        <v/>
      </c>
      <c r="L207" s="4" t="str">
        <f>HYPERLINK("http://141.218.60.56/~jnz1568/getInfo.php?workbook=01_01.xlsx&amp;sheet=A0&amp;row=207&amp;col=12&amp;number=&amp;sourceID=15","")</f>
        <v/>
      </c>
      <c r="M207" s="4" t="str">
        <f>HYPERLINK("http://141.218.60.56/~jnz1568/getInfo.php?workbook=01_01.xlsx&amp;sheet=A0&amp;row=207&amp;col=13&amp;number=&amp;sourceID=15","")</f>
        <v/>
      </c>
      <c r="N207" s="4" t="str">
        <f>HYPERLINK("http://141.218.60.56/~jnz1568/getInfo.php?workbook=01_01.xlsx&amp;sheet=A0&amp;row=207&amp;col=14&amp;number==&amp;sourceID=11","=")</f>
        <v>=</v>
      </c>
      <c r="O207" s="4" t="str">
        <f>HYPERLINK("http://141.218.60.56/~jnz1568/getInfo.php?workbook=01_01.xlsx&amp;sheet=A0&amp;row=207&amp;col=15&amp;number=&amp;sourceID=11","")</f>
        <v/>
      </c>
      <c r="P207" s="4" t="str">
        <f>HYPERLINK("http://141.218.60.56/~jnz1568/getInfo.php?workbook=01_01.xlsx&amp;sheet=A0&amp;row=207&amp;col=16&amp;number=32.123&amp;sourceID=11","32.123")</f>
        <v>32.123</v>
      </c>
      <c r="Q207" s="4" t="str">
        <f>HYPERLINK("http://141.218.60.56/~jnz1568/getInfo.php?workbook=01_01.xlsx&amp;sheet=A0&amp;row=207&amp;col=17&amp;number=&amp;sourceID=11","")</f>
        <v/>
      </c>
      <c r="R207" s="4" t="str">
        <f>HYPERLINK("http://141.218.60.56/~jnz1568/getInfo.php?workbook=01_01.xlsx&amp;sheet=A0&amp;row=207&amp;col=18&amp;number=&amp;sourceID=11","")</f>
        <v/>
      </c>
      <c r="S207" s="4" t="str">
        <f>HYPERLINK("http://141.218.60.56/~jnz1568/getInfo.php?workbook=01_01.xlsx&amp;sheet=A0&amp;row=207&amp;col=19&amp;number=&amp;sourceID=11","")</f>
        <v/>
      </c>
      <c r="T207" s="4" t="str">
        <f>HYPERLINK("http://141.218.60.56/~jnz1568/getInfo.php?workbook=01_01.xlsx&amp;sheet=A0&amp;row=207&amp;col=20&amp;number=4.555e-12&amp;sourceID=11","4.555e-12")</f>
        <v>4.555e-12</v>
      </c>
      <c r="U207" s="4" t="str">
        <f>HYPERLINK("http://141.218.60.56/~jnz1568/getInfo.php?workbook=01_01.xlsx&amp;sheet=A0&amp;row=207&amp;col=21&amp;number=32.14&amp;sourceID=12","32.14")</f>
        <v>32.14</v>
      </c>
      <c r="V207" s="4" t="str">
        <f>HYPERLINK("http://141.218.60.56/~jnz1568/getInfo.php?workbook=01_01.xlsx&amp;sheet=A0&amp;row=207&amp;col=22&amp;number=&amp;sourceID=12","")</f>
        <v/>
      </c>
      <c r="W207" s="4" t="str">
        <f>HYPERLINK("http://141.218.60.56/~jnz1568/getInfo.php?workbook=01_01.xlsx&amp;sheet=A0&amp;row=207&amp;col=23&amp;number=32.14&amp;sourceID=12","32.14")</f>
        <v>32.14</v>
      </c>
      <c r="X207" s="4" t="str">
        <f>HYPERLINK("http://141.218.60.56/~jnz1568/getInfo.php?workbook=01_01.xlsx&amp;sheet=A0&amp;row=207&amp;col=24&amp;number=&amp;sourceID=12","")</f>
        <v/>
      </c>
      <c r="Y207" s="4" t="str">
        <f>HYPERLINK("http://141.218.60.56/~jnz1568/getInfo.php?workbook=01_01.xlsx&amp;sheet=A0&amp;row=207&amp;col=25&amp;number=&amp;sourceID=12","")</f>
        <v/>
      </c>
      <c r="Z207" s="4" t="str">
        <f>HYPERLINK("http://141.218.60.56/~jnz1568/getInfo.php?workbook=01_01.xlsx&amp;sheet=A0&amp;row=207&amp;col=26&amp;number=&amp;sourceID=12","")</f>
        <v/>
      </c>
      <c r="AA207" s="4" t="str">
        <f>HYPERLINK("http://141.218.60.56/~jnz1568/getInfo.php?workbook=01_01.xlsx&amp;sheet=A0&amp;row=207&amp;col=27&amp;number=4.557e-12&amp;sourceID=12","4.557e-12")</f>
        <v>4.557e-12</v>
      </c>
      <c r="AB207" s="4" t="str">
        <f>HYPERLINK("http://141.218.60.56/~jnz1568/getInfo.php?workbook=01_01.xlsx&amp;sheet=A0&amp;row=207&amp;col=28&amp;number=&amp;sourceID=18","")</f>
        <v/>
      </c>
      <c r="AC207" s="4" t="str">
        <f>HYPERLINK("http://141.218.60.56/~jnz1568/getInfo.php?workbook=01_01.xlsx&amp;sheet=A0&amp;row=207&amp;col=29&amp;number=&amp;sourceID=18","")</f>
        <v/>
      </c>
      <c r="AD207" s="4" t="str">
        <f>HYPERLINK("http://141.218.60.56/~jnz1568/getInfo.php?workbook=01_01.xlsx&amp;sheet=A0&amp;row=207&amp;col=30&amp;number=&amp;sourceID=18","")</f>
        <v/>
      </c>
      <c r="AE207" s="4" t="str">
        <f>HYPERLINK("http://141.218.60.56/~jnz1568/getInfo.php?workbook=01_01.xlsx&amp;sheet=A0&amp;row=207&amp;col=31&amp;number=&amp;sourceID=18","")</f>
        <v/>
      </c>
      <c r="AF207" s="4" t="str">
        <f>HYPERLINK("http://141.218.60.56/~jnz1568/getInfo.php?workbook=01_01.xlsx&amp;sheet=A0&amp;row=207&amp;col=32&amp;number=&amp;sourceID=18","")</f>
        <v/>
      </c>
      <c r="AG207" s="4" t="str">
        <f>HYPERLINK("http://141.218.60.56/~jnz1568/getInfo.php?workbook=01_01.xlsx&amp;sheet=A0&amp;row=207&amp;col=33&amp;number=&amp;sourceID=18","")</f>
        <v/>
      </c>
      <c r="AH207" s="4" t="str">
        <f>HYPERLINK("http://141.218.60.56/~jnz1568/getInfo.php?workbook=01_01.xlsx&amp;sheet=A0&amp;row=207&amp;col=34&amp;number=&amp;sourceID=20","")</f>
        <v/>
      </c>
    </row>
    <row r="208" spans="1:34">
      <c r="A208" s="3">
        <v>1</v>
      </c>
      <c r="B208" s="3">
        <v>1</v>
      </c>
      <c r="C208" s="3">
        <v>22</v>
      </c>
      <c r="D208" s="3">
        <v>3</v>
      </c>
      <c r="E208" s="3">
        <f>((1/(INDEX(E0!J$4:J$28,C208,1)-INDEX(E0!J$4:J$28,D208,1))))*100000000</f>
        <v>0</v>
      </c>
      <c r="F208" s="4" t="str">
        <f>HYPERLINK("http://141.218.60.56/~jnz1568/getInfo.php?workbook=01_01.xlsx&amp;sheet=A0&amp;row=208&amp;col=6&amp;number=&amp;sourceID=18","")</f>
        <v/>
      </c>
      <c r="G208" s="4" t="str">
        <f>HYPERLINK("http://141.218.60.56/~jnz1568/getInfo.php?workbook=01_01.xlsx&amp;sheet=A0&amp;row=208&amp;col=7&amp;number=&amp;sourceID=15","")</f>
        <v/>
      </c>
      <c r="H208" s="4" t="str">
        <f>HYPERLINK("http://141.218.60.56/~jnz1568/getInfo.php?workbook=01_01.xlsx&amp;sheet=A0&amp;row=208&amp;col=8&amp;number=&amp;sourceID=15","")</f>
        <v/>
      </c>
      <c r="I208" s="4" t="str">
        <f>HYPERLINK("http://141.218.60.56/~jnz1568/getInfo.php?workbook=01_01.xlsx&amp;sheet=A0&amp;row=208&amp;col=9&amp;number=&amp;sourceID=15","")</f>
        <v/>
      </c>
      <c r="J208" s="4" t="str">
        <f>HYPERLINK("http://141.218.60.56/~jnz1568/getInfo.php?workbook=01_01.xlsx&amp;sheet=A0&amp;row=208&amp;col=10&amp;number=&amp;sourceID=15","")</f>
        <v/>
      </c>
      <c r="K208" s="4" t="str">
        <f>HYPERLINK("http://141.218.60.56/~jnz1568/getInfo.php?workbook=01_01.xlsx&amp;sheet=A0&amp;row=208&amp;col=11&amp;number=&amp;sourceID=15","")</f>
        <v/>
      </c>
      <c r="L208" s="4" t="str">
        <f>HYPERLINK("http://141.218.60.56/~jnz1568/getInfo.php?workbook=01_01.xlsx&amp;sheet=A0&amp;row=208&amp;col=12&amp;number=&amp;sourceID=15","")</f>
        <v/>
      </c>
      <c r="M208" s="4" t="str">
        <f>HYPERLINK("http://141.218.60.56/~jnz1568/getInfo.php?workbook=01_01.xlsx&amp;sheet=A0&amp;row=208&amp;col=13&amp;number=&amp;sourceID=15","")</f>
        <v/>
      </c>
      <c r="N208" s="4" t="str">
        <f>HYPERLINK("http://141.218.60.56/~jnz1568/getInfo.php?workbook=01_01.xlsx&amp;sheet=A0&amp;row=208&amp;col=14&amp;number==&amp;sourceID=11","=")</f>
        <v>=</v>
      </c>
      <c r="O208" s="4" t="str">
        <f>HYPERLINK("http://141.218.60.56/~jnz1568/getInfo.php?workbook=01_01.xlsx&amp;sheet=A0&amp;row=208&amp;col=15&amp;number=&amp;sourceID=11","")</f>
        <v/>
      </c>
      <c r="P208" s="4" t="str">
        <f>HYPERLINK("http://141.218.60.56/~jnz1568/getInfo.php?workbook=01_01.xlsx&amp;sheet=A0&amp;row=208&amp;col=16&amp;number=&amp;sourceID=11","")</f>
        <v/>
      </c>
      <c r="Q208" s="4" t="str">
        <f>HYPERLINK("http://141.218.60.56/~jnz1568/getInfo.php?workbook=01_01.xlsx&amp;sheet=A0&amp;row=208&amp;col=17&amp;number=7.0464e-05&amp;sourceID=11","7.0464e-05")</f>
        <v>7.0464e-05</v>
      </c>
      <c r="R208" s="4" t="str">
        <f>HYPERLINK("http://141.218.60.56/~jnz1568/getInfo.php?workbook=01_01.xlsx&amp;sheet=A0&amp;row=208&amp;col=18&amp;number=&amp;sourceID=11","")</f>
        <v/>
      </c>
      <c r="S208" s="4" t="str">
        <f>HYPERLINK("http://141.218.60.56/~jnz1568/getInfo.php?workbook=01_01.xlsx&amp;sheet=A0&amp;row=208&amp;col=19&amp;number=0&amp;sourceID=11","0")</f>
        <v>0</v>
      </c>
      <c r="T208" s="4" t="str">
        <f>HYPERLINK("http://141.218.60.56/~jnz1568/getInfo.php?workbook=01_01.xlsx&amp;sheet=A0&amp;row=208&amp;col=20&amp;number=&amp;sourceID=11","")</f>
        <v/>
      </c>
      <c r="U208" s="4" t="str">
        <f>HYPERLINK("http://141.218.60.56/~jnz1568/getInfo.php?workbook=01_01.xlsx&amp;sheet=A0&amp;row=208&amp;col=21&amp;number=7.0503e-05&amp;sourceID=12","7.0503e-05")</f>
        <v>7.0503e-05</v>
      </c>
      <c r="V208" s="4" t="str">
        <f>HYPERLINK("http://141.218.60.56/~jnz1568/getInfo.php?workbook=01_01.xlsx&amp;sheet=A0&amp;row=208&amp;col=22&amp;number=&amp;sourceID=12","")</f>
        <v/>
      </c>
      <c r="W208" s="4" t="str">
        <f>HYPERLINK("http://141.218.60.56/~jnz1568/getInfo.php?workbook=01_01.xlsx&amp;sheet=A0&amp;row=208&amp;col=23&amp;number=&amp;sourceID=12","")</f>
        <v/>
      </c>
      <c r="X208" s="4" t="str">
        <f>HYPERLINK("http://141.218.60.56/~jnz1568/getInfo.php?workbook=01_01.xlsx&amp;sheet=A0&amp;row=208&amp;col=24&amp;number=7.0503e-05&amp;sourceID=12","7.0503e-05")</f>
        <v>7.0503e-05</v>
      </c>
      <c r="Y208" s="4" t="str">
        <f>HYPERLINK("http://141.218.60.56/~jnz1568/getInfo.php?workbook=01_01.xlsx&amp;sheet=A0&amp;row=208&amp;col=25&amp;number=&amp;sourceID=12","")</f>
        <v/>
      </c>
      <c r="Z208" s="4" t="str">
        <f>HYPERLINK("http://141.218.60.56/~jnz1568/getInfo.php?workbook=01_01.xlsx&amp;sheet=A0&amp;row=208&amp;col=26&amp;number=0&amp;sourceID=12","0")</f>
        <v>0</v>
      </c>
      <c r="AA208" s="4" t="str">
        <f>HYPERLINK("http://141.218.60.56/~jnz1568/getInfo.php?workbook=01_01.xlsx&amp;sheet=A0&amp;row=208&amp;col=27&amp;number=&amp;sourceID=12","")</f>
        <v/>
      </c>
      <c r="AB208" s="4" t="str">
        <f>HYPERLINK("http://141.218.60.56/~jnz1568/getInfo.php?workbook=01_01.xlsx&amp;sheet=A0&amp;row=208&amp;col=28&amp;number=&amp;sourceID=18","")</f>
        <v/>
      </c>
      <c r="AC208" s="4" t="str">
        <f>HYPERLINK("http://141.218.60.56/~jnz1568/getInfo.php?workbook=01_01.xlsx&amp;sheet=A0&amp;row=208&amp;col=29&amp;number=&amp;sourceID=18","")</f>
        <v/>
      </c>
      <c r="AD208" s="4" t="str">
        <f>HYPERLINK("http://141.218.60.56/~jnz1568/getInfo.php?workbook=01_01.xlsx&amp;sheet=A0&amp;row=208&amp;col=30&amp;number=&amp;sourceID=18","")</f>
        <v/>
      </c>
      <c r="AE208" s="4" t="str">
        <f>HYPERLINK("http://141.218.60.56/~jnz1568/getInfo.php?workbook=01_01.xlsx&amp;sheet=A0&amp;row=208&amp;col=31&amp;number=&amp;sourceID=18","")</f>
        <v/>
      </c>
      <c r="AF208" s="4" t="str">
        <f>HYPERLINK("http://141.218.60.56/~jnz1568/getInfo.php?workbook=01_01.xlsx&amp;sheet=A0&amp;row=208&amp;col=32&amp;number=&amp;sourceID=18","")</f>
        <v/>
      </c>
      <c r="AG208" s="4" t="str">
        <f>HYPERLINK("http://141.218.60.56/~jnz1568/getInfo.php?workbook=01_01.xlsx&amp;sheet=A0&amp;row=208&amp;col=33&amp;number=&amp;sourceID=18","")</f>
        <v/>
      </c>
      <c r="AH208" s="4" t="str">
        <f>HYPERLINK("http://141.218.60.56/~jnz1568/getInfo.php?workbook=01_01.xlsx&amp;sheet=A0&amp;row=208&amp;col=34&amp;number=&amp;sourceID=20","")</f>
        <v/>
      </c>
    </row>
    <row r="209" spans="1:34">
      <c r="A209" s="3">
        <v>1</v>
      </c>
      <c r="B209" s="3">
        <v>1</v>
      </c>
      <c r="C209" s="3">
        <v>22</v>
      </c>
      <c r="D209" s="3">
        <v>4</v>
      </c>
      <c r="E209" s="3">
        <f>((1/(INDEX(E0!J$4:J$28,C209,1)-INDEX(E0!J$4:J$28,D209,1))))*100000000</f>
        <v>0</v>
      </c>
      <c r="F209" s="4" t="str">
        <f>HYPERLINK("http://141.218.60.56/~jnz1568/getInfo.php?workbook=01_01.xlsx&amp;sheet=A0&amp;row=209&amp;col=6&amp;number=&amp;sourceID=18","")</f>
        <v/>
      </c>
      <c r="G209" s="4" t="str">
        <f>HYPERLINK("http://141.218.60.56/~jnz1568/getInfo.php?workbook=01_01.xlsx&amp;sheet=A0&amp;row=209&amp;col=7&amp;number=&amp;sourceID=15","")</f>
        <v/>
      </c>
      <c r="H209" s="4" t="str">
        <f>HYPERLINK("http://141.218.60.56/~jnz1568/getInfo.php?workbook=01_01.xlsx&amp;sheet=A0&amp;row=209&amp;col=8&amp;number=&amp;sourceID=15","")</f>
        <v/>
      </c>
      <c r="I209" s="4" t="str">
        <f>HYPERLINK("http://141.218.60.56/~jnz1568/getInfo.php?workbook=01_01.xlsx&amp;sheet=A0&amp;row=209&amp;col=9&amp;number=&amp;sourceID=15","")</f>
        <v/>
      </c>
      <c r="J209" s="4" t="str">
        <f>HYPERLINK("http://141.218.60.56/~jnz1568/getInfo.php?workbook=01_01.xlsx&amp;sheet=A0&amp;row=209&amp;col=10&amp;number=&amp;sourceID=15","")</f>
        <v/>
      </c>
      <c r="K209" s="4" t="str">
        <f>HYPERLINK("http://141.218.60.56/~jnz1568/getInfo.php?workbook=01_01.xlsx&amp;sheet=A0&amp;row=209&amp;col=11&amp;number=&amp;sourceID=15","")</f>
        <v/>
      </c>
      <c r="L209" s="4" t="str">
        <f>HYPERLINK("http://141.218.60.56/~jnz1568/getInfo.php?workbook=01_01.xlsx&amp;sheet=A0&amp;row=209&amp;col=12&amp;number=&amp;sourceID=15","")</f>
        <v/>
      </c>
      <c r="M209" s="4" t="str">
        <f>HYPERLINK("http://141.218.60.56/~jnz1568/getInfo.php?workbook=01_01.xlsx&amp;sheet=A0&amp;row=209&amp;col=13&amp;number=&amp;sourceID=15","")</f>
        <v/>
      </c>
      <c r="N209" s="4" t="str">
        <f>HYPERLINK("http://141.218.60.56/~jnz1568/getInfo.php?workbook=01_01.xlsx&amp;sheet=A0&amp;row=209&amp;col=14&amp;number==&amp;sourceID=11","=")</f>
        <v>=</v>
      </c>
      <c r="O209" s="4" t="str">
        <f>HYPERLINK("http://141.218.60.56/~jnz1568/getInfo.php?workbook=01_01.xlsx&amp;sheet=A0&amp;row=209&amp;col=15&amp;number=&amp;sourceID=11","")</f>
        <v/>
      </c>
      <c r="P209" s="4" t="str">
        <f>HYPERLINK("http://141.218.60.56/~jnz1568/getInfo.php?workbook=01_01.xlsx&amp;sheet=A0&amp;row=209&amp;col=16&amp;number=9.1778&amp;sourceID=11","9.1778")</f>
        <v>9.1778</v>
      </c>
      <c r="Q209" s="4" t="str">
        <f>HYPERLINK("http://141.218.60.56/~jnz1568/getInfo.php?workbook=01_01.xlsx&amp;sheet=A0&amp;row=209&amp;col=17&amp;number=&amp;sourceID=11","")</f>
        <v/>
      </c>
      <c r="R209" s="4" t="str">
        <f>HYPERLINK("http://141.218.60.56/~jnz1568/getInfo.php?workbook=01_01.xlsx&amp;sheet=A0&amp;row=209&amp;col=18&amp;number=3.8489e-11&amp;sourceID=11","3.8489e-11")</f>
        <v>3.8489e-11</v>
      </c>
      <c r="S209" s="4" t="str">
        <f>HYPERLINK("http://141.218.60.56/~jnz1568/getInfo.php?workbook=01_01.xlsx&amp;sheet=A0&amp;row=209&amp;col=19&amp;number=&amp;sourceID=11","")</f>
        <v/>
      </c>
      <c r="T209" s="4" t="str">
        <f>HYPERLINK("http://141.218.60.56/~jnz1568/getInfo.php?workbook=01_01.xlsx&amp;sheet=A0&amp;row=209&amp;col=20&amp;number=9.11e-13&amp;sourceID=11","9.11e-13")</f>
        <v>9.11e-13</v>
      </c>
      <c r="U209" s="4" t="str">
        <f>HYPERLINK("http://141.218.60.56/~jnz1568/getInfo.php?workbook=01_01.xlsx&amp;sheet=A0&amp;row=209&amp;col=21&amp;number=9.1828&amp;sourceID=12","9.1828")</f>
        <v>9.1828</v>
      </c>
      <c r="V209" s="4" t="str">
        <f>HYPERLINK("http://141.218.60.56/~jnz1568/getInfo.php?workbook=01_01.xlsx&amp;sheet=A0&amp;row=209&amp;col=22&amp;number=&amp;sourceID=12","")</f>
        <v/>
      </c>
      <c r="W209" s="4" t="str">
        <f>HYPERLINK("http://141.218.60.56/~jnz1568/getInfo.php?workbook=01_01.xlsx&amp;sheet=A0&amp;row=209&amp;col=23&amp;number=9.1828&amp;sourceID=12","9.1828")</f>
        <v>9.1828</v>
      </c>
      <c r="X209" s="4" t="str">
        <f>HYPERLINK("http://141.218.60.56/~jnz1568/getInfo.php?workbook=01_01.xlsx&amp;sheet=A0&amp;row=209&amp;col=24&amp;number=&amp;sourceID=12","")</f>
        <v/>
      </c>
      <c r="Y209" s="4" t="str">
        <f>HYPERLINK("http://141.218.60.56/~jnz1568/getInfo.php?workbook=01_01.xlsx&amp;sheet=A0&amp;row=209&amp;col=25&amp;number=4.0336e-11&amp;sourceID=12","4.0336e-11")</f>
        <v>4.0336e-11</v>
      </c>
      <c r="Z209" s="4" t="str">
        <f>HYPERLINK("http://141.218.60.56/~jnz1568/getInfo.php?workbook=01_01.xlsx&amp;sheet=A0&amp;row=209&amp;col=26&amp;number=&amp;sourceID=12","")</f>
        <v/>
      </c>
      <c r="AA209" s="4" t="str">
        <f>HYPERLINK("http://141.218.60.56/~jnz1568/getInfo.php?workbook=01_01.xlsx&amp;sheet=A0&amp;row=209&amp;col=27&amp;number=9.11e-13&amp;sourceID=12","9.11e-13")</f>
        <v>9.11e-13</v>
      </c>
      <c r="AB209" s="4" t="str">
        <f>HYPERLINK("http://141.218.60.56/~jnz1568/getInfo.php?workbook=01_01.xlsx&amp;sheet=A0&amp;row=209&amp;col=28&amp;number=&amp;sourceID=18","")</f>
        <v/>
      </c>
      <c r="AC209" s="4" t="str">
        <f>HYPERLINK("http://141.218.60.56/~jnz1568/getInfo.php?workbook=01_01.xlsx&amp;sheet=A0&amp;row=209&amp;col=29&amp;number=&amp;sourceID=18","")</f>
        <v/>
      </c>
      <c r="AD209" s="4" t="str">
        <f>HYPERLINK("http://141.218.60.56/~jnz1568/getInfo.php?workbook=01_01.xlsx&amp;sheet=A0&amp;row=209&amp;col=30&amp;number=&amp;sourceID=18","")</f>
        <v/>
      </c>
      <c r="AE209" s="4" t="str">
        <f>HYPERLINK("http://141.218.60.56/~jnz1568/getInfo.php?workbook=01_01.xlsx&amp;sheet=A0&amp;row=209&amp;col=31&amp;number=&amp;sourceID=18","")</f>
        <v/>
      </c>
      <c r="AF209" s="4" t="str">
        <f>HYPERLINK("http://141.218.60.56/~jnz1568/getInfo.php?workbook=01_01.xlsx&amp;sheet=A0&amp;row=209&amp;col=32&amp;number=&amp;sourceID=18","")</f>
        <v/>
      </c>
      <c r="AG209" s="4" t="str">
        <f>HYPERLINK("http://141.218.60.56/~jnz1568/getInfo.php?workbook=01_01.xlsx&amp;sheet=A0&amp;row=209&amp;col=33&amp;number=&amp;sourceID=18","")</f>
        <v/>
      </c>
      <c r="AH209" s="4" t="str">
        <f>HYPERLINK("http://141.218.60.56/~jnz1568/getInfo.php?workbook=01_01.xlsx&amp;sheet=A0&amp;row=209&amp;col=34&amp;number=&amp;sourceID=20","")</f>
        <v/>
      </c>
    </row>
    <row r="210" spans="1:34">
      <c r="A210" s="3">
        <v>1</v>
      </c>
      <c r="B210" s="3">
        <v>1</v>
      </c>
      <c r="C210" s="3">
        <v>22</v>
      </c>
      <c r="D210" s="3">
        <v>5</v>
      </c>
      <c r="E210" s="3">
        <f>((1/(INDEX(E0!J$4:J$28,C210,1)-INDEX(E0!J$4:J$28,D210,1))))*100000000</f>
        <v>0</v>
      </c>
      <c r="F210" s="4" t="str">
        <f>HYPERLINK("http://141.218.60.56/~jnz1568/getInfo.php?workbook=01_01.xlsx&amp;sheet=A0&amp;row=210&amp;col=6&amp;number=&amp;sourceID=18","")</f>
        <v/>
      </c>
      <c r="G210" s="4" t="str">
        <f>HYPERLINK("http://141.218.60.56/~jnz1568/getInfo.php?workbook=01_01.xlsx&amp;sheet=A0&amp;row=210&amp;col=7&amp;number=&amp;sourceID=15","")</f>
        <v/>
      </c>
      <c r="H210" s="4" t="str">
        <f>HYPERLINK("http://141.218.60.56/~jnz1568/getInfo.php?workbook=01_01.xlsx&amp;sheet=A0&amp;row=210&amp;col=8&amp;number=&amp;sourceID=15","")</f>
        <v/>
      </c>
      <c r="I210" s="4" t="str">
        <f>HYPERLINK("http://141.218.60.56/~jnz1568/getInfo.php?workbook=01_01.xlsx&amp;sheet=A0&amp;row=210&amp;col=9&amp;number=&amp;sourceID=15","")</f>
        <v/>
      </c>
      <c r="J210" s="4" t="str">
        <f>HYPERLINK("http://141.218.60.56/~jnz1568/getInfo.php?workbook=01_01.xlsx&amp;sheet=A0&amp;row=210&amp;col=10&amp;number=&amp;sourceID=15","")</f>
        <v/>
      </c>
      <c r="K210" s="4" t="str">
        <f>HYPERLINK("http://141.218.60.56/~jnz1568/getInfo.php?workbook=01_01.xlsx&amp;sheet=A0&amp;row=210&amp;col=11&amp;number=&amp;sourceID=15","")</f>
        <v/>
      </c>
      <c r="L210" s="4" t="str">
        <f>HYPERLINK("http://141.218.60.56/~jnz1568/getInfo.php?workbook=01_01.xlsx&amp;sheet=A0&amp;row=210&amp;col=12&amp;number=&amp;sourceID=15","")</f>
        <v/>
      </c>
      <c r="M210" s="4" t="str">
        <f>HYPERLINK("http://141.218.60.56/~jnz1568/getInfo.php?workbook=01_01.xlsx&amp;sheet=A0&amp;row=210&amp;col=13&amp;number=&amp;sourceID=15","")</f>
        <v/>
      </c>
      <c r="N210" s="4" t="str">
        <f>HYPERLINK("http://141.218.60.56/~jnz1568/getInfo.php?workbook=01_01.xlsx&amp;sheet=A0&amp;row=210&amp;col=14&amp;number==&amp;sourceID=11","=")</f>
        <v>=</v>
      </c>
      <c r="O210" s="4" t="str">
        <f>HYPERLINK("http://141.218.60.56/~jnz1568/getInfo.php?workbook=01_01.xlsx&amp;sheet=A0&amp;row=210&amp;col=15&amp;number=&amp;sourceID=11","")</f>
        <v/>
      </c>
      <c r="P210" s="4" t="str">
        <f>HYPERLINK("http://141.218.60.56/~jnz1568/getInfo.php?workbook=01_01.xlsx&amp;sheet=A0&amp;row=210&amp;col=16&amp;number=0.020089&amp;sourceID=11","0.020089")</f>
        <v>0.020089</v>
      </c>
      <c r="Q210" s="4" t="str">
        <f>HYPERLINK("http://141.218.60.56/~jnz1568/getInfo.php?workbook=01_01.xlsx&amp;sheet=A0&amp;row=210&amp;col=17&amp;number=&amp;sourceID=11","")</f>
        <v/>
      </c>
      <c r="R210" s="4" t="str">
        <f>HYPERLINK("http://141.218.60.56/~jnz1568/getInfo.php?workbook=01_01.xlsx&amp;sheet=A0&amp;row=210&amp;col=18&amp;number=&amp;sourceID=11","")</f>
        <v/>
      </c>
      <c r="S210" s="4" t="str">
        <f>HYPERLINK("http://141.218.60.56/~jnz1568/getInfo.php?workbook=01_01.xlsx&amp;sheet=A0&amp;row=210&amp;col=19&amp;number=&amp;sourceID=11","")</f>
        <v/>
      </c>
      <c r="T210" s="4" t="str">
        <f>HYPERLINK("http://141.218.60.56/~jnz1568/getInfo.php?workbook=01_01.xlsx&amp;sheet=A0&amp;row=210&amp;col=20&amp;number=0&amp;sourceID=11","0")</f>
        <v>0</v>
      </c>
      <c r="U210" s="4" t="str">
        <f>HYPERLINK("http://141.218.60.56/~jnz1568/getInfo.php?workbook=01_01.xlsx&amp;sheet=A0&amp;row=210&amp;col=21&amp;number=0.0201&amp;sourceID=12","0.0201")</f>
        <v>0.0201</v>
      </c>
      <c r="V210" s="4" t="str">
        <f>HYPERLINK("http://141.218.60.56/~jnz1568/getInfo.php?workbook=01_01.xlsx&amp;sheet=A0&amp;row=210&amp;col=22&amp;number=&amp;sourceID=12","")</f>
        <v/>
      </c>
      <c r="W210" s="4" t="str">
        <f>HYPERLINK("http://141.218.60.56/~jnz1568/getInfo.php?workbook=01_01.xlsx&amp;sheet=A0&amp;row=210&amp;col=23&amp;number=0.0201&amp;sourceID=12","0.0201")</f>
        <v>0.0201</v>
      </c>
      <c r="X210" s="4" t="str">
        <f>HYPERLINK("http://141.218.60.56/~jnz1568/getInfo.php?workbook=01_01.xlsx&amp;sheet=A0&amp;row=210&amp;col=24&amp;number=&amp;sourceID=12","")</f>
        <v/>
      </c>
      <c r="Y210" s="4" t="str">
        <f>HYPERLINK("http://141.218.60.56/~jnz1568/getInfo.php?workbook=01_01.xlsx&amp;sheet=A0&amp;row=210&amp;col=25&amp;number=&amp;sourceID=12","")</f>
        <v/>
      </c>
      <c r="Z210" s="4" t="str">
        <f>HYPERLINK("http://141.218.60.56/~jnz1568/getInfo.php?workbook=01_01.xlsx&amp;sheet=A0&amp;row=210&amp;col=26&amp;number=&amp;sourceID=12","")</f>
        <v/>
      </c>
      <c r="AA210" s="4" t="str">
        <f>HYPERLINK("http://141.218.60.56/~jnz1568/getInfo.php?workbook=01_01.xlsx&amp;sheet=A0&amp;row=210&amp;col=27&amp;number=0&amp;sourceID=12","0")</f>
        <v>0</v>
      </c>
      <c r="AB210" s="4" t="str">
        <f>HYPERLINK("http://141.218.60.56/~jnz1568/getInfo.php?workbook=01_01.xlsx&amp;sheet=A0&amp;row=210&amp;col=28&amp;number=&amp;sourceID=18","")</f>
        <v/>
      </c>
      <c r="AC210" s="4" t="str">
        <f>HYPERLINK("http://141.218.60.56/~jnz1568/getInfo.php?workbook=01_01.xlsx&amp;sheet=A0&amp;row=210&amp;col=29&amp;number=&amp;sourceID=18","")</f>
        <v/>
      </c>
      <c r="AD210" s="4" t="str">
        <f>HYPERLINK("http://141.218.60.56/~jnz1568/getInfo.php?workbook=01_01.xlsx&amp;sheet=A0&amp;row=210&amp;col=30&amp;number=&amp;sourceID=18","")</f>
        <v/>
      </c>
      <c r="AE210" s="4" t="str">
        <f>HYPERLINK("http://141.218.60.56/~jnz1568/getInfo.php?workbook=01_01.xlsx&amp;sheet=A0&amp;row=210&amp;col=31&amp;number=&amp;sourceID=18","")</f>
        <v/>
      </c>
      <c r="AF210" s="4" t="str">
        <f>HYPERLINK("http://141.218.60.56/~jnz1568/getInfo.php?workbook=01_01.xlsx&amp;sheet=A0&amp;row=210&amp;col=32&amp;number=&amp;sourceID=18","")</f>
        <v/>
      </c>
      <c r="AG210" s="4" t="str">
        <f>HYPERLINK("http://141.218.60.56/~jnz1568/getInfo.php?workbook=01_01.xlsx&amp;sheet=A0&amp;row=210&amp;col=33&amp;number=&amp;sourceID=18","")</f>
        <v/>
      </c>
      <c r="AH210" s="4" t="str">
        <f>HYPERLINK("http://141.218.60.56/~jnz1568/getInfo.php?workbook=01_01.xlsx&amp;sheet=A0&amp;row=210&amp;col=34&amp;number=&amp;sourceID=20","")</f>
        <v/>
      </c>
    </row>
    <row r="211" spans="1:34">
      <c r="A211" s="3">
        <v>1</v>
      </c>
      <c r="B211" s="3">
        <v>1</v>
      </c>
      <c r="C211" s="3">
        <v>22</v>
      </c>
      <c r="D211" s="3">
        <v>6</v>
      </c>
      <c r="E211" s="3">
        <f>((1/(INDEX(E0!J$4:J$28,C211,1)-INDEX(E0!J$4:J$28,D211,1))))*100000000</f>
        <v>0</v>
      </c>
      <c r="F211" s="4" t="str">
        <f>HYPERLINK("http://141.218.60.56/~jnz1568/getInfo.php?workbook=01_01.xlsx&amp;sheet=A0&amp;row=211&amp;col=6&amp;number=&amp;sourceID=18","")</f>
        <v/>
      </c>
      <c r="G211" s="4" t="str">
        <f>HYPERLINK("http://141.218.60.56/~jnz1568/getInfo.php?workbook=01_01.xlsx&amp;sheet=A0&amp;row=211&amp;col=7&amp;number=&amp;sourceID=15","")</f>
        <v/>
      </c>
      <c r="H211" s="4" t="str">
        <f>HYPERLINK("http://141.218.60.56/~jnz1568/getInfo.php?workbook=01_01.xlsx&amp;sheet=A0&amp;row=211&amp;col=8&amp;number=&amp;sourceID=15","")</f>
        <v/>
      </c>
      <c r="I211" s="4" t="str">
        <f>HYPERLINK("http://141.218.60.56/~jnz1568/getInfo.php?workbook=01_01.xlsx&amp;sheet=A0&amp;row=211&amp;col=9&amp;number=&amp;sourceID=15","")</f>
        <v/>
      </c>
      <c r="J211" s="4" t="str">
        <f>HYPERLINK("http://141.218.60.56/~jnz1568/getInfo.php?workbook=01_01.xlsx&amp;sheet=A0&amp;row=211&amp;col=10&amp;number=&amp;sourceID=15","")</f>
        <v/>
      </c>
      <c r="K211" s="4" t="str">
        <f>HYPERLINK("http://141.218.60.56/~jnz1568/getInfo.php?workbook=01_01.xlsx&amp;sheet=A0&amp;row=211&amp;col=11&amp;number=&amp;sourceID=15","")</f>
        <v/>
      </c>
      <c r="L211" s="4" t="str">
        <f>HYPERLINK("http://141.218.60.56/~jnz1568/getInfo.php?workbook=01_01.xlsx&amp;sheet=A0&amp;row=211&amp;col=12&amp;number=&amp;sourceID=15","")</f>
        <v/>
      </c>
      <c r="M211" s="4" t="str">
        <f>HYPERLINK("http://141.218.60.56/~jnz1568/getInfo.php?workbook=01_01.xlsx&amp;sheet=A0&amp;row=211&amp;col=13&amp;number=&amp;sourceID=15","")</f>
        <v/>
      </c>
      <c r="N211" s="4" t="str">
        <f>HYPERLINK("http://141.218.60.56/~jnz1568/getInfo.php?workbook=01_01.xlsx&amp;sheet=A0&amp;row=211&amp;col=14&amp;number==&amp;sourceID=11","=")</f>
        <v>=</v>
      </c>
      <c r="O211" s="4" t="str">
        <f>HYPERLINK("http://141.218.60.56/~jnz1568/getInfo.php?workbook=01_01.xlsx&amp;sheet=A0&amp;row=211&amp;col=15&amp;number=&amp;sourceID=11","")</f>
        <v/>
      </c>
      <c r="P211" s="4" t="str">
        <f>HYPERLINK("http://141.218.60.56/~jnz1568/getInfo.php?workbook=01_01.xlsx&amp;sheet=A0&amp;row=211&amp;col=16&amp;number=&amp;sourceID=11","")</f>
        <v/>
      </c>
      <c r="Q211" s="4" t="str">
        <f>HYPERLINK("http://141.218.60.56/~jnz1568/getInfo.php?workbook=01_01.xlsx&amp;sheet=A0&amp;row=211&amp;col=17&amp;number=1.0644e-06&amp;sourceID=11","1.0644e-06")</f>
        <v>1.0644e-06</v>
      </c>
      <c r="R211" s="4" t="str">
        <f>HYPERLINK("http://141.218.60.56/~jnz1568/getInfo.php?workbook=01_01.xlsx&amp;sheet=A0&amp;row=211&amp;col=18&amp;number=&amp;sourceID=11","")</f>
        <v/>
      </c>
      <c r="S211" s="4" t="str">
        <f>HYPERLINK("http://141.218.60.56/~jnz1568/getInfo.php?workbook=01_01.xlsx&amp;sheet=A0&amp;row=211&amp;col=19&amp;number=0&amp;sourceID=11","0")</f>
        <v>0</v>
      </c>
      <c r="T211" s="4" t="str">
        <f>HYPERLINK("http://141.218.60.56/~jnz1568/getInfo.php?workbook=01_01.xlsx&amp;sheet=A0&amp;row=211&amp;col=20&amp;number=&amp;sourceID=11","")</f>
        <v/>
      </c>
      <c r="U211" s="4" t="str">
        <f>HYPERLINK("http://141.218.60.56/~jnz1568/getInfo.php?workbook=01_01.xlsx&amp;sheet=A0&amp;row=211&amp;col=21&amp;number=1.065e-06&amp;sourceID=12","1.065e-06")</f>
        <v>1.065e-06</v>
      </c>
      <c r="V211" s="4" t="str">
        <f>HYPERLINK("http://141.218.60.56/~jnz1568/getInfo.php?workbook=01_01.xlsx&amp;sheet=A0&amp;row=211&amp;col=22&amp;number=&amp;sourceID=12","")</f>
        <v/>
      </c>
      <c r="W211" s="4" t="str">
        <f>HYPERLINK("http://141.218.60.56/~jnz1568/getInfo.php?workbook=01_01.xlsx&amp;sheet=A0&amp;row=211&amp;col=23&amp;number=&amp;sourceID=12","")</f>
        <v/>
      </c>
      <c r="X211" s="4" t="str">
        <f>HYPERLINK("http://141.218.60.56/~jnz1568/getInfo.php?workbook=01_01.xlsx&amp;sheet=A0&amp;row=211&amp;col=24&amp;number=1.065e-06&amp;sourceID=12","1.065e-06")</f>
        <v>1.065e-06</v>
      </c>
      <c r="Y211" s="4" t="str">
        <f>HYPERLINK("http://141.218.60.56/~jnz1568/getInfo.php?workbook=01_01.xlsx&amp;sheet=A0&amp;row=211&amp;col=25&amp;number=&amp;sourceID=12","")</f>
        <v/>
      </c>
      <c r="Z211" s="4" t="str">
        <f>HYPERLINK("http://141.218.60.56/~jnz1568/getInfo.php?workbook=01_01.xlsx&amp;sheet=A0&amp;row=211&amp;col=26&amp;number=0&amp;sourceID=12","0")</f>
        <v>0</v>
      </c>
      <c r="AA211" s="4" t="str">
        <f>HYPERLINK("http://141.218.60.56/~jnz1568/getInfo.php?workbook=01_01.xlsx&amp;sheet=A0&amp;row=211&amp;col=27&amp;number=&amp;sourceID=12","")</f>
        <v/>
      </c>
      <c r="AB211" s="4" t="str">
        <f>HYPERLINK("http://141.218.60.56/~jnz1568/getInfo.php?workbook=01_01.xlsx&amp;sheet=A0&amp;row=211&amp;col=28&amp;number=&amp;sourceID=18","")</f>
        <v/>
      </c>
      <c r="AC211" s="4" t="str">
        <f>HYPERLINK("http://141.218.60.56/~jnz1568/getInfo.php?workbook=01_01.xlsx&amp;sheet=A0&amp;row=211&amp;col=29&amp;number=&amp;sourceID=18","")</f>
        <v/>
      </c>
      <c r="AD211" s="4" t="str">
        <f>HYPERLINK("http://141.218.60.56/~jnz1568/getInfo.php?workbook=01_01.xlsx&amp;sheet=A0&amp;row=211&amp;col=30&amp;number=&amp;sourceID=18","")</f>
        <v/>
      </c>
      <c r="AE211" s="4" t="str">
        <f>HYPERLINK("http://141.218.60.56/~jnz1568/getInfo.php?workbook=01_01.xlsx&amp;sheet=A0&amp;row=211&amp;col=31&amp;number=&amp;sourceID=18","")</f>
        <v/>
      </c>
      <c r="AF211" s="4" t="str">
        <f>HYPERLINK("http://141.218.60.56/~jnz1568/getInfo.php?workbook=01_01.xlsx&amp;sheet=A0&amp;row=211&amp;col=32&amp;number=&amp;sourceID=18","")</f>
        <v/>
      </c>
      <c r="AG211" s="4" t="str">
        <f>HYPERLINK("http://141.218.60.56/~jnz1568/getInfo.php?workbook=01_01.xlsx&amp;sheet=A0&amp;row=211&amp;col=33&amp;number=&amp;sourceID=18","")</f>
        <v/>
      </c>
      <c r="AH211" s="4" t="str">
        <f>HYPERLINK("http://141.218.60.56/~jnz1568/getInfo.php?workbook=01_01.xlsx&amp;sheet=A0&amp;row=211&amp;col=34&amp;number=&amp;sourceID=20","")</f>
        <v/>
      </c>
    </row>
    <row r="212" spans="1:34">
      <c r="A212" s="3">
        <v>1</v>
      </c>
      <c r="B212" s="3">
        <v>1</v>
      </c>
      <c r="C212" s="3">
        <v>22</v>
      </c>
      <c r="D212" s="3">
        <v>7</v>
      </c>
      <c r="E212" s="3">
        <f>((1/(INDEX(E0!J$4:J$28,C212,1)-INDEX(E0!J$4:J$28,D212,1))))*100000000</f>
        <v>0</v>
      </c>
      <c r="F212" s="4" t="str">
        <f>HYPERLINK("http://141.218.60.56/~jnz1568/getInfo.php?workbook=01_01.xlsx&amp;sheet=A0&amp;row=212&amp;col=6&amp;number=&amp;sourceID=18","")</f>
        <v/>
      </c>
      <c r="G212" s="4" t="str">
        <f>HYPERLINK("http://141.218.60.56/~jnz1568/getInfo.php?workbook=01_01.xlsx&amp;sheet=A0&amp;row=212&amp;col=7&amp;number=4239400&amp;sourceID=15","4239400")</f>
        <v>4239400</v>
      </c>
      <c r="H212" s="4" t="str">
        <f>HYPERLINK("http://141.218.60.56/~jnz1568/getInfo.php?workbook=01_01.xlsx&amp;sheet=A0&amp;row=212&amp;col=8&amp;number=4239400&amp;sourceID=15","4239400")</f>
        <v>4239400</v>
      </c>
      <c r="I212" s="4" t="str">
        <f>HYPERLINK("http://141.218.60.56/~jnz1568/getInfo.php?workbook=01_01.xlsx&amp;sheet=A0&amp;row=212&amp;col=9&amp;number=&amp;sourceID=15","")</f>
        <v/>
      </c>
      <c r="J212" s="4" t="str">
        <f>HYPERLINK("http://141.218.60.56/~jnz1568/getInfo.php?workbook=01_01.xlsx&amp;sheet=A0&amp;row=212&amp;col=10&amp;number=&amp;sourceID=15","")</f>
        <v/>
      </c>
      <c r="K212" s="4" t="str">
        <f>HYPERLINK("http://141.218.60.56/~jnz1568/getInfo.php?workbook=01_01.xlsx&amp;sheet=A0&amp;row=212&amp;col=11&amp;number=&amp;sourceID=15","")</f>
        <v/>
      </c>
      <c r="L212" s="4" t="str">
        <f>HYPERLINK("http://141.218.60.56/~jnz1568/getInfo.php?workbook=01_01.xlsx&amp;sheet=A0&amp;row=212&amp;col=12&amp;number=&amp;sourceID=15","")</f>
        <v/>
      </c>
      <c r="M212" s="4" t="str">
        <f>HYPERLINK("http://141.218.60.56/~jnz1568/getInfo.php?workbook=01_01.xlsx&amp;sheet=A0&amp;row=212&amp;col=13&amp;number=&amp;sourceID=15","")</f>
        <v/>
      </c>
      <c r="N212" s="4" t="str">
        <f>HYPERLINK("http://141.218.60.56/~jnz1568/getInfo.php?workbook=01_01.xlsx&amp;sheet=A0&amp;row=212&amp;col=14&amp;number==&amp;sourceID=11","=")</f>
        <v>=</v>
      </c>
      <c r="O212" s="4" t="str">
        <f>HYPERLINK("http://141.218.60.56/~jnz1568/getInfo.php?workbook=01_01.xlsx&amp;sheet=A0&amp;row=212&amp;col=15&amp;number=4239400&amp;sourceID=11","4239400")</f>
        <v>4239400</v>
      </c>
      <c r="P212" s="4" t="str">
        <f>HYPERLINK("http://141.218.60.56/~jnz1568/getInfo.php?workbook=01_01.xlsx&amp;sheet=A0&amp;row=212&amp;col=16&amp;number=&amp;sourceID=11","")</f>
        <v/>
      </c>
      <c r="Q212" s="4" t="str">
        <f>HYPERLINK("http://141.218.60.56/~jnz1568/getInfo.php?workbook=01_01.xlsx&amp;sheet=A0&amp;row=212&amp;col=17&amp;number=2.7913e-08&amp;sourceID=11","2.7913e-08")</f>
        <v>2.7913e-08</v>
      </c>
      <c r="R212" s="4" t="str">
        <f>HYPERLINK("http://141.218.60.56/~jnz1568/getInfo.php?workbook=01_01.xlsx&amp;sheet=A0&amp;row=212&amp;col=18&amp;number=&amp;sourceID=11","")</f>
        <v/>
      </c>
      <c r="S212" s="4" t="str">
        <f>HYPERLINK("http://141.218.60.56/~jnz1568/getInfo.php?workbook=01_01.xlsx&amp;sheet=A0&amp;row=212&amp;col=19&amp;number=6.7847e-07&amp;sourceID=11","6.7847e-07")</f>
        <v>6.7847e-07</v>
      </c>
      <c r="T212" s="4" t="str">
        <f>HYPERLINK("http://141.218.60.56/~jnz1568/getInfo.php?workbook=01_01.xlsx&amp;sheet=A0&amp;row=212&amp;col=20&amp;number=&amp;sourceID=11","")</f>
        <v/>
      </c>
      <c r="U212" s="4" t="str">
        <f>HYPERLINK("http://141.218.60.56/~jnz1568/getInfo.php?workbook=01_01.xlsx&amp;sheet=A0&amp;row=212&amp;col=21&amp;number=4241700&amp;sourceID=12","4241700")</f>
        <v>4241700</v>
      </c>
      <c r="V212" s="4" t="str">
        <f>HYPERLINK("http://141.218.60.56/~jnz1568/getInfo.php?workbook=01_01.xlsx&amp;sheet=A0&amp;row=212&amp;col=22&amp;number=4241700&amp;sourceID=12","4241700")</f>
        <v>4241700</v>
      </c>
      <c r="W212" s="4" t="str">
        <f>HYPERLINK("http://141.218.60.56/~jnz1568/getInfo.php?workbook=01_01.xlsx&amp;sheet=A0&amp;row=212&amp;col=23&amp;number=&amp;sourceID=12","")</f>
        <v/>
      </c>
      <c r="X212" s="4" t="str">
        <f>HYPERLINK("http://141.218.60.56/~jnz1568/getInfo.php?workbook=01_01.xlsx&amp;sheet=A0&amp;row=212&amp;col=24&amp;number=2.7928e-08&amp;sourceID=12","2.7928e-08")</f>
        <v>2.7928e-08</v>
      </c>
      <c r="Y212" s="4" t="str">
        <f>HYPERLINK("http://141.218.60.56/~jnz1568/getInfo.php?workbook=01_01.xlsx&amp;sheet=A0&amp;row=212&amp;col=25&amp;number=&amp;sourceID=12","")</f>
        <v/>
      </c>
      <c r="Z212" s="4" t="str">
        <f>HYPERLINK("http://141.218.60.56/~jnz1568/getInfo.php?workbook=01_01.xlsx&amp;sheet=A0&amp;row=212&amp;col=26&amp;number=6.7884e-07&amp;sourceID=12","6.7884e-07")</f>
        <v>6.7884e-07</v>
      </c>
      <c r="AA212" s="4" t="str">
        <f>HYPERLINK("http://141.218.60.56/~jnz1568/getInfo.php?workbook=01_01.xlsx&amp;sheet=A0&amp;row=212&amp;col=27&amp;number=&amp;sourceID=12","")</f>
        <v/>
      </c>
      <c r="AB212" s="4" t="str">
        <f>HYPERLINK("http://141.218.60.56/~jnz1568/getInfo.php?workbook=01_01.xlsx&amp;sheet=A0&amp;row=212&amp;col=28&amp;number=&amp;sourceID=18","")</f>
        <v/>
      </c>
      <c r="AC212" s="4" t="str">
        <f>HYPERLINK("http://141.218.60.56/~jnz1568/getInfo.php?workbook=01_01.xlsx&amp;sheet=A0&amp;row=212&amp;col=29&amp;number=&amp;sourceID=18","")</f>
        <v/>
      </c>
      <c r="AD212" s="4" t="str">
        <f>HYPERLINK("http://141.218.60.56/~jnz1568/getInfo.php?workbook=01_01.xlsx&amp;sheet=A0&amp;row=212&amp;col=30&amp;number=&amp;sourceID=18","")</f>
        <v/>
      </c>
      <c r="AE212" s="4" t="str">
        <f>HYPERLINK("http://141.218.60.56/~jnz1568/getInfo.php?workbook=01_01.xlsx&amp;sheet=A0&amp;row=212&amp;col=31&amp;number=&amp;sourceID=18","")</f>
        <v/>
      </c>
      <c r="AF212" s="4" t="str">
        <f>HYPERLINK("http://141.218.60.56/~jnz1568/getInfo.php?workbook=01_01.xlsx&amp;sheet=A0&amp;row=212&amp;col=32&amp;number=&amp;sourceID=18","")</f>
        <v/>
      </c>
      <c r="AG212" s="4" t="str">
        <f>HYPERLINK("http://141.218.60.56/~jnz1568/getInfo.php?workbook=01_01.xlsx&amp;sheet=A0&amp;row=212&amp;col=33&amp;number=&amp;sourceID=18","")</f>
        <v/>
      </c>
      <c r="AH212" s="4" t="str">
        <f>HYPERLINK("http://141.218.60.56/~jnz1568/getInfo.php?workbook=01_01.xlsx&amp;sheet=A0&amp;row=212&amp;col=34&amp;number=&amp;sourceID=20","")</f>
        <v/>
      </c>
    </row>
    <row r="213" spans="1:34">
      <c r="A213" s="3">
        <v>1</v>
      </c>
      <c r="B213" s="3">
        <v>1</v>
      </c>
      <c r="C213" s="3">
        <v>22</v>
      </c>
      <c r="D213" s="3">
        <v>8</v>
      </c>
      <c r="E213" s="3">
        <f>((1/(INDEX(E0!J$4:J$28,C213,1)-INDEX(E0!J$4:J$28,D213,1))))*100000000</f>
        <v>0</v>
      </c>
      <c r="F213" s="4" t="str">
        <f>HYPERLINK("http://141.218.60.56/~jnz1568/getInfo.php?workbook=01_01.xlsx&amp;sheet=A0&amp;row=213&amp;col=6&amp;number=&amp;sourceID=18","")</f>
        <v/>
      </c>
      <c r="G213" s="4" t="str">
        <f>HYPERLINK("http://141.218.60.56/~jnz1568/getInfo.php?workbook=01_01.xlsx&amp;sheet=A0&amp;row=213&amp;col=7&amp;number=&amp;sourceID=15","")</f>
        <v/>
      </c>
      <c r="H213" s="4" t="str">
        <f>HYPERLINK("http://141.218.60.56/~jnz1568/getInfo.php?workbook=01_01.xlsx&amp;sheet=A0&amp;row=213&amp;col=8&amp;number=&amp;sourceID=15","")</f>
        <v/>
      </c>
      <c r="I213" s="4" t="str">
        <f>HYPERLINK("http://141.218.60.56/~jnz1568/getInfo.php?workbook=01_01.xlsx&amp;sheet=A0&amp;row=213&amp;col=9&amp;number=&amp;sourceID=15","")</f>
        <v/>
      </c>
      <c r="J213" s="4" t="str">
        <f>HYPERLINK("http://141.218.60.56/~jnz1568/getInfo.php?workbook=01_01.xlsx&amp;sheet=A0&amp;row=213&amp;col=10&amp;number=&amp;sourceID=15","")</f>
        <v/>
      </c>
      <c r="K213" s="4" t="str">
        <f>HYPERLINK("http://141.218.60.56/~jnz1568/getInfo.php?workbook=01_01.xlsx&amp;sheet=A0&amp;row=213&amp;col=11&amp;number=&amp;sourceID=15","")</f>
        <v/>
      </c>
      <c r="L213" s="4" t="str">
        <f>HYPERLINK("http://141.218.60.56/~jnz1568/getInfo.php?workbook=01_01.xlsx&amp;sheet=A0&amp;row=213&amp;col=12&amp;number=&amp;sourceID=15","")</f>
        <v/>
      </c>
      <c r="M213" s="4" t="str">
        <f>HYPERLINK("http://141.218.60.56/~jnz1568/getInfo.php?workbook=01_01.xlsx&amp;sheet=A0&amp;row=213&amp;col=13&amp;number=&amp;sourceID=15","")</f>
        <v/>
      </c>
      <c r="N213" s="4" t="str">
        <f>HYPERLINK("http://141.218.60.56/~jnz1568/getInfo.php?workbook=01_01.xlsx&amp;sheet=A0&amp;row=213&amp;col=14&amp;number==&amp;sourceID=11","=")</f>
        <v>=</v>
      </c>
      <c r="O213" s="4" t="str">
        <f>HYPERLINK("http://141.218.60.56/~jnz1568/getInfo.php?workbook=01_01.xlsx&amp;sheet=A0&amp;row=213&amp;col=15&amp;number=&amp;sourceID=11","")</f>
        <v/>
      </c>
      <c r="P213" s="4" t="str">
        <f>HYPERLINK("http://141.218.60.56/~jnz1568/getInfo.php?workbook=01_01.xlsx&amp;sheet=A0&amp;row=213&amp;col=16&amp;number=0.0057343&amp;sourceID=11","0.0057343")</f>
        <v>0.0057343</v>
      </c>
      <c r="Q213" s="4" t="str">
        <f>HYPERLINK("http://141.218.60.56/~jnz1568/getInfo.php?workbook=01_01.xlsx&amp;sheet=A0&amp;row=213&amp;col=17&amp;number=&amp;sourceID=11","")</f>
        <v/>
      </c>
      <c r="R213" s="4" t="str">
        <f>HYPERLINK("http://141.218.60.56/~jnz1568/getInfo.php?workbook=01_01.xlsx&amp;sheet=A0&amp;row=213&amp;col=18&amp;number=6.79e-13&amp;sourceID=11","6.79e-13")</f>
        <v>6.79e-13</v>
      </c>
      <c r="S213" s="4" t="str">
        <f>HYPERLINK("http://141.218.60.56/~jnz1568/getInfo.php?workbook=01_01.xlsx&amp;sheet=A0&amp;row=213&amp;col=19&amp;number=&amp;sourceID=11","")</f>
        <v/>
      </c>
      <c r="T213" s="4" t="str">
        <f>HYPERLINK("http://141.218.60.56/~jnz1568/getInfo.php?workbook=01_01.xlsx&amp;sheet=A0&amp;row=213&amp;col=20&amp;number=0&amp;sourceID=11","0")</f>
        <v>0</v>
      </c>
      <c r="U213" s="4" t="str">
        <f>HYPERLINK("http://141.218.60.56/~jnz1568/getInfo.php?workbook=01_01.xlsx&amp;sheet=A0&amp;row=213&amp;col=21&amp;number=0.0057374&amp;sourceID=12","0.0057374")</f>
        <v>0.0057374</v>
      </c>
      <c r="V213" s="4" t="str">
        <f>HYPERLINK("http://141.218.60.56/~jnz1568/getInfo.php?workbook=01_01.xlsx&amp;sheet=A0&amp;row=213&amp;col=22&amp;number=&amp;sourceID=12","")</f>
        <v/>
      </c>
      <c r="W213" s="4" t="str">
        <f>HYPERLINK("http://141.218.60.56/~jnz1568/getInfo.php?workbook=01_01.xlsx&amp;sheet=A0&amp;row=213&amp;col=23&amp;number=0.0057374&amp;sourceID=12","0.0057374")</f>
        <v>0.0057374</v>
      </c>
      <c r="X213" s="4" t="str">
        <f>HYPERLINK("http://141.218.60.56/~jnz1568/getInfo.php?workbook=01_01.xlsx&amp;sheet=A0&amp;row=213&amp;col=24&amp;number=&amp;sourceID=12","")</f>
        <v/>
      </c>
      <c r="Y213" s="4" t="str">
        <f>HYPERLINK("http://141.218.60.56/~jnz1568/getInfo.php?workbook=01_01.xlsx&amp;sheet=A0&amp;row=213&amp;col=25&amp;number=6.88e-13&amp;sourceID=12","6.88e-13")</f>
        <v>6.88e-13</v>
      </c>
      <c r="Z213" s="4" t="str">
        <f>HYPERLINK("http://141.218.60.56/~jnz1568/getInfo.php?workbook=01_01.xlsx&amp;sheet=A0&amp;row=213&amp;col=26&amp;number=&amp;sourceID=12","")</f>
        <v/>
      </c>
      <c r="AA213" s="4" t="str">
        <f>HYPERLINK("http://141.218.60.56/~jnz1568/getInfo.php?workbook=01_01.xlsx&amp;sheet=A0&amp;row=213&amp;col=27&amp;number=0&amp;sourceID=12","0")</f>
        <v>0</v>
      </c>
      <c r="AB213" s="4" t="str">
        <f>HYPERLINK("http://141.218.60.56/~jnz1568/getInfo.php?workbook=01_01.xlsx&amp;sheet=A0&amp;row=213&amp;col=28&amp;number=&amp;sourceID=18","")</f>
        <v/>
      </c>
      <c r="AC213" s="4" t="str">
        <f>HYPERLINK("http://141.218.60.56/~jnz1568/getInfo.php?workbook=01_01.xlsx&amp;sheet=A0&amp;row=213&amp;col=29&amp;number=&amp;sourceID=18","")</f>
        <v/>
      </c>
      <c r="AD213" s="4" t="str">
        <f>HYPERLINK("http://141.218.60.56/~jnz1568/getInfo.php?workbook=01_01.xlsx&amp;sheet=A0&amp;row=213&amp;col=30&amp;number=&amp;sourceID=18","")</f>
        <v/>
      </c>
      <c r="AE213" s="4" t="str">
        <f>HYPERLINK("http://141.218.60.56/~jnz1568/getInfo.php?workbook=01_01.xlsx&amp;sheet=A0&amp;row=213&amp;col=31&amp;number=&amp;sourceID=18","")</f>
        <v/>
      </c>
      <c r="AF213" s="4" t="str">
        <f>HYPERLINK("http://141.218.60.56/~jnz1568/getInfo.php?workbook=01_01.xlsx&amp;sheet=A0&amp;row=213&amp;col=32&amp;number=&amp;sourceID=18","")</f>
        <v/>
      </c>
      <c r="AG213" s="4" t="str">
        <f>HYPERLINK("http://141.218.60.56/~jnz1568/getInfo.php?workbook=01_01.xlsx&amp;sheet=A0&amp;row=213&amp;col=33&amp;number=&amp;sourceID=18","")</f>
        <v/>
      </c>
      <c r="AH213" s="4" t="str">
        <f>HYPERLINK("http://141.218.60.56/~jnz1568/getInfo.php?workbook=01_01.xlsx&amp;sheet=A0&amp;row=213&amp;col=34&amp;number=&amp;sourceID=20","")</f>
        <v/>
      </c>
    </row>
    <row r="214" spans="1:34">
      <c r="A214" s="3">
        <v>1</v>
      </c>
      <c r="B214" s="3">
        <v>1</v>
      </c>
      <c r="C214" s="3">
        <v>22</v>
      </c>
      <c r="D214" s="3">
        <v>9</v>
      </c>
      <c r="E214" s="3">
        <f>((1/(INDEX(E0!J$4:J$28,C214,1)-INDEX(E0!J$4:J$28,D214,1))))*100000000</f>
        <v>0</v>
      </c>
      <c r="F214" s="4" t="str">
        <f>HYPERLINK("http://141.218.60.56/~jnz1568/getInfo.php?workbook=01_01.xlsx&amp;sheet=A0&amp;row=214&amp;col=6&amp;number=&amp;sourceID=18","")</f>
        <v/>
      </c>
      <c r="G214" s="4" t="str">
        <f>HYPERLINK("http://141.218.60.56/~jnz1568/getInfo.php?workbook=01_01.xlsx&amp;sheet=A0&amp;row=214&amp;col=7&amp;number=302810&amp;sourceID=15","302810")</f>
        <v>302810</v>
      </c>
      <c r="H214" s="4" t="str">
        <f>HYPERLINK("http://141.218.60.56/~jnz1568/getInfo.php?workbook=01_01.xlsx&amp;sheet=A0&amp;row=214&amp;col=8&amp;number=302810&amp;sourceID=15","302810")</f>
        <v>302810</v>
      </c>
      <c r="I214" s="4" t="str">
        <f>HYPERLINK("http://141.218.60.56/~jnz1568/getInfo.php?workbook=01_01.xlsx&amp;sheet=A0&amp;row=214&amp;col=9&amp;number=&amp;sourceID=15","")</f>
        <v/>
      </c>
      <c r="J214" s="4" t="str">
        <f>HYPERLINK("http://141.218.60.56/~jnz1568/getInfo.php?workbook=01_01.xlsx&amp;sheet=A0&amp;row=214&amp;col=10&amp;number=&amp;sourceID=15","")</f>
        <v/>
      </c>
      <c r="K214" s="4" t="str">
        <f>HYPERLINK("http://141.218.60.56/~jnz1568/getInfo.php?workbook=01_01.xlsx&amp;sheet=A0&amp;row=214&amp;col=11&amp;number=&amp;sourceID=15","")</f>
        <v/>
      </c>
      <c r="L214" s="4" t="str">
        <f>HYPERLINK("http://141.218.60.56/~jnz1568/getInfo.php?workbook=01_01.xlsx&amp;sheet=A0&amp;row=214&amp;col=12&amp;number=&amp;sourceID=15","")</f>
        <v/>
      </c>
      <c r="M214" s="4" t="str">
        <f>HYPERLINK("http://141.218.60.56/~jnz1568/getInfo.php?workbook=01_01.xlsx&amp;sheet=A0&amp;row=214&amp;col=13&amp;number=&amp;sourceID=15","")</f>
        <v/>
      </c>
      <c r="N214" s="4" t="str">
        <f>HYPERLINK("http://141.218.60.56/~jnz1568/getInfo.php?workbook=01_01.xlsx&amp;sheet=A0&amp;row=214&amp;col=14&amp;number==&amp;sourceID=11","=")</f>
        <v>=</v>
      </c>
      <c r="O214" s="4" t="str">
        <f>HYPERLINK("http://141.218.60.56/~jnz1568/getInfo.php?workbook=01_01.xlsx&amp;sheet=A0&amp;row=214&amp;col=15&amp;number=302810&amp;sourceID=11","302810")</f>
        <v>302810</v>
      </c>
      <c r="P214" s="4" t="str">
        <f>HYPERLINK("http://141.218.60.56/~jnz1568/getInfo.php?workbook=01_01.xlsx&amp;sheet=A0&amp;row=214&amp;col=16&amp;number=&amp;sourceID=11","")</f>
        <v/>
      </c>
      <c r="Q214" s="4" t="str">
        <f>HYPERLINK("http://141.218.60.56/~jnz1568/getInfo.php?workbook=01_01.xlsx&amp;sheet=A0&amp;row=214&amp;col=17&amp;number=1.861e-08&amp;sourceID=11","1.861e-08")</f>
        <v>1.861e-08</v>
      </c>
      <c r="R214" s="4" t="str">
        <f>HYPERLINK("http://141.218.60.56/~jnz1568/getInfo.php?workbook=01_01.xlsx&amp;sheet=A0&amp;row=214&amp;col=18&amp;number=&amp;sourceID=11","")</f>
        <v/>
      </c>
      <c r="S214" s="4" t="str">
        <f>HYPERLINK("http://141.218.60.56/~jnz1568/getInfo.php?workbook=01_01.xlsx&amp;sheet=A0&amp;row=214&amp;col=19&amp;number=&amp;sourceID=11","")</f>
        <v/>
      </c>
      <c r="T214" s="4" t="str">
        <f>HYPERLINK("http://141.218.60.56/~jnz1568/getInfo.php?workbook=01_01.xlsx&amp;sheet=A0&amp;row=214&amp;col=20&amp;number=&amp;sourceID=11","")</f>
        <v/>
      </c>
      <c r="U214" s="4" t="str">
        <f>HYPERLINK("http://141.218.60.56/~jnz1568/getInfo.php?workbook=01_01.xlsx&amp;sheet=A0&amp;row=214&amp;col=21&amp;number=302970&amp;sourceID=12","302970")</f>
        <v>302970</v>
      </c>
      <c r="V214" s="4" t="str">
        <f>HYPERLINK("http://141.218.60.56/~jnz1568/getInfo.php?workbook=01_01.xlsx&amp;sheet=A0&amp;row=214&amp;col=22&amp;number=302970&amp;sourceID=12","302970")</f>
        <v>302970</v>
      </c>
      <c r="W214" s="4" t="str">
        <f>HYPERLINK("http://141.218.60.56/~jnz1568/getInfo.php?workbook=01_01.xlsx&amp;sheet=A0&amp;row=214&amp;col=23&amp;number=&amp;sourceID=12","")</f>
        <v/>
      </c>
      <c r="X214" s="4" t="str">
        <f>HYPERLINK("http://141.218.60.56/~jnz1568/getInfo.php?workbook=01_01.xlsx&amp;sheet=A0&amp;row=214&amp;col=24&amp;number=1.862e-08&amp;sourceID=12","1.862e-08")</f>
        <v>1.862e-08</v>
      </c>
      <c r="Y214" s="4" t="str">
        <f>HYPERLINK("http://141.218.60.56/~jnz1568/getInfo.php?workbook=01_01.xlsx&amp;sheet=A0&amp;row=214&amp;col=25&amp;number=&amp;sourceID=12","")</f>
        <v/>
      </c>
      <c r="Z214" s="4" t="str">
        <f>HYPERLINK("http://141.218.60.56/~jnz1568/getInfo.php?workbook=01_01.xlsx&amp;sheet=A0&amp;row=214&amp;col=26&amp;number=&amp;sourceID=12","")</f>
        <v/>
      </c>
      <c r="AA214" s="4" t="str">
        <f>HYPERLINK("http://141.218.60.56/~jnz1568/getInfo.php?workbook=01_01.xlsx&amp;sheet=A0&amp;row=214&amp;col=27&amp;number=&amp;sourceID=12","")</f>
        <v/>
      </c>
      <c r="AB214" s="4" t="str">
        <f>HYPERLINK("http://141.218.60.56/~jnz1568/getInfo.php?workbook=01_01.xlsx&amp;sheet=A0&amp;row=214&amp;col=28&amp;number=&amp;sourceID=18","")</f>
        <v/>
      </c>
      <c r="AC214" s="4" t="str">
        <f>HYPERLINK("http://141.218.60.56/~jnz1568/getInfo.php?workbook=01_01.xlsx&amp;sheet=A0&amp;row=214&amp;col=29&amp;number=&amp;sourceID=18","")</f>
        <v/>
      </c>
      <c r="AD214" s="4" t="str">
        <f>HYPERLINK("http://141.218.60.56/~jnz1568/getInfo.php?workbook=01_01.xlsx&amp;sheet=A0&amp;row=214&amp;col=30&amp;number=&amp;sourceID=18","")</f>
        <v/>
      </c>
      <c r="AE214" s="4" t="str">
        <f>HYPERLINK("http://141.218.60.56/~jnz1568/getInfo.php?workbook=01_01.xlsx&amp;sheet=A0&amp;row=214&amp;col=31&amp;number=&amp;sourceID=18","")</f>
        <v/>
      </c>
      <c r="AF214" s="4" t="str">
        <f>HYPERLINK("http://141.218.60.56/~jnz1568/getInfo.php?workbook=01_01.xlsx&amp;sheet=A0&amp;row=214&amp;col=32&amp;number=&amp;sourceID=18","")</f>
        <v/>
      </c>
      <c r="AG214" s="4" t="str">
        <f>HYPERLINK("http://141.218.60.56/~jnz1568/getInfo.php?workbook=01_01.xlsx&amp;sheet=A0&amp;row=214&amp;col=33&amp;number=&amp;sourceID=18","")</f>
        <v/>
      </c>
      <c r="AH214" s="4" t="str">
        <f>HYPERLINK("http://141.218.60.56/~jnz1568/getInfo.php?workbook=01_01.xlsx&amp;sheet=A0&amp;row=214&amp;col=34&amp;number=&amp;sourceID=20","")</f>
        <v/>
      </c>
    </row>
    <row r="215" spans="1:34">
      <c r="A215" s="3">
        <v>1</v>
      </c>
      <c r="B215" s="3">
        <v>1</v>
      </c>
      <c r="C215" s="3">
        <v>22</v>
      </c>
      <c r="D215" s="3">
        <v>10</v>
      </c>
      <c r="E215" s="3">
        <f>((1/(INDEX(E0!J$4:J$28,C215,1)-INDEX(E0!J$4:J$28,D215,1))))*100000000</f>
        <v>0</v>
      </c>
      <c r="F215" s="4" t="str">
        <f>HYPERLINK("http://141.218.60.56/~jnz1568/getInfo.php?workbook=01_01.xlsx&amp;sheet=A0&amp;row=215&amp;col=6&amp;number=&amp;sourceID=18","")</f>
        <v/>
      </c>
      <c r="G215" s="4" t="str">
        <f>HYPERLINK("http://141.218.60.56/~jnz1568/getInfo.php?workbook=01_01.xlsx&amp;sheet=A0&amp;row=215&amp;col=7&amp;number=&amp;sourceID=15","")</f>
        <v/>
      </c>
      <c r="H215" s="4" t="str">
        <f>HYPERLINK("http://141.218.60.56/~jnz1568/getInfo.php?workbook=01_01.xlsx&amp;sheet=A0&amp;row=215&amp;col=8&amp;number=&amp;sourceID=15","")</f>
        <v/>
      </c>
      <c r="I215" s="4" t="str">
        <f>HYPERLINK("http://141.218.60.56/~jnz1568/getInfo.php?workbook=01_01.xlsx&amp;sheet=A0&amp;row=215&amp;col=9&amp;number=&amp;sourceID=15","")</f>
        <v/>
      </c>
      <c r="J215" s="4" t="str">
        <f>HYPERLINK("http://141.218.60.56/~jnz1568/getInfo.php?workbook=01_01.xlsx&amp;sheet=A0&amp;row=215&amp;col=10&amp;number=&amp;sourceID=15","")</f>
        <v/>
      </c>
      <c r="K215" s="4" t="str">
        <f>HYPERLINK("http://141.218.60.56/~jnz1568/getInfo.php?workbook=01_01.xlsx&amp;sheet=A0&amp;row=215&amp;col=11&amp;number=&amp;sourceID=15","")</f>
        <v/>
      </c>
      <c r="L215" s="4" t="str">
        <f>HYPERLINK("http://141.218.60.56/~jnz1568/getInfo.php?workbook=01_01.xlsx&amp;sheet=A0&amp;row=215&amp;col=12&amp;number=&amp;sourceID=15","")</f>
        <v/>
      </c>
      <c r="M215" s="4" t="str">
        <f>HYPERLINK("http://141.218.60.56/~jnz1568/getInfo.php?workbook=01_01.xlsx&amp;sheet=A0&amp;row=215&amp;col=13&amp;number=&amp;sourceID=15","")</f>
        <v/>
      </c>
      <c r="N215" s="4" t="str">
        <f>HYPERLINK("http://141.218.60.56/~jnz1568/getInfo.php?workbook=01_01.xlsx&amp;sheet=A0&amp;row=215&amp;col=14&amp;number==&amp;sourceID=11","=")</f>
        <v>=</v>
      </c>
      <c r="O215" s="4" t="str">
        <f>HYPERLINK("http://141.218.60.56/~jnz1568/getInfo.php?workbook=01_01.xlsx&amp;sheet=A0&amp;row=215&amp;col=15&amp;number=&amp;sourceID=11","")</f>
        <v/>
      </c>
      <c r="P215" s="4" t="str">
        <f>HYPERLINK("http://141.218.60.56/~jnz1568/getInfo.php?workbook=01_01.xlsx&amp;sheet=A0&amp;row=215&amp;col=16&amp;number=0.72859&amp;sourceID=11","0.72859")</f>
        <v>0.72859</v>
      </c>
      <c r="Q215" s="4" t="str">
        <f>HYPERLINK("http://141.218.60.56/~jnz1568/getInfo.php?workbook=01_01.xlsx&amp;sheet=A0&amp;row=215&amp;col=17&amp;number=&amp;sourceID=11","")</f>
        <v/>
      </c>
      <c r="R215" s="4" t="str">
        <f>HYPERLINK("http://141.218.60.56/~jnz1568/getInfo.php?workbook=01_01.xlsx&amp;sheet=A0&amp;row=215&amp;col=18&amp;number=&amp;sourceID=11","")</f>
        <v/>
      </c>
      <c r="S215" s="4" t="str">
        <f>HYPERLINK("http://141.218.60.56/~jnz1568/getInfo.php?workbook=01_01.xlsx&amp;sheet=A0&amp;row=215&amp;col=19&amp;number=&amp;sourceID=11","")</f>
        <v/>
      </c>
      <c r="T215" s="4" t="str">
        <f>HYPERLINK("http://141.218.60.56/~jnz1568/getInfo.php?workbook=01_01.xlsx&amp;sheet=A0&amp;row=215&amp;col=20&amp;number=1e-15&amp;sourceID=11","1e-15")</f>
        <v>1e-15</v>
      </c>
      <c r="U215" s="4" t="str">
        <f>HYPERLINK("http://141.218.60.56/~jnz1568/getInfo.php?workbook=01_01.xlsx&amp;sheet=A0&amp;row=215&amp;col=21&amp;number=0.72899&amp;sourceID=12","0.72899")</f>
        <v>0.72899</v>
      </c>
      <c r="V215" s="4" t="str">
        <f>HYPERLINK("http://141.218.60.56/~jnz1568/getInfo.php?workbook=01_01.xlsx&amp;sheet=A0&amp;row=215&amp;col=22&amp;number=&amp;sourceID=12","")</f>
        <v/>
      </c>
      <c r="W215" s="4" t="str">
        <f>HYPERLINK("http://141.218.60.56/~jnz1568/getInfo.php?workbook=01_01.xlsx&amp;sheet=A0&amp;row=215&amp;col=23&amp;number=0.72899&amp;sourceID=12","0.72899")</f>
        <v>0.72899</v>
      </c>
      <c r="X215" s="4" t="str">
        <f>HYPERLINK("http://141.218.60.56/~jnz1568/getInfo.php?workbook=01_01.xlsx&amp;sheet=A0&amp;row=215&amp;col=24&amp;number=&amp;sourceID=12","")</f>
        <v/>
      </c>
      <c r="Y215" s="4" t="str">
        <f>HYPERLINK("http://141.218.60.56/~jnz1568/getInfo.php?workbook=01_01.xlsx&amp;sheet=A0&amp;row=215&amp;col=25&amp;number=&amp;sourceID=12","")</f>
        <v/>
      </c>
      <c r="Z215" s="4" t="str">
        <f>HYPERLINK("http://141.218.60.56/~jnz1568/getInfo.php?workbook=01_01.xlsx&amp;sheet=A0&amp;row=215&amp;col=26&amp;number=&amp;sourceID=12","")</f>
        <v/>
      </c>
      <c r="AA215" s="4" t="str">
        <f>HYPERLINK("http://141.218.60.56/~jnz1568/getInfo.php?workbook=01_01.xlsx&amp;sheet=A0&amp;row=215&amp;col=27&amp;number=1e-15&amp;sourceID=12","1e-15")</f>
        <v>1e-15</v>
      </c>
      <c r="AB215" s="4" t="str">
        <f>HYPERLINK("http://141.218.60.56/~jnz1568/getInfo.php?workbook=01_01.xlsx&amp;sheet=A0&amp;row=215&amp;col=28&amp;number=&amp;sourceID=18","")</f>
        <v/>
      </c>
      <c r="AC215" s="4" t="str">
        <f>HYPERLINK("http://141.218.60.56/~jnz1568/getInfo.php?workbook=01_01.xlsx&amp;sheet=A0&amp;row=215&amp;col=29&amp;number=&amp;sourceID=18","")</f>
        <v/>
      </c>
      <c r="AD215" s="4" t="str">
        <f>HYPERLINK("http://141.218.60.56/~jnz1568/getInfo.php?workbook=01_01.xlsx&amp;sheet=A0&amp;row=215&amp;col=30&amp;number=&amp;sourceID=18","")</f>
        <v/>
      </c>
      <c r="AE215" s="4" t="str">
        <f>HYPERLINK("http://141.218.60.56/~jnz1568/getInfo.php?workbook=01_01.xlsx&amp;sheet=A0&amp;row=215&amp;col=31&amp;number=&amp;sourceID=18","")</f>
        <v/>
      </c>
      <c r="AF215" s="4" t="str">
        <f>HYPERLINK("http://141.218.60.56/~jnz1568/getInfo.php?workbook=01_01.xlsx&amp;sheet=A0&amp;row=215&amp;col=32&amp;number=&amp;sourceID=18","")</f>
        <v/>
      </c>
      <c r="AG215" s="4" t="str">
        <f>HYPERLINK("http://141.218.60.56/~jnz1568/getInfo.php?workbook=01_01.xlsx&amp;sheet=A0&amp;row=215&amp;col=33&amp;number=&amp;sourceID=18","")</f>
        <v/>
      </c>
      <c r="AH215" s="4" t="str">
        <f>HYPERLINK("http://141.218.60.56/~jnz1568/getInfo.php?workbook=01_01.xlsx&amp;sheet=A0&amp;row=215&amp;col=34&amp;number=&amp;sourceID=20","")</f>
        <v/>
      </c>
    </row>
    <row r="216" spans="1:34">
      <c r="A216" s="3">
        <v>1</v>
      </c>
      <c r="B216" s="3">
        <v>1</v>
      </c>
      <c r="C216" s="3">
        <v>22</v>
      </c>
      <c r="D216" s="3">
        <v>11</v>
      </c>
      <c r="E216" s="3">
        <f>((1/(INDEX(E0!J$4:J$28,C216,1)-INDEX(E0!J$4:J$28,D216,1))))*100000000</f>
        <v>0</v>
      </c>
      <c r="F216" s="4" t="str">
        <f>HYPERLINK("http://141.218.60.56/~jnz1568/getInfo.php?workbook=01_01.xlsx&amp;sheet=A0&amp;row=216&amp;col=6&amp;number=&amp;sourceID=18","")</f>
        <v/>
      </c>
      <c r="G216" s="4" t="str">
        <f>HYPERLINK("http://141.218.60.56/~jnz1568/getInfo.php?workbook=01_01.xlsx&amp;sheet=A0&amp;row=216&amp;col=7&amp;number=&amp;sourceID=15","")</f>
        <v/>
      </c>
      <c r="H216" s="4" t="str">
        <f>HYPERLINK("http://141.218.60.56/~jnz1568/getInfo.php?workbook=01_01.xlsx&amp;sheet=A0&amp;row=216&amp;col=8&amp;number=&amp;sourceID=15","")</f>
        <v/>
      </c>
      <c r="I216" s="4" t="str">
        <f>HYPERLINK("http://141.218.60.56/~jnz1568/getInfo.php?workbook=01_01.xlsx&amp;sheet=A0&amp;row=216&amp;col=9&amp;number=&amp;sourceID=15","")</f>
        <v/>
      </c>
      <c r="J216" s="4" t="str">
        <f>HYPERLINK("http://141.218.60.56/~jnz1568/getInfo.php?workbook=01_01.xlsx&amp;sheet=A0&amp;row=216&amp;col=10&amp;number=&amp;sourceID=15","")</f>
        <v/>
      </c>
      <c r="K216" s="4" t="str">
        <f>HYPERLINK("http://141.218.60.56/~jnz1568/getInfo.php?workbook=01_01.xlsx&amp;sheet=A0&amp;row=216&amp;col=11&amp;number=&amp;sourceID=15","")</f>
        <v/>
      </c>
      <c r="L216" s="4" t="str">
        <f>HYPERLINK("http://141.218.60.56/~jnz1568/getInfo.php?workbook=01_01.xlsx&amp;sheet=A0&amp;row=216&amp;col=12&amp;number=&amp;sourceID=15","")</f>
        <v/>
      </c>
      <c r="M216" s="4" t="str">
        <f>HYPERLINK("http://141.218.60.56/~jnz1568/getInfo.php?workbook=01_01.xlsx&amp;sheet=A0&amp;row=216&amp;col=13&amp;number=&amp;sourceID=15","")</f>
        <v/>
      </c>
      <c r="N216" s="4" t="str">
        <f>HYPERLINK("http://141.218.60.56/~jnz1568/getInfo.php?workbook=01_01.xlsx&amp;sheet=A0&amp;row=216&amp;col=14&amp;number==&amp;sourceID=11","=")</f>
        <v>=</v>
      </c>
      <c r="O216" s="4" t="str">
        <f>HYPERLINK("http://141.218.60.56/~jnz1568/getInfo.php?workbook=01_01.xlsx&amp;sheet=A0&amp;row=216&amp;col=15&amp;number=&amp;sourceID=11","")</f>
        <v/>
      </c>
      <c r="P216" s="4" t="str">
        <f>HYPERLINK("http://141.218.60.56/~jnz1568/getInfo.php?workbook=01_01.xlsx&amp;sheet=A0&amp;row=216&amp;col=16&amp;number=&amp;sourceID=11","")</f>
        <v/>
      </c>
      <c r="Q216" s="4" t="str">
        <f>HYPERLINK("http://141.218.60.56/~jnz1568/getInfo.php?workbook=01_01.xlsx&amp;sheet=A0&amp;row=216&amp;col=17&amp;number=1.2419e-07&amp;sourceID=11","1.2419e-07")</f>
        <v>1.2419e-07</v>
      </c>
      <c r="R216" s="4" t="str">
        <f>HYPERLINK("http://141.218.60.56/~jnz1568/getInfo.php?workbook=01_01.xlsx&amp;sheet=A0&amp;row=216&amp;col=18&amp;number=&amp;sourceID=11","")</f>
        <v/>
      </c>
      <c r="S216" s="4" t="str">
        <f>HYPERLINK("http://141.218.60.56/~jnz1568/getInfo.php?workbook=01_01.xlsx&amp;sheet=A0&amp;row=216&amp;col=19&amp;number=0&amp;sourceID=11","0")</f>
        <v>0</v>
      </c>
      <c r="T216" s="4" t="str">
        <f>HYPERLINK("http://141.218.60.56/~jnz1568/getInfo.php?workbook=01_01.xlsx&amp;sheet=A0&amp;row=216&amp;col=20&amp;number=&amp;sourceID=11","")</f>
        <v/>
      </c>
      <c r="U216" s="4" t="str">
        <f>HYPERLINK("http://141.218.60.56/~jnz1568/getInfo.php?workbook=01_01.xlsx&amp;sheet=A0&amp;row=216&amp;col=21&amp;number=1.2425e-07&amp;sourceID=12","1.2425e-07")</f>
        <v>1.2425e-07</v>
      </c>
      <c r="V216" s="4" t="str">
        <f>HYPERLINK("http://141.218.60.56/~jnz1568/getInfo.php?workbook=01_01.xlsx&amp;sheet=A0&amp;row=216&amp;col=22&amp;number=&amp;sourceID=12","")</f>
        <v/>
      </c>
      <c r="W216" s="4" t="str">
        <f>HYPERLINK("http://141.218.60.56/~jnz1568/getInfo.php?workbook=01_01.xlsx&amp;sheet=A0&amp;row=216&amp;col=23&amp;number=&amp;sourceID=12","")</f>
        <v/>
      </c>
      <c r="X216" s="4" t="str">
        <f>HYPERLINK("http://141.218.60.56/~jnz1568/getInfo.php?workbook=01_01.xlsx&amp;sheet=A0&amp;row=216&amp;col=24&amp;number=1.2425e-07&amp;sourceID=12","1.2425e-07")</f>
        <v>1.2425e-07</v>
      </c>
      <c r="Y216" s="4" t="str">
        <f>HYPERLINK("http://141.218.60.56/~jnz1568/getInfo.php?workbook=01_01.xlsx&amp;sheet=A0&amp;row=216&amp;col=25&amp;number=&amp;sourceID=12","")</f>
        <v/>
      </c>
      <c r="Z216" s="4" t="str">
        <f>HYPERLINK("http://141.218.60.56/~jnz1568/getInfo.php?workbook=01_01.xlsx&amp;sheet=A0&amp;row=216&amp;col=26&amp;number=0&amp;sourceID=12","0")</f>
        <v>0</v>
      </c>
      <c r="AA216" s="4" t="str">
        <f>HYPERLINK("http://141.218.60.56/~jnz1568/getInfo.php?workbook=01_01.xlsx&amp;sheet=A0&amp;row=216&amp;col=27&amp;number=&amp;sourceID=12","")</f>
        <v/>
      </c>
      <c r="AB216" s="4" t="str">
        <f>HYPERLINK("http://141.218.60.56/~jnz1568/getInfo.php?workbook=01_01.xlsx&amp;sheet=A0&amp;row=216&amp;col=28&amp;number=&amp;sourceID=18","")</f>
        <v/>
      </c>
      <c r="AC216" s="4" t="str">
        <f>HYPERLINK("http://141.218.60.56/~jnz1568/getInfo.php?workbook=01_01.xlsx&amp;sheet=A0&amp;row=216&amp;col=29&amp;number=&amp;sourceID=18","")</f>
        <v/>
      </c>
      <c r="AD216" s="4" t="str">
        <f>HYPERLINK("http://141.218.60.56/~jnz1568/getInfo.php?workbook=01_01.xlsx&amp;sheet=A0&amp;row=216&amp;col=30&amp;number=&amp;sourceID=18","")</f>
        <v/>
      </c>
      <c r="AE216" s="4" t="str">
        <f>HYPERLINK("http://141.218.60.56/~jnz1568/getInfo.php?workbook=01_01.xlsx&amp;sheet=A0&amp;row=216&amp;col=31&amp;number=&amp;sourceID=18","")</f>
        <v/>
      </c>
      <c r="AF216" s="4" t="str">
        <f>HYPERLINK("http://141.218.60.56/~jnz1568/getInfo.php?workbook=01_01.xlsx&amp;sheet=A0&amp;row=216&amp;col=32&amp;number=&amp;sourceID=18","")</f>
        <v/>
      </c>
      <c r="AG216" s="4" t="str">
        <f>HYPERLINK("http://141.218.60.56/~jnz1568/getInfo.php?workbook=01_01.xlsx&amp;sheet=A0&amp;row=216&amp;col=33&amp;number=&amp;sourceID=18","")</f>
        <v/>
      </c>
      <c r="AH216" s="4" t="str">
        <f>HYPERLINK("http://141.218.60.56/~jnz1568/getInfo.php?workbook=01_01.xlsx&amp;sheet=A0&amp;row=216&amp;col=34&amp;number=&amp;sourceID=20","")</f>
        <v/>
      </c>
    </row>
    <row r="217" spans="1:34">
      <c r="A217" s="3">
        <v>1</v>
      </c>
      <c r="B217" s="3">
        <v>1</v>
      </c>
      <c r="C217" s="3">
        <v>22</v>
      </c>
      <c r="D217" s="3">
        <v>12</v>
      </c>
      <c r="E217" s="3">
        <f>((1/(INDEX(E0!J$4:J$28,C217,1)-INDEX(E0!J$4:J$28,D217,1))))*100000000</f>
        <v>0</v>
      </c>
      <c r="F217" s="4" t="str">
        <f>HYPERLINK("http://141.218.60.56/~jnz1568/getInfo.php?workbook=01_01.xlsx&amp;sheet=A0&amp;row=217&amp;col=6&amp;number=&amp;sourceID=18","")</f>
        <v/>
      </c>
      <c r="G217" s="4" t="str">
        <f>HYPERLINK("http://141.218.60.56/~jnz1568/getInfo.php?workbook=01_01.xlsx&amp;sheet=A0&amp;row=217&amp;col=7&amp;number=2412100&amp;sourceID=15","2412100")</f>
        <v>2412100</v>
      </c>
      <c r="H217" s="4" t="str">
        <f>HYPERLINK("http://141.218.60.56/~jnz1568/getInfo.php?workbook=01_01.xlsx&amp;sheet=A0&amp;row=217&amp;col=8&amp;number=2412100&amp;sourceID=15","2412100")</f>
        <v>2412100</v>
      </c>
      <c r="I217" s="4" t="str">
        <f>HYPERLINK("http://141.218.60.56/~jnz1568/getInfo.php?workbook=01_01.xlsx&amp;sheet=A0&amp;row=217&amp;col=9&amp;number=&amp;sourceID=15","")</f>
        <v/>
      </c>
      <c r="J217" s="4" t="str">
        <f>HYPERLINK("http://141.218.60.56/~jnz1568/getInfo.php?workbook=01_01.xlsx&amp;sheet=A0&amp;row=217&amp;col=10&amp;number=&amp;sourceID=15","")</f>
        <v/>
      </c>
      <c r="K217" s="4" t="str">
        <f>HYPERLINK("http://141.218.60.56/~jnz1568/getInfo.php?workbook=01_01.xlsx&amp;sheet=A0&amp;row=217&amp;col=11&amp;number=&amp;sourceID=15","")</f>
        <v/>
      </c>
      <c r="L217" s="4" t="str">
        <f>HYPERLINK("http://141.218.60.56/~jnz1568/getInfo.php?workbook=01_01.xlsx&amp;sheet=A0&amp;row=217&amp;col=12&amp;number=&amp;sourceID=15","")</f>
        <v/>
      </c>
      <c r="M217" s="4" t="str">
        <f>HYPERLINK("http://141.218.60.56/~jnz1568/getInfo.php?workbook=01_01.xlsx&amp;sheet=A0&amp;row=217&amp;col=13&amp;number=&amp;sourceID=15","")</f>
        <v/>
      </c>
      <c r="N217" s="4" t="str">
        <f>HYPERLINK("http://141.218.60.56/~jnz1568/getInfo.php?workbook=01_01.xlsx&amp;sheet=A0&amp;row=217&amp;col=14&amp;number==&amp;sourceID=11","=")</f>
        <v>=</v>
      </c>
      <c r="O217" s="4" t="str">
        <f>HYPERLINK("http://141.218.60.56/~jnz1568/getInfo.php?workbook=01_01.xlsx&amp;sheet=A0&amp;row=217&amp;col=15&amp;number=2412100&amp;sourceID=11","2412100")</f>
        <v>2412100</v>
      </c>
      <c r="P217" s="4" t="str">
        <f>HYPERLINK("http://141.218.60.56/~jnz1568/getInfo.php?workbook=01_01.xlsx&amp;sheet=A0&amp;row=217&amp;col=16&amp;number=&amp;sourceID=11","")</f>
        <v/>
      </c>
      <c r="Q217" s="4" t="str">
        <f>HYPERLINK("http://141.218.60.56/~jnz1568/getInfo.php?workbook=01_01.xlsx&amp;sheet=A0&amp;row=217&amp;col=17&amp;number=4.7777e-08&amp;sourceID=11","4.7777e-08")</f>
        <v>4.7777e-08</v>
      </c>
      <c r="R217" s="4" t="str">
        <f>HYPERLINK("http://141.218.60.56/~jnz1568/getInfo.php?workbook=01_01.xlsx&amp;sheet=A0&amp;row=217&amp;col=18&amp;number=&amp;sourceID=11","")</f>
        <v/>
      </c>
      <c r="S217" s="4" t="str">
        <f>HYPERLINK("http://141.218.60.56/~jnz1568/getInfo.php?workbook=01_01.xlsx&amp;sheet=A0&amp;row=217&amp;col=19&amp;number=3.8648e-08&amp;sourceID=11","3.8648e-08")</f>
        <v>3.8648e-08</v>
      </c>
      <c r="T217" s="4" t="str">
        <f>HYPERLINK("http://141.218.60.56/~jnz1568/getInfo.php?workbook=01_01.xlsx&amp;sheet=A0&amp;row=217&amp;col=20&amp;number=&amp;sourceID=11","")</f>
        <v/>
      </c>
      <c r="U217" s="4" t="str">
        <f>HYPERLINK("http://141.218.60.56/~jnz1568/getInfo.php?workbook=01_01.xlsx&amp;sheet=A0&amp;row=217&amp;col=21&amp;number=2413400&amp;sourceID=12","2413400")</f>
        <v>2413400</v>
      </c>
      <c r="V217" s="4" t="str">
        <f>HYPERLINK("http://141.218.60.56/~jnz1568/getInfo.php?workbook=01_01.xlsx&amp;sheet=A0&amp;row=217&amp;col=22&amp;number=2413400&amp;sourceID=12","2413400")</f>
        <v>2413400</v>
      </c>
      <c r="W217" s="4" t="str">
        <f>HYPERLINK("http://141.218.60.56/~jnz1568/getInfo.php?workbook=01_01.xlsx&amp;sheet=A0&amp;row=217&amp;col=23&amp;number=&amp;sourceID=12","")</f>
        <v/>
      </c>
      <c r="X217" s="4" t="str">
        <f>HYPERLINK("http://141.218.60.56/~jnz1568/getInfo.php?workbook=01_01.xlsx&amp;sheet=A0&amp;row=217&amp;col=24&amp;number=4.7803e-08&amp;sourceID=12","4.7803e-08")</f>
        <v>4.7803e-08</v>
      </c>
      <c r="Y217" s="4" t="str">
        <f>HYPERLINK("http://141.218.60.56/~jnz1568/getInfo.php?workbook=01_01.xlsx&amp;sheet=A0&amp;row=217&amp;col=25&amp;number=&amp;sourceID=12","")</f>
        <v/>
      </c>
      <c r="Z217" s="4" t="str">
        <f>HYPERLINK("http://141.218.60.56/~jnz1568/getInfo.php?workbook=01_01.xlsx&amp;sheet=A0&amp;row=217&amp;col=26&amp;number=3.8669e-08&amp;sourceID=12","3.8669e-08")</f>
        <v>3.8669e-08</v>
      </c>
      <c r="AA217" s="4" t="str">
        <f>HYPERLINK("http://141.218.60.56/~jnz1568/getInfo.php?workbook=01_01.xlsx&amp;sheet=A0&amp;row=217&amp;col=27&amp;number=&amp;sourceID=12","")</f>
        <v/>
      </c>
      <c r="AB217" s="4" t="str">
        <f>HYPERLINK("http://141.218.60.56/~jnz1568/getInfo.php?workbook=01_01.xlsx&amp;sheet=A0&amp;row=217&amp;col=28&amp;number=&amp;sourceID=18","")</f>
        <v/>
      </c>
      <c r="AC217" s="4" t="str">
        <f>HYPERLINK("http://141.218.60.56/~jnz1568/getInfo.php?workbook=01_01.xlsx&amp;sheet=A0&amp;row=217&amp;col=29&amp;number=&amp;sourceID=18","")</f>
        <v/>
      </c>
      <c r="AD217" s="4" t="str">
        <f>HYPERLINK("http://141.218.60.56/~jnz1568/getInfo.php?workbook=01_01.xlsx&amp;sheet=A0&amp;row=217&amp;col=30&amp;number=&amp;sourceID=18","")</f>
        <v/>
      </c>
      <c r="AE217" s="4" t="str">
        <f>HYPERLINK("http://141.218.60.56/~jnz1568/getInfo.php?workbook=01_01.xlsx&amp;sheet=A0&amp;row=217&amp;col=31&amp;number=&amp;sourceID=18","")</f>
        <v/>
      </c>
      <c r="AF217" s="4" t="str">
        <f>HYPERLINK("http://141.218.60.56/~jnz1568/getInfo.php?workbook=01_01.xlsx&amp;sheet=A0&amp;row=217&amp;col=32&amp;number=&amp;sourceID=18","")</f>
        <v/>
      </c>
      <c r="AG217" s="4" t="str">
        <f>HYPERLINK("http://141.218.60.56/~jnz1568/getInfo.php?workbook=01_01.xlsx&amp;sheet=A0&amp;row=217&amp;col=33&amp;number=&amp;sourceID=18","")</f>
        <v/>
      </c>
      <c r="AH217" s="4" t="str">
        <f>HYPERLINK("http://141.218.60.56/~jnz1568/getInfo.php?workbook=01_01.xlsx&amp;sheet=A0&amp;row=217&amp;col=34&amp;number=&amp;sourceID=20","")</f>
        <v/>
      </c>
    </row>
    <row r="218" spans="1:34">
      <c r="A218" s="3">
        <v>1</v>
      </c>
      <c r="B218" s="3">
        <v>1</v>
      </c>
      <c r="C218" s="3">
        <v>22</v>
      </c>
      <c r="D218" s="3">
        <v>13</v>
      </c>
      <c r="E218" s="3">
        <f>((1/(INDEX(E0!J$4:J$28,C218,1)-INDEX(E0!J$4:J$28,D218,1))))*100000000</f>
        <v>0</v>
      </c>
      <c r="F218" s="4" t="str">
        <f>HYPERLINK("http://141.218.60.56/~jnz1568/getInfo.php?workbook=01_01.xlsx&amp;sheet=A0&amp;row=218&amp;col=6&amp;number=&amp;sourceID=18","")</f>
        <v/>
      </c>
      <c r="G218" s="4" t="str">
        <f>HYPERLINK("http://141.218.60.56/~jnz1568/getInfo.php?workbook=01_01.xlsx&amp;sheet=A0&amp;row=218&amp;col=7&amp;number=&amp;sourceID=15","")</f>
        <v/>
      </c>
      <c r="H218" s="4" t="str">
        <f>HYPERLINK("http://141.218.60.56/~jnz1568/getInfo.php?workbook=01_01.xlsx&amp;sheet=A0&amp;row=218&amp;col=8&amp;number=&amp;sourceID=15","")</f>
        <v/>
      </c>
      <c r="I218" s="4" t="str">
        <f>HYPERLINK("http://141.218.60.56/~jnz1568/getInfo.php?workbook=01_01.xlsx&amp;sheet=A0&amp;row=218&amp;col=9&amp;number=&amp;sourceID=15","")</f>
        <v/>
      </c>
      <c r="J218" s="4" t="str">
        <f>HYPERLINK("http://141.218.60.56/~jnz1568/getInfo.php?workbook=01_01.xlsx&amp;sheet=A0&amp;row=218&amp;col=10&amp;number=&amp;sourceID=15","")</f>
        <v/>
      </c>
      <c r="K218" s="4" t="str">
        <f>HYPERLINK("http://141.218.60.56/~jnz1568/getInfo.php?workbook=01_01.xlsx&amp;sheet=A0&amp;row=218&amp;col=11&amp;number=&amp;sourceID=15","")</f>
        <v/>
      </c>
      <c r="L218" s="4" t="str">
        <f>HYPERLINK("http://141.218.60.56/~jnz1568/getInfo.php?workbook=01_01.xlsx&amp;sheet=A0&amp;row=218&amp;col=12&amp;number=&amp;sourceID=15","")</f>
        <v/>
      </c>
      <c r="M218" s="4" t="str">
        <f>HYPERLINK("http://141.218.60.56/~jnz1568/getInfo.php?workbook=01_01.xlsx&amp;sheet=A0&amp;row=218&amp;col=13&amp;number=&amp;sourceID=15","")</f>
        <v/>
      </c>
      <c r="N218" s="4" t="str">
        <f>HYPERLINK("http://141.218.60.56/~jnz1568/getInfo.php?workbook=01_01.xlsx&amp;sheet=A0&amp;row=218&amp;col=14&amp;number==&amp;sourceID=11","=")</f>
        <v>=</v>
      </c>
      <c r="O218" s="4" t="str">
        <f>HYPERLINK("http://141.218.60.56/~jnz1568/getInfo.php?workbook=01_01.xlsx&amp;sheet=A0&amp;row=218&amp;col=15&amp;number=&amp;sourceID=11","")</f>
        <v/>
      </c>
      <c r="P218" s="4" t="str">
        <f>HYPERLINK("http://141.218.60.56/~jnz1568/getInfo.php?workbook=01_01.xlsx&amp;sheet=A0&amp;row=218&amp;col=16&amp;number=0.20816&amp;sourceID=11","0.20816")</f>
        <v>0.20816</v>
      </c>
      <c r="Q218" s="4" t="str">
        <f>HYPERLINK("http://141.218.60.56/~jnz1568/getInfo.php?workbook=01_01.xlsx&amp;sheet=A0&amp;row=218&amp;col=17&amp;number=&amp;sourceID=11","")</f>
        <v/>
      </c>
      <c r="R218" s="4" t="str">
        <f>HYPERLINK("http://141.218.60.56/~jnz1568/getInfo.php?workbook=01_01.xlsx&amp;sheet=A0&amp;row=218&amp;col=18&amp;number=3.7e-14&amp;sourceID=11","3.7e-14")</f>
        <v>3.7e-14</v>
      </c>
      <c r="S218" s="4" t="str">
        <f>HYPERLINK("http://141.218.60.56/~jnz1568/getInfo.php?workbook=01_01.xlsx&amp;sheet=A0&amp;row=218&amp;col=19&amp;number=&amp;sourceID=11","")</f>
        <v/>
      </c>
      <c r="T218" s="4" t="str">
        <f>HYPERLINK("http://141.218.60.56/~jnz1568/getInfo.php?workbook=01_01.xlsx&amp;sheet=A0&amp;row=218&amp;col=20&amp;number=0&amp;sourceID=11","0")</f>
        <v>0</v>
      </c>
      <c r="U218" s="4" t="str">
        <f>HYPERLINK("http://141.218.60.56/~jnz1568/getInfo.php?workbook=01_01.xlsx&amp;sheet=A0&amp;row=218&amp;col=21&amp;number=0.20827&amp;sourceID=12","0.20827")</f>
        <v>0.20827</v>
      </c>
      <c r="V218" s="4" t="str">
        <f>HYPERLINK("http://141.218.60.56/~jnz1568/getInfo.php?workbook=01_01.xlsx&amp;sheet=A0&amp;row=218&amp;col=22&amp;number=&amp;sourceID=12","")</f>
        <v/>
      </c>
      <c r="W218" s="4" t="str">
        <f>HYPERLINK("http://141.218.60.56/~jnz1568/getInfo.php?workbook=01_01.xlsx&amp;sheet=A0&amp;row=218&amp;col=23&amp;number=0.20827&amp;sourceID=12","0.20827")</f>
        <v>0.20827</v>
      </c>
      <c r="X218" s="4" t="str">
        <f>HYPERLINK("http://141.218.60.56/~jnz1568/getInfo.php?workbook=01_01.xlsx&amp;sheet=A0&amp;row=218&amp;col=24&amp;number=&amp;sourceID=12","")</f>
        <v/>
      </c>
      <c r="Y218" s="4" t="str">
        <f>HYPERLINK("http://141.218.60.56/~jnz1568/getInfo.php?workbook=01_01.xlsx&amp;sheet=A0&amp;row=218&amp;col=25&amp;number=3.7e-14&amp;sourceID=12","3.7e-14")</f>
        <v>3.7e-14</v>
      </c>
      <c r="Z218" s="4" t="str">
        <f>HYPERLINK("http://141.218.60.56/~jnz1568/getInfo.php?workbook=01_01.xlsx&amp;sheet=A0&amp;row=218&amp;col=26&amp;number=&amp;sourceID=12","")</f>
        <v/>
      </c>
      <c r="AA218" s="4" t="str">
        <f>HYPERLINK("http://141.218.60.56/~jnz1568/getInfo.php?workbook=01_01.xlsx&amp;sheet=A0&amp;row=218&amp;col=27&amp;number=0&amp;sourceID=12","0")</f>
        <v>0</v>
      </c>
      <c r="AB218" s="4" t="str">
        <f>HYPERLINK("http://141.218.60.56/~jnz1568/getInfo.php?workbook=01_01.xlsx&amp;sheet=A0&amp;row=218&amp;col=28&amp;number=&amp;sourceID=18","")</f>
        <v/>
      </c>
      <c r="AC218" s="4" t="str">
        <f>HYPERLINK("http://141.218.60.56/~jnz1568/getInfo.php?workbook=01_01.xlsx&amp;sheet=A0&amp;row=218&amp;col=29&amp;number=&amp;sourceID=18","")</f>
        <v/>
      </c>
      <c r="AD218" s="4" t="str">
        <f>HYPERLINK("http://141.218.60.56/~jnz1568/getInfo.php?workbook=01_01.xlsx&amp;sheet=A0&amp;row=218&amp;col=30&amp;number=&amp;sourceID=18","")</f>
        <v/>
      </c>
      <c r="AE218" s="4" t="str">
        <f>HYPERLINK("http://141.218.60.56/~jnz1568/getInfo.php?workbook=01_01.xlsx&amp;sheet=A0&amp;row=218&amp;col=31&amp;number=&amp;sourceID=18","")</f>
        <v/>
      </c>
      <c r="AF218" s="4" t="str">
        <f>HYPERLINK("http://141.218.60.56/~jnz1568/getInfo.php?workbook=01_01.xlsx&amp;sheet=A0&amp;row=218&amp;col=32&amp;number=&amp;sourceID=18","")</f>
        <v/>
      </c>
      <c r="AG218" s="4" t="str">
        <f>HYPERLINK("http://141.218.60.56/~jnz1568/getInfo.php?workbook=01_01.xlsx&amp;sheet=A0&amp;row=218&amp;col=33&amp;number=&amp;sourceID=18","")</f>
        <v/>
      </c>
      <c r="AH218" s="4" t="str">
        <f>HYPERLINK("http://141.218.60.56/~jnz1568/getInfo.php?workbook=01_01.xlsx&amp;sheet=A0&amp;row=218&amp;col=34&amp;number=&amp;sourceID=20","")</f>
        <v/>
      </c>
    </row>
    <row r="219" spans="1:34">
      <c r="A219" s="3">
        <v>1</v>
      </c>
      <c r="B219" s="3">
        <v>1</v>
      </c>
      <c r="C219" s="3">
        <v>22</v>
      </c>
      <c r="D219" s="3">
        <v>14</v>
      </c>
      <c r="E219" s="3">
        <f>((1/(INDEX(E0!J$4:J$28,C219,1)-INDEX(E0!J$4:J$28,D219,1))))*100000000</f>
        <v>0</v>
      </c>
      <c r="F219" s="4" t="str">
        <f>HYPERLINK("http://141.218.60.56/~jnz1568/getInfo.php?workbook=01_01.xlsx&amp;sheet=A0&amp;row=219&amp;col=6&amp;number=&amp;sourceID=18","")</f>
        <v/>
      </c>
      <c r="G219" s="4" t="str">
        <f>HYPERLINK("http://141.218.60.56/~jnz1568/getInfo.php?workbook=01_01.xlsx&amp;sheet=A0&amp;row=219&amp;col=7&amp;number=172290&amp;sourceID=15","172290")</f>
        <v>172290</v>
      </c>
      <c r="H219" s="4" t="str">
        <f>HYPERLINK("http://141.218.60.56/~jnz1568/getInfo.php?workbook=01_01.xlsx&amp;sheet=A0&amp;row=219&amp;col=8&amp;number=172290&amp;sourceID=15","172290")</f>
        <v>172290</v>
      </c>
      <c r="I219" s="4" t="str">
        <f>HYPERLINK("http://141.218.60.56/~jnz1568/getInfo.php?workbook=01_01.xlsx&amp;sheet=A0&amp;row=219&amp;col=9&amp;number=&amp;sourceID=15","")</f>
        <v/>
      </c>
      <c r="J219" s="4" t="str">
        <f>HYPERLINK("http://141.218.60.56/~jnz1568/getInfo.php?workbook=01_01.xlsx&amp;sheet=A0&amp;row=219&amp;col=10&amp;number=&amp;sourceID=15","")</f>
        <v/>
      </c>
      <c r="K219" s="4" t="str">
        <f>HYPERLINK("http://141.218.60.56/~jnz1568/getInfo.php?workbook=01_01.xlsx&amp;sheet=A0&amp;row=219&amp;col=11&amp;number=&amp;sourceID=15","")</f>
        <v/>
      </c>
      <c r="L219" s="4" t="str">
        <f>HYPERLINK("http://141.218.60.56/~jnz1568/getInfo.php?workbook=01_01.xlsx&amp;sheet=A0&amp;row=219&amp;col=12&amp;number=&amp;sourceID=15","")</f>
        <v/>
      </c>
      <c r="M219" s="4" t="str">
        <f>HYPERLINK("http://141.218.60.56/~jnz1568/getInfo.php?workbook=01_01.xlsx&amp;sheet=A0&amp;row=219&amp;col=13&amp;number=&amp;sourceID=15","")</f>
        <v/>
      </c>
      <c r="N219" s="4" t="str">
        <f>HYPERLINK("http://141.218.60.56/~jnz1568/getInfo.php?workbook=01_01.xlsx&amp;sheet=A0&amp;row=219&amp;col=14&amp;number==&amp;sourceID=11","=")</f>
        <v>=</v>
      </c>
      <c r="O219" s="4" t="str">
        <f>HYPERLINK("http://141.218.60.56/~jnz1568/getInfo.php?workbook=01_01.xlsx&amp;sheet=A0&amp;row=219&amp;col=15&amp;number=172290&amp;sourceID=11","172290")</f>
        <v>172290</v>
      </c>
      <c r="P219" s="4" t="str">
        <f>HYPERLINK("http://141.218.60.56/~jnz1568/getInfo.php?workbook=01_01.xlsx&amp;sheet=A0&amp;row=219&amp;col=16&amp;number=&amp;sourceID=11","")</f>
        <v/>
      </c>
      <c r="Q219" s="4" t="str">
        <f>HYPERLINK("http://141.218.60.56/~jnz1568/getInfo.php?workbook=01_01.xlsx&amp;sheet=A0&amp;row=219&amp;col=17&amp;number=3.185e-08&amp;sourceID=11","3.185e-08")</f>
        <v>3.185e-08</v>
      </c>
      <c r="R219" s="4" t="str">
        <f>HYPERLINK("http://141.218.60.56/~jnz1568/getInfo.php?workbook=01_01.xlsx&amp;sheet=A0&amp;row=219&amp;col=18&amp;number=&amp;sourceID=11","")</f>
        <v/>
      </c>
      <c r="S219" s="4" t="str">
        <f>HYPERLINK("http://141.218.60.56/~jnz1568/getInfo.php?workbook=01_01.xlsx&amp;sheet=A0&amp;row=219&amp;col=19&amp;number=&amp;sourceID=11","")</f>
        <v/>
      </c>
      <c r="T219" s="4" t="str">
        <f>HYPERLINK("http://141.218.60.56/~jnz1568/getInfo.php?workbook=01_01.xlsx&amp;sheet=A0&amp;row=219&amp;col=20&amp;number=&amp;sourceID=11","")</f>
        <v/>
      </c>
      <c r="U219" s="4" t="str">
        <f>HYPERLINK("http://141.218.60.56/~jnz1568/getInfo.php?workbook=01_01.xlsx&amp;sheet=A0&amp;row=219&amp;col=21&amp;number=172390&amp;sourceID=12","172390")</f>
        <v>172390</v>
      </c>
      <c r="V219" s="4" t="str">
        <f>HYPERLINK("http://141.218.60.56/~jnz1568/getInfo.php?workbook=01_01.xlsx&amp;sheet=A0&amp;row=219&amp;col=22&amp;number=172390&amp;sourceID=12","172390")</f>
        <v>172390</v>
      </c>
      <c r="W219" s="4" t="str">
        <f>HYPERLINK("http://141.218.60.56/~jnz1568/getInfo.php?workbook=01_01.xlsx&amp;sheet=A0&amp;row=219&amp;col=23&amp;number=&amp;sourceID=12","")</f>
        <v/>
      </c>
      <c r="X219" s="4" t="str">
        <f>HYPERLINK("http://141.218.60.56/~jnz1568/getInfo.php?workbook=01_01.xlsx&amp;sheet=A0&amp;row=219&amp;col=24&amp;number=3.1868e-08&amp;sourceID=12","3.1868e-08")</f>
        <v>3.1868e-08</v>
      </c>
      <c r="Y219" s="4" t="str">
        <f>HYPERLINK("http://141.218.60.56/~jnz1568/getInfo.php?workbook=01_01.xlsx&amp;sheet=A0&amp;row=219&amp;col=25&amp;number=&amp;sourceID=12","")</f>
        <v/>
      </c>
      <c r="Z219" s="4" t="str">
        <f>HYPERLINK("http://141.218.60.56/~jnz1568/getInfo.php?workbook=01_01.xlsx&amp;sheet=A0&amp;row=219&amp;col=26&amp;number=&amp;sourceID=12","")</f>
        <v/>
      </c>
      <c r="AA219" s="4" t="str">
        <f>HYPERLINK("http://141.218.60.56/~jnz1568/getInfo.php?workbook=01_01.xlsx&amp;sheet=A0&amp;row=219&amp;col=27&amp;number=&amp;sourceID=12","")</f>
        <v/>
      </c>
      <c r="AB219" s="4" t="str">
        <f>HYPERLINK("http://141.218.60.56/~jnz1568/getInfo.php?workbook=01_01.xlsx&amp;sheet=A0&amp;row=219&amp;col=28&amp;number=&amp;sourceID=18","")</f>
        <v/>
      </c>
      <c r="AC219" s="4" t="str">
        <f>HYPERLINK("http://141.218.60.56/~jnz1568/getInfo.php?workbook=01_01.xlsx&amp;sheet=A0&amp;row=219&amp;col=29&amp;number=&amp;sourceID=18","")</f>
        <v/>
      </c>
      <c r="AD219" s="4" t="str">
        <f>HYPERLINK("http://141.218.60.56/~jnz1568/getInfo.php?workbook=01_01.xlsx&amp;sheet=A0&amp;row=219&amp;col=30&amp;number=&amp;sourceID=18","")</f>
        <v/>
      </c>
      <c r="AE219" s="4" t="str">
        <f>HYPERLINK("http://141.218.60.56/~jnz1568/getInfo.php?workbook=01_01.xlsx&amp;sheet=A0&amp;row=219&amp;col=31&amp;number=&amp;sourceID=18","")</f>
        <v/>
      </c>
      <c r="AF219" s="4" t="str">
        <f>HYPERLINK("http://141.218.60.56/~jnz1568/getInfo.php?workbook=01_01.xlsx&amp;sheet=A0&amp;row=219&amp;col=32&amp;number=&amp;sourceID=18","")</f>
        <v/>
      </c>
      <c r="AG219" s="4" t="str">
        <f>HYPERLINK("http://141.218.60.56/~jnz1568/getInfo.php?workbook=01_01.xlsx&amp;sheet=A0&amp;row=219&amp;col=33&amp;number=&amp;sourceID=18","")</f>
        <v/>
      </c>
      <c r="AH219" s="4" t="str">
        <f>HYPERLINK("http://141.218.60.56/~jnz1568/getInfo.php?workbook=01_01.xlsx&amp;sheet=A0&amp;row=219&amp;col=34&amp;number=&amp;sourceID=20","")</f>
        <v/>
      </c>
    </row>
    <row r="220" spans="1:34">
      <c r="A220" s="3">
        <v>1</v>
      </c>
      <c r="B220" s="3">
        <v>1</v>
      </c>
      <c r="C220" s="3">
        <v>22</v>
      </c>
      <c r="D220" s="3">
        <v>15</v>
      </c>
      <c r="E220" s="3">
        <f>((1/(INDEX(E0!J$4:J$28,C220,1)-INDEX(E0!J$4:J$28,D220,1))))*100000000</f>
        <v>0</v>
      </c>
      <c r="F220" s="4" t="str">
        <f>HYPERLINK("http://141.218.60.56/~jnz1568/getInfo.php?workbook=01_01.xlsx&amp;sheet=A0&amp;row=220&amp;col=6&amp;number=&amp;sourceID=18","")</f>
        <v/>
      </c>
      <c r="G220" s="4" t="str">
        <f>HYPERLINK("http://141.218.60.56/~jnz1568/getInfo.php?workbook=01_01.xlsx&amp;sheet=A0&amp;row=220&amp;col=7&amp;number=&amp;sourceID=15","")</f>
        <v/>
      </c>
      <c r="H220" s="4" t="str">
        <f>HYPERLINK("http://141.218.60.56/~jnz1568/getInfo.php?workbook=01_01.xlsx&amp;sheet=A0&amp;row=220&amp;col=8&amp;number=&amp;sourceID=15","")</f>
        <v/>
      </c>
      <c r="I220" s="4" t="str">
        <f>HYPERLINK("http://141.218.60.56/~jnz1568/getInfo.php?workbook=01_01.xlsx&amp;sheet=A0&amp;row=220&amp;col=9&amp;number=&amp;sourceID=15","")</f>
        <v/>
      </c>
      <c r="J220" s="4" t="str">
        <f>HYPERLINK("http://141.218.60.56/~jnz1568/getInfo.php?workbook=01_01.xlsx&amp;sheet=A0&amp;row=220&amp;col=10&amp;number=&amp;sourceID=15","")</f>
        <v/>
      </c>
      <c r="K220" s="4" t="str">
        <f>HYPERLINK("http://141.218.60.56/~jnz1568/getInfo.php?workbook=01_01.xlsx&amp;sheet=A0&amp;row=220&amp;col=11&amp;number=&amp;sourceID=15","")</f>
        <v/>
      </c>
      <c r="L220" s="4" t="str">
        <f>HYPERLINK("http://141.218.60.56/~jnz1568/getInfo.php?workbook=01_01.xlsx&amp;sheet=A0&amp;row=220&amp;col=12&amp;number=&amp;sourceID=15","")</f>
        <v/>
      </c>
      <c r="M220" s="4" t="str">
        <f>HYPERLINK("http://141.218.60.56/~jnz1568/getInfo.php?workbook=01_01.xlsx&amp;sheet=A0&amp;row=220&amp;col=13&amp;number=&amp;sourceID=15","")</f>
        <v/>
      </c>
      <c r="N220" s="4" t="str">
        <f>HYPERLINK("http://141.218.60.56/~jnz1568/getInfo.php?workbook=01_01.xlsx&amp;sheet=A0&amp;row=220&amp;col=14&amp;number==&amp;sourceID=11","=")</f>
        <v>=</v>
      </c>
      <c r="O220" s="4" t="str">
        <f>HYPERLINK("http://141.218.60.56/~jnz1568/getInfo.php?workbook=01_01.xlsx&amp;sheet=A0&amp;row=220&amp;col=15&amp;number=&amp;sourceID=11","")</f>
        <v/>
      </c>
      <c r="P220" s="4" t="str">
        <f>HYPERLINK("http://141.218.60.56/~jnz1568/getInfo.php?workbook=01_01.xlsx&amp;sheet=A0&amp;row=220&amp;col=16&amp;number=0.13107&amp;sourceID=11","0.13107")</f>
        <v>0.13107</v>
      </c>
      <c r="Q220" s="4" t="str">
        <f>HYPERLINK("http://141.218.60.56/~jnz1568/getInfo.php?workbook=01_01.xlsx&amp;sheet=A0&amp;row=220&amp;col=17&amp;number=&amp;sourceID=11","")</f>
        <v/>
      </c>
      <c r="R220" s="4" t="str">
        <f>HYPERLINK("http://141.218.60.56/~jnz1568/getInfo.php?workbook=01_01.xlsx&amp;sheet=A0&amp;row=220&amp;col=18&amp;number=1.273e-12&amp;sourceID=11","1.273e-12")</f>
        <v>1.273e-12</v>
      </c>
      <c r="S220" s="4" t="str">
        <f>HYPERLINK("http://141.218.60.56/~jnz1568/getInfo.php?workbook=01_01.xlsx&amp;sheet=A0&amp;row=220&amp;col=19&amp;number=&amp;sourceID=11","")</f>
        <v/>
      </c>
      <c r="T220" s="4" t="str">
        <f>HYPERLINK("http://141.218.60.56/~jnz1568/getInfo.php?workbook=01_01.xlsx&amp;sheet=A0&amp;row=220&amp;col=20&amp;number=2e-15&amp;sourceID=11","2e-15")</f>
        <v>2e-15</v>
      </c>
      <c r="U220" s="4" t="str">
        <f>HYPERLINK("http://141.218.60.56/~jnz1568/getInfo.php?workbook=01_01.xlsx&amp;sheet=A0&amp;row=220&amp;col=21&amp;number=0.13114&amp;sourceID=12","0.13114")</f>
        <v>0.13114</v>
      </c>
      <c r="V220" s="4" t="str">
        <f>HYPERLINK("http://141.218.60.56/~jnz1568/getInfo.php?workbook=01_01.xlsx&amp;sheet=A0&amp;row=220&amp;col=22&amp;number=&amp;sourceID=12","")</f>
        <v/>
      </c>
      <c r="W220" s="4" t="str">
        <f>HYPERLINK("http://141.218.60.56/~jnz1568/getInfo.php?workbook=01_01.xlsx&amp;sheet=A0&amp;row=220&amp;col=23&amp;number=0.13114&amp;sourceID=12","0.13114")</f>
        <v>0.13114</v>
      </c>
      <c r="X220" s="4" t="str">
        <f>HYPERLINK("http://141.218.60.56/~jnz1568/getInfo.php?workbook=01_01.xlsx&amp;sheet=A0&amp;row=220&amp;col=24&amp;number=&amp;sourceID=12","")</f>
        <v/>
      </c>
      <c r="Y220" s="4" t="str">
        <f>HYPERLINK("http://141.218.60.56/~jnz1568/getInfo.php?workbook=01_01.xlsx&amp;sheet=A0&amp;row=220&amp;col=25&amp;number=1.281e-12&amp;sourceID=12","1.281e-12")</f>
        <v>1.281e-12</v>
      </c>
      <c r="Z220" s="4" t="str">
        <f>HYPERLINK("http://141.218.60.56/~jnz1568/getInfo.php?workbook=01_01.xlsx&amp;sheet=A0&amp;row=220&amp;col=26&amp;number=&amp;sourceID=12","")</f>
        <v/>
      </c>
      <c r="AA220" s="4" t="str">
        <f>HYPERLINK("http://141.218.60.56/~jnz1568/getInfo.php?workbook=01_01.xlsx&amp;sheet=A0&amp;row=220&amp;col=27&amp;number=2e-15&amp;sourceID=12","2e-15")</f>
        <v>2e-15</v>
      </c>
      <c r="AB220" s="4" t="str">
        <f>HYPERLINK("http://141.218.60.56/~jnz1568/getInfo.php?workbook=01_01.xlsx&amp;sheet=A0&amp;row=220&amp;col=28&amp;number=&amp;sourceID=18","")</f>
        <v/>
      </c>
      <c r="AC220" s="4" t="str">
        <f>HYPERLINK("http://141.218.60.56/~jnz1568/getInfo.php?workbook=01_01.xlsx&amp;sheet=A0&amp;row=220&amp;col=29&amp;number=&amp;sourceID=18","")</f>
        <v/>
      </c>
      <c r="AD220" s="4" t="str">
        <f>HYPERLINK("http://141.218.60.56/~jnz1568/getInfo.php?workbook=01_01.xlsx&amp;sheet=A0&amp;row=220&amp;col=30&amp;number=&amp;sourceID=18","")</f>
        <v/>
      </c>
      <c r="AE220" s="4" t="str">
        <f>HYPERLINK("http://141.218.60.56/~jnz1568/getInfo.php?workbook=01_01.xlsx&amp;sheet=A0&amp;row=220&amp;col=31&amp;number=&amp;sourceID=18","")</f>
        <v/>
      </c>
      <c r="AF220" s="4" t="str">
        <f>HYPERLINK("http://141.218.60.56/~jnz1568/getInfo.php?workbook=01_01.xlsx&amp;sheet=A0&amp;row=220&amp;col=32&amp;number=&amp;sourceID=18","")</f>
        <v/>
      </c>
      <c r="AG220" s="4" t="str">
        <f>HYPERLINK("http://141.218.60.56/~jnz1568/getInfo.php?workbook=01_01.xlsx&amp;sheet=A0&amp;row=220&amp;col=33&amp;number=&amp;sourceID=18","")</f>
        <v/>
      </c>
      <c r="AH220" s="4" t="str">
        <f>HYPERLINK("http://141.218.60.56/~jnz1568/getInfo.php?workbook=01_01.xlsx&amp;sheet=A0&amp;row=220&amp;col=34&amp;number=&amp;sourceID=20","")</f>
        <v/>
      </c>
    </row>
    <row r="221" spans="1:34">
      <c r="A221" s="3">
        <v>1</v>
      </c>
      <c r="B221" s="3">
        <v>1</v>
      </c>
      <c r="C221" s="3">
        <v>22</v>
      </c>
      <c r="D221" s="3">
        <v>16</v>
      </c>
      <c r="E221" s="3">
        <f>((1/(INDEX(E0!J$4:J$28,C221,1)-INDEX(E0!J$4:J$28,D221,1))))*100000000</f>
        <v>0</v>
      </c>
      <c r="F221" s="4" t="str">
        <f>HYPERLINK("http://141.218.60.56/~jnz1568/getInfo.php?workbook=01_01.xlsx&amp;sheet=A0&amp;row=221&amp;col=6&amp;number=&amp;sourceID=18","")</f>
        <v/>
      </c>
      <c r="G221" s="4" t="str">
        <f>HYPERLINK("http://141.218.60.56/~jnz1568/getInfo.php?workbook=01_01.xlsx&amp;sheet=A0&amp;row=221&amp;col=7&amp;number=&amp;sourceID=15","")</f>
        <v/>
      </c>
      <c r="H221" s="4" t="str">
        <f>HYPERLINK("http://141.218.60.56/~jnz1568/getInfo.php?workbook=01_01.xlsx&amp;sheet=A0&amp;row=221&amp;col=8&amp;number=&amp;sourceID=15","")</f>
        <v/>
      </c>
      <c r="I221" s="4" t="str">
        <f>HYPERLINK("http://141.218.60.56/~jnz1568/getInfo.php?workbook=01_01.xlsx&amp;sheet=A0&amp;row=221&amp;col=9&amp;number=&amp;sourceID=15","")</f>
        <v/>
      </c>
      <c r="J221" s="4" t="str">
        <f>HYPERLINK("http://141.218.60.56/~jnz1568/getInfo.php?workbook=01_01.xlsx&amp;sheet=A0&amp;row=221&amp;col=10&amp;number=&amp;sourceID=15","")</f>
        <v/>
      </c>
      <c r="K221" s="4" t="str">
        <f>HYPERLINK("http://141.218.60.56/~jnz1568/getInfo.php?workbook=01_01.xlsx&amp;sheet=A0&amp;row=221&amp;col=11&amp;number=&amp;sourceID=15","")</f>
        <v/>
      </c>
      <c r="L221" s="4" t="str">
        <f>HYPERLINK("http://141.218.60.56/~jnz1568/getInfo.php?workbook=01_01.xlsx&amp;sheet=A0&amp;row=221&amp;col=12&amp;number=&amp;sourceID=15","")</f>
        <v/>
      </c>
      <c r="M221" s="4" t="str">
        <f>HYPERLINK("http://141.218.60.56/~jnz1568/getInfo.php?workbook=01_01.xlsx&amp;sheet=A0&amp;row=221&amp;col=13&amp;number=&amp;sourceID=15","")</f>
        <v/>
      </c>
      <c r="N221" s="4" t="str">
        <f>HYPERLINK("http://141.218.60.56/~jnz1568/getInfo.php?workbook=01_01.xlsx&amp;sheet=A0&amp;row=221&amp;col=14&amp;number==&amp;sourceID=11","=")</f>
        <v>=</v>
      </c>
      <c r="O221" s="4" t="str">
        <f>HYPERLINK("http://141.218.60.56/~jnz1568/getInfo.php?workbook=01_01.xlsx&amp;sheet=A0&amp;row=221&amp;col=15&amp;number=&amp;sourceID=11","")</f>
        <v/>
      </c>
      <c r="P221" s="4" t="str">
        <f>HYPERLINK("http://141.218.60.56/~jnz1568/getInfo.php?workbook=01_01.xlsx&amp;sheet=A0&amp;row=221&amp;col=16&amp;number=0.021845&amp;sourceID=11","0.021845")</f>
        <v>0.021845</v>
      </c>
      <c r="Q221" s="4" t="str">
        <f>HYPERLINK("http://141.218.60.56/~jnz1568/getInfo.php?workbook=01_01.xlsx&amp;sheet=A0&amp;row=221&amp;col=17&amp;number=&amp;sourceID=11","")</f>
        <v/>
      </c>
      <c r="R221" s="4" t="str">
        <f>HYPERLINK("http://141.218.60.56/~jnz1568/getInfo.php?workbook=01_01.xlsx&amp;sheet=A0&amp;row=221&amp;col=18&amp;number=1.194e-12&amp;sourceID=11","1.194e-12")</f>
        <v>1.194e-12</v>
      </c>
      <c r="S221" s="4" t="str">
        <f>HYPERLINK("http://141.218.60.56/~jnz1568/getInfo.php?workbook=01_01.xlsx&amp;sheet=A0&amp;row=221&amp;col=19&amp;number=&amp;sourceID=11","")</f>
        <v/>
      </c>
      <c r="T221" s="4" t="str">
        <f>HYPERLINK("http://141.218.60.56/~jnz1568/getInfo.php?workbook=01_01.xlsx&amp;sheet=A0&amp;row=221&amp;col=20&amp;number=0&amp;sourceID=11","0")</f>
        <v>0</v>
      </c>
      <c r="U221" s="4" t="str">
        <f>HYPERLINK("http://141.218.60.56/~jnz1568/getInfo.php?workbook=01_01.xlsx&amp;sheet=A0&amp;row=221&amp;col=21&amp;number=0.021857&amp;sourceID=12","0.021857")</f>
        <v>0.021857</v>
      </c>
      <c r="V221" s="4" t="str">
        <f>HYPERLINK("http://141.218.60.56/~jnz1568/getInfo.php?workbook=01_01.xlsx&amp;sheet=A0&amp;row=221&amp;col=22&amp;number=&amp;sourceID=12","")</f>
        <v/>
      </c>
      <c r="W221" s="4" t="str">
        <f>HYPERLINK("http://141.218.60.56/~jnz1568/getInfo.php?workbook=01_01.xlsx&amp;sheet=A0&amp;row=221&amp;col=23&amp;number=0.021857&amp;sourceID=12","0.021857")</f>
        <v>0.021857</v>
      </c>
      <c r="X221" s="4" t="str">
        <f>HYPERLINK("http://141.218.60.56/~jnz1568/getInfo.php?workbook=01_01.xlsx&amp;sheet=A0&amp;row=221&amp;col=24&amp;number=&amp;sourceID=12","")</f>
        <v/>
      </c>
      <c r="Y221" s="4" t="str">
        <f>HYPERLINK("http://141.218.60.56/~jnz1568/getInfo.php?workbook=01_01.xlsx&amp;sheet=A0&amp;row=221&amp;col=25&amp;number=1.197e-12&amp;sourceID=12","1.197e-12")</f>
        <v>1.197e-12</v>
      </c>
      <c r="Z221" s="4" t="str">
        <f>HYPERLINK("http://141.218.60.56/~jnz1568/getInfo.php?workbook=01_01.xlsx&amp;sheet=A0&amp;row=221&amp;col=26&amp;number=&amp;sourceID=12","")</f>
        <v/>
      </c>
      <c r="AA221" s="4" t="str">
        <f>HYPERLINK("http://141.218.60.56/~jnz1568/getInfo.php?workbook=01_01.xlsx&amp;sheet=A0&amp;row=221&amp;col=27&amp;number=0&amp;sourceID=12","0")</f>
        <v>0</v>
      </c>
      <c r="AB221" s="4" t="str">
        <f>HYPERLINK("http://141.218.60.56/~jnz1568/getInfo.php?workbook=01_01.xlsx&amp;sheet=A0&amp;row=221&amp;col=28&amp;number=&amp;sourceID=18","")</f>
        <v/>
      </c>
      <c r="AC221" s="4" t="str">
        <f>HYPERLINK("http://141.218.60.56/~jnz1568/getInfo.php?workbook=01_01.xlsx&amp;sheet=A0&amp;row=221&amp;col=29&amp;number=&amp;sourceID=18","")</f>
        <v/>
      </c>
      <c r="AD221" s="4" t="str">
        <f>HYPERLINK("http://141.218.60.56/~jnz1568/getInfo.php?workbook=01_01.xlsx&amp;sheet=A0&amp;row=221&amp;col=30&amp;number=&amp;sourceID=18","")</f>
        <v/>
      </c>
      <c r="AE221" s="4" t="str">
        <f>HYPERLINK("http://141.218.60.56/~jnz1568/getInfo.php?workbook=01_01.xlsx&amp;sheet=A0&amp;row=221&amp;col=31&amp;number=&amp;sourceID=18","")</f>
        <v/>
      </c>
      <c r="AF221" s="4" t="str">
        <f>HYPERLINK("http://141.218.60.56/~jnz1568/getInfo.php?workbook=01_01.xlsx&amp;sheet=A0&amp;row=221&amp;col=32&amp;number=&amp;sourceID=18","")</f>
        <v/>
      </c>
      <c r="AG221" s="4" t="str">
        <f>HYPERLINK("http://141.218.60.56/~jnz1568/getInfo.php?workbook=01_01.xlsx&amp;sheet=A0&amp;row=221&amp;col=33&amp;number=&amp;sourceID=18","")</f>
        <v/>
      </c>
      <c r="AH221" s="4" t="str">
        <f>HYPERLINK("http://141.218.60.56/~jnz1568/getInfo.php?workbook=01_01.xlsx&amp;sheet=A0&amp;row=221&amp;col=34&amp;number=&amp;sourceID=20","")</f>
        <v/>
      </c>
    </row>
    <row r="222" spans="1:34">
      <c r="A222" s="3">
        <v>1</v>
      </c>
      <c r="B222" s="3">
        <v>1</v>
      </c>
      <c r="C222" s="3">
        <v>22</v>
      </c>
      <c r="D222" s="3">
        <v>17</v>
      </c>
      <c r="E222" s="3">
        <f>((1/(INDEX(E0!J$4:J$28,C222,1)-INDEX(E0!J$4:J$28,D222,1))))*100000000</f>
        <v>0</v>
      </c>
      <c r="F222" s="4" t="str">
        <f>HYPERLINK("http://141.218.60.56/~jnz1568/getInfo.php?workbook=01_01.xlsx&amp;sheet=A0&amp;row=222&amp;col=6&amp;number=&amp;sourceID=18","")</f>
        <v/>
      </c>
      <c r="G222" s="4" t="str">
        <f>HYPERLINK("http://141.218.60.56/~jnz1568/getInfo.php?workbook=01_01.xlsx&amp;sheet=A0&amp;row=222&amp;col=7&amp;number=&amp;sourceID=15","")</f>
        <v/>
      </c>
      <c r="H222" s="4" t="str">
        <f>HYPERLINK("http://141.218.60.56/~jnz1568/getInfo.php?workbook=01_01.xlsx&amp;sheet=A0&amp;row=222&amp;col=8&amp;number=&amp;sourceID=15","")</f>
        <v/>
      </c>
      <c r="I222" s="4" t="str">
        <f>HYPERLINK("http://141.218.60.56/~jnz1568/getInfo.php?workbook=01_01.xlsx&amp;sheet=A0&amp;row=222&amp;col=9&amp;number=&amp;sourceID=15","")</f>
        <v/>
      </c>
      <c r="J222" s="4" t="str">
        <f>HYPERLINK("http://141.218.60.56/~jnz1568/getInfo.php?workbook=01_01.xlsx&amp;sheet=A0&amp;row=222&amp;col=10&amp;number=&amp;sourceID=15","")</f>
        <v/>
      </c>
      <c r="K222" s="4" t="str">
        <f>HYPERLINK("http://141.218.60.56/~jnz1568/getInfo.php?workbook=01_01.xlsx&amp;sheet=A0&amp;row=222&amp;col=11&amp;number=&amp;sourceID=15","")</f>
        <v/>
      </c>
      <c r="L222" s="4" t="str">
        <f>HYPERLINK("http://141.218.60.56/~jnz1568/getInfo.php?workbook=01_01.xlsx&amp;sheet=A0&amp;row=222&amp;col=12&amp;number=&amp;sourceID=15","")</f>
        <v/>
      </c>
      <c r="M222" s="4" t="str">
        <f>HYPERLINK("http://141.218.60.56/~jnz1568/getInfo.php?workbook=01_01.xlsx&amp;sheet=A0&amp;row=222&amp;col=13&amp;number=&amp;sourceID=15","")</f>
        <v/>
      </c>
      <c r="N222" s="4" t="str">
        <f>HYPERLINK("http://141.218.60.56/~jnz1568/getInfo.php?workbook=01_01.xlsx&amp;sheet=A0&amp;row=222&amp;col=14&amp;number==&amp;sourceID=11","=")</f>
        <v>=</v>
      </c>
      <c r="O222" s="4" t="str">
        <f>HYPERLINK("http://141.218.60.56/~jnz1568/getInfo.php?workbook=01_01.xlsx&amp;sheet=A0&amp;row=222&amp;col=15&amp;number=&amp;sourceID=11","")</f>
        <v/>
      </c>
      <c r="P222" s="4" t="str">
        <f>HYPERLINK("http://141.218.60.56/~jnz1568/getInfo.php?workbook=01_01.xlsx&amp;sheet=A0&amp;row=222&amp;col=16&amp;number=0&amp;sourceID=11","0")</f>
        <v>0</v>
      </c>
      <c r="Q222" s="4" t="str">
        <f>HYPERLINK("http://141.218.60.56/~jnz1568/getInfo.php?workbook=01_01.xlsx&amp;sheet=A0&amp;row=222&amp;col=17&amp;number=&amp;sourceID=11","")</f>
        <v/>
      </c>
      <c r="R222" s="4" t="str">
        <f>HYPERLINK("http://141.218.60.56/~jnz1568/getInfo.php?workbook=01_01.xlsx&amp;sheet=A0&amp;row=222&amp;col=18&amp;number=&amp;sourceID=11","")</f>
        <v/>
      </c>
      <c r="S222" s="4" t="str">
        <f>HYPERLINK("http://141.218.60.56/~jnz1568/getInfo.php?workbook=01_01.xlsx&amp;sheet=A0&amp;row=222&amp;col=19&amp;number=&amp;sourceID=11","")</f>
        <v/>
      </c>
      <c r="T222" s="4" t="str">
        <f>HYPERLINK("http://141.218.60.56/~jnz1568/getInfo.php?workbook=01_01.xlsx&amp;sheet=A0&amp;row=222&amp;col=20&amp;number=0&amp;sourceID=11","0")</f>
        <v>0</v>
      </c>
      <c r="U222" s="4" t="str">
        <f>HYPERLINK("http://141.218.60.56/~jnz1568/getInfo.php?workbook=01_01.xlsx&amp;sheet=A0&amp;row=222&amp;col=21&amp;number=0&amp;sourceID=12","0")</f>
        <v>0</v>
      </c>
      <c r="V222" s="4" t="str">
        <f>HYPERLINK("http://141.218.60.56/~jnz1568/getInfo.php?workbook=01_01.xlsx&amp;sheet=A0&amp;row=222&amp;col=22&amp;number=&amp;sourceID=12","")</f>
        <v/>
      </c>
      <c r="W222" s="4" t="str">
        <f>HYPERLINK("http://141.218.60.56/~jnz1568/getInfo.php?workbook=01_01.xlsx&amp;sheet=A0&amp;row=222&amp;col=23&amp;number=0&amp;sourceID=12","0")</f>
        <v>0</v>
      </c>
      <c r="X222" s="4" t="str">
        <f>HYPERLINK("http://141.218.60.56/~jnz1568/getInfo.php?workbook=01_01.xlsx&amp;sheet=A0&amp;row=222&amp;col=24&amp;number=&amp;sourceID=12","")</f>
        <v/>
      </c>
      <c r="Y222" s="4" t="str">
        <f>HYPERLINK("http://141.218.60.56/~jnz1568/getInfo.php?workbook=01_01.xlsx&amp;sheet=A0&amp;row=222&amp;col=25&amp;number=&amp;sourceID=12","")</f>
        <v/>
      </c>
      <c r="Z222" s="4" t="str">
        <f>HYPERLINK("http://141.218.60.56/~jnz1568/getInfo.php?workbook=01_01.xlsx&amp;sheet=A0&amp;row=222&amp;col=26&amp;number=&amp;sourceID=12","")</f>
        <v/>
      </c>
      <c r="AA222" s="4" t="str">
        <f>HYPERLINK("http://141.218.60.56/~jnz1568/getInfo.php?workbook=01_01.xlsx&amp;sheet=A0&amp;row=222&amp;col=27&amp;number=0&amp;sourceID=12","0")</f>
        <v>0</v>
      </c>
      <c r="AB222" s="4" t="str">
        <f>HYPERLINK("http://141.218.60.56/~jnz1568/getInfo.php?workbook=01_01.xlsx&amp;sheet=A0&amp;row=222&amp;col=28&amp;number=&amp;sourceID=18","")</f>
        <v/>
      </c>
      <c r="AC222" s="4" t="str">
        <f>HYPERLINK("http://141.218.60.56/~jnz1568/getInfo.php?workbook=01_01.xlsx&amp;sheet=A0&amp;row=222&amp;col=29&amp;number=&amp;sourceID=18","")</f>
        <v/>
      </c>
      <c r="AD222" s="4" t="str">
        <f>HYPERLINK("http://141.218.60.56/~jnz1568/getInfo.php?workbook=01_01.xlsx&amp;sheet=A0&amp;row=222&amp;col=30&amp;number=&amp;sourceID=18","")</f>
        <v/>
      </c>
      <c r="AE222" s="4" t="str">
        <f>HYPERLINK("http://141.218.60.56/~jnz1568/getInfo.php?workbook=01_01.xlsx&amp;sheet=A0&amp;row=222&amp;col=31&amp;number=&amp;sourceID=18","")</f>
        <v/>
      </c>
      <c r="AF222" s="4" t="str">
        <f>HYPERLINK("http://141.218.60.56/~jnz1568/getInfo.php?workbook=01_01.xlsx&amp;sheet=A0&amp;row=222&amp;col=32&amp;number=&amp;sourceID=18","")</f>
        <v/>
      </c>
      <c r="AG222" s="4" t="str">
        <f>HYPERLINK("http://141.218.60.56/~jnz1568/getInfo.php?workbook=01_01.xlsx&amp;sheet=A0&amp;row=222&amp;col=33&amp;number=&amp;sourceID=18","")</f>
        <v/>
      </c>
      <c r="AH222" s="4" t="str">
        <f>HYPERLINK("http://141.218.60.56/~jnz1568/getInfo.php?workbook=01_01.xlsx&amp;sheet=A0&amp;row=222&amp;col=34&amp;number=&amp;sourceID=20","")</f>
        <v/>
      </c>
    </row>
    <row r="223" spans="1:34">
      <c r="A223" s="3">
        <v>1</v>
      </c>
      <c r="B223" s="3">
        <v>1</v>
      </c>
      <c r="C223" s="3">
        <v>22</v>
      </c>
      <c r="D223" s="3">
        <v>18</v>
      </c>
      <c r="E223" s="3">
        <f>((1/(INDEX(E0!J$4:J$28,C223,1)-INDEX(E0!J$4:J$28,D223,1))))*100000000</f>
        <v>0</v>
      </c>
      <c r="F223" s="4" t="str">
        <f>HYPERLINK("http://141.218.60.56/~jnz1568/getInfo.php?workbook=01_01.xlsx&amp;sheet=A0&amp;row=223&amp;col=6&amp;number=&amp;sourceID=18","")</f>
        <v/>
      </c>
      <c r="G223" s="4" t="str">
        <f>HYPERLINK("http://141.218.60.56/~jnz1568/getInfo.php?workbook=01_01.xlsx&amp;sheet=A0&amp;row=223&amp;col=7&amp;number=&amp;sourceID=15","")</f>
        <v/>
      </c>
      <c r="H223" s="4" t="str">
        <f>HYPERLINK("http://141.218.60.56/~jnz1568/getInfo.php?workbook=01_01.xlsx&amp;sheet=A0&amp;row=223&amp;col=8&amp;number=&amp;sourceID=15","")</f>
        <v/>
      </c>
      <c r="I223" s="4" t="str">
        <f>HYPERLINK("http://141.218.60.56/~jnz1568/getInfo.php?workbook=01_01.xlsx&amp;sheet=A0&amp;row=223&amp;col=9&amp;number=&amp;sourceID=15","")</f>
        <v/>
      </c>
      <c r="J223" s="4" t="str">
        <f>HYPERLINK("http://141.218.60.56/~jnz1568/getInfo.php?workbook=01_01.xlsx&amp;sheet=A0&amp;row=223&amp;col=10&amp;number=&amp;sourceID=15","")</f>
        <v/>
      </c>
      <c r="K223" s="4" t="str">
        <f>HYPERLINK("http://141.218.60.56/~jnz1568/getInfo.php?workbook=01_01.xlsx&amp;sheet=A0&amp;row=223&amp;col=11&amp;number=&amp;sourceID=15","")</f>
        <v/>
      </c>
      <c r="L223" s="4" t="str">
        <f>HYPERLINK("http://141.218.60.56/~jnz1568/getInfo.php?workbook=01_01.xlsx&amp;sheet=A0&amp;row=223&amp;col=12&amp;number=&amp;sourceID=15","")</f>
        <v/>
      </c>
      <c r="M223" s="4" t="str">
        <f>HYPERLINK("http://141.218.60.56/~jnz1568/getInfo.php?workbook=01_01.xlsx&amp;sheet=A0&amp;row=223&amp;col=13&amp;number=&amp;sourceID=15","")</f>
        <v/>
      </c>
      <c r="N223" s="4" t="str">
        <f>HYPERLINK("http://141.218.60.56/~jnz1568/getInfo.php?workbook=01_01.xlsx&amp;sheet=A0&amp;row=223&amp;col=14&amp;number==&amp;sourceID=11","=")</f>
        <v>=</v>
      </c>
      <c r="O223" s="4" t="str">
        <f>HYPERLINK("http://141.218.60.56/~jnz1568/getInfo.php?workbook=01_01.xlsx&amp;sheet=A0&amp;row=223&amp;col=15&amp;number=&amp;sourceID=11","")</f>
        <v/>
      </c>
      <c r="P223" s="4" t="str">
        <f>HYPERLINK("http://141.218.60.56/~jnz1568/getInfo.php?workbook=01_01.xlsx&amp;sheet=A0&amp;row=223&amp;col=16&amp;number=&amp;sourceID=11","")</f>
        <v/>
      </c>
      <c r="Q223" s="4" t="str">
        <f>HYPERLINK("http://141.218.60.56/~jnz1568/getInfo.php?workbook=01_01.xlsx&amp;sheet=A0&amp;row=223&amp;col=17&amp;number=0&amp;sourceID=11","0")</f>
        <v>0</v>
      </c>
      <c r="R223" s="4" t="str">
        <f>HYPERLINK("http://141.218.60.56/~jnz1568/getInfo.php?workbook=01_01.xlsx&amp;sheet=A0&amp;row=223&amp;col=18&amp;number=&amp;sourceID=11","")</f>
        <v/>
      </c>
      <c r="S223" s="4" t="str">
        <f>HYPERLINK("http://141.218.60.56/~jnz1568/getInfo.php?workbook=01_01.xlsx&amp;sheet=A0&amp;row=223&amp;col=19&amp;number=0&amp;sourceID=11","0")</f>
        <v>0</v>
      </c>
      <c r="T223" s="4" t="str">
        <f>HYPERLINK("http://141.218.60.56/~jnz1568/getInfo.php?workbook=01_01.xlsx&amp;sheet=A0&amp;row=223&amp;col=20&amp;number=&amp;sourceID=11","")</f>
        <v/>
      </c>
      <c r="U223" s="4" t="str">
        <f>HYPERLINK("http://141.218.60.56/~jnz1568/getInfo.php?workbook=01_01.xlsx&amp;sheet=A0&amp;row=223&amp;col=21&amp;number=0&amp;sourceID=12","0")</f>
        <v>0</v>
      </c>
      <c r="V223" s="4" t="str">
        <f>HYPERLINK("http://141.218.60.56/~jnz1568/getInfo.php?workbook=01_01.xlsx&amp;sheet=A0&amp;row=223&amp;col=22&amp;number=&amp;sourceID=12","")</f>
        <v/>
      </c>
      <c r="W223" s="4" t="str">
        <f>HYPERLINK("http://141.218.60.56/~jnz1568/getInfo.php?workbook=01_01.xlsx&amp;sheet=A0&amp;row=223&amp;col=23&amp;number=&amp;sourceID=12","")</f>
        <v/>
      </c>
      <c r="X223" s="4" t="str">
        <f>HYPERLINK("http://141.218.60.56/~jnz1568/getInfo.php?workbook=01_01.xlsx&amp;sheet=A0&amp;row=223&amp;col=24&amp;number=0&amp;sourceID=12","0")</f>
        <v>0</v>
      </c>
      <c r="Y223" s="4" t="str">
        <f>HYPERLINK("http://141.218.60.56/~jnz1568/getInfo.php?workbook=01_01.xlsx&amp;sheet=A0&amp;row=223&amp;col=25&amp;number=&amp;sourceID=12","")</f>
        <v/>
      </c>
      <c r="Z223" s="4" t="str">
        <f>HYPERLINK("http://141.218.60.56/~jnz1568/getInfo.php?workbook=01_01.xlsx&amp;sheet=A0&amp;row=223&amp;col=26&amp;number=0&amp;sourceID=12","0")</f>
        <v>0</v>
      </c>
      <c r="AA223" s="4" t="str">
        <f>HYPERLINK("http://141.218.60.56/~jnz1568/getInfo.php?workbook=01_01.xlsx&amp;sheet=A0&amp;row=223&amp;col=27&amp;number=&amp;sourceID=12","")</f>
        <v/>
      </c>
      <c r="AB223" s="4" t="str">
        <f>HYPERLINK("http://141.218.60.56/~jnz1568/getInfo.php?workbook=01_01.xlsx&amp;sheet=A0&amp;row=223&amp;col=28&amp;number=&amp;sourceID=18","")</f>
        <v/>
      </c>
      <c r="AC223" s="4" t="str">
        <f>HYPERLINK("http://141.218.60.56/~jnz1568/getInfo.php?workbook=01_01.xlsx&amp;sheet=A0&amp;row=223&amp;col=29&amp;number=&amp;sourceID=18","")</f>
        <v/>
      </c>
      <c r="AD223" s="4" t="str">
        <f>HYPERLINK("http://141.218.60.56/~jnz1568/getInfo.php?workbook=01_01.xlsx&amp;sheet=A0&amp;row=223&amp;col=30&amp;number=&amp;sourceID=18","")</f>
        <v/>
      </c>
      <c r="AE223" s="4" t="str">
        <f>HYPERLINK("http://141.218.60.56/~jnz1568/getInfo.php?workbook=01_01.xlsx&amp;sheet=A0&amp;row=223&amp;col=31&amp;number=&amp;sourceID=18","")</f>
        <v/>
      </c>
      <c r="AF223" s="4" t="str">
        <f>HYPERLINK("http://141.218.60.56/~jnz1568/getInfo.php?workbook=01_01.xlsx&amp;sheet=A0&amp;row=223&amp;col=32&amp;number=&amp;sourceID=18","")</f>
        <v/>
      </c>
      <c r="AG223" s="4" t="str">
        <f>HYPERLINK("http://141.218.60.56/~jnz1568/getInfo.php?workbook=01_01.xlsx&amp;sheet=A0&amp;row=223&amp;col=33&amp;number=&amp;sourceID=18","")</f>
        <v/>
      </c>
      <c r="AH223" s="4" t="str">
        <f>HYPERLINK("http://141.218.60.56/~jnz1568/getInfo.php?workbook=01_01.xlsx&amp;sheet=A0&amp;row=223&amp;col=34&amp;number=&amp;sourceID=20","")</f>
        <v/>
      </c>
    </row>
    <row r="224" spans="1:34">
      <c r="A224" s="3">
        <v>1</v>
      </c>
      <c r="B224" s="3">
        <v>1</v>
      </c>
      <c r="C224" s="3">
        <v>22</v>
      </c>
      <c r="D224" s="3">
        <v>19</v>
      </c>
      <c r="E224" s="3">
        <f>((1/(INDEX(E0!J$4:J$28,C224,1)-INDEX(E0!J$4:J$28,D224,1))))*100000000</f>
        <v>0</v>
      </c>
      <c r="F224" s="4" t="str">
        <f>HYPERLINK("http://141.218.60.56/~jnz1568/getInfo.php?workbook=01_01.xlsx&amp;sheet=A0&amp;row=224&amp;col=6&amp;number=&amp;sourceID=18","")</f>
        <v/>
      </c>
      <c r="G224" s="4" t="str">
        <f>HYPERLINK("http://141.218.60.56/~jnz1568/getInfo.php?workbook=01_01.xlsx&amp;sheet=A0&amp;row=224&amp;col=7&amp;number=&amp;sourceID=15","")</f>
        <v/>
      </c>
      <c r="H224" s="4" t="str">
        <f>HYPERLINK("http://141.218.60.56/~jnz1568/getInfo.php?workbook=01_01.xlsx&amp;sheet=A0&amp;row=224&amp;col=8&amp;number=&amp;sourceID=15","")</f>
        <v/>
      </c>
      <c r="I224" s="4" t="str">
        <f>HYPERLINK("http://141.218.60.56/~jnz1568/getInfo.php?workbook=01_01.xlsx&amp;sheet=A0&amp;row=224&amp;col=9&amp;number=&amp;sourceID=15","")</f>
        <v/>
      </c>
      <c r="J224" s="4" t="str">
        <f>HYPERLINK("http://141.218.60.56/~jnz1568/getInfo.php?workbook=01_01.xlsx&amp;sheet=A0&amp;row=224&amp;col=10&amp;number=&amp;sourceID=15","")</f>
        <v/>
      </c>
      <c r="K224" s="4" t="str">
        <f>HYPERLINK("http://141.218.60.56/~jnz1568/getInfo.php?workbook=01_01.xlsx&amp;sheet=A0&amp;row=224&amp;col=11&amp;number=&amp;sourceID=15","")</f>
        <v/>
      </c>
      <c r="L224" s="4" t="str">
        <f>HYPERLINK("http://141.218.60.56/~jnz1568/getInfo.php?workbook=01_01.xlsx&amp;sheet=A0&amp;row=224&amp;col=12&amp;number=&amp;sourceID=15","")</f>
        <v/>
      </c>
      <c r="M224" s="4" t="str">
        <f>HYPERLINK("http://141.218.60.56/~jnz1568/getInfo.php?workbook=01_01.xlsx&amp;sheet=A0&amp;row=224&amp;col=13&amp;number=&amp;sourceID=15","")</f>
        <v/>
      </c>
      <c r="N224" s="4" t="str">
        <f>HYPERLINK("http://141.218.60.56/~jnz1568/getInfo.php?workbook=01_01.xlsx&amp;sheet=A0&amp;row=224&amp;col=14&amp;number==&amp;sourceID=11","=")</f>
        <v>=</v>
      </c>
      <c r="O224" s="4" t="str">
        <f>HYPERLINK("http://141.218.60.56/~jnz1568/getInfo.php?workbook=01_01.xlsx&amp;sheet=A0&amp;row=224&amp;col=15&amp;number=3.4484e-10&amp;sourceID=11","3.4484e-10")</f>
        <v>3.4484e-10</v>
      </c>
      <c r="P224" s="4" t="str">
        <f>HYPERLINK("http://141.218.60.56/~jnz1568/getInfo.php?workbook=01_01.xlsx&amp;sheet=A0&amp;row=224&amp;col=16&amp;number=&amp;sourceID=11","")</f>
        <v/>
      </c>
      <c r="Q224" s="4" t="str">
        <f>HYPERLINK("http://141.218.60.56/~jnz1568/getInfo.php?workbook=01_01.xlsx&amp;sheet=A0&amp;row=224&amp;col=17&amp;number=0&amp;sourceID=11","0")</f>
        <v>0</v>
      </c>
      <c r="R224" s="4" t="str">
        <f>HYPERLINK("http://141.218.60.56/~jnz1568/getInfo.php?workbook=01_01.xlsx&amp;sheet=A0&amp;row=224&amp;col=18&amp;number=&amp;sourceID=11","")</f>
        <v/>
      </c>
      <c r="S224" s="4" t="str">
        <f>HYPERLINK("http://141.218.60.56/~jnz1568/getInfo.php?workbook=01_01.xlsx&amp;sheet=A0&amp;row=224&amp;col=19&amp;number=0&amp;sourceID=11","0")</f>
        <v>0</v>
      </c>
      <c r="T224" s="4" t="str">
        <f>HYPERLINK("http://141.218.60.56/~jnz1568/getInfo.php?workbook=01_01.xlsx&amp;sheet=A0&amp;row=224&amp;col=20&amp;number=&amp;sourceID=11","")</f>
        <v/>
      </c>
      <c r="U224" s="4" t="str">
        <f>HYPERLINK("http://141.218.60.56/~jnz1568/getInfo.php?workbook=01_01.xlsx&amp;sheet=A0&amp;row=224&amp;col=21&amp;number=3.4935e-10&amp;sourceID=12","3.4935e-10")</f>
        <v>3.4935e-10</v>
      </c>
      <c r="V224" s="4" t="str">
        <f>HYPERLINK("http://141.218.60.56/~jnz1568/getInfo.php?workbook=01_01.xlsx&amp;sheet=A0&amp;row=224&amp;col=22&amp;number=3.4935e-10&amp;sourceID=12","3.4935e-10")</f>
        <v>3.4935e-10</v>
      </c>
      <c r="W224" s="4" t="str">
        <f>HYPERLINK("http://141.218.60.56/~jnz1568/getInfo.php?workbook=01_01.xlsx&amp;sheet=A0&amp;row=224&amp;col=23&amp;number=&amp;sourceID=12","")</f>
        <v/>
      </c>
      <c r="X224" s="4" t="str">
        <f>HYPERLINK("http://141.218.60.56/~jnz1568/getInfo.php?workbook=01_01.xlsx&amp;sheet=A0&amp;row=224&amp;col=24&amp;number=0&amp;sourceID=12","0")</f>
        <v>0</v>
      </c>
      <c r="Y224" s="4" t="str">
        <f>HYPERLINK("http://141.218.60.56/~jnz1568/getInfo.php?workbook=01_01.xlsx&amp;sheet=A0&amp;row=224&amp;col=25&amp;number=&amp;sourceID=12","")</f>
        <v/>
      </c>
      <c r="Z224" s="4" t="str">
        <f>HYPERLINK("http://141.218.60.56/~jnz1568/getInfo.php?workbook=01_01.xlsx&amp;sheet=A0&amp;row=224&amp;col=26&amp;number=0&amp;sourceID=12","0")</f>
        <v>0</v>
      </c>
      <c r="AA224" s="4" t="str">
        <f>HYPERLINK("http://141.218.60.56/~jnz1568/getInfo.php?workbook=01_01.xlsx&amp;sheet=A0&amp;row=224&amp;col=27&amp;number=&amp;sourceID=12","")</f>
        <v/>
      </c>
      <c r="AB224" s="4" t="str">
        <f>HYPERLINK("http://141.218.60.56/~jnz1568/getInfo.php?workbook=01_01.xlsx&amp;sheet=A0&amp;row=224&amp;col=28&amp;number=&amp;sourceID=18","")</f>
        <v/>
      </c>
      <c r="AC224" s="4" t="str">
        <f>HYPERLINK("http://141.218.60.56/~jnz1568/getInfo.php?workbook=01_01.xlsx&amp;sheet=A0&amp;row=224&amp;col=29&amp;number=&amp;sourceID=18","")</f>
        <v/>
      </c>
      <c r="AD224" s="4" t="str">
        <f>HYPERLINK("http://141.218.60.56/~jnz1568/getInfo.php?workbook=01_01.xlsx&amp;sheet=A0&amp;row=224&amp;col=30&amp;number=&amp;sourceID=18","")</f>
        <v/>
      </c>
      <c r="AE224" s="4" t="str">
        <f>HYPERLINK("http://141.218.60.56/~jnz1568/getInfo.php?workbook=01_01.xlsx&amp;sheet=A0&amp;row=224&amp;col=31&amp;number=&amp;sourceID=18","")</f>
        <v/>
      </c>
      <c r="AF224" s="4" t="str">
        <f>HYPERLINK("http://141.218.60.56/~jnz1568/getInfo.php?workbook=01_01.xlsx&amp;sheet=A0&amp;row=224&amp;col=32&amp;number=&amp;sourceID=18","")</f>
        <v/>
      </c>
      <c r="AG224" s="4" t="str">
        <f>HYPERLINK("http://141.218.60.56/~jnz1568/getInfo.php?workbook=01_01.xlsx&amp;sheet=A0&amp;row=224&amp;col=33&amp;number=&amp;sourceID=18","")</f>
        <v/>
      </c>
      <c r="AH224" s="4" t="str">
        <f>HYPERLINK("http://141.218.60.56/~jnz1568/getInfo.php?workbook=01_01.xlsx&amp;sheet=A0&amp;row=224&amp;col=34&amp;number=&amp;sourceID=20","")</f>
        <v/>
      </c>
    </row>
    <row r="225" spans="1:34">
      <c r="A225" s="3">
        <v>1</v>
      </c>
      <c r="B225" s="3">
        <v>1</v>
      </c>
      <c r="C225" s="3">
        <v>22</v>
      </c>
      <c r="D225" s="3">
        <v>20</v>
      </c>
      <c r="E225" s="3">
        <f>((1/(INDEX(E0!J$4:J$28,C225,1)-INDEX(E0!J$4:J$28,D225,1))))*100000000</f>
        <v>0</v>
      </c>
      <c r="F225" s="4" t="str">
        <f>HYPERLINK("http://141.218.60.56/~jnz1568/getInfo.php?workbook=01_01.xlsx&amp;sheet=A0&amp;row=225&amp;col=6&amp;number=&amp;sourceID=18","")</f>
        <v/>
      </c>
      <c r="G225" s="4" t="str">
        <f>HYPERLINK("http://141.218.60.56/~jnz1568/getInfo.php?workbook=01_01.xlsx&amp;sheet=A0&amp;row=225&amp;col=7&amp;number=&amp;sourceID=15","")</f>
        <v/>
      </c>
      <c r="H225" s="4" t="str">
        <f>HYPERLINK("http://141.218.60.56/~jnz1568/getInfo.php?workbook=01_01.xlsx&amp;sheet=A0&amp;row=225&amp;col=8&amp;number=&amp;sourceID=15","")</f>
        <v/>
      </c>
      <c r="I225" s="4" t="str">
        <f>HYPERLINK("http://141.218.60.56/~jnz1568/getInfo.php?workbook=01_01.xlsx&amp;sheet=A0&amp;row=225&amp;col=9&amp;number=&amp;sourceID=15","")</f>
        <v/>
      </c>
      <c r="J225" s="4" t="str">
        <f>HYPERLINK("http://141.218.60.56/~jnz1568/getInfo.php?workbook=01_01.xlsx&amp;sheet=A0&amp;row=225&amp;col=10&amp;number=&amp;sourceID=15","")</f>
        <v/>
      </c>
      <c r="K225" s="4" t="str">
        <f>HYPERLINK("http://141.218.60.56/~jnz1568/getInfo.php?workbook=01_01.xlsx&amp;sheet=A0&amp;row=225&amp;col=11&amp;number=&amp;sourceID=15","")</f>
        <v/>
      </c>
      <c r="L225" s="4" t="str">
        <f>HYPERLINK("http://141.218.60.56/~jnz1568/getInfo.php?workbook=01_01.xlsx&amp;sheet=A0&amp;row=225&amp;col=12&amp;number=&amp;sourceID=15","")</f>
        <v/>
      </c>
      <c r="M225" s="4" t="str">
        <f>HYPERLINK("http://141.218.60.56/~jnz1568/getInfo.php?workbook=01_01.xlsx&amp;sheet=A0&amp;row=225&amp;col=13&amp;number=&amp;sourceID=15","")</f>
        <v/>
      </c>
      <c r="N225" s="4" t="str">
        <f>HYPERLINK("http://141.218.60.56/~jnz1568/getInfo.php?workbook=01_01.xlsx&amp;sheet=A0&amp;row=225&amp;col=14&amp;number==&amp;sourceID=11","=")</f>
        <v>=</v>
      </c>
      <c r="O225" s="4" t="str">
        <f>HYPERLINK("http://141.218.60.56/~jnz1568/getInfo.php?workbook=01_01.xlsx&amp;sheet=A0&amp;row=225&amp;col=15&amp;number=&amp;sourceID=11","")</f>
        <v/>
      </c>
      <c r="P225" s="4" t="str">
        <f>HYPERLINK("http://141.218.60.56/~jnz1568/getInfo.php?workbook=01_01.xlsx&amp;sheet=A0&amp;row=225&amp;col=16&amp;number=0&amp;sourceID=11","0")</f>
        <v>0</v>
      </c>
      <c r="Q225" s="4" t="str">
        <f>HYPERLINK("http://141.218.60.56/~jnz1568/getInfo.php?workbook=01_01.xlsx&amp;sheet=A0&amp;row=225&amp;col=17&amp;number=&amp;sourceID=11","")</f>
        <v/>
      </c>
      <c r="R225" s="4" t="str">
        <f>HYPERLINK("http://141.218.60.56/~jnz1568/getInfo.php?workbook=01_01.xlsx&amp;sheet=A0&amp;row=225&amp;col=18&amp;number=0&amp;sourceID=11","0")</f>
        <v>0</v>
      </c>
      <c r="S225" s="4" t="str">
        <f>HYPERLINK("http://141.218.60.56/~jnz1568/getInfo.php?workbook=01_01.xlsx&amp;sheet=A0&amp;row=225&amp;col=19&amp;number=&amp;sourceID=11","")</f>
        <v/>
      </c>
      <c r="T225" s="4" t="str">
        <f>HYPERLINK("http://141.218.60.56/~jnz1568/getInfo.php?workbook=01_01.xlsx&amp;sheet=A0&amp;row=225&amp;col=20&amp;number=0&amp;sourceID=11","0")</f>
        <v>0</v>
      </c>
      <c r="U225" s="4" t="str">
        <f>HYPERLINK("http://141.218.60.56/~jnz1568/getInfo.php?workbook=01_01.xlsx&amp;sheet=A0&amp;row=225&amp;col=21&amp;number=0&amp;sourceID=12","0")</f>
        <v>0</v>
      </c>
      <c r="V225" s="4" t="str">
        <f>HYPERLINK("http://141.218.60.56/~jnz1568/getInfo.php?workbook=01_01.xlsx&amp;sheet=A0&amp;row=225&amp;col=22&amp;number=&amp;sourceID=12","")</f>
        <v/>
      </c>
      <c r="W225" s="4" t="str">
        <f>HYPERLINK("http://141.218.60.56/~jnz1568/getInfo.php?workbook=01_01.xlsx&amp;sheet=A0&amp;row=225&amp;col=23&amp;number=0&amp;sourceID=12","0")</f>
        <v>0</v>
      </c>
      <c r="X225" s="4" t="str">
        <f>HYPERLINK("http://141.218.60.56/~jnz1568/getInfo.php?workbook=01_01.xlsx&amp;sheet=A0&amp;row=225&amp;col=24&amp;number=&amp;sourceID=12","")</f>
        <v/>
      </c>
      <c r="Y225" s="4" t="str">
        <f>HYPERLINK("http://141.218.60.56/~jnz1568/getInfo.php?workbook=01_01.xlsx&amp;sheet=A0&amp;row=225&amp;col=25&amp;number=0&amp;sourceID=12","0")</f>
        <v>0</v>
      </c>
      <c r="Z225" s="4" t="str">
        <f>HYPERLINK("http://141.218.60.56/~jnz1568/getInfo.php?workbook=01_01.xlsx&amp;sheet=A0&amp;row=225&amp;col=26&amp;number=&amp;sourceID=12","")</f>
        <v/>
      </c>
      <c r="AA225" s="4" t="str">
        <f>HYPERLINK("http://141.218.60.56/~jnz1568/getInfo.php?workbook=01_01.xlsx&amp;sheet=A0&amp;row=225&amp;col=27&amp;number=0&amp;sourceID=12","0")</f>
        <v>0</v>
      </c>
      <c r="AB225" s="4" t="str">
        <f>HYPERLINK("http://141.218.60.56/~jnz1568/getInfo.php?workbook=01_01.xlsx&amp;sheet=A0&amp;row=225&amp;col=28&amp;number=&amp;sourceID=18","")</f>
        <v/>
      </c>
      <c r="AC225" s="4" t="str">
        <f>HYPERLINK("http://141.218.60.56/~jnz1568/getInfo.php?workbook=01_01.xlsx&amp;sheet=A0&amp;row=225&amp;col=29&amp;number=&amp;sourceID=18","")</f>
        <v/>
      </c>
      <c r="AD225" s="4" t="str">
        <f>HYPERLINK("http://141.218.60.56/~jnz1568/getInfo.php?workbook=01_01.xlsx&amp;sheet=A0&amp;row=225&amp;col=30&amp;number=&amp;sourceID=18","")</f>
        <v/>
      </c>
      <c r="AE225" s="4" t="str">
        <f>HYPERLINK("http://141.218.60.56/~jnz1568/getInfo.php?workbook=01_01.xlsx&amp;sheet=A0&amp;row=225&amp;col=31&amp;number=&amp;sourceID=18","")</f>
        <v/>
      </c>
      <c r="AF225" s="4" t="str">
        <f>HYPERLINK("http://141.218.60.56/~jnz1568/getInfo.php?workbook=01_01.xlsx&amp;sheet=A0&amp;row=225&amp;col=32&amp;number=&amp;sourceID=18","")</f>
        <v/>
      </c>
      <c r="AG225" s="4" t="str">
        <f>HYPERLINK("http://141.218.60.56/~jnz1568/getInfo.php?workbook=01_01.xlsx&amp;sheet=A0&amp;row=225&amp;col=33&amp;number=&amp;sourceID=18","")</f>
        <v/>
      </c>
      <c r="AH225" s="4" t="str">
        <f>HYPERLINK("http://141.218.60.56/~jnz1568/getInfo.php?workbook=01_01.xlsx&amp;sheet=A0&amp;row=225&amp;col=34&amp;number=&amp;sourceID=20","")</f>
        <v/>
      </c>
    </row>
    <row r="226" spans="1:34">
      <c r="A226" s="3">
        <v>1</v>
      </c>
      <c r="B226" s="3">
        <v>1</v>
      </c>
      <c r="C226" s="3">
        <v>23</v>
      </c>
      <c r="D226" s="3">
        <v>1</v>
      </c>
      <c r="E226" s="3">
        <f>((1/(INDEX(E0!J$4:J$28,C226,1)-INDEX(E0!J$4:J$28,D226,1))))*100000000</f>
        <v>0</v>
      </c>
      <c r="F226" s="4" t="str">
        <f>HYPERLINK("http://141.218.60.56/~jnz1568/getInfo.php?workbook=01_01.xlsx&amp;sheet=A0&amp;row=226&amp;col=6&amp;number=&amp;sourceID=18","")</f>
        <v/>
      </c>
      <c r="G226" s="4" t="str">
        <f>HYPERLINK("http://141.218.60.56/~jnz1568/getInfo.php?workbook=01_01.xlsx&amp;sheet=A0&amp;row=226&amp;col=7&amp;number=&amp;sourceID=15","")</f>
        <v/>
      </c>
      <c r="H226" s="4" t="str">
        <f>HYPERLINK("http://141.218.60.56/~jnz1568/getInfo.php?workbook=01_01.xlsx&amp;sheet=A0&amp;row=226&amp;col=8&amp;number=&amp;sourceID=15","")</f>
        <v/>
      </c>
      <c r="I226" s="4" t="str">
        <f>HYPERLINK("http://141.218.60.56/~jnz1568/getInfo.php?workbook=01_01.xlsx&amp;sheet=A0&amp;row=226&amp;col=9&amp;number=&amp;sourceID=15","")</f>
        <v/>
      </c>
      <c r="J226" s="4" t="str">
        <f>HYPERLINK("http://141.218.60.56/~jnz1568/getInfo.php?workbook=01_01.xlsx&amp;sheet=A0&amp;row=226&amp;col=10&amp;number=&amp;sourceID=15","")</f>
        <v/>
      </c>
      <c r="K226" s="4" t="str">
        <f>HYPERLINK("http://141.218.60.56/~jnz1568/getInfo.php?workbook=01_01.xlsx&amp;sheet=A0&amp;row=226&amp;col=11&amp;number=&amp;sourceID=15","")</f>
        <v/>
      </c>
      <c r="L226" s="4" t="str">
        <f>HYPERLINK("http://141.218.60.56/~jnz1568/getInfo.php?workbook=01_01.xlsx&amp;sheet=A0&amp;row=226&amp;col=12&amp;number=&amp;sourceID=15","")</f>
        <v/>
      </c>
      <c r="M226" s="4" t="str">
        <f>HYPERLINK("http://141.218.60.56/~jnz1568/getInfo.php?workbook=01_01.xlsx&amp;sheet=A0&amp;row=226&amp;col=13&amp;number=&amp;sourceID=15","")</f>
        <v/>
      </c>
      <c r="N226" s="4" t="str">
        <f>HYPERLINK("http://141.218.60.56/~jnz1568/getInfo.php?workbook=01_01.xlsx&amp;sheet=A0&amp;row=226&amp;col=14&amp;number==&amp;sourceID=11","=")</f>
        <v>=</v>
      </c>
      <c r="O226" s="4" t="str">
        <f>HYPERLINK("http://141.218.60.56/~jnz1568/getInfo.php?workbook=01_01.xlsx&amp;sheet=A0&amp;row=226&amp;col=15&amp;number=&amp;sourceID=11","")</f>
        <v/>
      </c>
      <c r="P226" s="4" t="str">
        <f>HYPERLINK("http://141.218.60.56/~jnz1568/getInfo.php?workbook=01_01.xlsx&amp;sheet=A0&amp;row=226&amp;col=16&amp;number=&amp;sourceID=11","")</f>
        <v/>
      </c>
      <c r="Q226" s="4" t="str">
        <f>HYPERLINK("http://141.218.60.56/~jnz1568/getInfo.php?workbook=01_01.xlsx&amp;sheet=A0&amp;row=226&amp;col=17&amp;number=0.00025666&amp;sourceID=11","0.00025666")</f>
        <v>0.00025666</v>
      </c>
      <c r="R226" s="4" t="str">
        <f>HYPERLINK("http://141.218.60.56/~jnz1568/getInfo.php?workbook=01_01.xlsx&amp;sheet=A0&amp;row=226&amp;col=18&amp;number=&amp;sourceID=11","")</f>
        <v/>
      </c>
      <c r="S226" s="4" t="str">
        <f>HYPERLINK("http://141.218.60.56/~jnz1568/getInfo.php?workbook=01_01.xlsx&amp;sheet=A0&amp;row=226&amp;col=19&amp;number=&amp;sourceID=11","")</f>
        <v/>
      </c>
      <c r="T226" s="4" t="str">
        <f>HYPERLINK("http://141.218.60.56/~jnz1568/getInfo.php?workbook=01_01.xlsx&amp;sheet=A0&amp;row=226&amp;col=20&amp;number=&amp;sourceID=11","")</f>
        <v/>
      </c>
      <c r="U226" s="4" t="str">
        <f>HYPERLINK("http://141.218.60.56/~jnz1568/getInfo.php?workbook=01_01.xlsx&amp;sheet=A0&amp;row=226&amp;col=21&amp;number=0.0002568&amp;sourceID=12","0.0002568")</f>
        <v>0.0002568</v>
      </c>
      <c r="V226" s="4" t="str">
        <f>HYPERLINK("http://141.218.60.56/~jnz1568/getInfo.php?workbook=01_01.xlsx&amp;sheet=A0&amp;row=226&amp;col=22&amp;number=&amp;sourceID=12","")</f>
        <v/>
      </c>
      <c r="W226" s="4" t="str">
        <f>HYPERLINK("http://141.218.60.56/~jnz1568/getInfo.php?workbook=01_01.xlsx&amp;sheet=A0&amp;row=226&amp;col=23&amp;number=&amp;sourceID=12","")</f>
        <v/>
      </c>
      <c r="X226" s="4" t="str">
        <f>HYPERLINK("http://141.218.60.56/~jnz1568/getInfo.php?workbook=01_01.xlsx&amp;sheet=A0&amp;row=226&amp;col=24&amp;number=0.0002568&amp;sourceID=12","0.0002568")</f>
        <v>0.0002568</v>
      </c>
      <c r="Y226" s="4" t="str">
        <f>HYPERLINK("http://141.218.60.56/~jnz1568/getInfo.php?workbook=01_01.xlsx&amp;sheet=A0&amp;row=226&amp;col=25&amp;number=&amp;sourceID=12","")</f>
        <v/>
      </c>
      <c r="Z226" s="4" t="str">
        <f>HYPERLINK("http://141.218.60.56/~jnz1568/getInfo.php?workbook=01_01.xlsx&amp;sheet=A0&amp;row=226&amp;col=26&amp;number=&amp;sourceID=12","")</f>
        <v/>
      </c>
      <c r="AA226" s="4" t="str">
        <f>HYPERLINK("http://141.218.60.56/~jnz1568/getInfo.php?workbook=01_01.xlsx&amp;sheet=A0&amp;row=226&amp;col=27&amp;number=&amp;sourceID=12","")</f>
        <v/>
      </c>
      <c r="AB226" s="4" t="str">
        <f>HYPERLINK("http://141.218.60.56/~jnz1568/getInfo.php?workbook=01_01.xlsx&amp;sheet=A0&amp;row=226&amp;col=28&amp;number=&amp;sourceID=18","")</f>
        <v/>
      </c>
      <c r="AC226" s="4" t="str">
        <f>HYPERLINK("http://141.218.60.56/~jnz1568/getInfo.php?workbook=01_01.xlsx&amp;sheet=A0&amp;row=226&amp;col=29&amp;number=&amp;sourceID=18","")</f>
        <v/>
      </c>
      <c r="AD226" s="4" t="str">
        <f>HYPERLINK("http://141.218.60.56/~jnz1568/getInfo.php?workbook=01_01.xlsx&amp;sheet=A0&amp;row=226&amp;col=30&amp;number=&amp;sourceID=18","")</f>
        <v/>
      </c>
      <c r="AE226" s="4" t="str">
        <f>HYPERLINK("http://141.218.60.56/~jnz1568/getInfo.php?workbook=01_01.xlsx&amp;sheet=A0&amp;row=226&amp;col=31&amp;number=&amp;sourceID=18","")</f>
        <v/>
      </c>
      <c r="AF226" s="4" t="str">
        <f>HYPERLINK("http://141.218.60.56/~jnz1568/getInfo.php?workbook=01_01.xlsx&amp;sheet=A0&amp;row=226&amp;col=32&amp;number=&amp;sourceID=18","")</f>
        <v/>
      </c>
      <c r="AG226" s="4" t="str">
        <f>HYPERLINK("http://141.218.60.56/~jnz1568/getInfo.php?workbook=01_01.xlsx&amp;sheet=A0&amp;row=226&amp;col=33&amp;number=&amp;sourceID=18","")</f>
        <v/>
      </c>
      <c r="AH226" s="4" t="str">
        <f>HYPERLINK("http://141.218.60.56/~jnz1568/getInfo.php?workbook=01_01.xlsx&amp;sheet=A0&amp;row=226&amp;col=34&amp;number=&amp;sourceID=20","")</f>
        <v/>
      </c>
    </row>
    <row r="227" spans="1:34">
      <c r="A227" s="3">
        <v>1</v>
      </c>
      <c r="B227" s="3">
        <v>1</v>
      </c>
      <c r="C227" s="3">
        <v>23</v>
      </c>
      <c r="D227" s="3">
        <v>2</v>
      </c>
      <c r="E227" s="3">
        <f>((1/(INDEX(E0!J$4:J$28,C227,1)-INDEX(E0!J$4:J$28,D227,1))))*100000000</f>
        <v>0</v>
      </c>
      <c r="F227" s="4" t="str">
        <f>HYPERLINK("http://141.218.60.56/~jnz1568/getInfo.php?workbook=01_01.xlsx&amp;sheet=A0&amp;row=227&amp;col=6&amp;number=&amp;sourceID=18","")</f>
        <v/>
      </c>
      <c r="G227" s="4" t="str">
        <f>HYPERLINK("http://141.218.60.56/~jnz1568/getInfo.php?workbook=01_01.xlsx&amp;sheet=A0&amp;row=227&amp;col=7&amp;number=&amp;sourceID=15","")</f>
        <v/>
      </c>
      <c r="H227" s="4" t="str">
        <f>HYPERLINK("http://141.218.60.56/~jnz1568/getInfo.php?workbook=01_01.xlsx&amp;sheet=A0&amp;row=227&amp;col=8&amp;number=&amp;sourceID=15","")</f>
        <v/>
      </c>
      <c r="I227" s="4" t="str">
        <f>HYPERLINK("http://141.218.60.56/~jnz1568/getInfo.php?workbook=01_01.xlsx&amp;sheet=A0&amp;row=227&amp;col=9&amp;number=&amp;sourceID=15","")</f>
        <v/>
      </c>
      <c r="J227" s="4" t="str">
        <f>HYPERLINK("http://141.218.60.56/~jnz1568/getInfo.php?workbook=01_01.xlsx&amp;sheet=A0&amp;row=227&amp;col=10&amp;number=&amp;sourceID=15","")</f>
        <v/>
      </c>
      <c r="K227" s="4" t="str">
        <f>HYPERLINK("http://141.218.60.56/~jnz1568/getInfo.php?workbook=01_01.xlsx&amp;sheet=A0&amp;row=227&amp;col=11&amp;number=&amp;sourceID=15","")</f>
        <v/>
      </c>
      <c r="L227" s="4" t="str">
        <f>HYPERLINK("http://141.218.60.56/~jnz1568/getInfo.php?workbook=01_01.xlsx&amp;sheet=A0&amp;row=227&amp;col=12&amp;number=&amp;sourceID=15","")</f>
        <v/>
      </c>
      <c r="M227" s="4" t="str">
        <f>HYPERLINK("http://141.218.60.56/~jnz1568/getInfo.php?workbook=01_01.xlsx&amp;sheet=A0&amp;row=227&amp;col=13&amp;number=&amp;sourceID=15","")</f>
        <v/>
      </c>
      <c r="N227" s="4" t="str">
        <f>HYPERLINK("http://141.218.60.56/~jnz1568/getInfo.php?workbook=01_01.xlsx&amp;sheet=A0&amp;row=227&amp;col=14&amp;number==&amp;sourceID=11","=")</f>
        <v>=</v>
      </c>
      <c r="O227" s="4" t="str">
        <f>HYPERLINK("http://141.218.60.56/~jnz1568/getInfo.php?workbook=01_01.xlsx&amp;sheet=A0&amp;row=227&amp;col=15&amp;number=&amp;sourceID=11","")</f>
        <v/>
      </c>
      <c r="P227" s="4" t="str">
        <f>HYPERLINK("http://141.218.60.56/~jnz1568/getInfo.php?workbook=01_01.xlsx&amp;sheet=A0&amp;row=227&amp;col=16&amp;number=&amp;sourceID=11","")</f>
        <v/>
      </c>
      <c r="Q227" s="4" t="str">
        <f>HYPERLINK("http://141.218.60.56/~jnz1568/getInfo.php?workbook=01_01.xlsx&amp;sheet=A0&amp;row=227&amp;col=17&amp;number=&amp;sourceID=11","")</f>
        <v/>
      </c>
      <c r="R227" s="4" t="str">
        <f>HYPERLINK("http://141.218.60.56/~jnz1568/getInfo.php?workbook=01_01.xlsx&amp;sheet=A0&amp;row=227&amp;col=18&amp;number=&amp;sourceID=11","")</f>
        <v/>
      </c>
      <c r="S227" s="4" t="str">
        <f>HYPERLINK("http://141.218.60.56/~jnz1568/getInfo.php?workbook=01_01.xlsx&amp;sheet=A0&amp;row=227&amp;col=19&amp;number=&amp;sourceID=11","")</f>
        <v/>
      </c>
      <c r="T227" s="4" t="str">
        <f>HYPERLINK("http://141.218.60.56/~jnz1568/getInfo.php?workbook=01_01.xlsx&amp;sheet=A0&amp;row=227&amp;col=20&amp;number=9.2232e-11&amp;sourceID=11","9.2232e-11")</f>
        <v>9.2232e-11</v>
      </c>
      <c r="U227" s="4" t="str">
        <f>HYPERLINK("http://141.218.60.56/~jnz1568/getInfo.php?workbook=01_01.xlsx&amp;sheet=A0&amp;row=227&amp;col=21&amp;number=9.2282e-11&amp;sourceID=12","9.2282e-11")</f>
        <v>9.2282e-11</v>
      </c>
      <c r="V227" s="4" t="str">
        <f>HYPERLINK("http://141.218.60.56/~jnz1568/getInfo.php?workbook=01_01.xlsx&amp;sheet=A0&amp;row=227&amp;col=22&amp;number=&amp;sourceID=12","")</f>
        <v/>
      </c>
      <c r="W227" s="4" t="str">
        <f>HYPERLINK("http://141.218.60.56/~jnz1568/getInfo.php?workbook=01_01.xlsx&amp;sheet=A0&amp;row=227&amp;col=23&amp;number=&amp;sourceID=12","")</f>
        <v/>
      </c>
      <c r="X227" s="4" t="str">
        <f>HYPERLINK("http://141.218.60.56/~jnz1568/getInfo.php?workbook=01_01.xlsx&amp;sheet=A0&amp;row=227&amp;col=24&amp;number=&amp;sourceID=12","")</f>
        <v/>
      </c>
      <c r="Y227" s="4" t="str">
        <f>HYPERLINK("http://141.218.60.56/~jnz1568/getInfo.php?workbook=01_01.xlsx&amp;sheet=A0&amp;row=227&amp;col=25&amp;number=&amp;sourceID=12","")</f>
        <v/>
      </c>
      <c r="Z227" s="4" t="str">
        <f>HYPERLINK("http://141.218.60.56/~jnz1568/getInfo.php?workbook=01_01.xlsx&amp;sheet=A0&amp;row=227&amp;col=26&amp;number=&amp;sourceID=12","")</f>
        <v/>
      </c>
      <c r="AA227" s="4" t="str">
        <f>HYPERLINK("http://141.218.60.56/~jnz1568/getInfo.php?workbook=01_01.xlsx&amp;sheet=A0&amp;row=227&amp;col=27&amp;number=9.2282e-11&amp;sourceID=12","9.2282e-11")</f>
        <v>9.2282e-11</v>
      </c>
      <c r="AB227" s="4" t="str">
        <f>HYPERLINK("http://141.218.60.56/~jnz1568/getInfo.php?workbook=01_01.xlsx&amp;sheet=A0&amp;row=227&amp;col=28&amp;number=&amp;sourceID=18","")</f>
        <v/>
      </c>
      <c r="AC227" s="4" t="str">
        <f>HYPERLINK("http://141.218.60.56/~jnz1568/getInfo.php?workbook=01_01.xlsx&amp;sheet=A0&amp;row=227&amp;col=29&amp;number=&amp;sourceID=18","")</f>
        <v/>
      </c>
      <c r="AD227" s="4" t="str">
        <f>HYPERLINK("http://141.218.60.56/~jnz1568/getInfo.php?workbook=01_01.xlsx&amp;sheet=A0&amp;row=227&amp;col=30&amp;number=&amp;sourceID=18","")</f>
        <v/>
      </c>
      <c r="AE227" s="4" t="str">
        <f>HYPERLINK("http://141.218.60.56/~jnz1568/getInfo.php?workbook=01_01.xlsx&amp;sheet=A0&amp;row=227&amp;col=31&amp;number=&amp;sourceID=18","")</f>
        <v/>
      </c>
      <c r="AF227" s="4" t="str">
        <f>HYPERLINK("http://141.218.60.56/~jnz1568/getInfo.php?workbook=01_01.xlsx&amp;sheet=A0&amp;row=227&amp;col=32&amp;number=&amp;sourceID=18","")</f>
        <v/>
      </c>
      <c r="AG227" s="4" t="str">
        <f>HYPERLINK("http://141.218.60.56/~jnz1568/getInfo.php?workbook=01_01.xlsx&amp;sheet=A0&amp;row=227&amp;col=33&amp;number=&amp;sourceID=18","")</f>
        <v/>
      </c>
      <c r="AH227" s="4" t="str">
        <f>HYPERLINK("http://141.218.60.56/~jnz1568/getInfo.php?workbook=01_01.xlsx&amp;sheet=A0&amp;row=227&amp;col=34&amp;number=&amp;sourceID=20","")</f>
        <v/>
      </c>
    </row>
    <row r="228" spans="1:34">
      <c r="A228" s="3">
        <v>1</v>
      </c>
      <c r="B228" s="3">
        <v>1</v>
      </c>
      <c r="C228" s="3">
        <v>23</v>
      </c>
      <c r="D228" s="3">
        <v>3</v>
      </c>
      <c r="E228" s="3">
        <f>((1/(INDEX(E0!J$4:J$28,C228,1)-INDEX(E0!J$4:J$28,D228,1))))*100000000</f>
        <v>0</v>
      </c>
      <c r="F228" s="4" t="str">
        <f>HYPERLINK("http://141.218.60.56/~jnz1568/getInfo.php?workbook=01_01.xlsx&amp;sheet=A0&amp;row=228&amp;col=6&amp;number=&amp;sourceID=18","")</f>
        <v/>
      </c>
      <c r="G228" s="4" t="str">
        <f>HYPERLINK("http://141.218.60.56/~jnz1568/getInfo.php?workbook=01_01.xlsx&amp;sheet=A0&amp;row=228&amp;col=7&amp;number=&amp;sourceID=15","")</f>
        <v/>
      </c>
      <c r="H228" s="4" t="str">
        <f>HYPERLINK("http://141.218.60.56/~jnz1568/getInfo.php?workbook=01_01.xlsx&amp;sheet=A0&amp;row=228&amp;col=8&amp;number=&amp;sourceID=15","")</f>
        <v/>
      </c>
      <c r="I228" s="4" t="str">
        <f>HYPERLINK("http://141.218.60.56/~jnz1568/getInfo.php?workbook=01_01.xlsx&amp;sheet=A0&amp;row=228&amp;col=9&amp;number=&amp;sourceID=15","")</f>
        <v/>
      </c>
      <c r="J228" s="4" t="str">
        <f>HYPERLINK("http://141.218.60.56/~jnz1568/getInfo.php?workbook=01_01.xlsx&amp;sheet=A0&amp;row=228&amp;col=10&amp;number=&amp;sourceID=15","")</f>
        <v/>
      </c>
      <c r="K228" s="4" t="str">
        <f>HYPERLINK("http://141.218.60.56/~jnz1568/getInfo.php?workbook=01_01.xlsx&amp;sheet=A0&amp;row=228&amp;col=11&amp;number=&amp;sourceID=15","")</f>
        <v/>
      </c>
      <c r="L228" s="4" t="str">
        <f>HYPERLINK("http://141.218.60.56/~jnz1568/getInfo.php?workbook=01_01.xlsx&amp;sheet=A0&amp;row=228&amp;col=12&amp;number=&amp;sourceID=15","")</f>
        <v/>
      </c>
      <c r="M228" s="4" t="str">
        <f>HYPERLINK("http://141.218.60.56/~jnz1568/getInfo.php?workbook=01_01.xlsx&amp;sheet=A0&amp;row=228&amp;col=13&amp;number=&amp;sourceID=15","")</f>
        <v/>
      </c>
      <c r="N228" s="4" t="str">
        <f>HYPERLINK("http://141.218.60.56/~jnz1568/getInfo.php?workbook=01_01.xlsx&amp;sheet=A0&amp;row=228&amp;col=14&amp;number==&amp;sourceID=11","=")</f>
        <v>=</v>
      </c>
      <c r="O228" s="4" t="str">
        <f>HYPERLINK("http://141.218.60.56/~jnz1568/getInfo.php?workbook=01_01.xlsx&amp;sheet=A0&amp;row=228&amp;col=15&amp;number=&amp;sourceID=11","")</f>
        <v/>
      </c>
      <c r="P228" s="4" t="str">
        <f>HYPERLINK("http://141.218.60.56/~jnz1568/getInfo.php?workbook=01_01.xlsx&amp;sheet=A0&amp;row=228&amp;col=16&amp;number=&amp;sourceID=11","")</f>
        <v/>
      </c>
      <c r="Q228" s="4" t="str">
        <f>HYPERLINK("http://141.218.60.56/~jnz1568/getInfo.php?workbook=01_01.xlsx&amp;sheet=A0&amp;row=228&amp;col=17&amp;number=7.0464e-05&amp;sourceID=11","7.0464e-05")</f>
        <v>7.0464e-05</v>
      </c>
      <c r="R228" s="4" t="str">
        <f>HYPERLINK("http://141.218.60.56/~jnz1568/getInfo.php?workbook=01_01.xlsx&amp;sheet=A0&amp;row=228&amp;col=18&amp;number=&amp;sourceID=11","")</f>
        <v/>
      </c>
      <c r="S228" s="4" t="str">
        <f>HYPERLINK("http://141.218.60.56/~jnz1568/getInfo.php?workbook=01_01.xlsx&amp;sheet=A0&amp;row=228&amp;col=19&amp;number=&amp;sourceID=11","")</f>
        <v/>
      </c>
      <c r="T228" s="4" t="str">
        <f>HYPERLINK("http://141.218.60.56/~jnz1568/getInfo.php?workbook=01_01.xlsx&amp;sheet=A0&amp;row=228&amp;col=20&amp;number=&amp;sourceID=11","")</f>
        <v/>
      </c>
      <c r="U228" s="4" t="str">
        <f>HYPERLINK("http://141.218.60.56/~jnz1568/getInfo.php?workbook=01_01.xlsx&amp;sheet=A0&amp;row=228&amp;col=21&amp;number=7.0503e-05&amp;sourceID=12","7.0503e-05")</f>
        <v>7.0503e-05</v>
      </c>
      <c r="V228" s="4" t="str">
        <f>HYPERLINK("http://141.218.60.56/~jnz1568/getInfo.php?workbook=01_01.xlsx&amp;sheet=A0&amp;row=228&amp;col=22&amp;number=&amp;sourceID=12","")</f>
        <v/>
      </c>
      <c r="W228" s="4" t="str">
        <f>HYPERLINK("http://141.218.60.56/~jnz1568/getInfo.php?workbook=01_01.xlsx&amp;sheet=A0&amp;row=228&amp;col=23&amp;number=&amp;sourceID=12","")</f>
        <v/>
      </c>
      <c r="X228" s="4" t="str">
        <f>HYPERLINK("http://141.218.60.56/~jnz1568/getInfo.php?workbook=01_01.xlsx&amp;sheet=A0&amp;row=228&amp;col=24&amp;number=7.0503e-05&amp;sourceID=12","7.0503e-05")</f>
        <v>7.0503e-05</v>
      </c>
      <c r="Y228" s="4" t="str">
        <f>HYPERLINK("http://141.218.60.56/~jnz1568/getInfo.php?workbook=01_01.xlsx&amp;sheet=A0&amp;row=228&amp;col=25&amp;number=&amp;sourceID=12","")</f>
        <v/>
      </c>
      <c r="Z228" s="4" t="str">
        <f>HYPERLINK("http://141.218.60.56/~jnz1568/getInfo.php?workbook=01_01.xlsx&amp;sheet=A0&amp;row=228&amp;col=26&amp;number=&amp;sourceID=12","")</f>
        <v/>
      </c>
      <c r="AA228" s="4" t="str">
        <f>HYPERLINK("http://141.218.60.56/~jnz1568/getInfo.php?workbook=01_01.xlsx&amp;sheet=A0&amp;row=228&amp;col=27&amp;number=&amp;sourceID=12","")</f>
        <v/>
      </c>
      <c r="AB228" s="4" t="str">
        <f>HYPERLINK("http://141.218.60.56/~jnz1568/getInfo.php?workbook=01_01.xlsx&amp;sheet=A0&amp;row=228&amp;col=28&amp;number=&amp;sourceID=18","")</f>
        <v/>
      </c>
      <c r="AC228" s="4" t="str">
        <f>HYPERLINK("http://141.218.60.56/~jnz1568/getInfo.php?workbook=01_01.xlsx&amp;sheet=A0&amp;row=228&amp;col=29&amp;number=&amp;sourceID=18","")</f>
        <v/>
      </c>
      <c r="AD228" s="4" t="str">
        <f>HYPERLINK("http://141.218.60.56/~jnz1568/getInfo.php?workbook=01_01.xlsx&amp;sheet=A0&amp;row=228&amp;col=30&amp;number=&amp;sourceID=18","")</f>
        <v/>
      </c>
      <c r="AE228" s="4" t="str">
        <f>HYPERLINK("http://141.218.60.56/~jnz1568/getInfo.php?workbook=01_01.xlsx&amp;sheet=A0&amp;row=228&amp;col=31&amp;number=&amp;sourceID=18","")</f>
        <v/>
      </c>
      <c r="AF228" s="4" t="str">
        <f>HYPERLINK("http://141.218.60.56/~jnz1568/getInfo.php?workbook=01_01.xlsx&amp;sheet=A0&amp;row=228&amp;col=32&amp;number=&amp;sourceID=18","")</f>
        <v/>
      </c>
      <c r="AG228" s="4" t="str">
        <f>HYPERLINK("http://141.218.60.56/~jnz1568/getInfo.php?workbook=01_01.xlsx&amp;sheet=A0&amp;row=228&amp;col=33&amp;number=&amp;sourceID=18","")</f>
        <v/>
      </c>
      <c r="AH228" s="4" t="str">
        <f>HYPERLINK("http://141.218.60.56/~jnz1568/getInfo.php?workbook=01_01.xlsx&amp;sheet=A0&amp;row=228&amp;col=34&amp;number=&amp;sourceID=20","")</f>
        <v/>
      </c>
    </row>
    <row r="229" spans="1:34">
      <c r="A229" s="3">
        <v>1</v>
      </c>
      <c r="B229" s="3">
        <v>1</v>
      </c>
      <c r="C229" s="3">
        <v>23</v>
      </c>
      <c r="D229" s="3">
        <v>4</v>
      </c>
      <c r="E229" s="3">
        <f>((1/(INDEX(E0!J$4:J$28,C229,1)-INDEX(E0!J$4:J$28,D229,1))))*100000000</f>
        <v>0</v>
      </c>
      <c r="F229" s="4" t="str">
        <f>HYPERLINK("http://141.218.60.56/~jnz1568/getInfo.php?workbook=01_01.xlsx&amp;sheet=A0&amp;row=229&amp;col=6&amp;number=&amp;sourceID=18","")</f>
        <v/>
      </c>
      <c r="G229" s="4" t="str">
        <f>HYPERLINK("http://141.218.60.56/~jnz1568/getInfo.php?workbook=01_01.xlsx&amp;sheet=A0&amp;row=229&amp;col=7&amp;number=&amp;sourceID=15","")</f>
        <v/>
      </c>
      <c r="H229" s="4" t="str">
        <f>HYPERLINK("http://141.218.60.56/~jnz1568/getInfo.php?workbook=01_01.xlsx&amp;sheet=A0&amp;row=229&amp;col=8&amp;number=&amp;sourceID=15","")</f>
        <v/>
      </c>
      <c r="I229" s="4" t="str">
        <f>HYPERLINK("http://141.218.60.56/~jnz1568/getInfo.php?workbook=01_01.xlsx&amp;sheet=A0&amp;row=229&amp;col=9&amp;number=&amp;sourceID=15","")</f>
        <v/>
      </c>
      <c r="J229" s="4" t="str">
        <f>HYPERLINK("http://141.218.60.56/~jnz1568/getInfo.php?workbook=01_01.xlsx&amp;sheet=A0&amp;row=229&amp;col=10&amp;number=&amp;sourceID=15","")</f>
        <v/>
      </c>
      <c r="K229" s="4" t="str">
        <f>HYPERLINK("http://141.218.60.56/~jnz1568/getInfo.php?workbook=01_01.xlsx&amp;sheet=A0&amp;row=229&amp;col=11&amp;number=&amp;sourceID=15","")</f>
        <v/>
      </c>
      <c r="L229" s="4" t="str">
        <f>HYPERLINK("http://141.218.60.56/~jnz1568/getInfo.php?workbook=01_01.xlsx&amp;sheet=A0&amp;row=229&amp;col=12&amp;number=&amp;sourceID=15","")</f>
        <v/>
      </c>
      <c r="M229" s="4" t="str">
        <f>HYPERLINK("http://141.218.60.56/~jnz1568/getInfo.php?workbook=01_01.xlsx&amp;sheet=A0&amp;row=229&amp;col=13&amp;number=&amp;sourceID=15","")</f>
        <v/>
      </c>
      <c r="N229" s="4" t="str">
        <f>HYPERLINK("http://141.218.60.56/~jnz1568/getInfo.php?workbook=01_01.xlsx&amp;sheet=A0&amp;row=229&amp;col=14&amp;number==&amp;sourceID=11","=")</f>
        <v>=</v>
      </c>
      <c r="O229" s="4" t="str">
        <f>HYPERLINK("http://141.218.60.56/~jnz1568/getInfo.php?workbook=01_01.xlsx&amp;sheet=A0&amp;row=229&amp;col=15&amp;number=&amp;sourceID=11","")</f>
        <v/>
      </c>
      <c r="P229" s="4" t="str">
        <f>HYPERLINK("http://141.218.60.56/~jnz1568/getInfo.php?workbook=01_01.xlsx&amp;sheet=A0&amp;row=229&amp;col=16&amp;number=41.3&amp;sourceID=11","41.3")</f>
        <v>41.3</v>
      </c>
      <c r="Q229" s="4" t="str">
        <f>HYPERLINK("http://141.218.60.56/~jnz1568/getInfo.php?workbook=01_01.xlsx&amp;sheet=A0&amp;row=229&amp;col=17&amp;number=&amp;sourceID=11","")</f>
        <v/>
      </c>
      <c r="R229" s="4" t="str">
        <f>HYPERLINK("http://141.218.60.56/~jnz1568/getInfo.php?workbook=01_01.xlsx&amp;sheet=A0&amp;row=229&amp;col=18&amp;number=&amp;sourceID=11","")</f>
        <v/>
      </c>
      <c r="S229" s="4" t="str">
        <f>HYPERLINK("http://141.218.60.56/~jnz1568/getInfo.php?workbook=01_01.xlsx&amp;sheet=A0&amp;row=229&amp;col=19&amp;number=&amp;sourceID=11","")</f>
        <v/>
      </c>
      <c r="T229" s="4" t="str">
        <f>HYPERLINK("http://141.218.60.56/~jnz1568/getInfo.php?workbook=01_01.xlsx&amp;sheet=A0&amp;row=229&amp;col=20&amp;number=2.7668e-10&amp;sourceID=11","2.7668e-10")</f>
        <v>2.7668e-10</v>
      </c>
      <c r="U229" s="4" t="str">
        <f>HYPERLINK("http://141.218.60.56/~jnz1568/getInfo.php?workbook=01_01.xlsx&amp;sheet=A0&amp;row=229&amp;col=21&amp;number=41.322&amp;sourceID=12","41.322")</f>
        <v>41.322</v>
      </c>
      <c r="V229" s="4" t="str">
        <f>HYPERLINK("http://141.218.60.56/~jnz1568/getInfo.php?workbook=01_01.xlsx&amp;sheet=A0&amp;row=229&amp;col=22&amp;number=&amp;sourceID=12","")</f>
        <v/>
      </c>
      <c r="W229" s="4" t="str">
        <f>HYPERLINK("http://141.218.60.56/~jnz1568/getInfo.php?workbook=01_01.xlsx&amp;sheet=A0&amp;row=229&amp;col=23&amp;number=41.322&amp;sourceID=12","41.322")</f>
        <v>41.322</v>
      </c>
      <c r="X229" s="4" t="str">
        <f>HYPERLINK("http://141.218.60.56/~jnz1568/getInfo.php?workbook=01_01.xlsx&amp;sheet=A0&amp;row=229&amp;col=24&amp;number=&amp;sourceID=12","")</f>
        <v/>
      </c>
      <c r="Y229" s="4" t="str">
        <f>HYPERLINK("http://141.218.60.56/~jnz1568/getInfo.php?workbook=01_01.xlsx&amp;sheet=A0&amp;row=229&amp;col=25&amp;number=&amp;sourceID=12","")</f>
        <v/>
      </c>
      <c r="Z229" s="4" t="str">
        <f>HYPERLINK("http://141.218.60.56/~jnz1568/getInfo.php?workbook=01_01.xlsx&amp;sheet=A0&amp;row=229&amp;col=26&amp;number=&amp;sourceID=12","")</f>
        <v/>
      </c>
      <c r="AA229" s="4" t="str">
        <f>HYPERLINK("http://141.218.60.56/~jnz1568/getInfo.php?workbook=01_01.xlsx&amp;sheet=A0&amp;row=229&amp;col=27&amp;number=2.7684e-10&amp;sourceID=12","2.7684e-10")</f>
        <v>2.7684e-10</v>
      </c>
      <c r="AB229" s="4" t="str">
        <f>HYPERLINK("http://141.218.60.56/~jnz1568/getInfo.php?workbook=01_01.xlsx&amp;sheet=A0&amp;row=229&amp;col=28&amp;number=&amp;sourceID=18","")</f>
        <v/>
      </c>
      <c r="AC229" s="4" t="str">
        <f>HYPERLINK("http://141.218.60.56/~jnz1568/getInfo.php?workbook=01_01.xlsx&amp;sheet=A0&amp;row=229&amp;col=29&amp;number=&amp;sourceID=18","")</f>
        <v/>
      </c>
      <c r="AD229" s="4" t="str">
        <f>HYPERLINK("http://141.218.60.56/~jnz1568/getInfo.php?workbook=01_01.xlsx&amp;sheet=A0&amp;row=229&amp;col=30&amp;number=&amp;sourceID=18","")</f>
        <v/>
      </c>
      <c r="AE229" s="4" t="str">
        <f>HYPERLINK("http://141.218.60.56/~jnz1568/getInfo.php?workbook=01_01.xlsx&amp;sheet=A0&amp;row=229&amp;col=31&amp;number=&amp;sourceID=18","")</f>
        <v/>
      </c>
      <c r="AF229" s="4" t="str">
        <f>HYPERLINK("http://141.218.60.56/~jnz1568/getInfo.php?workbook=01_01.xlsx&amp;sheet=A0&amp;row=229&amp;col=32&amp;number=&amp;sourceID=18","")</f>
        <v/>
      </c>
      <c r="AG229" s="4" t="str">
        <f>HYPERLINK("http://141.218.60.56/~jnz1568/getInfo.php?workbook=01_01.xlsx&amp;sheet=A0&amp;row=229&amp;col=33&amp;number=&amp;sourceID=18","")</f>
        <v/>
      </c>
      <c r="AH229" s="4" t="str">
        <f>HYPERLINK("http://141.218.60.56/~jnz1568/getInfo.php?workbook=01_01.xlsx&amp;sheet=A0&amp;row=229&amp;col=34&amp;number=&amp;sourceID=20","")</f>
        <v/>
      </c>
    </row>
    <row r="230" spans="1:34">
      <c r="A230" s="3">
        <v>1</v>
      </c>
      <c r="B230" s="3">
        <v>1</v>
      </c>
      <c r="C230" s="3">
        <v>23</v>
      </c>
      <c r="D230" s="3">
        <v>5</v>
      </c>
      <c r="E230" s="3">
        <f>((1/(INDEX(E0!J$4:J$28,C230,1)-INDEX(E0!J$4:J$28,D230,1))))*100000000</f>
        <v>0</v>
      </c>
      <c r="F230" s="4" t="str">
        <f>HYPERLINK("http://141.218.60.56/~jnz1568/getInfo.php?workbook=01_01.xlsx&amp;sheet=A0&amp;row=230&amp;col=6&amp;number=&amp;sourceID=18","")</f>
        <v/>
      </c>
      <c r="G230" s="4" t="str">
        <f>HYPERLINK("http://141.218.60.56/~jnz1568/getInfo.php?workbook=01_01.xlsx&amp;sheet=A0&amp;row=230&amp;col=7&amp;number=&amp;sourceID=15","")</f>
        <v/>
      </c>
      <c r="H230" s="4" t="str">
        <f>HYPERLINK("http://141.218.60.56/~jnz1568/getInfo.php?workbook=01_01.xlsx&amp;sheet=A0&amp;row=230&amp;col=8&amp;number=&amp;sourceID=15","")</f>
        <v/>
      </c>
      <c r="I230" s="4" t="str">
        <f>HYPERLINK("http://141.218.60.56/~jnz1568/getInfo.php?workbook=01_01.xlsx&amp;sheet=A0&amp;row=230&amp;col=9&amp;number=&amp;sourceID=15","")</f>
        <v/>
      </c>
      <c r="J230" s="4" t="str">
        <f>HYPERLINK("http://141.218.60.56/~jnz1568/getInfo.php?workbook=01_01.xlsx&amp;sheet=A0&amp;row=230&amp;col=10&amp;number=&amp;sourceID=15","")</f>
        <v/>
      </c>
      <c r="K230" s="4" t="str">
        <f>HYPERLINK("http://141.218.60.56/~jnz1568/getInfo.php?workbook=01_01.xlsx&amp;sheet=A0&amp;row=230&amp;col=11&amp;number=&amp;sourceID=15","")</f>
        <v/>
      </c>
      <c r="L230" s="4" t="str">
        <f>HYPERLINK("http://141.218.60.56/~jnz1568/getInfo.php?workbook=01_01.xlsx&amp;sheet=A0&amp;row=230&amp;col=12&amp;number=&amp;sourceID=15","")</f>
        <v/>
      </c>
      <c r="M230" s="4" t="str">
        <f>HYPERLINK("http://141.218.60.56/~jnz1568/getInfo.php?workbook=01_01.xlsx&amp;sheet=A0&amp;row=230&amp;col=13&amp;number=&amp;sourceID=15","")</f>
        <v/>
      </c>
      <c r="N230" s="4" t="str">
        <f>HYPERLINK("http://141.218.60.56/~jnz1568/getInfo.php?workbook=01_01.xlsx&amp;sheet=A0&amp;row=230&amp;col=14&amp;number==&amp;sourceID=11","=")</f>
        <v>=</v>
      </c>
      <c r="O230" s="4" t="str">
        <f>HYPERLINK("http://141.218.60.56/~jnz1568/getInfo.php?workbook=01_01.xlsx&amp;sheet=A0&amp;row=230&amp;col=15&amp;number=&amp;sourceID=11","")</f>
        <v/>
      </c>
      <c r="P230" s="4" t="str">
        <f>HYPERLINK("http://141.218.60.56/~jnz1568/getInfo.php?workbook=01_01.xlsx&amp;sheet=A0&amp;row=230&amp;col=16&amp;number=&amp;sourceID=11","")</f>
        <v/>
      </c>
      <c r="Q230" s="4" t="str">
        <f>HYPERLINK("http://141.218.60.56/~jnz1568/getInfo.php?workbook=01_01.xlsx&amp;sheet=A0&amp;row=230&amp;col=17&amp;number=&amp;sourceID=11","")</f>
        <v/>
      </c>
      <c r="R230" s="4" t="str">
        <f>HYPERLINK("http://141.218.60.56/~jnz1568/getInfo.php?workbook=01_01.xlsx&amp;sheet=A0&amp;row=230&amp;col=18&amp;number=&amp;sourceID=11","")</f>
        <v/>
      </c>
      <c r="S230" s="4" t="str">
        <f>HYPERLINK("http://141.218.60.56/~jnz1568/getInfo.php?workbook=01_01.xlsx&amp;sheet=A0&amp;row=230&amp;col=19&amp;number=&amp;sourceID=11","")</f>
        <v/>
      </c>
      <c r="T230" s="4" t="str">
        <f>HYPERLINK("http://141.218.60.56/~jnz1568/getInfo.php?workbook=01_01.xlsx&amp;sheet=A0&amp;row=230&amp;col=20&amp;number=7e-15&amp;sourceID=11","7e-15")</f>
        <v>7e-15</v>
      </c>
      <c r="U230" s="4" t="str">
        <f>HYPERLINK("http://141.218.60.56/~jnz1568/getInfo.php?workbook=01_01.xlsx&amp;sheet=A0&amp;row=230&amp;col=21&amp;number=7e-15&amp;sourceID=12","7e-15")</f>
        <v>7e-15</v>
      </c>
      <c r="V230" s="4" t="str">
        <f>HYPERLINK("http://141.218.60.56/~jnz1568/getInfo.php?workbook=01_01.xlsx&amp;sheet=A0&amp;row=230&amp;col=22&amp;number=&amp;sourceID=12","")</f>
        <v/>
      </c>
      <c r="W230" s="4" t="str">
        <f>HYPERLINK("http://141.218.60.56/~jnz1568/getInfo.php?workbook=01_01.xlsx&amp;sheet=A0&amp;row=230&amp;col=23&amp;number=&amp;sourceID=12","")</f>
        <v/>
      </c>
      <c r="X230" s="4" t="str">
        <f>HYPERLINK("http://141.218.60.56/~jnz1568/getInfo.php?workbook=01_01.xlsx&amp;sheet=A0&amp;row=230&amp;col=24&amp;number=&amp;sourceID=12","")</f>
        <v/>
      </c>
      <c r="Y230" s="4" t="str">
        <f>HYPERLINK("http://141.218.60.56/~jnz1568/getInfo.php?workbook=01_01.xlsx&amp;sheet=A0&amp;row=230&amp;col=25&amp;number=&amp;sourceID=12","")</f>
        <v/>
      </c>
      <c r="Z230" s="4" t="str">
        <f>HYPERLINK("http://141.218.60.56/~jnz1568/getInfo.php?workbook=01_01.xlsx&amp;sheet=A0&amp;row=230&amp;col=26&amp;number=&amp;sourceID=12","")</f>
        <v/>
      </c>
      <c r="AA230" s="4" t="str">
        <f>HYPERLINK("http://141.218.60.56/~jnz1568/getInfo.php?workbook=01_01.xlsx&amp;sheet=A0&amp;row=230&amp;col=27&amp;number=7e-15&amp;sourceID=12","7e-15")</f>
        <v>7e-15</v>
      </c>
      <c r="AB230" s="4" t="str">
        <f>HYPERLINK("http://141.218.60.56/~jnz1568/getInfo.php?workbook=01_01.xlsx&amp;sheet=A0&amp;row=230&amp;col=28&amp;number=&amp;sourceID=18","")</f>
        <v/>
      </c>
      <c r="AC230" s="4" t="str">
        <f>HYPERLINK("http://141.218.60.56/~jnz1568/getInfo.php?workbook=01_01.xlsx&amp;sheet=A0&amp;row=230&amp;col=29&amp;number=&amp;sourceID=18","")</f>
        <v/>
      </c>
      <c r="AD230" s="4" t="str">
        <f>HYPERLINK("http://141.218.60.56/~jnz1568/getInfo.php?workbook=01_01.xlsx&amp;sheet=A0&amp;row=230&amp;col=30&amp;number=&amp;sourceID=18","")</f>
        <v/>
      </c>
      <c r="AE230" s="4" t="str">
        <f>HYPERLINK("http://141.218.60.56/~jnz1568/getInfo.php?workbook=01_01.xlsx&amp;sheet=A0&amp;row=230&amp;col=31&amp;number=&amp;sourceID=18","")</f>
        <v/>
      </c>
      <c r="AF230" s="4" t="str">
        <f>HYPERLINK("http://141.218.60.56/~jnz1568/getInfo.php?workbook=01_01.xlsx&amp;sheet=A0&amp;row=230&amp;col=32&amp;number=&amp;sourceID=18","")</f>
        <v/>
      </c>
      <c r="AG230" s="4" t="str">
        <f>HYPERLINK("http://141.218.60.56/~jnz1568/getInfo.php?workbook=01_01.xlsx&amp;sheet=A0&amp;row=230&amp;col=33&amp;number=&amp;sourceID=18","")</f>
        <v/>
      </c>
      <c r="AH230" s="4" t="str">
        <f>HYPERLINK("http://141.218.60.56/~jnz1568/getInfo.php?workbook=01_01.xlsx&amp;sheet=A0&amp;row=230&amp;col=34&amp;number=&amp;sourceID=20","")</f>
        <v/>
      </c>
    </row>
    <row r="231" spans="1:34">
      <c r="A231" s="3">
        <v>1</v>
      </c>
      <c r="B231" s="3">
        <v>1</v>
      </c>
      <c r="C231" s="3">
        <v>23</v>
      </c>
      <c r="D231" s="3">
        <v>6</v>
      </c>
      <c r="E231" s="3">
        <f>((1/(INDEX(E0!J$4:J$28,C231,1)-INDEX(E0!J$4:J$28,D231,1))))*100000000</f>
        <v>0</v>
      </c>
      <c r="F231" s="4" t="str">
        <f>HYPERLINK("http://141.218.60.56/~jnz1568/getInfo.php?workbook=01_01.xlsx&amp;sheet=A0&amp;row=231&amp;col=6&amp;number=&amp;sourceID=18","")</f>
        <v/>
      </c>
      <c r="G231" s="4" t="str">
        <f>HYPERLINK("http://141.218.60.56/~jnz1568/getInfo.php?workbook=01_01.xlsx&amp;sheet=A0&amp;row=231&amp;col=7&amp;number=&amp;sourceID=15","")</f>
        <v/>
      </c>
      <c r="H231" s="4" t="str">
        <f>HYPERLINK("http://141.218.60.56/~jnz1568/getInfo.php?workbook=01_01.xlsx&amp;sheet=A0&amp;row=231&amp;col=8&amp;number=&amp;sourceID=15","")</f>
        <v/>
      </c>
      <c r="I231" s="4" t="str">
        <f>HYPERLINK("http://141.218.60.56/~jnz1568/getInfo.php?workbook=01_01.xlsx&amp;sheet=A0&amp;row=231&amp;col=9&amp;number=&amp;sourceID=15","")</f>
        <v/>
      </c>
      <c r="J231" s="4" t="str">
        <f>HYPERLINK("http://141.218.60.56/~jnz1568/getInfo.php?workbook=01_01.xlsx&amp;sheet=A0&amp;row=231&amp;col=10&amp;number=&amp;sourceID=15","")</f>
        <v/>
      </c>
      <c r="K231" s="4" t="str">
        <f>HYPERLINK("http://141.218.60.56/~jnz1568/getInfo.php?workbook=01_01.xlsx&amp;sheet=A0&amp;row=231&amp;col=11&amp;number=&amp;sourceID=15","")</f>
        <v/>
      </c>
      <c r="L231" s="4" t="str">
        <f>HYPERLINK("http://141.218.60.56/~jnz1568/getInfo.php?workbook=01_01.xlsx&amp;sheet=A0&amp;row=231&amp;col=12&amp;number=&amp;sourceID=15","")</f>
        <v/>
      </c>
      <c r="M231" s="4" t="str">
        <f>HYPERLINK("http://141.218.60.56/~jnz1568/getInfo.php?workbook=01_01.xlsx&amp;sheet=A0&amp;row=231&amp;col=13&amp;number=&amp;sourceID=15","")</f>
        <v/>
      </c>
      <c r="N231" s="4" t="str">
        <f>HYPERLINK("http://141.218.60.56/~jnz1568/getInfo.php?workbook=01_01.xlsx&amp;sheet=A0&amp;row=231&amp;col=14&amp;number==&amp;sourceID=11","=")</f>
        <v>=</v>
      </c>
      <c r="O231" s="4" t="str">
        <f>HYPERLINK("http://141.218.60.56/~jnz1568/getInfo.php?workbook=01_01.xlsx&amp;sheet=A0&amp;row=231&amp;col=15&amp;number=&amp;sourceID=11","")</f>
        <v/>
      </c>
      <c r="P231" s="4" t="str">
        <f>HYPERLINK("http://141.218.60.56/~jnz1568/getInfo.php?workbook=01_01.xlsx&amp;sheet=A0&amp;row=231&amp;col=16&amp;number=&amp;sourceID=11","")</f>
        <v/>
      </c>
      <c r="Q231" s="4" t="str">
        <f>HYPERLINK("http://141.218.60.56/~jnz1568/getInfo.php?workbook=01_01.xlsx&amp;sheet=A0&amp;row=231&amp;col=17&amp;number=1.0644e-06&amp;sourceID=11","1.0644e-06")</f>
        <v>1.0644e-06</v>
      </c>
      <c r="R231" s="4" t="str">
        <f>HYPERLINK("http://141.218.60.56/~jnz1568/getInfo.php?workbook=01_01.xlsx&amp;sheet=A0&amp;row=231&amp;col=18&amp;number=&amp;sourceID=11","")</f>
        <v/>
      </c>
      <c r="S231" s="4" t="str">
        <f>HYPERLINK("http://141.218.60.56/~jnz1568/getInfo.php?workbook=01_01.xlsx&amp;sheet=A0&amp;row=231&amp;col=19&amp;number=&amp;sourceID=11","")</f>
        <v/>
      </c>
      <c r="T231" s="4" t="str">
        <f>HYPERLINK("http://141.218.60.56/~jnz1568/getInfo.php?workbook=01_01.xlsx&amp;sheet=A0&amp;row=231&amp;col=20&amp;number=&amp;sourceID=11","")</f>
        <v/>
      </c>
      <c r="U231" s="4" t="str">
        <f>HYPERLINK("http://141.218.60.56/~jnz1568/getInfo.php?workbook=01_01.xlsx&amp;sheet=A0&amp;row=231&amp;col=21&amp;number=1.065e-06&amp;sourceID=12","1.065e-06")</f>
        <v>1.065e-06</v>
      </c>
      <c r="V231" s="4" t="str">
        <f>HYPERLINK("http://141.218.60.56/~jnz1568/getInfo.php?workbook=01_01.xlsx&amp;sheet=A0&amp;row=231&amp;col=22&amp;number=&amp;sourceID=12","")</f>
        <v/>
      </c>
      <c r="W231" s="4" t="str">
        <f>HYPERLINK("http://141.218.60.56/~jnz1568/getInfo.php?workbook=01_01.xlsx&amp;sheet=A0&amp;row=231&amp;col=23&amp;number=&amp;sourceID=12","")</f>
        <v/>
      </c>
      <c r="X231" s="4" t="str">
        <f>HYPERLINK("http://141.218.60.56/~jnz1568/getInfo.php?workbook=01_01.xlsx&amp;sheet=A0&amp;row=231&amp;col=24&amp;number=1.065e-06&amp;sourceID=12","1.065e-06")</f>
        <v>1.065e-06</v>
      </c>
      <c r="Y231" s="4" t="str">
        <f>HYPERLINK("http://141.218.60.56/~jnz1568/getInfo.php?workbook=01_01.xlsx&amp;sheet=A0&amp;row=231&amp;col=25&amp;number=&amp;sourceID=12","")</f>
        <v/>
      </c>
      <c r="Z231" s="4" t="str">
        <f>HYPERLINK("http://141.218.60.56/~jnz1568/getInfo.php?workbook=01_01.xlsx&amp;sheet=A0&amp;row=231&amp;col=26&amp;number=&amp;sourceID=12","")</f>
        <v/>
      </c>
      <c r="AA231" s="4" t="str">
        <f>HYPERLINK("http://141.218.60.56/~jnz1568/getInfo.php?workbook=01_01.xlsx&amp;sheet=A0&amp;row=231&amp;col=27&amp;number=&amp;sourceID=12","")</f>
        <v/>
      </c>
      <c r="AB231" s="4" t="str">
        <f>HYPERLINK("http://141.218.60.56/~jnz1568/getInfo.php?workbook=01_01.xlsx&amp;sheet=A0&amp;row=231&amp;col=28&amp;number=&amp;sourceID=18","")</f>
        <v/>
      </c>
      <c r="AC231" s="4" t="str">
        <f>HYPERLINK("http://141.218.60.56/~jnz1568/getInfo.php?workbook=01_01.xlsx&amp;sheet=A0&amp;row=231&amp;col=29&amp;number=&amp;sourceID=18","")</f>
        <v/>
      </c>
      <c r="AD231" s="4" t="str">
        <f>HYPERLINK("http://141.218.60.56/~jnz1568/getInfo.php?workbook=01_01.xlsx&amp;sheet=A0&amp;row=231&amp;col=30&amp;number=&amp;sourceID=18","")</f>
        <v/>
      </c>
      <c r="AE231" s="4" t="str">
        <f>HYPERLINK("http://141.218.60.56/~jnz1568/getInfo.php?workbook=01_01.xlsx&amp;sheet=A0&amp;row=231&amp;col=31&amp;number=&amp;sourceID=18","")</f>
        <v/>
      </c>
      <c r="AF231" s="4" t="str">
        <f>HYPERLINK("http://141.218.60.56/~jnz1568/getInfo.php?workbook=01_01.xlsx&amp;sheet=A0&amp;row=231&amp;col=32&amp;number=&amp;sourceID=18","")</f>
        <v/>
      </c>
      <c r="AG231" s="4" t="str">
        <f>HYPERLINK("http://141.218.60.56/~jnz1568/getInfo.php?workbook=01_01.xlsx&amp;sheet=A0&amp;row=231&amp;col=33&amp;number=&amp;sourceID=18","")</f>
        <v/>
      </c>
      <c r="AH231" s="4" t="str">
        <f>HYPERLINK("http://141.218.60.56/~jnz1568/getInfo.php?workbook=01_01.xlsx&amp;sheet=A0&amp;row=231&amp;col=34&amp;number=&amp;sourceID=20","")</f>
        <v/>
      </c>
    </row>
    <row r="232" spans="1:34">
      <c r="A232" s="3">
        <v>1</v>
      </c>
      <c r="B232" s="3">
        <v>1</v>
      </c>
      <c r="C232" s="3">
        <v>23</v>
      </c>
      <c r="D232" s="3">
        <v>7</v>
      </c>
      <c r="E232" s="3">
        <f>((1/(INDEX(E0!J$4:J$28,C232,1)-INDEX(E0!J$4:J$28,D232,1))))*100000000</f>
        <v>0</v>
      </c>
      <c r="F232" s="4" t="str">
        <f>HYPERLINK("http://141.218.60.56/~jnz1568/getInfo.php?workbook=01_01.xlsx&amp;sheet=A0&amp;row=232&amp;col=6&amp;number=&amp;sourceID=18","")</f>
        <v/>
      </c>
      <c r="G232" s="4" t="str">
        <f>HYPERLINK("http://141.218.60.56/~jnz1568/getInfo.php?workbook=01_01.xlsx&amp;sheet=A0&amp;row=232&amp;col=7&amp;number=&amp;sourceID=15","")</f>
        <v/>
      </c>
      <c r="H232" s="4" t="str">
        <f>HYPERLINK("http://141.218.60.56/~jnz1568/getInfo.php?workbook=01_01.xlsx&amp;sheet=A0&amp;row=232&amp;col=8&amp;number=&amp;sourceID=15","")</f>
        <v/>
      </c>
      <c r="I232" s="4" t="str">
        <f>HYPERLINK("http://141.218.60.56/~jnz1568/getInfo.php?workbook=01_01.xlsx&amp;sheet=A0&amp;row=232&amp;col=9&amp;number=&amp;sourceID=15","")</f>
        <v/>
      </c>
      <c r="J232" s="4" t="str">
        <f>HYPERLINK("http://141.218.60.56/~jnz1568/getInfo.php?workbook=01_01.xlsx&amp;sheet=A0&amp;row=232&amp;col=10&amp;number=&amp;sourceID=15","")</f>
        <v/>
      </c>
      <c r="K232" s="4" t="str">
        <f>HYPERLINK("http://141.218.60.56/~jnz1568/getInfo.php?workbook=01_01.xlsx&amp;sheet=A0&amp;row=232&amp;col=11&amp;number=&amp;sourceID=15","")</f>
        <v/>
      </c>
      <c r="L232" s="4" t="str">
        <f>HYPERLINK("http://141.218.60.56/~jnz1568/getInfo.php?workbook=01_01.xlsx&amp;sheet=A0&amp;row=232&amp;col=12&amp;number=&amp;sourceID=15","")</f>
        <v/>
      </c>
      <c r="M232" s="4" t="str">
        <f>HYPERLINK("http://141.218.60.56/~jnz1568/getInfo.php?workbook=01_01.xlsx&amp;sheet=A0&amp;row=232&amp;col=13&amp;number=&amp;sourceID=15","")</f>
        <v/>
      </c>
      <c r="N232" s="4" t="str">
        <f>HYPERLINK("http://141.218.60.56/~jnz1568/getInfo.php?workbook=01_01.xlsx&amp;sheet=A0&amp;row=232&amp;col=14&amp;number==&amp;sourceID=11","=")</f>
        <v>=</v>
      </c>
      <c r="O232" s="4" t="str">
        <f>HYPERLINK("http://141.218.60.56/~jnz1568/getInfo.php?workbook=01_01.xlsx&amp;sheet=A0&amp;row=232&amp;col=15&amp;number=&amp;sourceID=11","")</f>
        <v/>
      </c>
      <c r="P232" s="4" t="str">
        <f>HYPERLINK("http://141.218.60.56/~jnz1568/getInfo.php?workbook=01_01.xlsx&amp;sheet=A0&amp;row=232&amp;col=16&amp;number=&amp;sourceID=11","")</f>
        <v/>
      </c>
      <c r="Q232" s="4" t="str">
        <f>HYPERLINK("http://141.218.60.56/~jnz1568/getInfo.php?workbook=01_01.xlsx&amp;sheet=A0&amp;row=232&amp;col=17&amp;number=1.163e-08&amp;sourceID=11","1.163e-08")</f>
        <v>1.163e-08</v>
      </c>
      <c r="R232" s="4" t="str">
        <f>HYPERLINK("http://141.218.60.56/~jnz1568/getInfo.php?workbook=01_01.xlsx&amp;sheet=A0&amp;row=232&amp;col=18&amp;number=&amp;sourceID=11","")</f>
        <v/>
      </c>
      <c r="S232" s="4" t="str">
        <f>HYPERLINK("http://141.218.60.56/~jnz1568/getInfo.php?workbook=01_01.xlsx&amp;sheet=A0&amp;row=232&amp;col=19&amp;number=8.6845e-07&amp;sourceID=11","8.6845e-07")</f>
        <v>8.6845e-07</v>
      </c>
      <c r="T232" s="4" t="str">
        <f>HYPERLINK("http://141.218.60.56/~jnz1568/getInfo.php?workbook=01_01.xlsx&amp;sheet=A0&amp;row=232&amp;col=20&amp;number=&amp;sourceID=11","")</f>
        <v/>
      </c>
      <c r="U232" s="4" t="str">
        <f>HYPERLINK("http://141.218.60.56/~jnz1568/getInfo.php?workbook=01_01.xlsx&amp;sheet=A0&amp;row=232&amp;col=21&amp;number=8.8057e-07&amp;sourceID=12","8.8057e-07")</f>
        <v>8.8057e-07</v>
      </c>
      <c r="V232" s="4" t="str">
        <f>HYPERLINK("http://141.218.60.56/~jnz1568/getInfo.php?workbook=01_01.xlsx&amp;sheet=A0&amp;row=232&amp;col=22&amp;number=&amp;sourceID=12","")</f>
        <v/>
      </c>
      <c r="W232" s="4" t="str">
        <f>HYPERLINK("http://141.218.60.56/~jnz1568/getInfo.php?workbook=01_01.xlsx&amp;sheet=A0&amp;row=232&amp;col=23&amp;number=&amp;sourceID=12","")</f>
        <v/>
      </c>
      <c r="X232" s="4" t="str">
        <f>HYPERLINK("http://141.218.60.56/~jnz1568/getInfo.php?workbook=01_01.xlsx&amp;sheet=A0&amp;row=232&amp;col=24&amp;number=1.1636e-08&amp;sourceID=12","1.1636e-08")</f>
        <v>1.1636e-08</v>
      </c>
      <c r="Y232" s="4" t="str">
        <f>HYPERLINK("http://141.218.60.56/~jnz1568/getInfo.php?workbook=01_01.xlsx&amp;sheet=A0&amp;row=232&amp;col=25&amp;number=&amp;sourceID=12","")</f>
        <v/>
      </c>
      <c r="Z232" s="4" t="str">
        <f>HYPERLINK("http://141.218.60.56/~jnz1568/getInfo.php?workbook=01_01.xlsx&amp;sheet=A0&amp;row=232&amp;col=26&amp;number=8.6893e-07&amp;sourceID=12","8.6893e-07")</f>
        <v>8.6893e-07</v>
      </c>
      <c r="AA232" s="4" t="str">
        <f>HYPERLINK("http://141.218.60.56/~jnz1568/getInfo.php?workbook=01_01.xlsx&amp;sheet=A0&amp;row=232&amp;col=27&amp;number=&amp;sourceID=12","")</f>
        <v/>
      </c>
      <c r="AB232" s="4" t="str">
        <f>HYPERLINK("http://141.218.60.56/~jnz1568/getInfo.php?workbook=01_01.xlsx&amp;sheet=A0&amp;row=232&amp;col=28&amp;number=&amp;sourceID=18","")</f>
        <v/>
      </c>
      <c r="AC232" s="4" t="str">
        <f>HYPERLINK("http://141.218.60.56/~jnz1568/getInfo.php?workbook=01_01.xlsx&amp;sheet=A0&amp;row=232&amp;col=29&amp;number=&amp;sourceID=18","")</f>
        <v/>
      </c>
      <c r="AD232" s="4" t="str">
        <f>HYPERLINK("http://141.218.60.56/~jnz1568/getInfo.php?workbook=01_01.xlsx&amp;sheet=A0&amp;row=232&amp;col=30&amp;number=&amp;sourceID=18","")</f>
        <v/>
      </c>
      <c r="AE232" s="4" t="str">
        <f>HYPERLINK("http://141.218.60.56/~jnz1568/getInfo.php?workbook=01_01.xlsx&amp;sheet=A0&amp;row=232&amp;col=31&amp;number=&amp;sourceID=18","")</f>
        <v/>
      </c>
      <c r="AF232" s="4" t="str">
        <f>HYPERLINK("http://141.218.60.56/~jnz1568/getInfo.php?workbook=01_01.xlsx&amp;sheet=A0&amp;row=232&amp;col=32&amp;number=&amp;sourceID=18","")</f>
        <v/>
      </c>
      <c r="AG232" s="4" t="str">
        <f>HYPERLINK("http://141.218.60.56/~jnz1568/getInfo.php?workbook=01_01.xlsx&amp;sheet=A0&amp;row=232&amp;col=33&amp;number=&amp;sourceID=18","")</f>
        <v/>
      </c>
      <c r="AH232" s="4" t="str">
        <f>HYPERLINK("http://141.218.60.56/~jnz1568/getInfo.php?workbook=01_01.xlsx&amp;sheet=A0&amp;row=232&amp;col=34&amp;number=&amp;sourceID=20","")</f>
        <v/>
      </c>
    </row>
    <row r="233" spans="1:34">
      <c r="A233" s="3">
        <v>1</v>
      </c>
      <c r="B233" s="3">
        <v>1</v>
      </c>
      <c r="C233" s="3">
        <v>23</v>
      </c>
      <c r="D233" s="3">
        <v>8</v>
      </c>
      <c r="E233" s="3">
        <f>((1/(INDEX(E0!J$4:J$28,C233,1)-INDEX(E0!J$4:J$28,D233,1))))*100000000</f>
        <v>0</v>
      </c>
      <c r="F233" s="4" t="str">
        <f>HYPERLINK("http://141.218.60.56/~jnz1568/getInfo.php?workbook=01_01.xlsx&amp;sheet=A0&amp;row=233&amp;col=6&amp;number=&amp;sourceID=18","")</f>
        <v/>
      </c>
      <c r="G233" s="4" t="str">
        <f>HYPERLINK("http://141.218.60.56/~jnz1568/getInfo.php?workbook=01_01.xlsx&amp;sheet=A0&amp;row=233&amp;col=7&amp;number=&amp;sourceID=15","")</f>
        <v/>
      </c>
      <c r="H233" s="4" t="str">
        <f>HYPERLINK("http://141.218.60.56/~jnz1568/getInfo.php?workbook=01_01.xlsx&amp;sheet=A0&amp;row=233&amp;col=8&amp;number=&amp;sourceID=15","")</f>
        <v/>
      </c>
      <c r="I233" s="4" t="str">
        <f>HYPERLINK("http://141.218.60.56/~jnz1568/getInfo.php?workbook=01_01.xlsx&amp;sheet=A0&amp;row=233&amp;col=9&amp;number=&amp;sourceID=15","")</f>
        <v/>
      </c>
      <c r="J233" s="4" t="str">
        <f>HYPERLINK("http://141.218.60.56/~jnz1568/getInfo.php?workbook=01_01.xlsx&amp;sheet=A0&amp;row=233&amp;col=10&amp;number=&amp;sourceID=15","")</f>
        <v/>
      </c>
      <c r="K233" s="4" t="str">
        <f>HYPERLINK("http://141.218.60.56/~jnz1568/getInfo.php?workbook=01_01.xlsx&amp;sheet=A0&amp;row=233&amp;col=11&amp;number=&amp;sourceID=15","")</f>
        <v/>
      </c>
      <c r="L233" s="4" t="str">
        <f>HYPERLINK("http://141.218.60.56/~jnz1568/getInfo.php?workbook=01_01.xlsx&amp;sheet=A0&amp;row=233&amp;col=12&amp;number=&amp;sourceID=15","")</f>
        <v/>
      </c>
      <c r="M233" s="4" t="str">
        <f>HYPERLINK("http://141.218.60.56/~jnz1568/getInfo.php?workbook=01_01.xlsx&amp;sheet=A0&amp;row=233&amp;col=13&amp;number=&amp;sourceID=15","")</f>
        <v/>
      </c>
      <c r="N233" s="4" t="str">
        <f>HYPERLINK("http://141.218.60.56/~jnz1568/getInfo.php?workbook=01_01.xlsx&amp;sheet=A0&amp;row=233&amp;col=14&amp;number==&amp;sourceID=11","=")</f>
        <v>=</v>
      </c>
      <c r="O233" s="4" t="str">
        <f>HYPERLINK("http://141.218.60.56/~jnz1568/getInfo.php?workbook=01_01.xlsx&amp;sheet=A0&amp;row=233&amp;col=15&amp;number=&amp;sourceID=11","")</f>
        <v/>
      </c>
      <c r="P233" s="4" t="str">
        <f>HYPERLINK("http://141.218.60.56/~jnz1568/getInfo.php?workbook=01_01.xlsx&amp;sheet=A0&amp;row=233&amp;col=16&amp;number=0.025808&amp;sourceID=11","0.025808")</f>
        <v>0.025808</v>
      </c>
      <c r="Q233" s="4" t="str">
        <f>HYPERLINK("http://141.218.60.56/~jnz1568/getInfo.php?workbook=01_01.xlsx&amp;sheet=A0&amp;row=233&amp;col=17&amp;number=&amp;sourceID=11","")</f>
        <v/>
      </c>
      <c r="R233" s="4" t="str">
        <f>HYPERLINK("http://141.218.60.56/~jnz1568/getInfo.php?workbook=01_01.xlsx&amp;sheet=A0&amp;row=233&amp;col=18&amp;number=&amp;sourceID=11","")</f>
        <v/>
      </c>
      <c r="S233" s="4" t="str">
        <f>HYPERLINK("http://141.218.60.56/~jnz1568/getInfo.php?workbook=01_01.xlsx&amp;sheet=A0&amp;row=233&amp;col=19&amp;number=&amp;sourceID=11","")</f>
        <v/>
      </c>
      <c r="T233" s="4" t="str">
        <f>HYPERLINK("http://141.218.60.56/~jnz1568/getInfo.php?workbook=01_01.xlsx&amp;sheet=A0&amp;row=233&amp;col=20&amp;number=2e-14&amp;sourceID=11","2e-14")</f>
        <v>2e-14</v>
      </c>
      <c r="U233" s="4" t="str">
        <f>HYPERLINK("http://141.218.60.56/~jnz1568/getInfo.php?workbook=01_01.xlsx&amp;sheet=A0&amp;row=233&amp;col=21&amp;number=0.025823&amp;sourceID=12","0.025823")</f>
        <v>0.025823</v>
      </c>
      <c r="V233" s="4" t="str">
        <f>HYPERLINK("http://141.218.60.56/~jnz1568/getInfo.php?workbook=01_01.xlsx&amp;sheet=A0&amp;row=233&amp;col=22&amp;number=&amp;sourceID=12","")</f>
        <v/>
      </c>
      <c r="W233" s="4" t="str">
        <f>HYPERLINK("http://141.218.60.56/~jnz1568/getInfo.php?workbook=01_01.xlsx&amp;sheet=A0&amp;row=233&amp;col=23&amp;number=0.025823&amp;sourceID=12","0.025823")</f>
        <v>0.025823</v>
      </c>
      <c r="X233" s="4" t="str">
        <f>HYPERLINK("http://141.218.60.56/~jnz1568/getInfo.php?workbook=01_01.xlsx&amp;sheet=A0&amp;row=233&amp;col=24&amp;number=&amp;sourceID=12","")</f>
        <v/>
      </c>
      <c r="Y233" s="4" t="str">
        <f>HYPERLINK("http://141.218.60.56/~jnz1568/getInfo.php?workbook=01_01.xlsx&amp;sheet=A0&amp;row=233&amp;col=25&amp;number=&amp;sourceID=12","")</f>
        <v/>
      </c>
      <c r="Z233" s="4" t="str">
        <f>HYPERLINK("http://141.218.60.56/~jnz1568/getInfo.php?workbook=01_01.xlsx&amp;sheet=A0&amp;row=233&amp;col=26&amp;number=&amp;sourceID=12","")</f>
        <v/>
      </c>
      <c r="AA233" s="4" t="str">
        <f>HYPERLINK("http://141.218.60.56/~jnz1568/getInfo.php?workbook=01_01.xlsx&amp;sheet=A0&amp;row=233&amp;col=27&amp;number=2e-14&amp;sourceID=12","2e-14")</f>
        <v>2e-14</v>
      </c>
      <c r="AB233" s="4" t="str">
        <f>HYPERLINK("http://141.218.60.56/~jnz1568/getInfo.php?workbook=01_01.xlsx&amp;sheet=A0&amp;row=233&amp;col=28&amp;number=&amp;sourceID=18","")</f>
        <v/>
      </c>
      <c r="AC233" s="4" t="str">
        <f>HYPERLINK("http://141.218.60.56/~jnz1568/getInfo.php?workbook=01_01.xlsx&amp;sheet=A0&amp;row=233&amp;col=29&amp;number=&amp;sourceID=18","")</f>
        <v/>
      </c>
      <c r="AD233" s="4" t="str">
        <f>HYPERLINK("http://141.218.60.56/~jnz1568/getInfo.php?workbook=01_01.xlsx&amp;sheet=A0&amp;row=233&amp;col=30&amp;number=&amp;sourceID=18","")</f>
        <v/>
      </c>
      <c r="AE233" s="4" t="str">
        <f>HYPERLINK("http://141.218.60.56/~jnz1568/getInfo.php?workbook=01_01.xlsx&amp;sheet=A0&amp;row=233&amp;col=31&amp;number=&amp;sourceID=18","")</f>
        <v/>
      </c>
      <c r="AF233" s="4" t="str">
        <f>HYPERLINK("http://141.218.60.56/~jnz1568/getInfo.php?workbook=01_01.xlsx&amp;sheet=A0&amp;row=233&amp;col=32&amp;number=&amp;sourceID=18","")</f>
        <v/>
      </c>
      <c r="AG233" s="4" t="str">
        <f>HYPERLINK("http://141.218.60.56/~jnz1568/getInfo.php?workbook=01_01.xlsx&amp;sheet=A0&amp;row=233&amp;col=33&amp;number=&amp;sourceID=18","")</f>
        <v/>
      </c>
      <c r="AH233" s="4" t="str">
        <f>HYPERLINK("http://141.218.60.56/~jnz1568/getInfo.php?workbook=01_01.xlsx&amp;sheet=A0&amp;row=233&amp;col=34&amp;number=&amp;sourceID=20","")</f>
        <v/>
      </c>
    </row>
    <row r="234" spans="1:34">
      <c r="A234" s="3">
        <v>1</v>
      </c>
      <c r="B234" s="3">
        <v>1</v>
      </c>
      <c r="C234" s="3">
        <v>23</v>
      </c>
      <c r="D234" s="3">
        <v>9</v>
      </c>
      <c r="E234" s="3">
        <f>((1/(INDEX(E0!J$4:J$28,C234,1)-INDEX(E0!J$4:J$28,D234,1))))*100000000</f>
        <v>0</v>
      </c>
      <c r="F234" s="4" t="str">
        <f>HYPERLINK("http://141.218.60.56/~jnz1568/getInfo.php?workbook=01_01.xlsx&amp;sheet=A0&amp;row=234&amp;col=6&amp;number=&amp;sourceID=18","")</f>
        <v/>
      </c>
      <c r="G234" s="4" t="str">
        <f>HYPERLINK("http://141.218.60.56/~jnz1568/getInfo.php?workbook=01_01.xlsx&amp;sheet=A0&amp;row=234&amp;col=7&amp;number=4542100&amp;sourceID=15","4542100")</f>
        <v>4542100</v>
      </c>
      <c r="H234" s="4" t="str">
        <f>HYPERLINK("http://141.218.60.56/~jnz1568/getInfo.php?workbook=01_01.xlsx&amp;sheet=A0&amp;row=234&amp;col=8&amp;number=4542100&amp;sourceID=15","4542100")</f>
        <v>4542100</v>
      </c>
      <c r="I234" s="4" t="str">
        <f>HYPERLINK("http://141.218.60.56/~jnz1568/getInfo.php?workbook=01_01.xlsx&amp;sheet=A0&amp;row=234&amp;col=9&amp;number=&amp;sourceID=15","")</f>
        <v/>
      </c>
      <c r="J234" s="4" t="str">
        <f>HYPERLINK("http://141.218.60.56/~jnz1568/getInfo.php?workbook=01_01.xlsx&amp;sheet=A0&amp;row=234&amp;col=10&amp;number=&amp;sourceID=15","")</f>
        <v/>
      </c>
      <c r="K234" s="4" t="str">
        <f>HYPERLINK("http://141.218.60.56/~jnz1568/getInfo.php?workbook=01_01.xlsx&amp;sheet=A0&amp;row=234&amp;col=11&amp;number=&amp;sourceID=15","")</f>
        <v/>
      </c>
      <c r="L234" s="4" t="str">
        <f>HYPERLINK("http://141.218.60.56/~jnz1568/getInfo.php?workbook=01_01.xlsx&amp;sheet=A0&amp;row=234&amp;col=12&amp;number=&amp;sourceID=15","")</f>
        <v/>
      </c>
      <c r="M234" s="4" t="str">
        <f>HYPERLINK("http://141.218.60.56/~jnz1568/getInfo.php?workbook=01_01.xlsx&amp;sheet=A0&amp;row=234&amp;col=13&amp;number=&amp;sourceID=15","")</f>
        <v/>
      </c>
      <c r="N234" s="4" t="str">
        <f>HYPERLINK("http://141.218.60.56/~jnz1568/getInfo.php?workbook=01_01.xlsx&amp;sheet=A0&amp;row=234&amp;col=14&amp;number==&amp;sourceID=11","=")</f>
        <v>=</v>
      </c>
      <c r="O234" s="4" t="str">
        <f>HYPERLINK("http://141.218.60.56/~jnz1568/getInfo.php?workbook=01_01.xlsx&amp;sheet=A0&amp;row=234&amp;col=15&amp;number=4542100&amp;sourceID=11","4542100")</f>
        <v>4542100</v>
      </c>
      <c r="P234" s="4" t="str">
        <f>HYPERLINK("http://141.218.60.56/~jnz1568/getInfo.php?workbook=01_01.xlsx&amp;sheet=A0&amp;row=234&amp;col=16&amp;number=&amp;sourceID=11","")</f>
        <v/>
      </c>
      <c r="Q234" s="4" t="str">
        <f>HYPERLINK("http://141.218.60.56/~jnz1568/getInfo.php?workbook=01_01.xlsx&amp;sheet=A0&amp;row=234&amp;col=17&amp;number=3.4892e-08&amp;sourceID=11","3.4892e-08")</f>
        <v>3.4892e-08</v>
      </c>
      <c r="R234" s="4" t="str">
        <f>HYPERLINK("http://141.218.60.56/~jnz1568/getInfo.php?workbook=01_01.xlsx&amp;sheet=A0&amp;row=234&amp;col=18&amp;number=&amp;sourceID=11","")</f>
        <v/>
      </c>
      <c r="S234" s="4" t="str">
        <f>HYPERLINK("http://141.218.60.56/~jnz1568/getInfo.php?workbook=01_01.xlsx&amp;sheet=A0&amp;row=234&amp;col=19&amp;number=5.984e-06&amp;sourceID=11","5.984e-06")</f>
        <v>5.984e-06</v>
      </c>
      <c r="T234" s="4" t="str">
        <f>HYPERLINK("http://141.218.60.56/~jnz1568/getInfo.php?workbook=01_01.xlsx&amp;sheet=A0&amp;row=234&amp;col=20&amp;number=&amp;sourceID=11","")</f>
        <v/>
      </c>
      <c r="U234" s="4" t="str">
        <f>HYPERLINK("http://141.218.60.56/~jnz1568/getInfo.php?workbook=01_01.xlsx&amp;sheet=A0&amp;row=234&amp;col=21&amp;number=4544600&amp;sourceID=12","4544600")</f>
        <v>4544600</v>
      </c>
      <c r="V234" s="4" t="str">
        <f>HYPERLINK("http://141.218.60.56/~jnz1568/getInfo.php?workbook=01_01.xlsx&amp;sheet=A0&amp;row=234&amp;col=22&amp;number=4544600&amp;sourceID=12","4544600")</f>
        <v>4544600</v>
      </c>
      <c r="W234" s="4" t="str">
        <f>HYPERLINK("http://141.218.60.56/~jnz1568/getInfo.php?workbook=01_01.xlsx&amp;sheet=A0&amp;row=234&amp;col=23&amp;number=&amp;sourceID=12","")</f>
        <v/>
      </c>
      <c r="X234" s="4" t="str">
        <f>HYPERLINK("http://141.218.60.56/~jnz1568/getInfo.php?workbook=01_01.xlsx&amp;sheet=A0&amp;row=234&amp;col=24&amp;number=3.4911e-08&amp;sourceID=12","3.4911e-08")</f>
        <v>3.4911e-08</v>
      </c>
      <c r="Y234" s="4" t="str">
        <f>HYPERLINK("http://141.218.60.56/~jnz1568/getInfo.php?workbook=01_01.xlsx&amp;sheet=A0&amp;row=234&amp;col=25&amp;number=&amp;sourceID=12","")</f>
        <v/>
      </c>
      <c r="Z234" s="4" t="str">
        <f>HYPERLINK("http://141.218.60.56/~jnz1568/getInfo.php?workbook=01_01.xlsx&amp;sheet=A0&amp;row=234&amp;col=26&amp;number=5.9873e-06&amp;sourceID=12","5.9873e-06")</f>
        <v>5.9873e-06</v>
      </c>
      <c r="AA234" s="4" t="str">
        <f>HYPERLINK("http://141.218.60.56/~jnz1568/getInfo.php?workbook=01_01.xlsx&amp;sheet=A0&amp;row=234&amp;col=27&amp;number=&amp;sourceID=12","")</f>
        <v/>
      </c>
      <c r="AB234" s="4" t="str">
        <f>HYPERLINK("http://141.218.60.56/~jnz1568/getInfo.php?workbook=01_01.xlsx&amp;sheet=A0&amp;row=234&amp;col=28&amp;number=&amp;sourceID=18","")</f>
        <v/>
      </c>
      <c r="AC234" s="4" t="str">
        <f>HYPERLINK("http://141.218.60.56/~jnz1568/getInfo.php?workbook=01_01.xlsx&amp;sheet=A0&amp;row=234&amp;col=29&amp;number=&amp;sourceID=18","")</f>
        <v/>
      </c>
      <c r="AD234" s="4" t="str">
        <f>HYPERLINK("http://141.218.60.56/~jnz1568/getInfo.php?workbook=01_01.xlsx&amp;sheet=A0&amp;row=234&amp;col=30&amp;number=&amp;sourceID=18","")</f>
        <v/>
      </c>
      <c r="AE234" s="4" t="str">
        <f>HYPERLINK("http://141.218.60.56/~jnz1568/getInfo.php?workbook=01_01.xlsx&amp;sheet=A0&amp;row=234&amp;col=31&amp;number=&amp;sourceID=18","")</f>
        <v/>
      </c>
      <c r="AF234" s="4" t="str">
        <f>HYPERLINK("http://141.218.60.56/~jnz1568/getInfo.php?workbook=01_01.xlsx&amp;sheet=A0&amp;row=234&amp;col=32&amp;number=&amp;sourceID=18","")</f>
        <v/>
      </c>
      <c r="AG234" s="4" t="str">
        <f>HYPERLINK("http://141.218.60.56/~jnz1568/getInfo.php?workbook=01_01.xlsx&amp;sheet=A0&amp;row=234&amp;col=33&amp;number=&amp;sourceID=18","")</f>
        <v/>
      </c>
      <c r="AH234" s="4" t="str">
        <f>HYPERLINK("http://141.218.60.56/~jnz1568/getInfo.php?workbook=01_01.xlsx&amp;sheet=A0&amp;row=234&amp;col=34&amp;number=&amp;sourceID=20","")</f>
        <v/>
      </c>
    </row>
    <row r="235" spans="1:34">
      <c r="A235" s="3">
        <v>1</v>
      </c>
      <c r="B235" s="3">
        <v>1</v>
      </c>
      <c r="C235" s="3">
        <v>23</v>
      </c>
      <c r="D235" s="3">
        <v>10</v>
      </c>
      <c r="E235" s="3">
        <f>((1/(INDEX(E0!J$4:J$28,C235,1)-INDEX(E0!J$4:J$28,D235,1))))*100000000</f>
        <v>0</v>
      </c>
      <c r="F235" s="4" t="str">
        <f>HYPERLINK("http://141.218.60.56/~jnz1568/getInfo.php?workbook=01_01.xlsx&amp;sheet=A0&amp;row=235&amp;col=6&amp;number=&amp;sourceID=18","")</f>
        <v/>
      </c>
      <c r="G235" s="4" t="str">
        <f>HYPERLINK("http://141.218.60.56/~jnz1568/getInfo.php?workbook=01_01.xlsx&amp;sheet=A0&amp;row=235&amp;col=7&amp;number=&amp;sourceID=15","")</f>
        <v/>
      </c>
      <c r="H235" s="4" t="str">
        <f>HYPERLINK("http://141.218.60.56/~jnz1568/getInfo.php?workbook=01_01.xlsx&amp;sheet=A0&amp;row=235&amp;col=8&amp;number=&amp;sourceID=15","")</f>
        <v/>
      </c>
      <c r="I235" s="4" t="str">
        <f>HYPERLINK("http://141.218.60.56/~jnz1568/getInfo.php?workbook=01_01.xlsx&amp;sheet=A0&amp;row=235&amp;col=9&amp;number=&amp;sourceID=15","")</f>
        <v/>
      </c>
      <c r="J235" s="4" t="str">
        <f>HYPERLINK("http://141.218.60.56/~jnz1568/getInfo.php?workbook=01_01.xlsx&amp;sheet=A0&amp;row=235&amp;col=10&amp;number=&amp;sourceID=15","")</f>
        <v/>
      </c>
      <c r="K235" s="4" t="str">
        <f>HYPERLINK("http://141.218.60.56/~jnz1568/getInfo.php?workbook=01_01.xlsx&amp;sheet=A0&amp;row=235&amp;col=11&amp;number=&amp;sourceID=15","")</f>
        <v/>
      </c>
      <c r="L235" s="4" t="str">
        <f>HYPERLINK("http://141.218.60.56/~jnz1568/getInfo.php?workbook=01_01.xlsx&amp;sheet=A0&amp;row=235&amp;col=12&amp;number=&amp;sourceID=15","")</f>
        <v/>
      </c>
      <c r="M235" s="4" t="str">
        <f>HYPERLINK("http://141.218.60.56/~jnz1568/getInfo.php?workbook=01_01.xlsx&amp;sheet=A0&amp;row=235&amp;col=13&amp;number=&amp;sourceID=15","")</f>
        <v/>
      </c>
      <c r="N235" s="4" t="str">
        <f>HYPERLINK("http://141.218.60.56/~jnz1568/getInfo.php?workbook=01_01.xlsx&amp;sheet=A0&amp;row=235&amp;col=14&amp;number==&amp;sourceID=11","=")</f>
        <v>=</v>
      </c>
      <c r="O235" s="4" t="str">
        <f>HYPERLINK("http://141.218.60.56/~jnz1568/getInfo.php?workbook=01_01.xlsx&amp;sheet=A0&amp;row=235&amp;col=15&amp;number=&amp;sourceID=11","")</f>
        <v/>
      </c>
      <c r="P235" s="4" t="str">
        <f>HYPERLINK("http://141.218.60.56/~jnz1568/getInfo.php?workbook=01_01.xlsx&amp;sheet=A0&amp;row=235&amp;col=16&amp;number=&amp;sourceID=11","")</f>
        <v/>
      </c>
      <c r="Q235" s="4" t="str">
        <f>HYPERLINK("http://141.218.60.56/~jnz1568/getInfo.php?workbook=01_01.xlsx&amp;sheet=A0&amp;row=235&amp;col=17&amp;number=&amp;sourceID=11","")</f>
        <v/>
      </c>
      <c r="R235" s="4" t="str">
        <f>HYPERLINK("http://141.218.60.56/~jnz1568/getInfo.php?workbook=01_01.xlsx&amp;sheet=A0&amp;row=235&amp;col=18&amp;number=&amp;sourceID=11","")</f>
        <v/>
      </c>
      <c r="S235" s="4" t="str">
        <f>HYPERLINK("http://141.218.60.56/~jnz1568/getInfo.php?workbook=01_01.xlsx&amp;sheet=A0&amp;row=235&amp;col=19&amp;number=&amp;sourceID=11","")</f>
        <v/>
      </c>
      <c r="T235" s="4" t="str">
        <f>HYPERLINK("http://141.218.60.56/~jnz1568/getInfo.php?workbook=01_01.xlsx&amp;sheet=A0&amp;row=235&amp;col=20&amp;number=2.4e-14&amp;sourceID=11","2.4e-14")</f>
        <v>2.4e-14</v>
      </c>
      <c r="U235" s="4" t="str">
        <f>HYPERLINK("http://141.218.60.56/~jnz1568/getInfo.php?workbook=01_01.xlsx&amp;sheet=A0&amp;row=235&amp;col=21&amp;number=2.4e-14&amp;sourceID=12","2.4e-14")</f>
        <v>2.4e-14</v>
      </c>
      <c r="V235" s="4" t="str">
        <f>HYPERLINK("http://141.218.60.56/~jnz1568/getInfo.php?workbook=01_01.xlsx&amp;sheet=A0&amp;row=235&amp;col=22&amp;number=&amp;sourceID=12","")</f>
        <v/>
      </c>
      <c r="W235" s="4" t="str">
        <f>HYPERLINK("http://141.218.60.56/~jnz1568/getInfo.php?workbook=01_01.xlsx&amp;sheet=A0&amp;row=235&amp;col=23&amp;number=&amp;sourceID=12","")</f>
        <v/>
      </c>
      <c r="X235" s="4" t="str">
        <f>HYPERLINK("http://141.218.60.56/~jnz1568/getInfo.php?workbook=01_01.xlsx&amp;sheet=A0&amp;row=235&amp;col=24&amp;number=&amp;sourceID=12","")</f>
        <v/>
      </c>
      <c r="Y235" s="4" t="str">
        <f>HYPERLINK("http://141.218.60.56/~jnz1568/getInfo.php?workbook=01_01.xlsx&amp;sheet=A0&amp;row=235&amp;col=25&amp;number=&amp;sourceID=12","")</f>
        <v/>
      </c>
      <c r="Z235" s="4" t="str">
        <f>HYPERLINK("http://141.218.60.56/~jnz1568/getInfo.php?workbook=01_01.xlsx&amp;sheet=A0&amp;row=235&amp;col=26&amp;number=&amp;sourceID=12","")</f>
        <v/>
      </c>
      <c r="AA235" s="4" t="str">
        <f>HYPERLINK("http://141.218.60.56/~jnz1568/getInfo.php?workbook=01_01.xlsx&amp;sheet=A0&amp;row=235&amp;col=27&amp;number=2.4e-14&amp;sourceID=12","2.4e-14")</f>
        <v>2.4e-14</v>
      </c>
      <c r="AB235" s="4" t="str">
        <f>HYPERLINK("http://141.218.60.56/~jnz1568/getInfo.php?workbook=01_01.xlsx&amp;sheet=A0&amp;row=235&amp;col=28&amp;number=&amp;sourceID=18","")</f>
        <v/>
      </c>
      <c r="AC235" s="4" t="str">
        <f>HYPERLINK("http://141.218.60.56/~jnz1568/getInfo.php?workbook=01_01.xlsx&amp;sheet=A0&amp;row=235&amp;col=29&amp;number=&amp;sourceID=18","")</f>
        <v/>
      </c>
      <c r="AD235" s="4" t="str">
        <f>HYPERLINK("http://141.218.60.56/~jnz1568/getInfo.php?workbook=01_01.xlsx&amp;sheet=A0&amp;row=235&amp;col=30&amp;number=&amp;sourceID=18","")</f>
        <v/>
      </c>
      <c r="AE235" s="4" t="str">
        <f>HYPERLINK("http://141.218.60.56/~jnz1568/getInfo.php?workbook=01_01.xlsx&amp;sheet=A0&amp;row=235&amp;col=31&amp;number=&amp;sourceID=18","")</f>
        <v/>
      </c>
      <c r="AF235" s="4" t="str">
        <f>HYPERLINK("http://141.218.60.56/~jnz1568/getInfo.php?workbook=01_01.xlsx&amp;sheet=A0&amp;row=235&amp;col=32&amp;number=&amp;sourceID=18","")</f>
        <v/>
      </c>
      <c r="AG235" s="4" t="str">
        <f>HYPERLINK("http://141.218.60.56/~jnz1568/getInfo.php?workbook=01_01.xlsx&amp;sheet=A0&amp;row=235&amp;col=33&amp;number=&amp;sourceID=18","")</f>
        <v/>
      </c>
      <c r="AH235" s="4" t="str">
        <f>HYPERLINK("http://141.218.60.56/~jnz1568/getInfo.php?workbook=01_01.xlsx&amp;sheet=A0&amp;row=235&amp;col=34&amp;number=&amp;sourceID=20","")</f>
        <v/>
      </c>
    </row>
    <row r="236" spans="1:34">
      <c r="A236" s="3">
        <v>1</v>
      </c>
      <c r="B236" s="3">
        <v>1</v>
      </c>
      <c r="C236" s="3">
        <v>23</v>
      </c>
      <c r="D236" s="3">
        <v>11</v>
      </c>
      <c r="E236" s="3">
        <f>((1/(INDEX(E0!J$4:J$28,C236,1)-INDEX(E0!J$4:J$28,D236,1))))*100000000</f>
        <v>0</v>
      </c>
      <c r="F236" s="4" t="str">
        <f>HYPERLINK("http://141.218.60.56/~jnz1568/getInfo.php?workbook=01_01.xlsx&amp;sheet=A0&amp;row=236&amp;col=6&amp;number=&amp;sourceID=18","")</f>
        <v/>
      </c>
      <c r="G236" s="4" t="str">
        <f>HYPERLINK("http://141.218.60.56/~jnz1568/getInfo.php?workbook=01_01.xlsx&amp;sheet=A0&amp;row=236&amp;col=7&amp;number=&amp;sourceID=15","")</f>
        <v/>
      </c>
      <c r="H236" s="4" t="str">
        <f>HYPERLINK("http://141.218.60.56/~jnz1568/getInfo.php?workbook=01_01.xlsx&amp;sheet=A0&amp;row=236&amp;col=8&amp;number=&amp;sourceID=15","")</f>
        <v/>
      </c>
      <c r="I236" s="4" t="str">
        <f>HYPERLINK("http://141.218.60.56/~jnz1568/getInfo.php?workbook=01_01.xlsx&amp;sheet=A0&amp;row=236&amp;col=9&amp;number=&amp;sourceID=15","")</f>
        <v/>
      </c>
      <c r="J236" s="4" t="str">
        <f>HYPERLINK("http://141.218.60.56/~jnz1568/getInfo.php?workbook=01_01.xlsx&amp;sheet=A0&amp;row=236&amp;col=10&amp;number=&amp;sourceID=15","")</f>
        <v/>
      </c>
      <c r="K236" s="4" t="str">
        <f>HYPERLINK("http://141.218.60.56/~jnz1568/getInfo.php?workbook=01_01.xlsx&amp;sheet=A0&amp;row=236&amp;col=11&amp;number=&amp;sourceID=15","")</f>
        <v/>
      </c>
      <c r="L236" s="4" t="str">
        <f>HYPERLINK("http://141.218.60.56/~jnz1568/getInfo.php?workbook=01_01.xlsx&amp;sheet=A0&amp;row=236&amp;col=12&amp;number=&amp;sourceID=15","")</f>
        <v/>
      </c>
      <c r="M236" s="4" t="str">
        <f>HYPERLINK("http://141.218.60.56/~jnz1568/getInfo.php?workbook=01_01.xlsx&amp;sheet=A0&amp;row=236&amp;col=13&amp;number=&amp;sourceID=15","")</f>
        <v/>
      </c>
      <c r="N236" s="4" t="str">
        <f>HYPERLINK("http://141.218.60.56/~jnz1568/getInfo.php?workbook=01_01.xlsx&amp;sheet=A0&amp;row=236&amp;col=14&amp;number==&amp;sourceID=11","=")</f>
        <v>=</v>
      </c>
      <c r="O236" s="4" t="str">
        <f>HYPERLINK("http://141.218.60.56/~jnz1568/getInfo.php?workbook=01_01.xlsx&amp;sheet=A0&amp;row=236&amp;col=15&amp;number=&amp;sourceID=11","")</f>
        <v/>
      </c>
      <c r="P236" s="4" t="str">
        <f>HYPERLINK("http://141.218.60.56/~jnz1568/getInfo.php?workbook=01_01.xlsx&amp;sheet=A0&amp;row=236&amp;col=16&amp;number=&amp;sourceID=11","")</f>
        <v/>
      </c>
      <c r="Q236" s="4" t="str">
        <f>HYPERLINK("http://141.218.60.56/~jnz1568/getInfo.php?workbook=01_01.xlsx&amp;sheet=A0&amp;row=236&amp;col=17&amp;number=1.2419e-07&amp;sourceID=11","1.2419e-07")</f>
        <v>1.2419e-07</v>
      </c>
      <c r="R236" s="4" t="str">
        <f>HYPERLINK("http://141.218.60.56/~jnz1568/getInfo.php?workbook=01_01.xlsx&amp;sheet=A0&amp;row=236&amp;col=18&amp;number=&amp;sourceID=11","")</f>
        <v/>
      </c>
      <c r="S236" s="4" t="str">
        <f>HYPERLINK("http://141.218.60.56/~jnz1568/getInfo.php?workbook=01_01.xlsx&amp;sheet=A0&amp;row=236&amp;col=19&amp;number=&amp;sourceID=11","")</f>
        <v/>
      </c>
      <c r="T236" s="4" t="str">
        <f>HYPERLINK("http://141.218.60.56/~jnz1568/getInfo.php?workbook=01_01.xlsx&amp;sheet=A0&amp;row=236&amp;col=20&amp;number=&amp;sourceID=11","")</f>
        <v/>
      </c>
      <c r="U236" s="4" t="str">
        <f>HYPERLINK("http://141.218.60.56/~jnz1568/getInfo.php?workbook=01_01.xlsx&amp;sheet=A0&amp;row=236&amp;col=21&amp;number=1.2426e-07&amp;sourceID=12","1.2426e-07")</f>
        <v>1.2426e-07</v>
      </c>
      <c r="V236" s="4" t="str">
        <f>HYPERLINK("http://141.218.60.56/~jnz1568/getInfo.php?workbook=01_01.xlsx&amp;sheet=A0&amp;row=236&amp;col=22&amp;number=&amp;sourceID=12","")</f>
        <v/>
      </c>
      <c r="W236" s="4" t="str">
        <f>HYPERLINK("http://141.218.60.56/~jnz1568/getInfo.php?workbook=01_01.xlsx&amp;sheet=A0&amp;row=236&amp;col=23&amp;number=&amp;sourceID=12","")</f>
        <v/>
      </c>
      <c r="X236" s="4" t="str">
        <f>HYPERLINK("http://141.218.60.56/~jnz1568/getInfo.php?workbook=01_01.xlsx&amp;sheet=A0&amp;row=236&amp;col=24&amp;number=1.2426e-07&amp;sourceID=12","1.2426e-07")</f>
        <v>1.2426e-07</v>
      </c>
      <c r="Y236" s="4" t="str">
        <f>HYPERLINK("http://141.218.60.56/~jnz1568/getInfo.php?workbook=01_01.xlsx&amp;sheet=A0&amp;row=236&amp;col=25&amp;number=&amp;sourceID=12","")</f>
        <v/>
      </c>
      <c r="Z236" s="4" t="str">
        <f>HYPERLINK("http://141.218.60.56/~jnz1568/getInfo.php?workbook=01_01.xlsx&amp;sheet=A0&amp;row=236&amp;col=26&amp;number=&amp;sourceID=12","")</f>
        <v/>
      </c>
      <c r="AA236" s="4" t="str">
        <f>HYPERLINK("http://141.218.60.56/~jnz1568/getInfo.php?workbook=01_01.xlsx&amp;sheet=A0&amp;row=236&amp;col=27&amp;number=&amp;sourceID=12","")</f>
        <v/>
      </c>
      <c r="AB236" s="4" t="str">
        <f>HYPERLINK("http://141.218.60.56/~jnz1568/getInfo.php?workbook=01_01.xlsx&amp;sheet=A0&amp;row=236&amp;col=28&amp;number=&amp;sourceID=18","")</f>
        <v/>
      </c>
      <c r="AC236" s="4" t="str">
        <f>HYPERLINK("http://141.218.60.56/~jnz1568/getInfo.php?workbook=01_01.xlsx&amp;sheet=A0&amp;row=236&amp;col=29&amp;number=&amp;sourceID=18","")</f>
        <v/>
      </c>
      <c r="AD236" s="4" t="str">
        <f>HYPERLINK("http://141.218.60.56/~jnz1568/getInfo.php?workbook=01_01.xlsx&amp;sheet=A0&amp;row=236&amp;col=30&amp;number=&amp;sourceID=18","")</f>
        <v/>
      </c>
      <c r="AE236" s="4" t="str">
        <f>HYPERLINK("http://141.218.60.56/~jnz1568/getInfo.php?workbook=01_01.xlsx&amp;sheet=A0&amp;row=236&amp;col=31&amp;number=&amp;sourceID=18","")</f>
        <v/>
      </c>
      <c r="AF236" s="4" t="str">
        <f>HYPERLINK("http://141.218.60.56/~jnz1568/getInfo.php?workbook=01_01.xlsx&amp;sheet=A0&amp;row=236&amp;col=32&amp;number=&amp;sourceID=18","")</f>
        <v/>
      </c>
      <c r="AG236" s="4" t="str">
        <f>HYPERLINK("http://141.218.60.56/~jnz1568/getInfo.php?workbook=01_01.xlsx&amp;sheet=A0&amp;row=236&amp;col=33&amp;number=&amp;sourceID=18","")</f>
        <v/>
      </c>
      <c r="AH236" s="4" t="str">
        <f>HYPERLINK("http://141.218.60.56/~jnz1568/getInfo.php?workbook=01_01.xlsx&amp;sheet=A0&amp;row=236&amp;col=34&amp;number=&amp;sourceID=20","")</f>
        <v/>
      </c>
    </row>
    <row r="237" spans="1:34">
      <c r="A237" s="3">
        <v>1</v>
      </c>
      <c r="B237" s="3">
        <v>1</v>
      </c>
      <c r="C237" s="3">
        <v>23</v>
      </c>
      <c r="D237" s="3">
        <v>12</v>
      </c>
      <c r="E237" s="3">
        <f>((1/(INDEX(E0!J$4:J$28,C237,1)-INDEX(E0!J$4:J$28,D237,1))))*100000000</f>
        <v>0</v>
      </c>
      <c r="F237" s="4" t="str">
        <f>HYPERLINK("http://141.218.60.56/~jnz1568/getInfo.php?workbook=01_01.xlsx&amp;sheet=A0&amp;row=237&amp;col=6&amp;number=&amp;sourceID=18","")</f>
        <v/>
      </c>
      <c r="G237" s="4" t="str">
        <f>HYPERLINK("http://141.218.60.56/~jnz1568/getInfo.php?workbook=01_01.xlsx&amp;sheet=A0&amp;row=237&amp;col=7&amp;number=&amp;sourceID=15","")</f>
        <v/>
      </c>
      <c r="H237" s="4" t="str">
        <f>HYPERLINK("http://141.218.60.56/~jnz1568/getInfo.php?workbook=01_01.xlsx&amp;sheet=A0&amp;row=237&amp;col=8&amp;number=&amp;sourceID=15","")</f>
        <v/>
      </c>
      <c r="I237" s="4" t="str">
        <f>HYPERLINK("http://141.218.60.56/~jnz1568/getInfo.php?workbook=01_01.xlsx&amp;sheet=A0&amp;row=237&amp;col=9&amp;number=&amp;sourceID=15","")</f>
        <v/>
      </c>
      <c r="J237" s="4" t="str">
        <f>HYPERLINK("http://141.218.60.56/~jnz1568/getInfo.php?workbook=01_01.xlsx&amp;sheet=A0&amp;row=237&amp;col=10&amp;number=&amp;sourceID=15","")</f>
        <v/>
      </c>
      <c r="K237" s="4" t="str">
        <f>HYPERLINK("http://141.218.60.56/~jnz1568/getInfo.php?workbook=01_01.xlsx&amp;sheet=A0&amp;row=237&amp;col=11&amp;number=&amp;sourceID=15","")</f>
        <v/>
      </c>
      <c r="L237" s="4" t="str">
        <f>HYPERLINK("http://141.218.60.56/~jnz1568/getInfo.php?workbook=01_01.xlsx&amp;sheet=A0&amp;row=237&amp;col=12&amp;number=&amp;sourceID=15","")</f>
        <v/>
      </c>
      <c r="M237" s="4" t="str">
        <f>HYPERLINK("http://141.218.60.56/~jnz1568/getInfo.php?workbook=01_01.xlsx&amp;sheet=A0&amp;row=237&amp;col=13&amp;number=&amp;sourceID=15","")</f>
        <v/>
      </c>
      <c r="N237" s="4" t="str">
        <f>HYPERLINK("http://141.218.60.56/~jnz1568/getInfo.php?workbook=01_01.xlsx&amp;sheet=A0&amp;row=237&amp;col=14&amp;number==&amp;sourceID=11","=")</f>
        <v>=</v>
      </c>
      <c r="O237" s="4" t="str">
        <f>HYPERLINK("http://141.218.60.56/~jnz1568/getInfo.php?workbook=01_01.xlsx&amp;sheet=A0&amp;row=237&amp;col=15&amp;number=&amp;sourceID=11","")</f>
        <v/>
      </c>
      <c r="P237" s="4" t="str">
        <f>HYPERLINK("http://141.218.60.56/~jnz1568/getInfo.php?workbook=01_01.xlsx&amp;sheet=A0&amp;row=237&amp;col=16&amp;number=&amp;sourceID=11","")</f>
        <v/>
      </c>
      <c r="Q237" s="4" t="str">
        <f>HYPERLINK("http://141.218.60.56/~jnz1568/getInfo.php?workbook=01_01.xlsx&amp;sheet=A0&amp;row=237&amp;col=17&amp;number=1.9907e-08&amp;sourceID=11","1.9907e-08")</f>
        <v>1.9907e-08</v>
      </c>
      <c r="R237" s="4" t="str">
        <f>HYPERLINK("http://141.218.60.56/~jnz1568/getInfo.php?workbook=01_01.xlsx&amp;sheet=A0&amp;row=237&amp;col=18&amp;number=&amp;sourceID=11","")</f>
        <v/>
      </c>
      <c r="S237" s="4" t="str">
        <f>HYPERLINK("http://141.218.60.56/~jnz1568/getInfo.php?workbook=01_01.xlsx&amp;sheet=A0&amp;row=237&amp;col=19&amp;number=4.9469e-08&amp;sourceID=11","4.9469e-08")</f>
        <v>4.9469e-08</v>
      </c>
      <c r="T237" s="4" t="str">
        <f>HYPERLINK("http://141.218.60.56/~jnz1568/getInfo.php?workbook=01_01.xlsx&amp;sheet=A0&amp;row=237&amp;col=20&amp;number=&amp;sourceID=11","")</f>
        <v/>
      </c>
      <c r="U237" s="4" t="str">
        <f>HYPERLINK("http://141.218.60.56/~jnz1568/getInfo.php?workbook=01_01.xlsx&amp;sheet=A0&amp;row=237&amp;col=21&amp;number=6.9414e-08&amp;sourceID=12","6.9414e-08")</f>
        <v>6.9414e-08</v>
      </c>
      <c r="V237" s="4" t="str">
        <f>HYPERLINK("http://141.218.60.56/~jnz1568/getInfo.php?workbook=01_01.xlsx&amp;sheet=A0&amp;row=237&amp;col=22&amp;number=&amp;sourceID=12","")</f>
        <v/>
      </c>
      <c r="W237" s="4" t="str">
        <f>HYPERLINK("http://141.218.60.56/~jnz1568/getInfo.php?workbook=01_01.xlsx&amp;sheet=A0&amp;row=237&amp;col=23&amp;number=&amp;sourceID=12","")</f>
        <v/>
      </c>
      <c r="X237" s="4" t="str">
        <f>HYPERLINK("http://141.218.60.56/~jnz1568/getInfo.php?workbook=01_01.xlsx&amp;sheet=A0&amp;row=237&amp;col=24&amp;number=1.9918e-08&amp;sourceID=12","1.9918e-08")</f>
        <v>1.9918e-08</v>
      </c>
      <c r="Y237" s="4" t="str">
        <f>HYPERLINK("http://141.218.60.56/~jnz1568/getInfo.php?workbook=01_01.xlsx&amp;sheet=A0&amp;row=237&amp;col=25&amp;number=&amp;sourceID=12","")</f>
        <v/>
      </c>
      <c r="Z237" s="4" t="str">
        <f>HYPERLINK("http://141.218.60.56/~jnz1568/getInfo.php?workbook=01_01.xlsx&amp;sheet=A0&amp;row=237&amp;col=26&amp;number=4.9496e-08&amp;sourceID=12","4.9496e-08")</f>
        <v>4.9496e-08</v>
      </c>
      <c r="AA237" s="4" t="str">
        <f>HYPERLINK("http://141.218.60.56/~jnz1568/getInfo.php?workbook=01_01.xlsx&amp;sheet=A0&amp;row=237&amp;col=27&amp;number=&amp;sourceID=12","")</f>
        <v/>
      </c>
      <c r="AB237" s="4" t="str">
        <f>HYPERLINK("http://141.218.60.56/~jnz1568/getInfo.php?workbook=01_01.xlsx&amp;sheet=A0&amp;row=237&amp;col=28&amp;number=&amp;sourceID=18","")</f>
        <v/>
      </c>
      <c r="AC237" s="4" t="str">
        <f>HYPERLINK("http://141.218.60.56/~jnz1568/getInfo.php?workbook=01_01.xlsx&amp;sheet=A0&amp;row=237&amp;col=29&amp;number=&amp;sourceID=18","")</f>
        <v/>
      </c>
      <c r="AD237" s="4" t="str">
        <f>HYPERLINK("http://141.218.60.56/~jnz1568/getInfo.php?workbook=01_01.xlsx&amp;sheet=A0&amp;row=237&amp;col=30&amp;number=&amp;sourceID=18","")</f>
        <v/>
      </c>
      <c r="AE237" s="4" t="str">
        <f>HYPERLINK("http://141.218.60.56/~jnz1568/getInfo.php?workbook=01_01.xlsx&amp;sheet=A0&amp;row=237&amp;col=31&amp;number=&amp;sourceID=18","")</f>
        <v/>
      </c>
      <c r="AF237" s="4" t="str">
        <f>HYPERLINK("http://141.218.60.56/~jnz1568/getInfo.php?workbook=01_01.xlsx&amp;sheet=A0&amp;row=237&amp;col=32&amp;number=&amp;sourceID=18","")</f>
        <v/>
      </c>
      <c r="AG237" s="4" t="str">
        <f>HYPERLINK("http://141.218.60.56/~jnz1568/getInfo.php?workbook=01_01.xlsx&amp;sheet=A0&amp;row=237&amp;col=33&amp;number=&amp;sourceID=18","")</f>
        <v/>
      </c>
      <c r="AH237" s="4" t="str">
        <f>HYPERLINK("http://141.218.60.56/~jnz1568/getInfo.php?workbook=01_01.xlsx&amp;sheet=A0&amp;row=237&amp;col=34&amp;number=&amp;sourceID=20","")</f>
        <v/>
      </c>
    </row>
    <row r="238" spans="1:34">
      <c r="A238" s="3">
        <v>1</v>
      </c>
      <c r="B238" s="3">
        <v>1</v>
      </c>
      <c r="C238" s="3">
        <v>23</v>
      </c>
      <c r="D238" s="3">
        <v>13</v>
      </c>
      <c r="E238" s="3">
        <f>((1/(INDEX(E0!J$4:J$28,C238,1)-INDEX(E0!J$4:J$28,D238,1))))*100000000</f>
        <v>0</v>
      </c>
      <c r="F238" s="4" t="str">
        <f>HYPERLINK("http://141.218.60.56/~jnz1568/getInfo.php?workbook=01_01.xlsx&amp;sheet=A0&amp;row=238&amp;col=6&amp;number=&amp;sourceID=18","")</f>
        <v/>
      </c>
      <c r="G238" s="4" t="str">
        <f>HYPERLINK("http://141.218.60.56/~jnz1568/getInfo.php?workbook=01_01.xlsx&amp;sheet=A0&amp;row=238&amp;col=7&amp;number=&amp;sourceID=15","")</f>
        <v/>
      </c>
      <c r="H238" s="4" t="str">
        <f>HYPERLINK("http://141.218.60.56/~jnz1568/getInfo.php?workbook=01_01.xlsx&amp;sheet=A0&amp;row=238&amp;col=8&amp;number=&amp;sourceID=15","")</f>
        <v/>
      </c>
      <c r="I238" s="4" t="str">
        <f>HYPERLINK("http://141.218.60.56/~jnz1568/getInfo.php?workbook=01_01.xlsx&amp;sheet=A0&amp;row=238&amp;col=9&amp;number=&amp;sourceID=15","")</f>
        <v/>
      </c>
      <c r="J238" s="4" t="str">
        <f>HYPERLINK("http://141.218.60.56/~jnz1568/getInfo.php?workbook=01_01.xlsx&amp;sheet=A0&amp;row=238&amp;col=10&amp;number=&amp;sourceID=15","")</f>
        <v/>
      </c>
      <c r="K238" s="4" t="str">
        <f>HYPERLINK("http://141.218.60.56/~jnz1568/getInfo.php?workbook=01_01.xlsx&amp;sheet=A0&amp;row=238&amp;col=11&amp;number=&amp;sourceID=15","")</f>
        <v/>
      </c>
      <c r="L238" s="4" t="str">
        <f>HYPERLINK("http://141.218.60.56/~jnz1568/getInfo.php?workbook=01_01.xlsx&amp;sheet=A0&amp;row=238&amp;col=12&amp;number=&amp;sourceID=15","")</f>
        <v/>
      </c>
      <c r="M238" s="4" t="str">
        <f>HYPERLINK("http://141.218.60.56/~jnz1568/getInfo.php?workbook=01_01.xlsx&amp;sheet=A0&amp;row=238&amp;col=13&amp;number=&amp;sourceID=15","")</f>
        <v/>
      </c>
      <c r="N238" s="4" t="str">
        <f>HYPERLINK("http://141.218.60.56/~jnz1568/getInfo.php?workbook=01_01.xlsx&amp;sheet=A0&amp;row=238&amp;col=14&amp;number==&amp;sourceID=11","=")</f>
        <v>=</v>
      </c>
      <c r="O238" s="4" t="str">
        <f>HYPERLINK("http://141.218.60.56/~jnz1568/getInfo.php?workbook=01_01.xlsx&amp;sheet=A0&amp;row=238&amp;col=15&amp;number=&amp;sourceID=11","")</f>
        <v/>
      </c>
      <c r="P238" s="4" t="str">
        <f>HYPERLINK("http://141.218.60.56/~jnz1568/getInfo.php?workbook=01_01.xlsx&amp;sheet=A0&amp;row=238&amp;col=16&amp;number=0.93672&amp;sourceID=11","0.93672")</f>
        <v>0.93672</v>
      </c>
      <c r="Q238" s="4" t="str">
        <f>HYPERLINK("http://141.218.60.56/~jnz1568/getInfo.php?workbook=01_01.xlsx&amp;sheet=A0&amp;row=238&amp;col=17&amp;number=&amp;sourceID=11","")</f>
        <v/>
      </c>
      <c r="R238" s="4" t="str">
        <f>HYPERLINK("http://141.218.60.56/~jnz1568/getInfo.php?workbook=01_01.xlsx&amp;sheet=A0&amp;row=238&amp;col=18&amp;number=&amp;sourceID=11","")</f>
        <v/>
      </c>
      <c r="S238" s="4" t="str">
        <f>HYPERLINK("http://141.218.60.56/~jnz1568/getInfo.php?workbook=01_01.xlsx&amp;sheet=A0&amp;row=238&amp;col=19&amp;number=&amp;sourceID=11","")</f>
        <v/>
      </c>
      <c r="T238" s="4" t="str">
        <f>HYPERLINK("http://141.218.60.56/~jnz1568/getInfo.php?workbook=01_01.xlsx&amp;sheet=A0&amp;row=238&amp;col=20&amp;number=7.2e-14&amp;sourceID=11","7.2e-14")</f>
        <v>7.2e-14</v>
      </c>
      <c r="U238" s="4" t="str">
        <f>HYPERLINK("http://141.218.60.56/~jnz1568/getInfo.php?workbook=01_01.xlsx&amp;sheet=A0&amp;row=238&amp;col=21&amp;number=0.93723&amp;sourceID=12","0.93723")</f>
        <v>0.93723</v>
      </c>
      <c r="V238" s="4" t="str">
        <f>HYPERLINK("http://141.218.60.56/~jnz1568/getInfo.php?workbook=01_01.xlsx&amp;sheet=A0&amp;row=238&amp;col=22&amp;number=&amp;sourceID=12","")</f>
        <v/>
      </c>
      <c r="W238" s="4" t="str">
        <f>HYPERLINK("http://141.218.60.56/~jnz1568/getInfo.php?workbook=01_01.xlsx&amp;sheet=A0&amp;row=238&amp;col=23&amp;number=0.93723&amp;sourceID=12","0.93723")</f>
        <v>0.93723</v>
      </c>
      <c r="X238" s="4" t="str">
        <f>HYPERLINK("http://141.218.60.56/~jnz1568/getInfo.php?workbook=01_01.xlsx&amp;sheet=A0&amp;row=238&amp;col=24&amp;number=&amp;sourceID=12","")</f>
        <v/>
      </c>
      <c r="Y238" s="4" t="str">
        <f>HYPERLINK("http://141.218.60.56/~jnz1568/getInfo.php?workbook=01_01.xlsx&amp;sheet=A0&amp;row=238&amp;col=25&amp;number=&amp;sourceID=12","")</f>
        <v/>
      </c>
      <c r="Z238" s="4" t="str">
        <f>HYPERLINK("http://141.218.60.56/~jnz1568/getInfo.php?workbook=01_01.xlsx&amp;sheet=A0&amp;row=238&amp;col=26&amp;number=&amp;sourceID=12","")</f>
        <v/>
      </c>
      <c r="AA238" s="4" t="str">
        <f>HYPERLINK("http://141.218.60.56/~jnz1568/getInfo.php?workbook=01_01.xlsx&amp;sheet=A0&amp;row=238&amp;col=27&amp;number=7.2e-14&amp;sourceID=12","7.2e-14")</f>
        <v>7.2e-14</v>
      </c>
      <c r="AB238" s="4" t="str">
        <f>HYPERLINK("http://141.218.60.56/~jnz1568/getInfo.php?workbook=01_01.xlsx&amp;sheet=A0&amp;row=238&amp;col=28&amp;number=&amp;sourceID=18","")</f>
        <v/>
      </c>
      <c r="AC238" s="4" t="str">
        <f>HYPERLINK("http://141.218.60.56/~jnz1568/getInfo.php?workbook=01_01.xlsx&amp;sheet=A0&amp;row=238&amp;col=29&amp;number=&amp;sourceID=18","")</f>
        <v/>
      </c>
      <c r="AD238" s="4" t="str">
        <f>HYPERLINK("http://141.218.60.56/~jnz1568/getInfo.php?workbook=01_01.xlsx&amp;sheet=A0&amp;row=238&amp;col=30&amp;number=&amp;sourceID=18","")</f>
        <v/>
      </c>
      <c r="AE238" s="4" t="str">
        <f>HYPERLINK("http://141.218.60.56/~jnz1568/getInfo.php?workbook=01_01.xlsx&amp;sheet=A0&amp;row=238&amp;col=31&amp;number=&amp;sourceID=18","")</f>
        <v/>
      </c>
      <c r="AF238" s="4" t="str">
        <f>HYPERLINK("http://141.218.60.56/~jnz1568/getInfo.php?workbook=01_01.xlsx&amp;sheet=A0&amp;row=238&amp;col=32&amp;number=&amp;sourceID=18","")</f>
        <v/>
      </c>
      <c r="AG238" s="4" t="str">
        <f>HYPERLINK("http://141.218.60.56/~jnz1568/getInfo.php?workbook=01_01.xlsx&amp;sheet=A0&amp;row=238&amp;col=33&amp;number=&amp;sourceID=18","")</f>
        <v/>
      </c>
      <c r="AH238" s="4" t="str">
        <f>HYPERLINK("http://141.218.60.56/~jnz1568/getInfo.php?workbook=01_01.xlsx&amp;sheet=A0&amp;row=238&amp;col=34&amp;number=&amp;sourceID=20","")</f>
        <v/>
      </c>
    </row>
    <row r="239" spans="1:34">
      <c r="A239" s="3">
        <v>1</v>
      </c>
      <c r="B239" s="3">
        <v>1</v>
      </c>
      <c r="C239" s="3">
        <v>23</v>
      </c>
      <c r="D239" s="3">
        <v>14</v>
      </c>
      <c r="E239" s="3">
        <f>((1/(INDEX(E0!J$4:J$28,C239,1)-INDEX(E0!J$4:J$28,D239,1))))*100000000</f>
        <v>0</v>
      </c>
      <c r="F239" s="4" t="str">
        <f>HYPERLINK("http://141.218.60.56/~jnz1568/getInfo.php?workbook=01_01.xlsx&amp;sheet=A0&amp;row=239&amp;col=6&amp;number=&amp;sourceID=18","")</f>
        <v/>
      </c>
      <c r="G239" s="4" t="str">
        <f>HYPERLINK("http://141.218.60.56/~jnz1568/getInfo.php?workbook=01_01.xlsx&amp;sheet=A0&amp;row=239&amp;col=7&amp;number=2584400&amp;sourceID=15","2584400")</f>
        <v>2584400</v>
      </c>
      <c r="H239" s="4" t="str">
        <f>HYPERLINK("http://141.218.60.56/~jnz1568/getInfo.php?workbook=01_01.xlsx&amp;sheet=A0&amp;row=239&amp;col=8&amp;number=2584400&amp;sourceID=15","2584400")</f>
        <v>2584400</v>
      </c>
      <c r="I239" s="4" t="str">
        <f>HYPERLINK("http://141.218.60.56/~jnz1568/getInfo.php?workbook=01_01.xlsx&amp;sheet=A0&amp;row=239&amp;col=9&amp;number=&amp;sourceID=15","")</f>
        <v/>
      </c>
      <c r="J239" s="4" t="str">
        <f>HYPERLINK("http://141.218.60.56/~jnz1568/getInfo.php?workbook=01_01.xlsx&amp;sheet=A0&amp;row=239&amp;col=10&amp;number=&amp;sourceID=15","")</f>
        <v/>
      </c>
      <c r="K239" s="4" t="str">
        <f>HYPERLINK("http://141.218.60.56/~jnz1568/getInfo.php?workbook=01_01.xlsx&amp;sheet=A0&amp;row=239&amp;col=11&amp;number=&amp;sourceID=15","")</f>
        <v/>
      </c>
      <c r="L239" s="4" t="str">
        <f>HYPERLINK("http://141.218.60.56/~jnz1568/getInfo.php?workbook=01_01.xlsx&amp;sheet=A0&amp;row=239&amp;col=12&amp;number=&amp;sourceID=15","")</f>
        <v/>
      </c>
      <c r="M239" s="4" t="str">
        <f>HYPERLINK("http://141.218.60.56/~jnz1568/getInfo.php?workbook=01_01.xlsx&amp;sheet=A0&amp;row=239&amp;col=13&amp;number=&amp;sourceID=15","")</f>
        <v/>
      </c>
      <c r="N239" s="4" t="str">
        <f>HYPERLINK("http://141.218.60.56/~jnz1568/getInfo.php?workbook=01_01.xlsx&amp;sheet=A0&amp;row=239&amp;col=14&amp;number==&amp;sourceID=11","=")</f>
        <v>=</v>
      </c>
      <c r="O239" s="4" t="str">
        <f>HYPERLINK("http://141.218.60.56/~jnz1568/getInfo.php?workbook=01_01.xlsx&amp;sheet=A0&amp;row=239&amp;col=15&amp;number=2584400&amp;sourceID=11","2584400")</f>
        <v>2584400</v>
      </c>
      <c r="P239" s="4" t="str">
        <f>HYPERLINK("http://141.218.60.56/~jnz1568/getInfo.php?workbook=01_01.xlsx&amp;sheet=A0&amp;row=239&amp;col=16&amp;number=&amp;sourceID=11","")</f>
        <v/>
      </c>
      <c r="Q239" s="4" t="str">
        <f>HYPERLINK("http://141.218.60.56/~jnz1568/getInfo.php?workbook=01_01.xlsx&amp;sheet=A0&amp;row=239&amp;col=17&amp;number=5.972e-08&amp;sourceID=11","5.972e-08")</f>
        <v>5.972e-08</v>
      </c>
      <c r="R239" s="4" t="str">
        <f>HYPERLINK("http://141.218.60.56/~jnz1568/getInfo.php?workbook=01_01.xlsx&amp;sheet=A0&amp;row=239&amp;col=18&amp;number=&amp;sourceID=11","")</f>
        <v/>
      </c>
      <c r="S239" s="4" t="str">
        <f>HYPERLINK("http://141.218.60.56/~jnz1568/getInfo.php?workbook=01_01.xlsx&amp;sheet=A0&amp;row=239&amp;col=19&amp;number=3.4087e-07&amp;sourceID=11","3.4087e-07")</f>
        <v>3.4087e-07</v>
      </c>
      <c r="T239" s="4" t="str">
        <f>HYPERLINK("http://141.218.60.56/~jnz1568/getInfo.php?workbook=01_01.xlsx&amp;sheet=A0&amp;row=239&amp;col=20&amp;number=&amp;sourceID=11","")</f>
        <v/>
      </c>
      <c r="U239" s="4" t="str">
        <f>HYPERLINK("http://141.218.60.56/~jnz1568/getInfo.php?workbook=01_01.xlsx&amp;sheet=A0&amp;row=239&amp;col=21&amp;number=2585800&amp;sourceID=12","2585800")</f>
        <v>2585800</v>
      </c>
      <c r="V239" s="4" t="str">
        <f>HYPERLINK("http://141.218.60.56/~jnz1568/getInfo.php?workbook=01_01.xlsx&amp;sheet=A0&amp;row=239&amp;col=22&amp;number=2585800&amp;sourceID=12","2585800")</f>
        <v>2585800</v>
      </c>
      <c r="W239" s="4" t="str">
        <f>HYPERLINK("http://141.218.60.56/~jnz1568/getInfo.php?workbook=01_01.xlsx&amp;sheet=A0&amp;row=239&amp;col=23&amp;number=&amp;sourceID=12","")</f>
        <v/>
      </c>
      <c r="X239" s="4" t="str">
        <f>HYPERLINK("http://141.218.60.56/~jnz1568/getInfo.php?workbook=01_01.xlsx&amp;sheet=A0&amp;row=239&amp;col=24&amp;number=5.9753e-08&amp;sourceID=12","5.9753e-08")</f>
        <v>5.9753e-08</v>
      </c>
      <c r="Y239" s="4" t="str">
        <f>HYPERLINK("http://141.218.60.56/~jnz1568/getInfo.php?workbook=01_01.xlsx&amp;sheet=A0&amp;row=239&amp;col=25&amp;number=&amp;sourceID=12","")</f>
        <v/>
      </c>
      <c r="Z239" s="4" t="str">
        <f>HYPERLINK("http://141.218.60.56/~jnz1568/getInfo.php?workbook=01_01.xlsx&amp;sheet=A0&amp;row=239&amp;col=26&amp;number=3.4106e-07&amp;sourceID=12","3.4106e-07")</f>
        <v>3.4106e-07</v>
      </c>
      <c r="AA239" s="4" t="str">
        <f>HYPERLINK("http://141.218.60.56/~jnz1568/getInfo.php?workbook=01_01.xlsx&amp;sheet=A0&amp;row=239&amp;col=27&amp;number=&amp;sourceID=12","")</f>
        <v/>
      </c>
      <c r="AB239" s="4" t="str">
        <f>HYPERLINK("http://141.218.60.56/~jnz1568/getInfo.php?workbook=01_01.xlsx&amp;sheet=A0&amp;row=239&amp;col=28&amp;number=&amp;sourceID=18","")</f>
        <v/>
      </c>
      <c r="AC239" s="4" t="str">
        <f>HYPERLINK("http://141.218.60.56/~jnz1568/getInfo.php?workbook=01_01.xlsx&amp;sheet=A0&amp;row=239&amp;col=29&amp;number=&amp;sourceID=18","")</f>
        <v/>
      </c>
      <c r="AD239" s="4" t="str">
        <f>HYPERLINK("http://141.218.60.56/~jnz1568/getInfo.php?workbook=01_01.xlsx&amp;sheet=A0&amp;row=239&amp;col=30&amp;number=&amp;sourceID=18","")</f>
        <v/>
      </c>
      <c r="AE239" s="4" t="str">
        <f>HYPERLINK("http://141.218.60.56/~jnz1568/getInfo.php?workbook=01_01.xlsx&amp;sheet=A0&amp;row=239&amp;col=31&amp;number=&amp;sourceID=18","")</f>
        <v/>
      </c>
      <c r="AF239" s="4" t="str">
        <f>HYPERLINK("http://141.218.60.56/~jnz1568/getInfo.php?workbook=01_01.xlsx&amp;sheet=A0&amp;row=239&amp;col=32&amp;number=&amp;sourceID=18","")</f>
        <v/>
      </c>
      <c r="AG239" s="4" t="str">
        <f>HYPERLINK("http://141.218.60.56/~jnz1568/getInfo.php?workbook=01_01.xlsx&amp;sheet=A0&amp;row=239&amp;col=33&amp;number=&amp;sourceID=18","")</f>
        <v/>
      </c>
      <c r="AH239" s="4" t="str">
        <f>HYPERLINK("http://141.218.60.56/~jnz1568/getInfo.php?workbook=01_01.xlsx&amp;sheet=A0&amp;row=239&amp;col=34&amp;number=&amp;sourceID=20","")</f>
        <v/>
      </c>
    </row>
    <row r="240" spans="1:34">
      <c r="A240" s="3">
        <v>1</v>
      </c>
      <c r="B240" s="3">
        <v>1</v>
      </c>
      <c r="C240" s="3">
        <v>23</v>
      </c>
      <c r="D240" s="3">
        <v>15</v>
      </c>
      <c r="E240" s="3">
        <f>((1/(INDEX(E0!J$4:J$28,C240,1)-INDEX(E0!J$4:J$28,D240,1))))*100000000</f>
        <v>0</v>
      </c>
      <c r="F240" s="4" t="str">
        <f>HYPERLINK("http://141.218.60.56/~jnz1568/getInfo.php?workbook=01_01.xlsx&amp;sheet=A0&amp;row=240&amp;col=6&amp;number=&amp;sourceID=18","")</f>
        <v/>
      </c>
      <c r="G240" s="4" t="str">
        <f>HYPERLINK("http://141.218.60.56/~jnz1568/getInfo.php?workbook=01_01.xlsx&amp;sheet=A0&amp;row=240&amp;col=7&amp;number=&amp;sourceID=15","")</f>
        <v/>
      </c>
      <c r="H240" s="4" t="str">
        <f>HYPERLINK("http://141.218.60.56/~jnz1568/getInfo.php?workbook=01_01.xlsx&amp;sheet=A0&amp;row=240&amp;col=8&amp;number=&amp;sourceID=15","")</f>
        <v/>
      </c>
      <c r="I240" s="4" t="str">
        <f>HYPERLINK("http://141.218.60.56/~jnz1568/getInfo.php?workbook=01_01.xlsx&amp;sheet=A0&amp;row=240&amp;col=9&amp;number=&amp;sourceID=15","")</f>
        <v/>
      </c>
      <c r="J240" s="4" t="str">
        <f>HYPERLINK("http://141.218.60.56/~jnz1568/getInfo.php?workbook=01_01.xlsx&amp;sheet=A0&amp;row=240&amp;col=10&amp;number=&amp;sourceID=15","")</f>
        <v/>
      </c>
      <c r="K240" s="4" t="str">
        <f>HYPERLINK("http://141.218.60.56/~jnz1568/getInfo.php?workbook=01_01.xlsx&amp;sheet=A0&amp;row=240&amp;col=11&amp;number=&amp;sourceID=15","")</f>
        <v/>
      </c>
      <c r="L240" s="4" t="str">
        <f>HYPERLINK("http://141.218.60.56/~jnz1568/getInfo.php?workbook=01_01.xlsx&amp;sheet=A0&amp;row=240&amp;col=12&amp;number=&amp;sourceID=15","")</f>
        <v/>
      </c>
      <c r="M240" s="4" t="str">
        <f>HYPERLINK("http://141.218.60.56/~jnz1568/getInfo.php?workbook=01_01.xlsx&amp;sheet=A0&amp;row=240&amp;col=13&amp;number=&amp;sourceID=15","")</f>
        <v/>
      </c>
      <c r="N240" s="4" t="str">
        <f>HYPERLINK("http://141.218.60.56/~jnz1568/getInfo.php?workbook=01_01.xlsx&amp;sheet=A0&amp;row=240&amp;col=14&amp;number==&amp;sourceID=11","=")</f>
        <v>=</v>
      </c>
      <c r="O240" s="4" t="str">
        <f>HYPERLINK("http://141.218.60.56/~jnz1568/getInfo.php?workbook=01_01.xlsx&amp;sheet=A0&amp;row=240&amp;col=15&amp;number=&amp;sourceID=11","")</f>
        <v/>
      </c>
      <c r="P240" s="4" t="str">
        <f>HYPERLINK("http://141.218.60.56/~jnz1568/getInfo.php?workbook=01_01.xlsx&amp;sheet=A0&amp;row=240&amp;col=16&amp;number=0.016384&amp;sourceID=11","0.016384")</f>
        <v>0.016384</v>
      </c>
      <c r="Q240" s="4" t="str">
        <f>HYPERLINK("http://141.218.60.56/~jnz1568/getInfo.php?workbook=01_01.xlsx&amp;sheet=A0&amp;row=240&amp;col=17&amp;number=&amp;sourceID=11","")</f>
        <v/>
      </c>
      <c r="R240" s="4" t="str">
        <f>HYPERLINK("http://141.218.60.56/~jnz1568/getInfo.php?workbook=01_01.xlsx&amp;sheet=A0&amp;row=240&amp;col=18&amp;number=2.98e-13&amp;sourceID=11","2.98e-13")</f>
        <v>2.98e-13</v>
      </c>
      <c r="S240" s="4" t="str">
        <f>HYPERLINK("http://141.218.60.56/~jnz1568/getInfo.php?workbook=01_01.xlsx&amp;sheet=A0&amp;row=240&amp;col=19&amp;number=&amp;sourceID=11","")</f>
        <v/>
      </c>
      <c r="T240" s="4" t="str">
        <f>HYPERLINK("http://141.218.60.56/~jnz1568/getInfo.php?workbook=01_01.xlsx&amp;sheet=A0&amp;row=240&amp;col=20&amp;number=0&amp;sourceID=11","0")</f>
        <v>0</v>
      </c>
      <c r="U240" s="4" t="str">
        <f>HYPERLINK("http://141.218.60.56/~jnz1568/getInfo.php?workbook=01_01.xlsx&amp;sheet=A0&amp;row=240&amp;col=21&amp;number=0.016393&amp;sourceID=12","0.016393")</f>
        <v>0.016393</v>
      </c>
      <c r="V240" s="4" t="str">
        <f>HYPERLINK("http://141.218.60.56/~jnz1568/getInfo.php?workbook=01_01.xlsx&amp;sheet=A0&amp;row=240&amp;col=22&amp;number=&amp;sourceID=12","")</f>
        <v/>
      </c>
      <c r="W240" s="4" t="str">
        <f>HYPERLINK("http://141.218.60.56/~jnz1568/getInfo.php?workbook=01_01.xlsx&amp;sheet=A0&amp;row=240&amp;col=23&amp;number=0.016393&amp;sourceID=12","0.016393")</f>
        <v>0.016393</v>
      </c>
      <c r="X240" s="4" t="str">
        <f>HYPERLINK("http://141.218.60.56/~jnz1568/getInfo.php?workbook=01_01.xlsx&amp;sheet=A0&amp;row=240&amp;col=24&amp;number=&amp;sourceID=12","")</f>
        <v/>
      </c>
      <c r="Y240" s="4" t="str">
        <f>HYPERLINK("http://141.218.60.56/~jnz1568/getInfo.php?workbook=01_01.xlsx&amp;sheet=A0&amp;row=240&amp;col=25&amp;number=3.01e-13&amp;sourceID=12","3.01e-13")</f>
        <v>3.01e-13</v>
      </c>
      <c r="Z240" s="4" t="str">
        <f>HYPERLINK("http://141.218.60.56/~jnz1568/getInfo.php?workbook=01_01.xlsx&amp;sheet=A0&amp;row=240&amp;col=26&amp;number=&amp;sourceID=12","")</f>
        <v/>
      </c>
      <c r="AA240" s="4" t="str">
        <f>HYPERLINK("http://141.218.60.56/~jnz1568/getInfo.php?workbook=01_01.xlsx&amp;sheet=A0&amp;row=240&amp;col=27&amp;number=0&amp;sourceID=12","0")</f>
        <v>0</v>
      </c>
      <c r="AB240" s="4" t="str">
        <f>HYPERLINK("http://141.218.60.56/~jnz1568/getInfo.php?workbook=01_01.xlsx&amp;sheet=A0&amp;row=240&amp;col=28&amp;number=&amp;sourceID=18","")</f>
        <v/>
      </c>
      <c r="AC240" s="4" t="str">
        <f>HYPERLINK("http://141.218.60.56/~jnz1568/getInfo.php?workbook=01_01.xlsx&amp;sheet=A0&amp;row=240&amp;col=29&amp;number=&amp;sourceID=18","")</f>
        <v/>
      </c>
      <c r="AD240" s="4" t="str">
        <f>HYPERLINK("http://141.218.60.56/~jnz1568/getInfo.php?workbook=01_01.xlsx&amp;sheet=A0&amp;row=240&amp;col=30&amp;number=&amp;sourceID=18","")</f>
        <v/>
      </c>
      <c r="AE240" s="4" t="str">
        <f>HYPERLINK("http://141.218.60.56/~jnz1568/getInfo.php?workbook=01_01.xlsx&amp;sheet=A0&amp;row=240&amp;col=31&amp;number=&amp;sourceID=18","")</f>
        <v/>
      </c>
      <c r="AF240" s="4" t="str">
        <f>HYPERLINK("http://141.218.60.56/~jnz1568/getInfo.php?workbook=01_01.xlsx&amp;sheet=A0&amp;row=240&amp;col=32&amp;number=&amp;sourceID=18","")</f>
        <v/>
      </c>
      <c r="AG240" s="4" t="str">
        <f>HYPERLINK("http://141.218.60.56/~jnz1568/getInfo.php?workbook=01_01.xlsx&amp;sheet=A0&amp;row=240&amp;col=33&amp;number=&amp;sourceID=18","")</f>
        <v/>
      </c>
      <c r="AH240" s="4" t="str">
        <f>HYPERLINK("http://141.218.60.56/~jnz1568/getInfo.php?workbook=01_01.xlsx&amp;sheet=A0&amp;row=240&amp;col=34&amp;number=&amp;sourceID=20","")</f>
        <v/>
      </c>
    </row>
    <row r="241" spans="1:34">
      <c r="A241" s="3">
        <v>1</v>
      </c>
      <c r="B241" s="3">
        <v>1</v>
      </c>
      <c r="C241" s="3">
        <v>23</v>
      </c>
      <c r="D241" s="3">
        <v>16</v>
      </c>
      <c r="E241" s="3">
        <f>((1/(INDEX(E0!J$4:J$28,C241,1)-INDEX(E0!J$4:J$28,D241,1))))*100000000</f>
        <v>0</v>
      </c>
      <c r="F241" s="4" t="str">
        <f>HYPERLINK("http://141.218.60.56/~jnz1568/getInfo.php?workbook=01_01.xlsx&amp;sheet=A0&amp;row=241&amp;col=6&amp;number=&amp;sourceID=18","")</f>
        <v/>
      </c>
      <c r="G241" s="4" t="str">
        <f>HYPERLINK("http://141.218.60.56/~jnz1568/getInfo.php?workbook=01_01.xlsx&amp;sheet=A0&amp;row=241&amp;col=7&amp;number=&amp;sourceID=15","")</f>
        <v/>
      </c>
      <c r="H241" s="4" t="str">
        <f>HYPERLINK("http://141.218.60.56/~jnz1568/getInfo.php?workbook=01_01.xlsx&amp;sheet=A0&amp;row=241&amp;col=8&amp;number=&amp;sourceID=15","")</f>
        <v/>
      </c>
      <c r="I241" s="4" t="str">
        <f>HYPERLINK("http://141.218.60.56/~jnz1568/getInfo.php?workbook=01_01.xlsx&amp;sheet=A0&amp;row=241&amp;col=9&amp;number=&amp;sourceID=15","")</f>
        <v/>
      </c>
      <c r="J241" s="4" t="str">
        <f>HYPERLINK("http://141.218.60.56/~jnz1568/getInfo.php?workbook=01_01.xlsx&amp;sheet=A0&amp;row=241&amp;col=10&amp;number=&amp;sourceID=15","")</f>
        <v/>
      </c>
      <c r="K241" s="4" t="str">
        <f>HYPERLINK("http://141.218.60.56/~jnz1568/getInfo.php?workbook=01_01.xlsx&amp;sheet=A0&amp;row=241&amp;col=11&amp;number=&amp;sourceID=15","")</f>
        <v/>
      </c>
      <c r="L241" s="4" t="str">
        <f>HYPERLINK("http://141.218.60.56/~jnz1568/getInfo.php?workbook=01_01.xlsx&amp;sheet=A0&amp;row=241&amp;col=12&amp;number=&amp;sourceID=15","")</f>
        <v/>
      </c>
      <c r="M241" s="4" t="str">
        <f>HYPERLINK("http://141.218.60.56/~jnz1568/getInfo.php?workbook=01_01.xlsx&amp;sheet=A0&amp;row=241&amp;col=13&amp;number=&amp;sourceID=15","")</f>
        <v/>
      </c>
      <c r="N241" s="4" t="str">
        <f>HYPERLINK("http://141.218.60.56/~jnz1568/getInfo.php?workbook=01_01.xlsx&amp;sheet=A0&amp;row=241&amp;col=14&amp;number==&amp;sourceID=11","=")</f>
        <v>=</v>
      </c>
      <c r="O241" s="4" t="str">
        <f>HYPERLINK("http://141.218.60.56/~jnz1568/getInfo.php?workbook=01_01.xlsx&amp;sheet=A0&amp;row=241&amp;col=15&amp;number=&amp;sourceID=11","")</f>
        <v/>
      </c>
      <c r="P241" s="4" t="str">
        <f>HYPERLINK("http://141.218.60.56/~jnz1568/getInfo.php?workbook=01_01.xlsx&amp;sheet=A0&amp;row=241&amp;col=16&amp;number=0.13653&amp;sourceID=11","0.13653")</f>
        <v>0.13653</v>
      </c>
      <c r="Q241" s="4" t="str">
        <f>HYPERLINK("http://141.218.60.56/~jnz1568/getInfo.php?workbook=01_01.xlsx&amp;sheet=A0&amp;row=241&amp;col=17&amp;number=&amp;sourceID=11","")</f>
        <v/>
      </c>
      <c r="R241" s="4" t="str">
        <f>HYPERLINK("http://141.218.60.56/~jnz1568/getInfo.php?workbook=01_01.xlsx&amp;sheet=A0&amp;row=241&amp;col=18&amp;number=3.021e-12&amp;sourceID=11","3.021e-12")</f>
        <v>3.021e-12</v>
      </c>
      <c r="S241" s="4" t="str">
        <f>HYPERLINK("http://141.218.60.56/~jnz1568/getInfo.php?workbook=01_01.xlsx&amp;sheet=A0&amp;row=241&amp;col=19&amp;number=&amp;sourceID=11","")</f>
        <v/>
      </c>
      <c r="T241" s="4" t="str">
        <f>HYPERLINK("http://141.218.60.56/~jnz1568/getInfo.php?workbook=01_01.xlsx&amp;sheet=A0&amp;row=241&amp;col=20&amp;number=2.5e-14&amp;sourceID=11","2.5e-14")</f>
        <v>2.5e-14</v>
      </c>
      <c r="U241" s="4" t="str">
        <f>HYPERLINK("http://141.218.60.56/~jnz1568/getInfo.php?workbook=01_01.xlsx&amp;sheet=A0&amp;row=241&amp;col=21&amp;number=0.13661&amp;sourceID=12","0.13661")</f>
        <v>0.13661</v>
      </c>
      <c r="V241" s="4" t="str">
        <f>HYPERLINK("http://141.218.60.56/~jnz1568/getInfo.php?workbook=01_01.xlsx&amp;sheet=A0&amp;row=241&amp;col=22&amp;number=&amp;sourceID=12","")</f>
        <v/>
      </c>
      <c r="W241" s="4" t="str">
        <f>HYPERLINK("http://141.218.60.56/~jnz1568/getInfo.php?workbook=01_01.xlsx&amp;sheet=A0&amp;row=241&amp;col=23&amp;number=0.13661&amp;sourceID=12","0.13661")</f>
        <v>0.13661</v>
      </c>
      <c r="X241" s="4" t="str">
        <f>HYPERLINK("http://141.218.60.56/~jnz1568/getInfo.php?workbook=01_01.xlsx&amp;sheet=A0&amp;row=241&amp;col=24&amp;number=&amp;sourceID=12","")</f>
        <v/>
      </c>
      <c r="Y241" s="4" t="str">
        <f>HYPERLINK("http://141.218.60.56/~jnz1568/getInfo.php?workbook=01_01.xlsx&amp;sheet=A0&amp;row=241&amp;col=25&amp;number=3.023e-12&amp;sourceID=12","3.023e-12")</f>
        <v>3.023e-12</v>
      </c>
      <c r="Z241" s="4" t="str">
        <f>HYPERLINK("http://141.218.60.56/~jnz1568/getInfo.php?workbook=01_01.xlsx&amp;sheet=A0&amp;row=241&amp;col=26&amp;number=&amp;sourceID=12","")</f>
        <v/>
      </c>
      <c r="AA241" s="4" t="str">
        <f>HYPERLINK("http://141.218.60.56/~jnz1568/getInfo.php?workbook=01_01.xlsx&amp;sheet=A0&amp;row=241&amp;col=27&amp;number=2.5e-14&amp;sourceID=12","2.5e-14")</f>
        <v>2.5e-14</v>
      </c>
      <c r="AB241" s="4" t="str">
        <f>HYPERLINK("http://141.218.60.56/~jnz1568/getInfo.php?workbook=01_01.xlsx&amp;sheet=A0&amp;row=241&amp;col=28&amp;number=&amp;sourceID=18","")</f>
        <v/>
      </c>
      <c r="AC241" s="4" t="str">
        <f>HYPERLINK("http://141.218.60.56/~jnz1568/getInfo.php?workbook=01_01.xlsx&amp;sheet=A0&amp;row=241&amp;col=29&amp;number=&amp;sourceID=18","")</f>
        <v/>
      </c>
      <c r="AD241" s="4" t="str">
        <f>HYPERLINK("http://141.218.60.56/~jnz1568/getInfo.php?workbook=01_01.xlsx&amp;sheet=A0&amp;row=241&amp;col=30&amp;number=&amp;sourceID=18","")</f>
        <v/>
      </c>
      <c r="AE241" s="4" t="str">
        <f>HYPERLINK("http://141.218.60.56/~jnz1568/getInfo.php?workbook=01_01.xlsx&amp;sheet=A0&amp;row=241&amp;col=31&amp;number=&amp;sourceID=18","")</f>
        <v/>
      </c>
      <c r="AF241" s="4" t="str">
        <f>HYPERLINK("http://141.218.60.56/~jnz1568/getInfo.php?workbook=01_01.xlsx&amp;sheet=A0&amp;row=241&amp;col=32&amp;number=&amp;sourceID=18","")</f>
        <v/>
      </c>
      <c r="AG241" s="4" t="str">
        <f>HYPERLINK("http://141.218.60.56/~jnz1568/getInfo.php?workbook=01_01.xlsx&amp;sheet=A0&amp;row=241&amp;col=33&amp;number=&amp;sourceID=18","")</f>
        <v/>
      </c>
      <c r="AH241" s="4" t="str">
        <f>HYPERLINK("http://141.218.60.56/~jnz1568/getInfo.php?workbook=01_01.xlsx&amp;sheet=A0&amp;row=241&amp;col=34&amp;number=&amp;sourceID=20","")</f>
        <v/>
      </c>
    </row>
    <row r="242" spans="1:34">
      <c r="A242" s="3">
        <v>1</v>
      </c>
      <c r="B242" s="3">
        <v>1</v>
      </c>
      <c r="C242" s="3">
        <v>23</v>
      </c>
      <c r="D242" s="3">
        <v>17</v>
      </c>
      <c r="E242" s="3">
        <f>((1/(INDEX(E0!J$4:J$28,C242,1)-INDEX(E0!J$4:J$28,D242,1))))*100000000</f>
        <v>0</v>
      </c>
      <c r="F242" s="4" t="str">
        <f>HYPERLINK("http://141.218.60.56/~jnz1568/getInfo.php?workbook=01_01.xlsx&amp;sheet=A0&amp;row=242&amp;col=6&amp;number=&amp;sourceID=18","")</f>
        <v/>
      </c>
      <c r="G242" s="4" t="str">
        <f>HYPERLINK("http://141.218.60.56/~jnz1568/getInfo.php?workbook=01_01.xlsx&amp;sheet=A0&amp;row=242&amp;col=7&amp;number=&amp;sourceID=15","")</f>
        <v/>
      </c>
      <c r="H242" s="4" t="str">
        <f>HYPERLINK("http://141.218.60.56/~jnz1568/getInfo.php?workbook=01_01.xlsx&amp;sheet=A0&amp;row=242&amp;col=8&amp;number=&amp;sourceID=15","")</f>
        <v/>
      </c>
      <c r="I242" s="4" t="str">
        <f>HYPERLINK("http://141.218.60.56/~jnz1568/getInfo.php?workbook=01_01.xlsx&amp;sheet=A0&amp;row=242&amp;col=9&amp;number=&amp;sourceID=15","")</f>
        <v/>
      </c>
      <c r="J242" s="4" t="str">
        <f>HYPERLINK("http://141.218.60.56/~jnz1568/getInfo.php?workbook=01_01.xlsx&amp;sheet=A0&amp;row=242&amp;col=10&amp;number=&amp;sourceID=15","")</f>
        <v/>
      </c>
      <c r="K242" s="4" t="str">
        <f>HYPERLINK("http://141.218.60.56/~jnz1568/getInfo.php?workbook=01_01.xlsx&amp;sheet=A0&amp;row=242&amp;col=11&amp;number=&amp;sourceID=15","")</f>
        <v/>
      </c>
      <c r="L242" s="4" t="str">
        <f>HYPERLINK("http://141.218.60.56/~jnz1568/getInfo.php?workbook=01_01.xlsx&amp;sheet=A0&amp;row=242&amp;col=12&amp;number=&amp;sourceID=15","")</f>
        <v/>
      </c>
      <c r="M242" s="4" t="str">
        <f>HYPERLINK("http://141.218.60.56/~jnz1568/getInfo.php?workbook=01_01.xlsx&amp;sheet=A0&amp;row=242&amp;col=13&amp;number=&amp;sourceID=15","")</f>
        <v/>
      </c>
      <c r="N242" s="4" t="str">
        <f>HYPERLINK("http://141.218.60.56/~jnz1568/getInfo.php?workbook=01_01.xlsx&amp;sheet=A0&amp;row=242&amp;col=14&amp;number==&amp;sourceID=11","=")</f>
        <v>=</v>
      </c>
      <c r="O242" s="4" t="str">
        <f>HYPERLINK("http://141.218.60.56/~jnz1568/getInfo.php?workbook=01_01.xlsx&amp;sheet=A0&amp;row=242&amp;col=15&amp;number=&amp;sourceID=11","")</f>
        <v/>
      </c>
      <c r="P242" s="4" t="str">
        <f>HYPERLINK("http://141.218.60.56/~jnz1568/getInfo.php?workbook=01_01.xlsx&amp;sheet=A0&amp;row=242&amp;col=16&amp;number=&amp;sourceID=11","")</f>
        <v/>
      </c>
      <c r="Q242" s="4" t="str">
        <f>HYPERLINK("http://141.218.60.56/~jnz1568/getInfo.php?workbook=01_01.xlsx&amp;sheet=A0&amp;row=242&amp;col=17&amp;number=&amp;sourceID=11","")</f>
        <v/>
      </c>
      <c r="R242" s="4" t="str">
        <f>HYPERLINK("http://141.218.60.56/~jnz1568/getInfo.php?workbook=01_01.xlsx&amp;sheet=A0&amp;row=242&amp;col=18&amp;number=&amp;sourceID=11","")</f>
        <v/>
      </c>
      <c r="S242" s="4" t="str">
        <f>HYPERLINK("http://141.218.60.56/~jnz1568/getInfo.php?workbook=01_01.xlsx&amp;sheet=A0&amp;row=242&amp;col=19&amp;number=&amp;sourceID=11","")</f>
        <v/>
      </c>
      <c r="T242" s="4" t="str">
        <f>HYPERLINK("http://141.218.60.56/~jnz1568/getInfo.php?workbook=01_01.xlsx&amp;sheet=A0&amp;row=242&amp;col=20&amp;number=0&amp;sourceID=11","0")</f>
        <v>0</v>
      </c>
      <c r="U242" s="4" t="str">
        <f>HYPERLINK("http://141.218.60.56/~jnz1568/getInfo.php?workbook=01_01.xlsx&amp;sheet=A0&amp;row=242&amp;col=21&amp;number=0&amp;sourceID=12","0")</f>
        <v>0</v>
      </c>
      <c r="V242" s="4" t="str">
        <f>HYPERLINK("http://141.218.60.56/~jnz1568/getInfo.php?workbook=01_01.xlsx&amp;sheet=A0&amp;row=242&amp;col=22&amp;number=&amp;sourceID=12","")</f>
        <v/>
      </c>
      <c r="W242" s="4" t="str">
        <f>HYPERLINK("http://141.218.60.56/~jnz1568/getInfo.php?workbook=01_01.xlsx&amp;sheet=A0&amp;row=242&amp;col=23&amp;number=&amp;sourceID=12","")</f>
        <v/>
      </c>
      <c r="X242" s="4" t="str">
        <f>HYPERLINK("http://141.218.60.56/~jnz1568/getInfo.php?workbook=01_01.xlsx&amp;sheet=A0&amp;row=242&amp;col=24&amp;number=&amp;sourceID=12","")</f>
        <v/>
      </c>
      <c r="Y242" s="4" t="str">
        <f>HYPERLINK("http://141.218.60.56/~jnz1568/getInfo.php?workbook=01_01.xlsx&amp;sheet=A0&amp;row=242&amp;col=25&amp;number=&amp;sourceID=12","")</f>
        <v/>
      </c>
      <c r="Z242" s="4" t="str">
        <f>HYPERLINK("http://141.218.60.56/~jnz1568/getInfo.php?workbook=01_01.xlsx&amp;sheet=A0&amp;row=242&amp;col=26&amp;number=&amp;sourceID=12","")</f>
        <v/>
      </c>
      <c r="AA242" s="4" t="str">
        <f>HYPERLINK("http://141.218.60.56/~jnz1568/getInfo.php?workbook=01_01.xlsx&amp;sheet=A0&amp;row=242&amp;col=27&amp;number=0&amp;sourceID=12","0")</f>
        <v>0</v>
      </c>
      <c r="AB242" s="4" t="str">
        <f>HYPERLINK("http://141.218.60.56/~jnz1568/getInfo.php?workbook=01_01.xlsx&amp;sheet=A0&amp;row=242&amp;col=28&amp;number=&amp;sourceID=18","")</f>
        <v/>
      </c>
      <c r="AC242" s="4" t="str">
        <f>HYPERLINK("http://141.218.60.56/~jnz1568/getInfo.php?workbook=01_01.xlsx&amp;sheet=A0&amp;row=242&amp;col=29&amp;number=&amp;sourceID=18","")</f>
        <v/>
      </c>
      <c r="AD242" s="4" t="str">
        <f>HYPERLINK("http://141.218.60.56/~jnz1568/getInfo.php?workbook=01_01.xlsx&amp;sheet=A0&amp;row=242&amp;col=30&amp;number=&amp;sourceID=18","")</f>
        <v/>
      </c>
      <c r="AE242" s="4" t="str">
        <f>HYPERLINK("http://141.218.60.56/~jnz1568/getInfo.php?workbook=01_01.xlsx&amp;sheet=A0&amp;row=242&amp;col=31&amp;number=&amp;sourceID=18","")</f>
        <v/>
      </c>
      <c r="AF242" s="4" t="str">
        <f>HYPERLINK("http://141.218.60.56/~jnz1568/getInfo.php?workbook=01_01.xlsx&amp;sheet=A0&amp;row=242&amp;col=32&amp;number=&amp;sourceID=18","")</f>
        <v/>
      </c>
      <c r="AG242" s="4" t="str">
        <f>HYPERLINK("http://141.218.60.56/~jnz1568/getInfo.php?workbook=01_01.xlsx&amp;sheet=A0&amp;row=242&amp;col=33&amp;number=&amp;sourceID=18","")</f>
        <v/>
      </c>
      <c r="AH242" s="4" t="str">
        <f>HYPERLINK("http://141.218.60.56/~jnz1568/getInfo.php?workbook=01_01.xlsx&amp;sheet=A0&amp;row=242&amp;col=34&amp;number=&amp;sourceID=20","")</f>
        <v/>
      </c>
    </row>
    <row r="243" spans="1:34">
      <c r="A243" s="3">
        <v>1</v>
      </c>
      <c r="B243" s="3">
        <v>1</v>
      </c>
      <c r="C243" s="3">
        <v>23</v>
      </c>
      <c r="D243" s="3">
        <v>18</v>
      </c>
      <c r="E243" s="3">
        <f>((1/(INDEX(E0!J$4:J$28,C243,1)-INDEX(E0!J$4:J$28,D243,1))))*100000000</f>
        <v>0</v>
      </c>
      <c r="F243" s="4" t="str">
        <f>HYPERLINK("http://141.218.60.56/~jnz1568/getInfo.php?workbook=01_01.xlsx&amp;sheet=A0&amp;row=243&amp;col=6&amp;number=&amp;sourceID=18","")</f>
        <v/>
      </c>
      <c r="G243" s="4" t="str">
        <f>HYPERLINK("http://141.218.60.56/~jnz1568/getInfo.php?workbook=01_01.xlsx&amp;sheet=A0&amp;row=243&amp;col=7&amp;number=&amp;sourceID=15","")</f>
        <v/>
      </c>
      <c r="H243" s="4" t="str">
        <f>HYPERLINK("http://141.218.60.56/~jnz1568/getInfo.php?workbook=01_01.xlsx&amp;sheet=A0&amp;row=243&amp;col=8&amp;number=&amp;sourceID=15","")</f>
        <v/>
      </c>
      <c r="I243" s="4" t="str">
        <f>HYPERLINK("http://141.218.60.56/~jnz1568/getInfo.php?workbook=01_01.xlsx&amp;sheet=A0&amp;row=243&amp;col=9&amp;number=&amp;sourceID=15","")</f>
        <v/>
      </c>
      <c r="J243" s="4" t="str">
        <f>HYPERLINK("http://141.218.60.56/~jnz1568/getInfo.php?workbook=01_01.xlsx&amp;sheet=A0&amp;row=243&amp;col=10&amp;number=&amp;sourceID=15","")</f>
        <v/>
      </c>
      <c r="K243" s="4" t="str">
        <f>HYPERLINK("http://141.218.60.56/~jnz1568/getInfo.php?workbook=01_01.xlsx&amp;sheet=A0&amp;row=243&amp;col=11&amp;number=&amp;sourceID=15","")</f>
        <v/>
      </c>
      <c r="L243" s="4" t="str">
        <f>HYPERLINK("http://141.218.60.56/~jnz1568/getInfo.php?workbook=01_01.xlsx&amp;sheet=A0&amp;row=243&amp;col=12&amp;number=&amp;sourceID=15","")</f>
        <v/>
      </c>
      <c r="M243" s="4" t="str">
        <f>HYPERLINK("http://141.218.60.56/~jnz1568/getInfo.php?workbook=01_01.xlsx&amp;sheet=A0&amp;row=243&amp;col=13&amp;number=&amp;sourceID=15","")</f>
        <v/>
      </c>
      <c r="N243" s="4" t="str">
        <f>HYPERLINK("http://141.218.60.56/~jnz1568/getInfo.php?workbook=01_01.xlsx&amp;sheet=A0&amp;row=243&amp;col=14&amp;number==&amp;sourceID=11","=")</f>
        <v>=</v>
      </c>
      <c r="O243" s="4" t="str">
        <f>HYPERLINK("http://141.218.60.56/~jnz1568/getInfo.php?workbook=01_01.xlsx&amp;sheet=A0&amp;row=243&amp;col=15&amp;number=&amp;sourceID=11","")</f>
        <v/>
      </c>
      <c r="P243" s="4" t="str">
        <f>HYPERLINK("http://141.218.60.56/~jnz1568/getInfo.php?workbook=01_01.xlsx&amp;sheet=A0&amp;row=243&amp;col=16&amp;number=&amp;sourceID=11","")</f>
        <v/>
      </c>
      <c r="Q243" s="4" t="str">
        <f>HYPERLINK("http://141.218.60.56/~jnz1568/getInfo.php?workbook=01_01.xlsx&amp;sheet=A0&amp;row=243&amp;col=17&amp;number=0&amp;sourceID=11","0")</f>
        <v>0</v>
      </c>
      <c r="R243" s="4" t="str">
        <f>HYPERLINK("http://141.218.60.56/~jnz1568/getInfo.php?workbook=01_01.xlsx&amp;sheet=A0&amp;row=243&amp;col=18&amp;number=&amp;sourceID=11","")</f>
        <v/>
      </c>
      <c r="S243" s="4" t="str">
        <f>HYPERLINK("http://141.218.60.56/~jnz1568/getInfo.php?workbook=01_01.xlsx&amp;sheet=A0&amp;row=243&amp;col=19&amp;number=&amp;sourceID=11","")</f>
        <v/>
      </c>
      <c r="T243" s="4" t="str">
        <f>HYPERLINK("http://141.218.60.56/~jnz1568/getInfo.php?workbook=01_01.xlsx&amp;sheet=A0&amp;row=243&amp;col=20&amp;number=&amp;sourceID=11","")</f>
        <v/>
      </c>
      <c r="U243" s="4" t="str">
        <f>HYPERLINK("http://141.218.60.56/~jnz1568/getInfo.php?workbook=01_01.xlsx&amp;sheet=A0&amp;row=243&amp;col=21&amp;number=0&amp;sourceID=12","0")</f>
        <v>0</v>
      </c>
      <c r="V243" s="4" t="str">
        <f>HYPERLINK("http://141.218.60.56/~jnz1568/getInfo.php?workbook=01_01.xlsx&amp;sheet=A0&amp;row=243&amp;col=22&amp;number=&amp;sourceID=12","")</f>
        <v/>
      </c>
      <c r="W243" s="4" t="str">
        <f>HYPERLINK("http://141.218.60.56/~jnz1568/getInfo.php?workbook=01_01.xlsx&amp;sheet=A0&amp;row=243&amp;col=23&amp;number=&amp;sourceID=12","")</f>
        <v/>
      </c>
      <c r="X243" s="4" t="str">
        <f>HYPERLINK("http://141.218.60.56/~jnz1568/getInfo.php?workbook=01_01.xlsx&amp;sheet=A0&amp;row=243&amp;col=24&amp;number=0&amp;sourceID=12","0")</f>
        <v>0</v>
      </c>
      <c r="Y243" s="4" t="str">
        <f>HYPERLINK("http://141.218.60.56/~jnz1568/getInfo.php?workbook=01_01.xlsx&amp;sheet=A0&amp;row=243&amp;col=25&amp;number=&amp;sourceID=12","")</f>
        <v/>
      </c>
      <c r="Z243" s="4" t="str">
        <f>HYPERLINK("http://141.218.60.56/~jnz1568/getInfo.php?workbook=01_01.xlsx&amp;sheet=A0&amp;row=243&amp;col=26&amp;number=&amp;sourceID=12","")</f>
        <v/>
      </c>
      <c r="AA243" s="4" t="str">
        <f>HYPERLINK("http://141.218.60.56/~jnz1568/getInfo.php?workbook=01_01.xlsx&amp;sheet=A0&amp;row=243&amp;col=27&amp;number=&amp;sourceID=12","")</f>
        <v/>
      </c>
      <c r="AB243" s="4" t="str">
        <f>HYPERLINK("http://141.218.60.56/~jnz1568/getInfo.php?workbook=01_01.xlsx&amp;sheet=A0&amp;row=243&amp;col=28&amp;number=&amp;sourceID=18","")</f>
        <v/>
      </c>
      <c r="AC243" s="4" t="str">
        <f>HYPERLINK("http://141.218.60.56/~jnz1568/getInfo.php?workbook=01_01.xlsx&amp;sheet=A0&amp;row=243&amp;col=29&amp;number=&amp;sourceID=18","")</f>
        <v/>
      </c>
      <c r="AD243" s="4" t="str">
        <f>HYPERLINK("http://141.218.60.56/~jnz1568/getInfo.php?workbook=01_01.xlsx&amp;sheet=A0&amp;row=243&amp;col=30&amp;number=&amp;sourceID=18","")</f>
        <v/>
      </c>
      <c r="AE243" s="4" t="str">
        <f>HYPERLINK("http://141.218.60.56/~jnz1568/getInfo.php?workbook=01_01.xlsx&amp;sheet=A0&amp;row=243&amp;col=31&amp;number=&amp;sourceID=18","")</f>
        <v/>
      </c>
      <c r="AF243" s="4" t="str">
        <f>HYPERLINK("http://141.218.60.56/~jnz1568/getInfo.php?workbook=01_01.xlsx&amp;sheet=A0&amp;row=243&amp;col=32&amp;number=&amp;sourceID=18","")</f>
        <v/>
      </c>
      <c r="AG243" s="4" t="str">
        <f>HYPERLINK("http://141.218.60.56/~jnz1568/getInfo.php?workbook=01_01.xlsx&amp;sheet=A0&amp;row=243&amp;col=33&amp;number=&amp;sourceID=18","")</f>
        <v/>
      </c>
      <c r="AH243" s="4" t="str">
        <f>HYPERLINK("http://141.218.60.56/~jnz1568/getInfo.php?workbook=01_01.xlsx&amp;sheet=A0&amp;row=243&amp;col=34&amp;number=&amp;sourceID=20","")</f>
        <v/>
      </c>
    </row>
    <row r="244" spans="1:34">
      <c r="A244" s="3">
        <v>1</v>
      </c>
      <c r="B244" s="3">
        <v>1</v>
      </c>
      <c r="C244" s="3">
        <v>23</v>
      </c>
      <c r="D244" s="3">
        <v>19</v>
      </c>
      <c r="E244" s="3">
        <f>((1/(INDEX(E0!J$4:J$28,C244,1)-INDEX(E0!J$4:J$28,D244,1))))*100000000</f>
        <v>0</v>
      </c>
      <c r="F244" s="4" t="str">
        <f>HYPERLINK("http://141.218.60.56/~jnz1568/getInfo.php?workbook=01_01.xlsx&amp;sheet=A0&amp;row=244&amp;col=6&amp;number=&amp;sourceID=18","")</f>
        <v/>
      </c>
      <c r="G244" s="4" t="str">
        <f>HYPERLINK("http://141.218.60.56/~jnz1568/getInfo.php?workbook=01_01.xlsx&amp;sheet=A0&amp;row=244&amp;col=7&amp;number=&amp;sourceID=15","")</f>
        <v/>
      </c>
      <c r="H244" s="4" t="str">
        <f>HYPERLINK("http://141.218.60.56/~jnz1568/getInfo.php?workbook=01_01.xlsx&amp;sheet=A0&amp;row=244&amp;col=8&amp;number=&amp;sourceID=15","")</f>
        <v/>
      </c>
      <c r="I244" s="4" t="str">
        <f>HYPERLINK("http://141.218.60.56/~jnz1568/getInfo.php?workbook=01_01.xlsx&amp;sheet=A0&amp;row=244&amp;col=9&amp;number=&amp;sourceID=15","")</f>
        <v/>
      </c>
      <c r="J244" s="4" t="str">
        <f>HYPERLINK("http://141.218.60.56/~jnz1568/getInfo.php?workbook=01_01.xlsx&amp;sheet=A0&amp;row=244&amp;col=10&amp;number=&amp;sourceID=15","")</f>
        <v/>
      </c>
      <c r="K244" s="4" t="str">
        <f>HYPERLINK("http://141.218.60.56/~jnz1568/getInfo.php?workbook=01_01.xlsx&amp;sheet=A0&amp;row=244&amp;col=11&amp;number=&amp;sourceID=15","")</f>
        <v/>
      </c>
      <c r="L244" s="4" t="str">
        <f>HYPERLINK("http://141.218.60.56/~jnz1568/getInfo.php?workbook=01_01.xlsx&amp;sheet=A0&amp;row=244&amp;col=12&amp;number=&amp;sourceID=15","")</f>
        <v/>
      </c>
      <c r="M244" s="4" t="str">
        <f>HYPERLINK("http://141.218.60.56/~jnz1568/getInfo.php?workbook=01_01.xlsx&amp;sheet=A0&amp;row=244&amp;col=13&amp;number=&amp;sourceID=15","")</f>
        <v/>
      </c>
      <c r="N244" s="4" t="str">
        <f>HYPERLINK("http://141.218.60.56/~jnz1568/getInfo.php?workbook=01_01.xlsx&amp;sheet=A0&amp;row=244&amp;col=14&amp;number==&amp;sourceID=11","=")</f>
        <v>=</v>
      </c>
      <c r="O244" s="4" t="str">
        <f>HYPERLINK("http://141.218.60.56/~jnz1568/getInfo.php?workbook=01_01.xlsx&amp;sheet=A0&amp;row=244&amp;col=15&amp;number=&amp;sourceID=11","")</f>
        <v/>
      </c>
      <c r="P244" s="4" t="str">
        <f>HYPERLINK("http://141.218.60.56/~jnz1568/getInfo.php?workbook=01_01.xlsx&amp;sheet=A0&amp;row=244&amp;col=16&amp;number=&amp;sourceID=11","")</f>
        <v/>
      </c>
      <c r="Q244" s="4" t="str">
        <f>HYPERLINK("http://141.218.60.56/~jnz1568/getInfo.php?workbook=01_01.xlsx&amp;sheet=A0&amp;row=244&amp;col=17&amp;number=0&amp;sourceID=11","0")</f>
        <v>0</v>
      </c>
      <c r="R244" s="4" t="str">
        <f>HYPERLINK("http://141.218.60.56/~jnz1568/getInfo.php?workbook=01_01.xlsx&amp;sheet=A0&amp;row=244&amp;col=18&amp;number=&amp;sourceID=11","")</f>
        <v/>
      </c>
      <c r="S244" s="4" t="str">
        <f>HYPERLINK("http://141.218.60.56/~jnz1568/getInfo.php?workbook=01_01.xlsx&amp;sheet=A0&amp;row=244&amp;col=19&amp;number=0&amp;sourceID=11","0")</f>
        <v>0</v>
      </c>
      <c r="T244" s="4" t="str">
        <f>HYPERLINK("http://141.218.60.56/~jnz1568/getInfo.php?workbook=01_01.xlsx&amp;sheet=A0&amp;row=244&amp;col=20&amp;number=&amp;sourceID=11","")</f>
        <v/>
      </c>
      <c r="U244" s="4" t="str">
        <f>HYPERLINK("http://141.218.60.56/~jnz1568/getInfo.php?workbook=01_01.xlsx&amp;sheet=A0&amp;row=244&amp;col=21&amp;number=0&amp;sourceID=12","0")</f>
        <v>0</v>
      </c>
      <c r="V244" s="4" t="str">
        <f>HYPERLINK("http://141.218.60.56/~jnz1568/getInfo.php?workbook=01_01.xlsx&amp;sheet=A0&amp;row=244&amp;col=22&amp;number=&amp;sourceID=12","")</f>
        <v/>
      </c>
      <c r="W244" s="4" t="str">
        <f>HYPERLINK("http://141.218.60.56/~jnz1568/getInfo.php?workbook=01_01.xlsx&amp;sheet=A0&amp;row=244&amp;col=23&amp;number=&amp;sourceID=12","")</f>
        <v/>
      </c>
      <c r="X244" s="4" t="str">
        <f>HYPERLINK("http://141.218.60.56/~jnz1568/getInfo.php?workbook=01_01.xlsx&amp;sheet=A0&amp;row=244&amp;col=24&amp;number=0&amp;sourceID=12","0")</f>
        <v>0</v>
      </c>
      <c r="Y244" s="4" t="str">
        <f>HYPERLINK("http://141.218.60.56/~jnz1568/getInfo.php?workbook=01_01.xlsx&amp;sheet=A0&amp;row=244&amp;col=25&amp;number=&amp;sourceID=12","")</f>
        <v/>
      </c>
      <c r="Z244" s="4" t="str">
        <f>HYPERLINK("http://141.218.60.56/~jnz1568/getInfo.php?workbook=01_01.xlsx&amp;sheet=A0&amp;row=244&amp;col=26&amp;number=0&amp;sourceID=12","0")</f>
        <v>0</v>
      </c>
      <c r="AA244" s="4" t="str">
        <f>HYPERLINK("http://141.218.60.56/~jnz1568/getInfo.php?workbook=01_01.xlsx&amp;sheet=A0&amp;row=244&amp;col=27&amp;number=&amp;sourceID=12","")</f>
        <v/>
      </c>
      <c r="AB244" s="4" t="str">
        <f>HYPERLINK("http://141.218.60.56/~jnz1568/getInfo.php?workbook=01_01.xlsx&amp;sheet=A0&amp;row=244&amp;col=28&amp;number=&amp;sourceID=18","")</f>
        <v/>
      </c>
      <c r="AC244" s="4" t="str">
        <f>HYPERLINK("http://141.218.60.56/~jnz1568/getInfo.php?workbook=01_01.xlsx&amp;sheet=A0&amp;row=244&amp;col=29&amp;number=&amp;sourceID=18","")</f>
        <v/>
      </c>
      <c r="AD244" s="4" t="str">
        <f>HYPERLINK("http://141.218.60.56/~jnz1568/getInfo.php?workbook=01_01.xlsx&amp;sheet=A0&amp;row=244&amp;col=30&amp;number=&amp;sourceID=18","")</f>
        <v/>
      </c>
      <c r="AE244" s="4" t="str">
        <f>HYPERLINK("http://141.218.60.56/~jnz1568/getInfo.php?workbook=01_01.xlsx&amp;sheet=A0&amp;row=244&amp;col=31&amp;number=&amp;sourceID=18","")</f>
        <v/>
      </c>
      <c r="AF244" s="4" t="str">
        <f>HYPERLINK("http://141.218.60.56/~jnz1568/getInfo.php?workbook=01_01.xlsx&amp;sheet=A0&amp;row=244&amp;col=32&amp;number=&amp;sourceID=18","")</f>
        <v/>
      </c>
      <c r="AG244" s="4" t="str">
        <f>HYPERLINK("http://141.218.60.56/~jnz1568/getInfo.php?workbook=01_01.xlsx&amp;sheet=A0&amp;row=244&amp;col=33&amp;number=&amp;sourceID=18","")</f>
        <v/>
      </c>
      <c r="AH244" s="4" t="str">
        <f>HYPERLINK("http://141.218.60.56/~jnz1568/getInfo.php?workbook=01_01.xlsx&amp;sheet=A0&amp;row=244&amp;col=34&amp;number=&amp;sourceID=20","")</f>
        <v/>
      </c>
    </row>
    <row r="245" spans="1:34">
      <c r="A245" s="3">
        <v>1</v>
      </c>
      <c r="B245" s="3">
        <v>1</v>
      </c>
      <c r="C245" s="3">
        <v>23</v>
      </c>
      <c r="D245" s="3">
        <v>20</v>
      </c>
      <c r="E245" s="3">
        <f>((1/(INDEX(E0!J$4:J$28,C245,1)-INDEX(E0!J$4:J$28,D245,1))))*100000000</f>
        <v>0</v>
      </c>
      <c r="F245" s="4" t="str">
        <f>HYPERLINK("http://141.218.60.56/~jnz1568/getInfo.php?workbook=01_01.xlsx&amp;sheet=A0&amp;row=245&amp;col=6&amp;number=&amp;sourceID=18","")</f>
        <v/>
      </c>
      <c r="G245" s="4" t="str">
        <f>HYPERLINK("http://141.218.60.56/~jnz1568/getInfo.php?workbook=01_01.xlsx&amp;sheet=A0&amp;row=245&amp;col=7&amp;number=&amp;sourceID=15","")</f>
        <v/>
      </c>
      <c r="H245" s="4" t="str">
        <f>HYPERLINK("http://141.218.60.56/~jnz1568/getInfo.php?workbook=01_01.xlsx&amp;sheet=A0&amp;row=245&amp;col=8&amp;number=&amp;sourceID=15","")</f>
        <v/>
      </c>
      <c r="I245" s="4" t="str">
        <f>HYPERLINK("http://141.218.60.56/~jnz1568/getInfo.php?workbook=01_01.xlsx&amp;sheet=A0&amp;row=245&amp;col=9&amp;number=&amp;sourceID=15","")</f>
        <v/>
      </c>
      <c r="J245" s="4" t="str">
        <f>HYPERLINK("http://141.218.60.56/~jnz1568/getInfo.php?workbook=01_01.xlsx&amp;sheet=A0&amp;row=245&amp;col=10&amp;number=&amp;sourceID=15","")</f>
        <v/>
      </c>
      <c r="K245" s="4" t="str">
        <f>HYPERLINK("http://141.218.60.56/~jnz1568/getInfo.php?workbook=01_01.xlsx&amp;sheet=A0&amp;row=245&amp;col=11&amp;number=&amp;sourceID=15","")</f>
        <v/>
      </c>
      <c r="L245" s="4" t="str">
        <f>HYPERLINK("http://141.218.60.56/~jnz1568/getInfo.php?workbook=01_01.xlsx&amp;sheet=A0&amp;row=245&amp;col=12&amp;number=&amp;sourceID=15","")</f>
        <v/>
      </c>
      <c r="M245" s="4" t="str">
        <f>HYPERLINK("http://141.218.60.56/~jnz1568/getInfo.php?workbook=01_01.xlsx&amp;sheet=A0&amp;row=245&amp;col=13&amp;number=&amp;sourceID=15","")</f>
        <v/>
      </c>
      <c r="N245" s="4" t="str">
        <f>HYPERLINK("http://141.218.60.56/~jnz1568/getInfo.php?workbook=01_01.xlsx&amp;sheet=A0&amp;row=245&amp;col=14&amp;number==&amp;sourceID=11","=")</f>
        <v>=</v>
      </c>
      <c r="O245" s="4" t="str">
        <f>HYPERLINK("http://141.218.60.56/~jnz1568/getInfo.php?workbook=01_01.xlsx&amp;sheet=A0&amp;row=245&amp;col=15&amp;number=&amp;sourceID=11","")</f>
        <v/>
      </c>
      <c r="P245" s="4" t="str">
        <f>HYPERLINK("http://141.218.60.56/~jnz1568/getInfo.php?workbook=01_01.xlsx&amp;sheet=A0&amp;row=245&amp;col=16&amp;number=0&amp;sourceID=11","0")</f>
        <v>0</v>
      </c>
      <c r="Q245" s="4" t="str">
        <f>HYPERLINK("http://141.218.60.56/~jnz1568/getInfo.php?workbook=01_01.xlsx&amp;sheet=A0&amp;row=245&amp;col=17&amp;number=&amp;sourceID=11","")</f>
        <v/>
      </c>
      <c r="R245" s="4" t="str">
        <f>HYPERLINK("http://141.218.60.56/~jnz1568/getInfo.php?workbook=01_01.xlsx&amp;sheet=A0&amp;row=245&amp;col=18&amp;number=&amp;sourceID=11","")</f>
        <v/>
      </c>
      <c r="S245" s="4" t="str">
        <f>HYPERLINK("http://141.218.60.56/~jnz1568/getInfo.php?workbook=01_01.xlsx&amp;sheet=A0&amp;row=245&amp;col=19&amp;number=&amp;sourceID=11","")</f>
        <v/>
      </c>
      <c r="T245" s="4" t="str">
        <f>HYPERLINK("http://141.218.60.56/~jnz1568/getInfo.php?workbook=01_01.xlsx&amp;sheet=A0&amp;row=245&amp;col=20&amp;number=0&amp;sourceID=11","0")</f>
        <v>0</v>
      </c>
      <c r="U245" s="4" t="str">
        <f>HYPERLINK("http://141.218.60.56/~jnz1568/getInfo.php?workbook=01_01.xlsx&amp;sheet=A0&amp;row=245&amp;col=21&amp;number=0&amp;sourceID=12","0")</f>
        <v>0</v>
      </c>
      <c r="V245" s="4" t="str">
        <f>HYPERLINK("http://141.218.60.56/~jnz1568/getInfo.php?workbook=01_01.xlsx&amp;sheet=A0&amp;row=245&amp;col=22&amp;number=&amp;sourceID=12","")</f>
        <v/>
      </c>
      <c r="W245" s="4" t="str">
        <f>HYPERLINK("http://141.218.60.56/~jnz1568/getInfo.php?workbook=01_01.xlsx&amp;sheet=A0&amp;row=245&amp;col=23&amp;number=0&amp;sourceID=12","0")</f>
        <v>0</v>
      </c>
      <c r="X245" s="4" t="str">
        <f>HYPERLINK("http://141.218.60.56/~jnz1568/getInfo.php?workbook=01_01.xlsx&amp;sheet=A0&amp;row=245&amp;col=24&amp;number=&amp;sourceID=12","")</f>
        <v/>
      </c>
      <c r="Y245" s="4" t="str">
        <f>HYPERLINK("http://141.218.60.56/~jnz1568/getInfo.php?workbook=01_01.xlsx&amp;sheet=A0&amp;row=245&amp;col=25&amp;number=&amp;sourceID=12","")</f>
        <v/>
      </c>
      <c r="Z245" s="4" t="str">
        <f>HYPERLINK("http://141.218.60.56/~jnz1568/getInfo.php?workbook=01_01.xlsx&amp;sheet=A0&amp;row=245&amp;col=26&amp;number=&amp;sourceID=12","")</f>
        <v/>
      </c>
      <c r="AA245" s="4" t="str">
        <f>HYPERLINK("http://141.218.60.56/~jnz1568/getInfo.php?workbook=01_01.xlsx&amp;sheet=A0&amp;row=245&amp;col=27&amp;number=0&amp;sourceID=12","0")</f>
        <v>0</v>
      </c>
      <c r="AB245" s="4" t="str">
        <f>HYPERLINK("http://141.218.60.56/~jnz1568/getInfo.php?workbook=01_01.xlsx&amp;sheet=A0&amp;row=245&amp;col=28&amp;number=&amp;sourceID=18","")</f>
        <v/>
      </c>
      <c r="AC245" s="4" t="str">
        <f>HYPERLINK("http://141.218.60.56/~jnz1568/getInfo.php?workbook=01_01.xlsx&amp;sheet=A0&amp;row=245&amp;col=29&amp;number=&amp;sourceID=18","")</f>
        <v/>
      </c>
      <c r="AD245" s="4" t="str">
        <f>HYPERLINK("http://141.218.60.56/~jnz1568/getInfo.php?workbook=01_01.xlsx&amp;sheet=A0&amp;row=245&amp;col=30&amp;number=&amp;sourceID=18","")</f>
        <v/>
      </c>
      <c r="AE245" s="4" t="str">
        <f>HYPERLINK("http://141.218.60.56/~jnz1568/getInfo.php?workbook=01_01.xlsx&amp;sheet=A0&amp;row=245&amp;col=31&amp;number=&amp;sourceID=18","")</f>
        <v/>
      </c>
      <c r="AF245" s="4" t="str">
        <f>HYPERLINK("http://141.218.60.56/~jnz1568/getInfo.php?workbook=01_01.xlsx&amp;sheet=A0&amp;row=245&amp;col=32&amp;number=&amp;sourceID=18","")</f>
        <v/>
      </c>
      <c r="AG245" s="4" t="str">
        <f>HYPERLINK("http://141.218.60.56/~jnz1568/getInfo.php?workbook=01_01.xlsx&amp;sheet=A0&amp;row=245&amp;col=33&amp;number=&amp;sourceID=18","")</f>
        <v/>
      </c>
      <c r="AH245" s="4" t="str">
        <f>HYPERLINK("http://141.218.60.56/~jnz1568/getInfo.php?workbook=01_01.xlsx&amp;sheet=A0&amp;row=245&amp;col=34&amp;number=&amp;sourceID=20","")</f>
        <v/>
      </c>
    </row>
    <row r="246" spans="1:34">
      <c r="A246" s="3">
        <v>1</v>
      </c>
      <c r="B246" s="3">
        <v>1</v>
      </c>
      <c r="C246" s="3">
        <v>23</v>
      </c>
      <c r="D246" s="3">
        <v>21</v>
      </c>
      <c r="E246" s="3">
        <f>((1/(INDEX(E0!J$4:J$28,C246,1)-INDEX(E0!J$4:J$28,D246,1))))*100000000</f>
        <v>0</v>
      </c>
      <c r="F246" s="4" t="str">
        <f>HYPERLINK("http://141.218.60.56/~jnz1568/getInfo.php?workbook=01_01.xlsx&amp;sheet=A0&amp;row=246&amp;col=6&amp;number=&amp;sourceID=18","")</f>
        <v/>
      </c>
      <c r="G246" s="4" t="str">
        <f>HYPERLINK("http://141.218.60.56/~jnz1568/getInfo.php?workbook=01_01.xlsx&amp;sheet=A0&amp;row=246&amp;col=7&amp;number=&amp;sourceID=15","")</f>
        <v/>
      </c>
      <c r="H246" s="4" t="str">
        <f>HYPERLINK("http://141.218.60.56/~jnz1568/getInfo.php?workbook=01_01.xlsx&amp;sheet=A0&amp;row=246&amp;col=8&amp;number=&amp;sourceID=15","")</f>
        <v/>
      </c>
      <c r="I246" s="4" t="str">
        <f>HYPERLINK("http://141.218.60.56/~jnz1568/getInfo.php?workbook=01_01.xlsx&amp;sheet=A0&amp;row=246&amp;col=9&amp;number=&amp;sourceID=15","")</f>
        <v/>
      </c>
      <c r="J246" s="4" t="str">
        <f>HYPERLINK("http://141.218.60.56/~jnz1568/getInfo.php?workbook=01_01.xlsx&amp;sheet=A0&amp;row=246&amp;col=10&amp;number=&amp;sourceID=15","")</f>
        <v/>
      </c>
      <c r="K246" s="4" t="str">
        <f>HYPERLINK("http://141.218.60.56/~jnz1568/getInfo.php?workbook=01_01.xlsx&amp;sheet=A0&amp;row=246&amp;col=11&amp;number=&amp;sourceID=15","")</f>
        <v/>
      </c>
      <c r="L246" s="4" t="str">
        <f>HYPERLINK("http://141.218.60.56/~jnz1568/getInfo.php?workbook=01_01.xlsx&amp;sheet=A0&amp;row=246&amp;col=12&amp;number=&amp;sourceID=15","")</f>
        <v/>
      </c>
      <c r="M246" s="4" t="str">
        <f>HYPERLINK("http://141.218.60.56/~jnz1568/getInfo.php?workbook=01_01.xlsx&amp;sheet=A0&amp;row=246&amp;col=13&amp;number=&amp;sourceID=15","")</f>
        <v/>
      </c>
      <c r="N246" s="4" t="str">
        <f>HYPERLINK("http://141.218.60.56/~jnz1568/getInfo.php?workbook=01_01.xlsx&amp;sheet=A0&amp;row=246&amp;col=14&amp;number==&amp;sourceID=11","=")</f>
        <v>=</v>
      </c>
      <c r="O246" s="4" t="str">
        <f>HYPERLINK("http://141.218.60.56/~jnz1568/getInfo.php?workbook=01_01.xlsx&amp;sheet=A0&amp;row=246&amp;col=15&amp;number=4.6183e-11&amp;sourceID=11","4.6183e-11")</f>
        <v>4.6183e-11</v>
      </c>
      <c r="P246" s="4" t="str">
        <f>HYPERLINK("http://141.218.60.56/~jnz1568/getInfo.php?workbook=01_01.xlsx&amp;sheet=A0&amp;row=246&amp;col=16&amp;number=&amp;sourceID=11","")</f>
        <v/>
      </c>
      <c r="Q246" s="4" t="str">
        <f>HYPERLINK("http://141.218.60.56/~jnz1568/getInfo.php?workbook=01_01.xlsx&amp;sheet=A0&amp;row=246&amp;col=17&amp;number=0&amp;sourceID=11","0")</f>
        <v>0</v>
      </c>
      <c r="R246" s="4" t="str">
        <f>HYPERLINK("http://141.218.60.56/~jnz1568/getInfo.php?workbook=01_01.xlsx&amp;sheet=A0&amp;row=246&amp;col=18&amp;number=&amp;sourceID=11","")</f>
        <v/>
      </c>
      <c r="S246" s="4" t="str">
        <f>HYPERLINK("http://141.218.60.56/~jnz1568/getInfo.php?workbook=01_01.xlsx&amp;sheet=A0&amp;row=246&amp;col=19&amp;number=0&amp;sourceID=11","0")</f>
        <v>0</v>
      </c>
      <c r="T246" s="4" t="str">
        <f>HYPERLINK("http://141.218.60.56/~jnz1568/getInfo.php?workbook=01_01.xlsx&amp;sheet=A0&amp;row=246&amp;col=20&amp;number=&amp;sourceID=11","")</f>
        <v/>
      </c>
      <c r="U246" s="4" t="str">
        <f>HYPERLINK("http://141.218.60.56/~jnz1568/getInfo.php?workbook=01_01.xlsx&amp;sheet=A0&amp;row=246&amp;col=21&amp;number=4.6777e-11&amp;sourceID=12","4.6777e-11")</f>
        <v>4.6777e-11</v>
      </c>
      <c r="V246" s="4" t="str">
        <f>HYPERLINK("http://141.218.60.56/~jnz1568/getInfo.php?workbook=01_01.xlsx&amp;sheet=A0&amp;row=246&amp;col=22&amp;number=4.6777e-11&amp;sourceID=12","4.6777e-11")</f>
        <v>4.6777e-11</v>
      </c>
      <c r="W246" s="4" t="str">
        <f>HYPERLINK("http://141.218.60.56/~jnz1568/getInfo.php?workbook=01_01.xlsx&amp;sheet=A0&amp;row=246&amp;col=23&amp;number=&amp;sourceID=12","")</f>
        <v/>
      </c>
      <c r="X246" s="4" t="str">
        <f>HYPERLINK("http://141.218.60.56/~jnz1568/getInfo.php?workbook=01_01.xlsx&amp;sheet=A0&amp;row=246&amp;col=24&amp;number=0&amp;sourceID=12","0")</f>
        <v>0</v>
      </c>
      <c r="Y246" s="4" t="str">
        <f>HYPERLINK("http://141.218.60.56/~jnz1568/getInfo.php?workbook=01_01.xlsx&amp;sheet=A0&amp;row=246&amp;col=25&amp;number=&amp;sourceID=12","")</f>
        <v/>
      </c>
      <c r="Z246" s="4" t="str">
        <f>HYPERLINK("http://141.218.60.56/~jnz1568/getInfo.php?workbook=01_01.xlsx&amp;sheet=A0&amp;row=246&amp;col=26&amp;number=0&amp;sourceID=12","0")</f>
        <v>0</v>
      </c>
      <c r="AA246" s="4" t="str">
        <f>HYPERLINK("http://141.218.60.56/~jnz1568/getInfo.php?workbook=01_01.xlsx&amp;sheet=A0&amp;row=246&amp;col=27&amp;number=&amp;sourceID=12","")</f>
        <v/>
      </c>
      <c r="AB246" s="4" t="str">
        <f>HYPERLINK("http://141.218.60.56/~jnz1568/getInfo.php?workbook=01_01.xlsx&amp;sheet=A0&amp;row=246&amp;col=28&amp;number=&amp;sourceID=18","")</f>
        <v/>
      </c>
      <c r="AC246" s="4" t="str">
        <f>HYPERLINK("http://141.218.60.56/~jnz1568/getInfo.php?workbook=01_01.xlsx&amp;sheet=A0&amp;row=246&amp;col=29&amp;number=&amp;sourceID=18","")</f>
        <v/>
      </c>
      <c r="AD246" s="4" t="str">
        <f>HYPERLINK("http://141.218.60.56/~jnz1568/getInfo.php?workbook=01_01.xlsx&amp;sheet=A0&amp;row=246&amp;col=30&amp;number=&amp;sourceID=18","")</f>
        <v/>
      </c>
      <c r="AE246" s="4" t="str">
        <f>HYPERLINK("http://141.218.60.56/~jnz1568/getInfo.php?workbook=01_01.xlsx&amp;sheet=A0&amp;row=246&amp;col=31&amp;number=&amp;sourceID=18","")</f>
        <v/>
      </c>
      <c r="AF246" s="4" t="str">
        <f>HYPERLINK("http://141.218.60.56/~jnz1568/getInfo.php?workbook=01_01.xlsx&amp;sheet=A0&amp;row=246&amp;col=32&amp;number=&amp;sourceID=18","")</f>
        <v/>
      </c>
      <c r="AG246" s="4" t="str">
        <f>HYPERLINK("http://141.218.60.56/~jnz1568/getInfo.php?workbook=01_01.xlsx&amp;sheet=A0&amp;row=246&amp;col=33&amp;number=&amp;sourceID=18","")</f>
        <v/>
      </c>
      <c r="AH246" s="4" t="str">
        <f>HYPERLINK("http://141.218.60.56/~jnz1568/getInfo.php?workbook=01_01.xlsx&amp;sheet=A0&amp;row=246&amp;col=34&amp;number=&amp;sourceID=20","")</f>
        <v/>
      </c>
    </row>
    <row r="247" spans="1:34">
      <c r="A247" s="3">
        <v>1</v>
      </c>
      <c r="B247" s="3">
        <v>1</v>
      </c>
      <c r="C247" s="3">
        <v>23</v>
      </c>
      <c r="D247" s="3">
        <v>22</v>
      </c>
      <c r="E247" s="3">
        <f>((1/(INDEX(E0!J$4:J$28,C247,1)-INDEX(E0!J$4:J$28,D247,1))))*100000000</f>
        <v>0</v>
      </c>
      <c r="F247" s="4" t="str">
        <f>HYPERLINK("http://141.218.60.56/~jnz1568/getInfo.php?workbook=01_01.xlsx&amp;sheet=A0&amp;row=247&amp;col=6&amp;number=&amp;sourceID=18","")</f>
        <v/>
      </c>
      <c r="G247" s="4" t="str">
        <f>HYPERLINK("http://141.218.60.56/~jnz1568/getInfo.php?workbook=01_01.xlsx&amp;sheet=A0&amp;row=247&amp;col=7&amp;number=&amp;sourceID=15","")</f>
        <v/>
      </c>
      <c r="H247" s="4" t="str">
        <f>HYPERLINK("http://141.218.60.56/~jnz1568/getInfo.php?workbook=01_01.xlsx&amp;sheet=A0&amp;row=247&amp;col=8&amp;number=&amp;sourceID=15","")</f>
        <v/>
      </c>
      <c r="I247" s="4" t="str">
        <f>HYPERLINK("http://141.218.60.56/~jnz1568/getInfo.php?workbook=01_01.xlsx&amp;sheet=A0&amp;row=247&amp;col=9&amp;number=&amp;sourceID=15","")</f>
        <v/>
      </c>
      <c r="J247" s="4" t="str">
        <f>HYPERLINK("http://141.218.60.56/~jnz1568/getInfo.php?workbook=01_01.xlsx&amp;sheet=A0&amp;row=247&amp;col=10&amp;number=&amp;sourceID=15","")</f>
        <v/>
      </c>
      <c r="K247" s="4" t="str">
        <f>HYPERLINK("http://141.218.60.56/~jnz1568/getInfo.php?workbook=01_01.xlsx&amp;sheet=A0&amp;row=247&amp;col=11&amp;number=&amp;sourceID=15","")</f>
        <v/>
      </c>
      <c r="L247" s="4" t="str">
        <f>HYPERLINK("http://141.218.60.56/~jnz1568/getInfo.php?workbook=01_01.xlsx&amp;sheet=A0&amp;row=247&amp;col=12&amp;number=&amp;sourceID=15","")</f>
        <v/>
      </c>
      <c r="M247" s="4" t="str">
        <f>HYPERLINK("http://141.218.60.56/~jnz1568/getInfo.php?workbook=01_01.xlsx&amp;sheet=A0&amp;row=247&amp;col=13&amp;number=&amp;sourceID=15","")</f>
        <v/>
      </c>
      <c r="N247" s="4" t="str">
        <f>HYPERLINK("http://141.218.60.56/~jnz1568/getInfo.php?workbook=01_01.xlsx&amp;sheet=A0&amp;row=247&amp;col=14&amp;number==&amp;sourceID=11","=")</f>
        <v>=</v>
      </c>
      <c r="O247" s="4" t="str">
        <f>HYPERLINK("http://141.218.60.56/~jnz1568/getInfo.php?workbook=01_01.xlsx&amp;sheet=A0&amp;row=247&amp;col=15&amp;number=&amp;sourceID=11","")</f>
        <v/>
      </c>
      <c r="P247" s="4" t="str">
        <f>HYPERLINK("http://141.218.60.56/~jnz1568/getInfo.php?workbook=01_01.xlsx&amp;sheet=A0&amp;row=247&amp;col=16&amp;number=0&amp;sourceID=11","0")</f>
        <v>0</v>
      </c>
      <c r="Q247" s="4" t="str">
        <f>HYPERLINK("http://141.218.60.56/~jnz1568/getInfo.php?workbook=01_01.xlsx&amp;sheet=A0&amp;row=247&amp;col=17&amp;number=&amp;sourceID=11","")</f>
        <v/>
      </c>
      <c r="R247" s="4" t="str">
        <f>HYPERLINK("http://141.218.60.56/~jnz1568/getInfo.php?workbook=01_01.xlsx&amp;sheet=A0&amp;row=247&amp;col=18&amp;number=0&amp;sourceID=11","0")</f>
        <v>0</v>
      </c>
      <c r="S247" s="4" t="str">
        <f>HYPERLINK("http://141.218.60.56/~jnz1568/getInfo.php?workbook=01_01.xlsx&amp;sheet=A0&amp;row=247&amp;col=19&amp;number=&amp;sourceID=11","")</f>
        <v/>
      </c>
      <c r="T247" s="4" t="str">
        <f>HYPERLINK("http://141.218.60.56/~jnz1568/getInfo.php?workbook=01_01.xlsx&amp;sheet=A0&amp;row=247&amp;col=20&amp;number=0&amp;sourceID=11","0")</f>
        <v>0</v>
      </c>
      <c r="U247" s="4" t="str">
        <f>HYPERLINK("http://141.218.60.56/~jnz1568/getInfo.php?workbook=01_01.xlsx&amp;sheet=A0&amp;row=247&amp;col=21&amp;number=0&amp;sourceID=12","0")</f>
        <v>0</v>
      </c>
      <c r="V247" s="4" t="str">
        <f>HYPERLINK("http://141.218.60.56/~jnz1568/getInfo.php?workbook=01_01.xlsx&amp;sheet=A0&amp;row=247&amp;col=22&amp;number=&amp;sourceID=12","")</f>
        <v/>
      </c>
      <c r="W247" s="4" t="str">
        <f>HYPERLINK("http://141.218.60.56/~jnz1568/getInfo.php?workbook=01_01.xlsx&amp;sheet=A0&amp;row=247&amp;col=23&amp;number=0&amp;sourceID=12","0")</f>
        <v>0</v>
      </c>
      <c r="X247" s="4" t="str">
        <f>HYPERLINK("http://141.218.60.56/~jnz1568/getInfo.php?workbook=01_01.xlsx&amp;sheet=A0&amp;row=247&amp;col=24&amp;number=&amp;sourceID=12","")</f>
        <v/>
      </c>
      <c r="Y247" s="4" t="str">
        <f>HYPERLINK("http://141.218.60.56/~jnz1568/getInfo.php?workbook=01_01.xlsx&amp;sheet=A0&amp;row=247&amp;col=25&amp;number=0&amp;sourceID=12","0")</f>
        <v>0</v>
      </c>
      <c r="Z247" s="4" t="str">
        <f>HYPERLINK("http://141.218.60.56/~jnz1568/getInfo.php?workbook=01_01.xlsx&amp;sheet=A0&amp;row=247&amp;col=26&amp;number=&amp;sourceID=12","")</f>
        <v/>
      </c>
      <c r="AA247" s="4" t="str">
        <f>HYPERLINK("http://141.218.60.56/~jnz1568/getInfo.php?workbook=01_01.xlsx&amp;sheet=A0&amp;row=247&amp;col=27&amp;number=0&amp;sourceID=12","0")</f>
        <v>0</v>
      </c>
      <c r="AB247" s="4" t="str">
        <f>HYPERLINK("http://141.218.60.56/~jnz1568/getInfo.php?workbook=01_01.xlsx&amp;sheet=A0&amp;row=247&amp;col=28&amp;number=&amp;sourceID=18","")</f>
        <v/>
      </c>
      <c r="AC247" s="4" t="str">
        <f>HYPERLINK("http://141.218.60.56/~jnz1568/getInfo.php?workbook=01_01.xlsx&amp;sheet=A0&amp;row=247&amp;col=29&amp;number=&amp;sourceID=18","")</f>
        <v/>
      </c>
      <c r="AD247" s="4" t="str">
        <f>HYPERLINK("http://141.218.60.56/~jnz1568/getInfo.php?workbook=01_01.xlsx&amp;sheet=A0&amp;row=247&amp;col=30&amp;number=&amp;sourceID=18","")</f>
        <v/>
      </c>
      <c r="AE247" s="4" t="str">
        <f>HYPERLINK("http://141.218.60.56/~jnz1568/getInfo.php?workbook=01_01.xlsx&amp;sheet=A0&amp;row=247&amp;col=31&amp;number=&amp;sourceID=18","")</f>
        <v/>
      </c>
      <c r="AF247" s="4" t="str">
        <f>HYPERLINK("http://141.218.60.56/~jnz1568/getInfo.php?workbook=01_01.xlsx&amp;sheet=A0&amp;row=247&amp;col=32&amp;number=&amp;sourceID=18","")</f>
        <v/>
      </c>
      <c r="AG247" s="4" t="str">
        <f>HYPERLINK("http://141.218.60.56/~jnz1568/getInfo.php?workbook=01_01.xlsx&amp;sheet=A0&amp;row=247&amp;col=33&amp;number=&amp;sourceID=18","")</f>
        <v/>
      </c>
      <c r="AH247" s="4" t="str">
        <f>HYPERLINK("http://141.218.60.56/~jnz1568/getInfo.php?workbook=01_01.xlsx&amp;sheet=A0&amp;row=247&amp;col=34&amp;number=&amp;sourceID=20","")</f>
        <v/>
      </c>
    </row>
    <row r="248" spans="1:34">
      <c r="A248" s="3">
        <v>1</v>
      </c>
      <c r="B248" s="3">
        <v>1</v>
      </c>
      <c r="C248" s="3">
        <v>24</v>
      </c>
      <c r="D248" s="3">
        <v>1</v>
      </c>
      <c r="E248" s="3">
        <f>((1/(INDEX(E0!J$4:J$28,C248,1)-INDEX(E0!J$4:J$28,D248,1))))*100000000</f>
        <v>0</v>
      </c>
      <c r="F248" s="4" t="str">
        <f>HYPERLINK("http://141.218.60.56/~jnz1568/getInfo.php?workbook=01_01.xlsx&amp;sheet=A0&amp;row=248&amp;col=6&amp;number=&amp;sourceID=18","")</f>
        <v/>
      </c>
      <c r="G248" s="4" t="str">
        <f>HYPERLINK("http://141.218.60.56/~jnz1568/getInfo.php?workbook=01_01.xlsx&amp;sheet=A0&amp;row=248&amp;col=7&amp;number=&amp;sourceID=15","")</f>
        <v/>
      </c>
      <c r="H248" s="4" t="str">
        <f>HYPERLINK("http://141.218.60.56/~jnz1568/getInfo.php?workbook=01_01.xlsx&amp;sheet=A0&amp;row=248&amp;col=8&amp;number=&amp;sourceID=15","")</f>
        <v/>
      </c>
      <c r="I248" s="4" t="str">
        <f>HYPERLINK("http://141.218.60.56/~jnz1568/getInfo.php?workbook=01_01.xlsx&amp;sheet=A0&amp;row=248&amp;col=9&amp;number=&amp;sourceID=15","")</f>
        <v/>
      </c>
      <c r="J248" s="4" t="str">
        <f>HYPERLINK("http://141.218.60.56/~jnz1568/getInfo.php?workbook=01_01.xlsx&amp;sheet=A0&amp;row=248&amp;col=10&amp;number=&amp;sourceID=15","")</f>
        <v/>
      </c>
      <c r="K248" s="4" t="str">
        <f>HYPERLINK("http://141.218.60.56/~jnz1568/getInfo.php?workbook=01_01.xlsx&amp;sheet=A0&amp;row=248&amp;col=11&amp;number=&amp;sourceID=15","")</f>
        <v/>
      </c>
      <c r="L248" s="4" t="str">
        <f>HYPERLINK("http://141.218.60.56/~jnz1568/getInfo.php?workbook=01_01.xlsx&amp;sheet=A0&amp;row=248&amp;col=12&amp;number=&amp;sourceID=15","")</f>
        <v/>
      </c>
      <c r="M248" s="4" t="str">
        <f>HYPERLINK("http://141.218.60.56/~jnz1568/getInfo.php?workbook=01_01.xlsx&amp;sheet=A0&amp;row=248&amp;col=13&amp;number=&amp;sourceID=15","")</f>
        <v/>
      </c>
      <c r="N248" s="4" t="str">
        <f>HYPERLINK("http://141.218.60.56/~jnz1568/getInfo.php?workbook=01_01.xlsx&amp;sheet=A0&amp;row=248&amp;col=14&amp;number==&amp;sourceID=11","=")</f>
        <v>=</v>
      </c>
      <c r="O248" s="4" t="str">
        <f>HYPERLINK("http://141.218.60.56/~jnz1568/getInfo.php?workbook=01_01.xlsx&amp;sheet=A0&amp;row=248&amp;col=15&amp;number=&amp;sourceID=11","")</f>
        <v/>
      </c>
      <c r="P248" s="4" t="str">
        <f>HYPERLINK("http://141.218.60.56/~jnz1568/getInfo.php?workbook=01_01.xlsx&amp;sheet=A0&amp;row=248&amp;col=16&amp;number=&amp;sourceID=11","")</f>
        <v/>
      </c>
      <c r="Q248" s="4" t="str">
        <f>HYPERLINK("http://141.218.60.56/~jnz1568/getInfo.php?workbook=01_01.xlsx&amp;sheet=A0&amp;row=248&amp;col=17&amp;number=&amp;sourceID=11","")</f>
        <v/>
      </c>
      <c r="R248" s="4" t="str">
        <f>HYPERLINK("http://141.218.60.56/~jnz1568/getInfo.php?workbook=01_01.xlsx&amp;sheet=A0&amp;row=248&amp;col=18&amp;number=&amp;sourceID=11","")</f>
        <v/>
      </c>
      <c r="S248" s="4" t="str">
        <f>HYPERLINK("http://141.218.60.56/~jnz1568/getInfo.php?workbook=01_01.xlsx&amp;sheet=A0&amp;row=248&amp;col=19&amp;number=&amp;sourceID=11","")</f>
        <v/>
      </c>
      <c r="T248" s="4" t="str">
        <f>HYPERLINK("http://141.218.60.56/~jnz1568/getInfo.php?workbook=01_01.xlsx&amp;sheet=A0&amp;row=248&amp;col=20&amp;number=0&amp;sourceID=11","0")</f>
        <v>0</v>
      </c>
      <c r="U248" s="4" t="str">
        <f>HYPERLINK("http://141.218.60.56/~jnz1568/getInfo.php?workbook=01_01.xlsx&amp;sheet=A0&amp;row=248&amp;col=21&amp;number=0&amp;sourceID=12","0")</f>
        <v>0</v>
      </c>
      <c r="V248" s="4" t="str">
        <f>HYPERLINK("http://141.218.60.56/~jnz1568/getInfo.php?workbook=01_01.xlsx&amp;sheet=A0&amp;row=248&amp;col=22&amp;number=&amp;sourceID=12","")</f>
        <v/>
      </c>
      <c r="W248" s="4" t="str">
        <f>HYPERLINK("http://141.218.60.56/~jnz1568/getInfo.php?workbook=01_01.xlsx&amp;sheet=A0&amp;row=248&amp;col=23&amp;number=&amp;sourceID=12","")</f>
        <v/>
      </c>
      <c r="X248" s="4" t="str">
        <f>HYPERLINK("http://141.218.60.56/~jnz1568/getInfo.php?workbook=01_01.xlsx&amp;sheet=A0&amp;row=248&amp;col=24&amp;number=&amp;sourceID=12","")</f>
        <v/>
      </c>
      <c r="Y248" s="4" t="str">
        <f>HYPERLINK("http://141.218.60.56/~jnz1568/getInfo.php?workbook=01_01.xlsx&amp;sheet=A0&amp;row=248&amp;col=25&amp;number=&amp;sourceID=12","")</f>
        <v/>
      </c>
      <c r="Z248" s="4" t="str">
        <f>HYPERLINK("http://141.218.60.56/~jnz1568/getInfo.php?workbook=01_01.xlsx&amp;sheet=A0&amp;row=248&amp;col=26&amp;number=&amp;sourceID=12","")</f>
        <v/>
      </c>
      <c r="AA248" s="4" t="str">
        <f>HYPERLINK("http://141.218.60.56/~jnz1568/getInfo.php?workbook=01_01.xlsx&amp;sheet=A0&amp;row=248&amp;col=27&amp;number=0&amp;sourceID=12","0")</f>
        <v>0</v>
      </c>
      <c r="AB248" s="4" t="str">
        <f>HYPERLINK("http://141.218.60.56/~jnz1568/getInfo.php?workbook=01_01.xlsx&amp;sheet=A0&amp;row=248&amp;col=28&amp;number=&amp;sourceID=18","")</f>
        <v/>
      </c>
      <c r="AC248" s="4" t="str">
        <f>HYPERLINK("http://141.218.60.56/~jnz1568/getInfo.php?workbook=01_01.xlsx&amp;sheet=A0&amp;row=248&amp;col=29&amp;number=&amp;sourceID=18","")</f>
        <v/>
      </c>
      <c r="AD248" s="4" t="str">
        <f>HYPERLINK("http://141.218.60.56/~jnz1568/getInfo.php?workbook=01_01.xlsx&amp;sheet=A0&amp;row=248&amp;col=30&amp;number=&amp;sourceID=18","")</f>
        <v/>
      </c>
      <c r="AE248" s="4" t="str">
        <f>HYPERLINK("http://141.218.60.56/~jnz1568/getInfo.php?workbook=01_01.xlsx&amp;sheet=A0&amp;row=248&amp;col=31&amp;number=&amp;sourceID=18","")</f>
        <v/>
      </c>
      <c r="AF248" s="4" t="str">
        <f>HYPERLINK("http://141.218.60.56/~jnz1568/getInfo.php?workbook=01_01.xlsx&amp;sheet=A0&amp;row=248&amp;col=32&amp;number=&amp;sourceID=18","")</f>
        <v/>
      </c>
      <c r="AG248" s="4" t="str">
        <f>HYPERLINK("http://141.218.60.56/~jnz1568/getInfo.php?workbook=01_01.xlsx&amp;sheet=A0&amp;row=248&amp;col=33&amp;number=&amp;sourceID=18","")</f>
        <v/>
      </c>
      <c r="AH248" s="4" t="str">
        <f>HYPERLINK("http://141.218.60.56/~jnz1568/getInfo.php?workbook=01_01.xlsx&amp;sheet=A0&amp;row=248&amp;col=34&amp;number=&amp;sourceID=20","")</f>
        <v/>
      </c>
    </row>
    <row r="249" spans="1:34">
      <c r="A249" s="3">
        <v>1</v>
      </c>
      <c r="B249" s="3">
        <v>1</v>
      </c>
      <c r="C249" s="3">
        <v>24</v>
      </c>
      <c r="D249" s="3">
        <v>2</v>
      </c>
      <c r="E249" s="3">
        <f>((1/(INDEX(E0!J$4:J$28,C249,1)-INDEX(E0!J$4:J$28,D249,1))))*100000000</f>
        <v>0</v>
      </c>
      <c r="F249" s="4" t="str">
        <f>HYPERLINK("http://141.218.60.56/~jnz1568/getInfo.php?workbook=01_01.xlsx&amp;sheet=A0&amp;row=249&amp;col=6&amp;number=&amp;sourceID=18","")</f>
        <v/>
      </c>
      <c r="G249" s="4" t="str">
        <f>HYPERLINK("http://141.218.60.56/~jnz1568/getInfo.php?workbook=01_01.xlsx&amp;sheet=A0&amp;row=249&amp;col=7&amp;number=&amp;sourceID=15","")</f>
        <v/>
      </c>
      <c r="H249" s="4" t="str">
        <f>HYPERLINK("http://141.218.60.56/~jnz1568/getInfo.php?workbook=01_01.xlsx&amp;sheet=A0&amp;row=249&amp;col=8&amp;number=&amp;sourceID=15","")</f>
        <v/>
      </c>
      <c r="I249" s="4" t="str">
        <f>HYPERLINK("http://141.218.60.56/~jnz1568/getInfo.php?workbook=01_01.xlsx&amp;sheet=A0&amp;row=249&amp;col=9&amp;number=&amp;sourceID=15","")</f>
        <v/>
      </c>
      <c r="J249" s="4" t="str">
        <f>HYPERLINK("http://141.218.60.56/~jnz1568/getInfo.php?workbook=01_01.xlsx&amp;sheet=A0&amp;row=249&amp;col=10&amp;number=&amp;sourceID=15","")</f>
        <v/>
      </c>
      <c r="K249" s="4" t="str">
        <f>HYPERLINK("http://141.218.60.56/~jnz1568/getInfo.php?workbook=01_01.xlsx&amp;sheet=A0&amp;row=249&amp;col=11&amp;number=&amp;sourceID=15","")</f>
        <v/>
      </c>
      <c r="L249" s="4" t="str">
        <f>HYPERLINK("http://141.218.60.56/~jnz1568/getInfo.php?workbook=01_01.xlsx&amp;sheet=A0&amp;row=249&amp;col=12&amp;number=&amp;sourceID=15","")</f>
        <v/>
      </c>
      <c r="M249" s="4" t="str">
        <f>HYPERLINK("http://141.218.60.56/~jnz1568/getInfo.php?workbook=01_01.xlsx&amp;sheet=A0&amp;row=249&amp;col=13&amp;number=&amp;sourceID=15","")</f>
        <v/>
      </c>
      <c r="N249" s="4" t="str">
        <f>HYPERLINK("http://141.218.60.56/~jnz1568/getInfo.php?workbook=01_01.xlsx&amp;sheet=A0&amp;row=249&amp;col=14&amp;number==&amp;sourceID=11","=")</f>
        <v>=</v>
      </c>
      <c r="O249" s="4" t="str">
        <f>HYPERLINK("http://141.218.60.56/~jnz1568/getInfo.php?workbook=01_01.xlsx&amp;sheet=A0&amp;row=249&amp;col=15&amp;number=&amp;sourceID=11","")</f>
        <v/>
      </c>
      <c r="P249" s="4" t="str">
        <f>HYPERLINK("http://141.218.60.56/~jnz1568/getInfo.php?workbook=01_01.xlsx&amp;sheet=A0&amp;row=249&amp;col=16&amp;number=&amp;sourceID=11","")</f>
        <v/>
      </c>
      <c r="Q249" s="4" t="str">
        <f>HYPERLINK("http://141.218.60.56/~jnz1568/getInfo.php?workbook=01_01.xlsx&amp;sheet=A0&amp;row=249&amp;col=17&amp;number=2.5134e-05&amp;sourceID=11","2.5134e-05")</f>
        <v>2.5134e-05</v>
      </c>
      <c r="R249" s="4" t="str">
        <f>HYPERLINK("http://141.218.60.56/~jnz1568/getInfo.php?workbook=01_01.xlsx&amp;sheet=A0&amp;row=249&amp;col=18&amp;number=&amp;sourceID=11","")</f>
        <v/>
      </c>
      <c r="S249" s="4" t="str">
        <f>HYPERLINK("http://141.218.60.56/~jnz1568/getInfo.php?workbook=01_01.xlsx&amp;sheet=A0&amp;row=249&amp;col=19&amp;number=&amp;sourceID=11","")</f>
        <v/>
      </c>
      <c r="T249" s="4" t="str">
        <f>HYPERLINK("http://141.218.60.56/~jnz1568/getInfo.php?workbook=01_01.xlsx&amp;sheet=A0&amp;row=249&amp;col=20&amp;number=&amp;sourceID=11","")</f>
        <v/>
      </c>
      <c r="U249" s="4" t="str">
        <f>HYPERLINK("http://141.218.60.56/~jnz1568/getInfo.php?workbook=01_01.xlsx&amp;sheet=A0&amp;row=249&amp;col=21&amp;number=2.5148e-05&amp;sourceID=12","2.5148e-05")</f>
        <v>2.5148e-05</v>
      </c>
      <c r="V249" s="4" t="str">
        <f>HYPERLINK("http://141.218.60.56/~jnz1568/getInfo.php?workbook=01_01.xlsx&amp;sheet=A0&amp;row=249&amp;col=22&amp;number=&amp;sourceID=12","")</f>
        <v/>
      </c>
      <c r="W249" s="4" t="str">
        <f>HYPERLINK("http://141.218.60.56/~jnz1568/getInfo.php?workbook=01_01.xlsx&amp;sheet=A0&amp;row=249&amp;col=23&amp;number=&amp;sourceID=12","")</f>
        <v/>
      </c>
      <c r="X249" s="4" t="str">
        <f>HYPERLINK("http://141.218.60.56/~jnz1568/getInfo.php?workbook=01_01.xlsx&amp;sheet=A0&amp;row=249&amp;col=24&amp;number=2.5148e-05&amp;sourceID=12","2.5148e-05")</f>
        <v>2.5148e-05</v>
      </c>
      <c r="Y249" s="4" t="str">
        <f>HYPERLINK("http://141.218.60.56/~jnz1568/getInfo.php?workbook=01_01.xlsx&amp;sheet=A0&amp;row=249&amp;col=25&amp;number=&amp;sourceID=12","")</f>
        <v/>
      </c>
      <c r="Z249" s="4" t="str">
        <f>HYPERLINK("http://141.218.60.56/~jnz1568/getInfo.php?workbook=01_01.xlsx&amp;sheet=A0&amp;row=249&amp;col=26&amp;number=&amp;sourceID=12","")</f>
        <v/>
      </c>
      <c r="AA249" s="4" t="str">
        <f>HYPERLINK("http://141.218.60.56/~jnz1568/getInfo.php?workbook=01_01.xlsx&amp;sheet=A0&amp;row=249&amp;col=27&amp;number=&amp;sourceID=12","")</f>
        <v/>
      </c>
      <c r="AB249" s="4" t="str">
        <f>HYPERLINK("http://141.218.60.56/~jnz1568/getInfo.php?workbook=01_01.xlsx&amp;sheet=A0&amp;row=249&amp;col=28&amp;number=&amp;sourceID=18","")</f>
        <v/>
      </c>
      <c r="AC249" s="4" t="str">
        <f>HYPERLINK("http://141.218.60.56/~jnz1568/getInfo.php?workbook=01_01.xlsx&amp;sheet=A0&amp;row=249&amp;col=29&amp;number=&amp;sourceID=18","")</f>
        <v/>
      </c>
      <c r="AD249" s="4" t="str">
        <f>HYPERLINK("http://141.218.60.56/~jnz1568/getInfo.php?workbook=01_01.xlsx&amp;sheet=A0&amp;row=249&amp;col=30&amp;number=&amp;sourceID=18","")</f>
        <v/>
      </c>
      <c r="AE249" s="4" t="str">
        <f>HYPERLINK("http://141.218.60.56/~jnz1568/getInfo.php?workbook=01_01.xlsx&amp;sheet=A0&amp;row=249&amp;col=31&amp;number=&amp;sourceID=18","")</f>
        <v/>
      </c>
      <c r="AF249" s="4" t="str">
        <f>HYPERLINK("http://141.218.60.56/~jnz1568/getInfo.php?workbook=01_01.xlsx&amp;sheet=A0&amp;row=249&amp;col=32&amp;number=&amp;sourceID=18","")</f>
        <v/>
      </c>
      <c r="AG249" s="4" t="str">
        <f>HYPERLINK("http://141.218.60.56/~jnz1568/getInfo.php?workbook=01_01.xlsx&amp;sheet=A0&amp;row=249&amp;col=33&amp;number=&amp;sourceID=18","")</f>
        <v/>
      </c>
      <c r="AH249" s="4" t="str">
        <f>HYPERLINK("http://141.218.60.56/~jnz1568/getInfo.php?workbook=01_01.xlsx&amp;sheet=A0&amp;row=249&amp;col=34&amp;number=&amp;sourceID=20","")</f>
        <v/>
      </c>
    </row>
    <row r="250" spans="1:34">
      <c r="A250" s="3">
        <v>1</v>
      </c>
      <c r="B250" s="3">
        <v>1</v>
      </c>
      <c r="C250" s="3">
        <v>24</v>
      </c>
      <c r="D250" s="3">
        <v>3</v>
      </c>
      <c r="E250" s="3">
        <f>((1/(INDEX(E0!J$4:J$28,C250,1)-INDEX(E0!J$4:J$28,D250,1))))*100000000</f>
        <v>0</v>
      </c>
      <c r="F250" s="4" t="str">
        <f>HYPERLINK("http://141.218.60.56/~jnz1568/getInfo.php?workbook=01_01.xlsx&amp;sheet=A0&amp;row=250&amp;col=6&amp;number=&amp;sourceID=18","")</f>
        <v/>
      </c>
      <c r="G250" s="4" t="str">
        <f>HYPERLINK("http://141.218.60.56/~jnz1568/getInfo.php?workbook=01_01.xlsx&amp;sheet=A0&amp;row=250&amp;col=7&amp;number=&amp;sourceID=15","")</f>
        <v/>
      </c>
      <c r="H250" s="4" t="str">
        <f>HYPERLINK("http://141.218.60.56/~jnz1568/getInfo.php?workbook=01_01.xlsx&amp;sheet=A0&amp;row=250&amp;col=8&amp;number=&amp;sourceID=15","")</f>
        <v/>
      </c>
      <c r="I250" s="4" t="str">
        <f>HYPERLINK("http://141.218.60.56/~jnz1568/getInfo.php?workbook=01_01.xlsx&amp;sheet=A0&amp;row=250&amp;col=9&amp;number=&amp;sourceID=15","")</f>
        <v/>
      </c>
      <c r="J250" s="4" t="str">
        <f>HYPERLINK("http://141.218.60.56/~jnz1568/getInfo.php?workbook=01_01.xlsx&amp;sheet=A0&amp;row=250&amp;col=10&amp;number=&amp;sourceID=15","")</f>
        <v/>
      </c>
      <c r="K250" s="4" t="str">
        <f>HYPERLINK("http://141.218.60.56/~jnz1568/getInfo.php?workbook=01_01.xlsx&amp;sheet=A0&amp;row=250&amp;col=11&amp;number=&amp;sourceID=15","")</f>
        <v/>
      </c>
      <c r="L250" s="4" t="str">
        <f>HYPERLINK("http://141.218.60.56/~jnz1568/getInfo.php?workbook=01_01.xlsx&amp;sheet=A0&amp;row=250&amp;col=12&amp;number=&amp;sourceID=15","")</f>
        <v/>
      </c>
      <c r="M250" s="4" t="str">
        <f>HYPERLINK("http://141.218.60.56/~jnz1568/getInfo.php?workbook=01_01.xlsx&amp;sheet=A0&amp;row=250&amp;col=13&amp;number=&amp;sourceID=15","")</f>
        <v/>
      </c>
      <c r="N250" s="4" t="str">
        <f>HYPERLINK("http://141.218.60.56/~jnz1568/getInfo.php?workbook=01_01.xlsx&amp;sheet=A0&amp;row=250&amp;col=14&amp;number==&amp;sourceID=11","=")</f>
        <v>=</v>
      </c>
      <c r="O250" s="4" t="str">
        <f>HYPERLINK("http://141.218.60.56/~jnz1568/getInfo.php?workbook=01_01.xlsx&amp;sheet=A0&amp;row=250&amp;col=15&amp;number=&amp;sourceID=11","")</f>
        <v/>
      </c>
      <c r="P250" s="4" t="str">
        <f>HYPERLINK("http://141.218.60.56/~jnz1568/getInfo.php?workbook=01_01.xlsx&amp;sheet=A0&amp;row=250&amp;col=16&amp;number=&amp;sourceID=11","")</f>
        <v/>
      </c>
      <c r="Q250" s="4" t="str">
        <f>HYPERLINK("http://141.218.60.56/~jnz1568/getInfo.php?workbook=01_01.xlsx&amp;sheet=A0&amp;row=250&amp;col=17&amp;number=&amp;sourceID=11","")</f>
        <v/>
      </c>
      <c r="R250" s="4" t="str">
        <f>HYPERLINK("http://141.218.60.56/~jnz1568/getInfo.php?workbook=01_01.xlsx&amp;sheet=A0&amp;row=250&amp;col=18&amp;number=&amp;sourceID=11","")</f>
        <v/>
      </c>
      <c r="S250" s="4" t="str">
        <f>HYPERLINK("http://141.218.60.56/~jnz1568/getInfo.php?workbook=01_01.xlsx&amp;sheet=A0&amp;row=250&amp;col=19&amp;number=&amp;sourceID=11","")</f>
        <v/>
      </c>
      <c r="T250" s="4" t="str">
        <f>HYPERLINK("http://141.218.60.56/~jnz1568/getInfo.php?workbook=01_01.xlsx&amp;sheet=A0&amp;row=250&amp;col=20&amp;number=0&amp;sourceID=11","0")</f>
        <v>0</v>
      </c>
      <c r="U250" s="4" t="str">
        <f>HYPERLINK("http://141.218.60.56/~jnz1568/getInfo.php?workbook=01_01.xlsx&amp;sheet=A0&amp;row=250&amp;col=21&amp;number=0&amp;sourceID=12","0")</f>
        <v>0</v>
      </c>
      <c r="V250" s="4" t="str">
        <f>HYPERLINK("http://141.218.60.56/~jnz1568/getInfo.php?workbook=01_01.xlsx&amp;sheet=A0&amp;row=250&amp;col=22&amp;number=&amp;sourceID=12","")</f>
        <v/>
      </c>
      <c r="W250" s="4" t="str">
        <f>HYPERLINK("http://141.218.60.56/~jnz1568/getInfo.php?workbook=01_01.xlsx&amp;sheet=A0&amp;row=250&amp;col=23&amp;number=&amp;sourceID=12","")</f>
        <v/>
      </c>
      <c r="X250" s="4" t="str">
        <f>HYPERLINK("http://141.218.60.56/~jnz1568/getInfo.php?workbook=01_01.xlsx&amp;sheet=A0&amp;row=250&amp;col=24&amp;number=&amp;sourceID=12","")</f>
        <v/>
      </c>
      <c r="Y250" s="4" t="str">
        <f>HYPERLINK("http://141.218.60.56/~jnz1568/getInfo.php?workbook=01_01.xlsx&amp;sheet=A0&amp;row=250&amp;col=25&amp;number=&amp;sourceID=12","")</f>
        <v/>
      </c>
      <c r="Z250" s="4" t="str">
        <f>HYPERLINK("http://141.218.60.56/~jnz1568/getInfo.php?workbook=01_01.xlsx&amp;sheet=A0&amp;row=250&amp;col=26&amp;number=&amp;sourceID=12","")</f>
        <v/>
      </c>
      <c r="AA250" s="4" t="str">
        <f>HYPERLINK("http://141.218.60.56/~jnz1568/getInfo.php?workbook=01_01.xlsx&amp;sheet=A0&amp;row=250&amp;col=27&amp;number=0&amp;sourceID=12","0")</f>
        <v>0</v>
      </c>
      <c r="AB250" s="4" t="str">
        <f>HYPERLINK("http://141.218.60.56/~jnz1568/getInfo.php?workbook=01_01.xlsx&amp;sheet=A0&amp;row=250&amp;col=28&amp;number=&amp;sourceID=18","")</f>
        <v/>
      </c>
      <c r="AC250" s="4" t="str">
        <f>HYPERLINK("http://141.218.60.56/~jnz1568/getInfo.php?workbook=01_01.xlsx&amp;sheet=A0&amp;row=250&amp;col=29&amp;number=&amp;sourceID=18","")</f>
        <v/>
      </c>
      <c r="AD250" s="4" t="str">
        <f>HYPERLINK("http://141.218.60.56/~jnz1568/getInfo.php?workbook=01_01.xlsx&amp;sheet=A0&amp;row=250&amp;col=30&amp;number=&amp;sourceID=18","")</f>
        <v/>
      </c>
      <c r="AE250" s="4" t="str">
        <f>HYPERLINK("http://141.218.60.56/~jnz1568/getInfo.php?workbook=01_01.xlsx&amp;sheet=A0&amp;row=250&amp;col=31&amp;number=&amp;sourceID=18","")</f>
        <v/>
      </c>
      <c r="AF250" s="4" t="str">
        <f>HYPERLINK("http://141.218.60.56/~jnz1568/getInfo.php?workbook=01_01.xlsx&amp;sheet=A0&amp;row=250&amp;col=32&amp;number=&amp;sourceID=18","")</f>
        <v/>
      </c>
      <c r="AG250" s="4" t="str">
        <f>HYPERLINK("http://141.218.60.56/~jnz1568/getInfo.php?workbook=01_01.xlsx&amp;sheet=A0&amp;row=250&amp;col=33&amp;number=&amp;sourceID=18","")</f>
        <v/>
      </c>
      <c r="AH250" s="4" t="str">
        <f>HYPERLINK("http://141.218.60.56/~jnz1568/getInfo.php?workbook=01_01.xlsx&amp;sheet=A0&amp;row=250&amp;col=34&amp;number=&amp;sourceID=20","")</f>
        <v/>
      </c>
    </row>
    <row r="251" spans="1:34">
      <c r="A251" s="3">
        <v>1</v>
      </c>
      <c r="B251" s="3">
        <v>1</v>
      </c>
      <c r="C251" s="3">
        <v>24</v>
      </c>
      <c r="D251" s="3">
        <v>4</v>
      </c>
      <c r="E251" s="3">
        <f>((1/(INDEX(E0!J$4:J$28,C251,1)-INDEX(E0!J$4:J$28,D251,1))))*100000000</f>
        <v>0</v>
      </c>
      <c r="F251" s="4" t="str">
        <f>HYPERLINK("http://141.218.60.56/~jnz1568/getInfo.php?workbook=01_01.xlsx&amp;sheet=A0&amp;row=251&amp;col=6&amp;number=&amp;sourceID=18","")</f>
        <v/>
      </c>
      <c r="G251" s="4" t="str">
        <f>HYPERLINK("http://141.218.60.56/~jnz1568/getInfo.php?workbook=01_01.xlsx&amp;sheet=A0&amp;row=251&amp;col=7&amp;number=&amp;sourceID=15","")</f>
        <v/>
      </c>
      <c r="H251" s="4" t="str">
        <f>HYPERLINK("http://141.218.60.56/~jnz1568/getInfo.php?workbook=01_01.xlsx&amp;sheet=A0&amp;row=251&amp;col=8&amp;number=&amp;sourceID=15","")</f>
        <v/>
      </c>
      <c r="I251" s="4" t="str">
        <f>HYPERLINK("http://141.218.60.56/~jnz1568/getInfo.php?workbook=01_01.xlsx&amp;sheet=A0&amp;row=251&amp;col=9&amp;number=&amp;sourceID=15","")</f>
        <v/>
      </c>
      <c r="J251" s="4" t="str">
        <f>HYPERLINK("http://141.218.60.56/~jnz1568/getInfo.php?workbook=01_01.xlsx&amp;sheet=A0&amp;row=251&amp;col=10&amp;number=&amp;sourceID=15","")</f>
        <v/>
      </c>
      <c r="K251" s="4" t="str">
        <f>HYPERLINK("http://141.218.60.56/~jnz1568/getInfo.php?workbook=01_01.xlsx&amp;sheet=A0&amp;row=251&amp;col=11&amp;number=&amp;sourceID=15","")</f>
        <v/>
      </c>
      <c r="L251" s="4" t="str">
        <f>HYPERLINK("http://141.218.60.56/~jnz1568/getInfo.php?workbook=01_01.xlsx&amp;sheet=A0&amp;row=251&amp;col=12&amp;number=&amp;sourceID=15","")</f>
        <v/>
      </c>
      <c r="M251" s="4" t="str">
        <f>HYPERLINK("http://141.218.60.56/~jnz1568/getInfo.php?workbook=01_01.xlsx&amp;sheet=A0&amp;row=251&amp;col=13&amp;number=&amp;sourceID=15","")</f>
        <v/>
      </c>
      <c r="N251" s="4" t="str">
        <f>HYPERLINK("http://141.218.60.56/~jnz1568/getInfo.php?workbook=01_01.xlsx&amp;sheet=A0&amp;row=251&amp;col=14&amp;number==&amp;sourceID=11","=")</f>
        <v>=</v>
      </c>
      <c r="O251" s="4" t="str">
        <f>HYPERLINK("http://141.218.60.56/~jnz1568/getInfo.php?workbook=01_01.xlsx&amp;sheet=A0&amp;row=251&amp;col=15&amp;number=&amp;sourceID=11","")</f>
        <v/>
      </c>
      <c r="P251" s="4" t="str">
        <f>HYPERLINK("http://141.218.60.56/~jnz1568/getInfo.php?workbook=01_01.xlsx&amp;sheet=A0&amp;row=251&amp;col=16&amp;number=&amp;sourceID=11","")</f>
        <v/>
      </c>
      <c r="Q251" s="4" t="str">
        <f>HYPERLINK("http://141.218.60.56/~jnz1568/getInfo.php?workbook=01_01.xlsx&amp;sheet=A0&amp;row=251&amp;col=17&amp;number=8.3782e-06&amp;sourceID=11","8.3782e-06")</f>
        <v>8.3782e-06</v>
      </c>
      <c r="R251" s="4" t="str">
        <f>HYPERLINK("http://141.218.60.56/~jnz1568/getInfo.php?workbook=01_01.xlsx&amp;sheet=A0&amp;row=251&amp;col=18&amp;number=&amp;sourceID=11","")</f>
        <v/>
      </c>
      <c r="S251" s="4" t="str">
        <f>HYPERLINK("http://141.218.60.56/~jnz1568/getInfo.php?workbook=01_01.xlsx&amp;sheet=A0&amp;row=251&amp;col=19&amp;number=0&amp;sourceID=11","0")</f>
        <v>0</v>
      </c>
      <c r="T251" s="4" t="str">
        <f>HYPERLINK("http://141.218.60.56/~jnz1568/getInfo.php?workbook=01_01.xlsx&amp;sheet=A0&amp;row=251&amp;col=20&amp;number=&amp;sourceID=11","")</f>
        <v/>
      </c>
      <c r="U251" s="4" t="str">
        <f>HYPERLINK("http://141.218.60.56/~jnz1568/getInfo.php?workbook=01_01.xlsx&amp;sheet=A0&amp;row=251&amp;col=21&amp;number=8.3827e-06&amp;sourceID=12","8.3827e-06")</f>
        <v>8.3827e-06</v>
      </c>
      <c r="V251" s="4" t="str">
        <f>HYPERLINK("http://141.218.60.56/~jnz1568/getInfo.php?workbook=01_01.xlsx&amp;sheet=A0&amp;row=251&amp;col=22&amp;number=&amp;sourceID=12","")</f>
        <v/>
      </c>
      <c r="W251" s="4" t="str">
        <f>HYPERLINK("http://141.218.60.56/~jnz1568/getInfo.php?workbook=01_01.xlsx&amp;sheet=A0&amp;row=251&amp;col=23&amp;number=&amp;sourceID=12","")</f>
        <v/>
      </c>
      <c r="X251" s="4" t="str">
        <f>HYPERLINK("http://141.218.60.56/~jnz1568/getInfo.php?workbook=01_01.xlsx&amp;sheet=A0&amp;row=251&amp;col=24&amp;number=8.3827e-06&amp;sourceID=12","8.3827e-06")</f>
        <v>8.3827e-06</v>
      </c>
      <c r="Y251" s="4" t="str">
        <f>HYPERLINK("http://141.218.60.56/~jnz1568/getInfo.php?workbook=01_01.xlsx&amp;sheet=A0&amp;row=251&amp;col=25&amp;number=&amp;sourceID=12","")</f>
        <v/>
      </c>
      <c r="Z251" s="4" t="str">
        <f>HYPERLINK("http://141.218.60.56/~jnz1568/getInfo.php?workbook=01_01.xlsx&amp;sheet=A0&amp;row=251&amp;col=26&amp;number=0&amp;sourceID=12","0")</f>
        <v>0</v>
      </c>
      <c r="AA251" s="4" t="str">
        <f>HYPERLINK("http://141.218.60.56/~jnz1568/getInfo.php?workbook=01_01.xlsx&amp;sheet=A0&amp;row=251&amp;col=27&amp;number=&amp;sourceID=12","")</f>
        <v/>
      </c>
      <c r="AB251" s="4" t="str">
        <f>HYPERLINK("http://141.218.60.56/~jnz1568/getInfo.php?workbook=01_01.xlsx&amp;sheet=A0&amp;row=251&amp;col=28&amp;number=&amp;sourceID=18","")</f>
        <v/>
      </c>
      <c r="AC251" s="4" t="str">
        <f>HYPERLINK("http://141.218.60.56/~jnz1568/getInfo.php?workbook=01_01.xlsx&amp;sheet=A0&amp;row=251&amp;col=29&amp;number=&amp;sourceID=18","")</f>
        <v/>
      </c>
      <c r="AD251" s="4" t="str">
        <f>HYPERLINK("http://141.218.60.56/~jnz1568/getInfo.php?workbook=01_01.xlsx&amp;sheet=A0&amp;row=251&amp;col=30&amp;number=&amp;sourceID=18","")</f>
        <v/>
      </c>
      <c r="AE251" s="4" t="str">
        <f>HYPERLINK("http://141.218.60.56/~jnz1568/getInfo.php?workbook=01_01.xlsx&amp;sheet=A0&amp;row=251&amp;col=31&amp;number=&amp;sourceID=18","")</f>
        <v/>
      </c>
      <c r="AF251" s="4" t="str">
        <f>HYPERLINK("http://141.218.60.56/~jnz1568/getInfo.php?workbook=01_01.xlsx&amp;sheet=A0&amp;row=251&amp;col=32&amp;number=&amp;sourceID=18","")</f>
        <v/>
      </c>
      <c r="AG251" s="4" t="str">
        <f>HYPERLINK("http://141.218.60.56/~jnz1568/getInfo.php?workbook=01_01.xlsx&amp;sheet=A0&amp;row=251&amp;col=33&amp;number=&amp;sourceID=18","")</f>
        <v/>
      </c>
      <c r="AH251" s="4" t="str">
        <f>HYPERLINK("http://141.218.60.56/~jnz1568/getInfo.php?workbook=01_01.xlsx&amp;sheet=A0&amp;row=251&amp;col=34&amp;number=&amp;sourceID=20","")</f>
        <v/>
      </c>
    </row>
    <row r="252" spans="1:34">
      <c r="A252" s="3">
        <v>1</v>
      </c>
      <c r="B252" s="3">
        <v>1</v>
      </c>
      <c r="C252" s="3">
        <v>24</v>
      </c>
      <c r="D252" s="3">
        <v>5</v>
      </c>
      <c r="E252" s="3">
        <f>((1/(INDEX(E0!J$4:J$28,C252,1)-INDEX(E0!J$4:J$28,D252,1))))*100000000</f>
        <v>0</v>
      </c>
      <c r="F252" s="4" t="str">
        <f>HYPERLINK("http://141.218.60.56/~jnz1568/getInfo.php?workbook=01_01.xlsx&amp;sheet=A0&amp;row=252&amp;col=6&amp;number=&amp;sourceID=18","")</f>
        <v/>
      </c>
      <c r="G252" s="4" t="str">
        <f>HYPERLINK("http://141.218.60.56/~jnz1568/getInfo.php?workbook=01_01.xlsx&amp;sheet=A0&amp;row=252&amp;col=7&amp;number=&amp;sourceID=15","")</f>
        <v/>
      </c>
      <c r="H252" s="4" t="str">
        <f>HYPERLINK("http://141.218.60.56/~jnz1568/getInfo.php?workbook=01_01.xlsx&amp;sheet=A0&amp;row=252&amp;col=8&amp;number=&amp;sourceID=15","")</f>
        <v/>
      </c>
      <c r="I252" s="4" t="str">
        <f>HYPERLINK("http://141.218.60.56/~jnz1568/getInfo.php?workbook=01_01.xlsx&amp;sheet=A0&amp;row=252&amp;col=9&amp;number=&amp;sourceID=15","")</f>
        <v/>
      </c>
      <c r="J252" s="4" t="str">
        <f>HYPERLINK("http://141.218.60.56/~jnz1568/getInfo.php?workbook=01_01.xlsx&amp;sheet=A0&amp;row=252&amp;col=10&amp;number=&amp;sourceID=15","")</f>
        <v/>
      </c>
      <c r="K252" s="4" t="str">
        <f>HYPERLINK("http://141.218.60.56/~jnz1568/getInfo.php?workbook=01_01.xlsx&amp;sheet=A0&amp;row=252&amp;col=11&amp;number=&amp;sourceID=15","")</f>
        <v/>
      </c>
      <c r="L252" s="4" t="str">
        <f>HYPERLINK("http://141.218.60.56/~jnz1568/getInfo.php?workbook=01_01.xlsx&amp;sheet=A0&amp;row=252&amp;col=12&amp;number=&amp;sourceID=15","")</f>
        <v/>
      </c>
      <c r="M252" s="4" t="str">
        <f>HYPERLINK("http://141.218.60.56/~jnz1568/getInfo.php?workbook=01_01.xlsx&amp;sheet=A0&amp;row=252&amp;col=13&amp;number=&amp;sourceID=15","")</f>
        <v/>
      </c>
      <c r="N252" s="4" t="str">
        <f>HYPERLINK("http://141.218.60.56/~jnz1568/getInfo.php?workbook=01_01.xlsx&amp;sheet=A0&amp;row=252&amp;col=14&amp;number==&amp;sourceID=11","=")</f>
        <v>=</v>
      </c>
      <c r="O252" s="4" t="str">
        <f>HYPERLINK("http://141.218.60.56/~jnz1568/getInfo.php?workbook=01_01.xlsx&amp;sheet=A0&amp;row=252&amp;col=15&amp;number=&amp;sourceID=11","")</f>
        <v/>
      </c>
      <c r="P252" s="4" t="str">
        <f>HYPERLINK("http://141.218.60.56/~jnz1568/getInfo.php?workbook=01_01.xlsx&amp;sheet=A0&amp;row=252&amp;col=16&amp;number=&amp;sourceID=11","")</f>
        <v/>
      </c>
      <c r="Q252" s="4" t="str">
        <f>HYPERLINK("http://141.218.60.56/~jnz1568/getInfo.php?workbook=01_01.xlsx&amp;sheet=A0&amp;row=252&amp;col=17&amp;number=1.0615e-05&amp;sourceID=11","1.0615e-05")</f>
        <v>1.0615e-05</v>
      </c>
      <c r="R252" s="4" t="str">
        <f>HYPERLINK("http://141.218.60.56/~jnz1568/getInfo.php?workbook=01_01.xlsx&amp;sheet=A0&amp;row=252&amp;col=18&amp;number=&amp;sourceID=11","")</f>
        <v/>
      </c>
      <c r="S252" s="4" t="str">
        <f>HYPERLINK("http://141.218.60.56/~jnz1568/getInfo.php?workbook=01_01.xlsx&amp;sheet=A0&amp;row=252&amp;col=19&amp;number=&amp;sourceID=11","")</f>
        <v/>
      </c>
      <c r="T252" s="4" t="str">
        <f>HYPERLINK("http://141.218.60.56/~jnz1568/getInfo.php?workbook=01_01.xlsx&amp;sheet=A0&amp;row=252&amp;col=20&amp;number=&amp;sourceID=11","")</f>
        <v/>
      </c>
      <c r="U252" s="4" t="str">
        <f>HYPERLINK("http://141.218.60.56/~jnz1568/getInfo.php?workbook=01_01.xlsx&amp;sheet=A0&amp;row=252&amp;col=21&amp;number=1.062e-05&amp;sourceID=12","1.062e-05")</f>
        <v>1.062e-05</v>
      </c>
      <c r="V252" s="4" t="str">
        <f>HYPERLINK("http://141.218.60.56/~jnz1568/getInfo.php?workbook=01_01.xlsx&amp;sheet=A0&amp;row=252&amp;col=22&amp;number=&amp;sourceID=12","")</f>
        <v/>
      </c>
      <c r="W252" s="4" t="str">
        <f>HYPERLINK("http://141.218.60.56/~jnz1568/getInfo.php?workbook=01_01.xlsx&amp;sheet=A0&amp;row=252&amp;col=23&amp;number=&amp;sourceID=12","")</f>
        <v/>
      </c>
      <c r="X252" s="4" t="str">
        <f>HYPERLINK("http://141.218.60.56/~jnz1568/getInfo.php?workbook=01_01.xlsx&amp;sheet=A0&amp;row=252&amp;col=24&amp;number=1.062e-05&amp;sourceID=12","1.062e-05")</f>
        <v>1.062e-05</v>
      </c>
      <c r="Y252" s="4" t="str">
        <f>HYPERLINK("http://141.218.60.56/~jnz1568/getInfo.php?workbook=01_01.xlsx&amp;sheet=A0&amp;row=252&amp;col=25&amp;number=&amp;sourceID=12","")</f>
        <v/>
      </c>
      <c r="Z252" s="4" t="str">
        <f>HYPERLINK("http://141.218.60.56/~jnz1568/getInfo.php?workbook=01_01.xlsx&amp;sheet=A0&amp;row=252&amp;col=26&amp;number=&amp;sourceID=12","")</f>
        <v/>
      </c>
      <c r="AA252" s="4" t="str">
        <f>HYPERLINK("http://141.218.60.56/~jnz1568/getInfo.php?workbook=01_01.xlsx&amp;sheet=A0&amp;row=252&amp;col=27&amp;number=&amp;sourceID=12","")</f>
        <v/>
      </c>
      <c r="AB252" s="4" t="str">
        <f>HYPERLINK("http://141.218.60.56/~jnz1568/getInfo.php?workbook=01_01.xlsx&amp;sheet=A0&amp;row=252&amp;col=28&amp;number=&amp;sourceID=18","")</f>
        <v/>
      </c>
      <c r="AC252" s="4" t="str">
        <f>HYPERLINK("http://141.218.60.56/~jnz1568/getInfo.php?workbook=01_01.xlsx&amp;sheet=A0&amp;row=252&amp;col=29&amp;number=&amp;sourceID=18","")</f>
        <v/>
      </c>
      <c r="AD252" s="4" t="str">
        <f>HYPERLINK("http://141.218.60.56/~jnz1568/getInfo.php?workbook=01_01.xlsx&amp;sheet=A0&amp;row=252&amp;col=30&amp;number=&amp;sourceID=18","")</f>
        <v/>
      </c>
      <c r="AE252" s="4" t="str">
        <f>HYPERLINK("http://141.218.60.56/~jnz1568/getInfo.php?workbook=01_01.xlsx&amp;sheet=A0&amp;row=252&amp;col=31&amp;number=&amp;sourceID=18","")</f>
        <v/>
      </c>
      <c r="AF252" s="4" t="str">
        <f>HYPERLINK("http://141.218.60.56/~jnz1568/getInfo.php?workbook=01_01.xlsx&amp;sheet=A0&amp;row=252&amp;col=32&amp;number=&amp;sourceID=18","")</f>
        <v/>
      </c>
      <c r="AG252" s="4" t="str">
        <f>HYPERLINK("http://141.218.60.56/~jnz1568/getInfo.php?workbook=01_01.xlsx&amp;sheet=A0&amp;row=252&amp;col=33&amp;number=&amp;sourceID=18","")</f>
        <v/>
      </c>
      <c r="AH252" s="4" t="str">
        <f>HYPERLINK("http://141.218.60.56/~jnz1568/getInfo.php?workbook=01_01.xlsx&amp;sheet=A0&amp;row=252&amp;col=34&amp;number=&amp;sourceID=20","")</f>
        <v/>
      </c>
    </row>
    <row r="253" spans="1:34">
      <c r="A253" s="3">
        <v>1</v>
      </c>
      <c r="B253" s="3">
        <v>1</v>
      </c>
      <c r="C253" s="3">
        <v>24</v>
      </c>
      <c r="D253" s="3">
        <v>6</v>
      </c>
      <c r="E253" s="3">
        <f>((1/(INDEX(E0!J$4:J$28,C253,1)-INDEX(E0!J$4:J$28,D253,1))))*100000000</f>
        <v>0</v>
      </c>
      <c r="F253" s="4" t="str">
        <f>HYPERLINK("http://141.218.60.56/~jnz1568/getInfo.php?workbook=01_01.xlsx&amp;sheet=A0&amp;row=253&amp;col=6&amp;number=&amp;sourceID=18","")</f>
        <v/>
      </c>
      <c r="G253" s="4" t="str">
        <f>HYPERLINK("http://141.218.60.56/~jnz1568/getInfo.php?workbook=01_01.xlsx&amp;sheet=A0&amp;row=253&amp;col=7&amp;number=&amp;sourceID=15","")</f>
        <v/>
      </c>
      <c r="H253" s="4" t="str">
        <f>HYPERLINK("http://141.218.60.56/~jnz1568/getInfo.php?workbook=01_01.xlsx&amp;sheet=A0&amp;row=253&amp;col=8&amp;number=&amp;sourceID=15","")</f>
        <v/>
      </c>
      <c r="I253" s="4" t="str">
        <f>HYPERLINK("http://141.218.60.56/~jnz1568/getInfo.php?workbook=01_01.xlsx&amp;sheet=A0&amp;row=253&amp;col=9&amp;number=&amp;sourceID=15","")</f>
        <v/>
      </c>
      <c r="J253" s="4" t="str">
        <f>HYPERLINK("http://141.218.60.56/~jnz1568/getInfo.php?workbook=01_01.xlsx&amp;sheet=A0&amp;row=253&amp;col=10&amp;number=&amp;sourceID=15","")</f>
        <v/>
      </c>
      <c r="K253" s="4" t="str">
        <f>HYPERLINK("http://141.218.60.56/~jnz1568/getInfo.php?workbook=01_01.xlsx&amp;sheet=A0&amp;row=253&amp;col=11&amp;number=&amp;sourceID=15","")</f>
        <v/>
      </c>
      <c r="L253" s="4" t="str">
        <f>HYPERLINK("http://141.218.60.56/~jnz1568/getInfo.php?workbook=01_01.xlsx&amp;sheet=A0&amp;row=253&amp;col=12&amp;number=&amp;sourceID=15","")</f>
        <v/>
      </c>
      <c r="M253" s="4" t="str">
        <f>HYPERLINK("http://141.218.60.56/~jnz1568/getInfo.php?workbook=01_01.xlsx&amp;sheet=A0&amp;row=253&amp;col=13&amp;number=&amp;sourceID=15","")</f>
        <v/>
      </c>
      <c r="N253" s="4" t="str">
        <f>HYPERLINK("http://141.218.60.56/~jnz1568/getInfo.php?workbook=01_01.xlsx&amp;sheet=A0&amp;row=253&amp;col=14&amp;number==&amp;sourceID=11","=")</f>
        <v>=</v>
      </c>
      <c r="O253" s="4" t="str">
        <f>HYPERLINK("http://141.218.60.56/~jnz1568/getInfo.php?workbook=01_01.xlsx&amp;sheet=A0&amp;row=253&amp;col=15&amp;number=&amp;sourceID=11","")</f>
        <v/>
      </c>
      <c r="P253" s="4" t="str">
        <f>HYPERLINK("http://141.218.60.56/~jnz1568/getInfo.php?workbook=01_01.xlsx&amp;sheet=A0&amp;row=253&amp;col=16&amp;number=&amp;sourceID=11","")</f>
        <v/>
      </c>
      <c r="Q253" s="4" t="str">
        <f>HYPERLINK("http://141.218.60.56/~jnz1568/getInfo.php?workbook=01_01.xlsx&amp;sheet=A0&amp;row=253&amp;col=17&amp;number=&amp;sourceID=11","")</f>
        <v/>
      </c>
      <c r="R253" s="4" t="str">
        <f>HYPERLINK("http://141.218.60.56/~jnz1568/getInfo.php?workbook=01_01.xlsx&amp;sheet=A0&amp;row=253&amp;col=18&amp;number=&amp;sourceID=11","")</f>
        <v/>
      </c>
      <c r="S253" s="4" t="str">
        <f>HYPERLINK("http://141.218.60.56/~jnz1568/getInfo.php?workbook=01_01.xlsx&amp;sheet=A0&amp;row=253&amp;col=19&amp;number=&amp;sourceID=11","")</f>
        <v/>
      </c>
      <c r="T253" s="4" t="str">
        <f>HYPERLINK("http://141.218.60.56/~jnz1568/getInfo.php?workbook=01_01.xlsx&amp;sheet=A0&amp;row=253&amp;col=20&amp;number=0&amp;sourceID=11","0")</f>
        <v>0</v>
      </c>
      <c r="U253" s="4" t="str">
        <f>HYPERLINK("http://141.218.60.56/~jnz1568/getInfo.php?workbook=01_01.xlsx&amp;sheet=A0&amp;row=253&amp;col=21&amp;number=0&amp;sourceID=12","0")</f>
        <v>0</v>
      </c>
      <c r="V253" s="4" t="str">
        <f>HYPERLINK("http://141.218.60.56/~jnz1568/getInfo.php?workbook=01_01.xlsx&amp;sheet=A0&amp;row=253&amp;col=22&amp;number=&amp;sourceID=12","")</f>
        <v/>
      </c>
      <c r="W253" s="4" t="str">
        <f>HYPERLINK("http://141.218.60.56/~jnz1568/getInfo.php?workbook=01_01.xlsx&amp;sheet=A0&amp;row=253&amp;col=23&amp;number=&amp;sourceID=12","")</f>
        <v/>
      </c>
      <c r="X253" s="4" t="str">
        <f>HYPERLINK("http://141.218.60.56/~jnz1568/getInfo.php?workbook=01_01.xlsx&amp;sheet=A0&amp;row=253&amp;col=24&amp;number=&amp;sourceID=12","")</f>
        <v/>
      </c>
      <c r="Y253" s="4" t="str">
        <f>HYPERLINK("http://141.218.60.56/~jnz1568/getInfo.php?workbook=01_01.xlsx&amp;sheet=A0&amp;row=253&amp;col=25&amp;number=&amp;sourceID=12","")</f>
        <v/>
      </c>
      <c r="Z253" s="4" t="str">
        <f>HYPERLINK("http://141.218.60.56/~jnz1568/getInfo.php?workbook=01_01.xlsx&amp;sheet=A0&amp;row=253&amp;col=26&amp;number=&amp;sourceID=12","")</f>
        <v/>
      </c>
      <c r="AA253" s="4" t="str">
        <f>HYPERLINK("http://141.218.60.56/~jnz1568/getInfo.php?workbook=01_01.xlsx&amp;sheet=A0&amp;row=253&amp;col=27&amp;number=0&amp;sourceID=12","0")</f>
        <v>0</v>
      </c>
      <c r="AB253" s="4" t="str">
        <f>HYPERLINK("http://141.218.60.56/~jnz1568/getInfo.php?workbook=01_01.xlsx&amp;sheet=A0&amp;row=253&amp;col=28&amp;number=&amp;sourceID=18","")</f>
        <v/>
      </c>
      <c r="AC253" s="4" t="str">
        <f>HYPERLINK("http://141.218.60.56/~jnz1568/getInfo.php?workbook=01_01.xlsx&amp;sheet=A0&amp;row=253&amp;col=29&amp;number=&amp;sourceID=18","")</f>
        <v/>
      </c>
      <c r="AD253" s="4" t="str">
        <f>HYPERLINK("http://141.218.60.56/~jnz1568/getInfo.php?workbook=01_01.xlsx&amp;sheet=A0&amp;row=253&amp;col=30&amp;number=&amp;sourceID=18","")</f>
        <v/>
      </c>
      <c r="AE253" s="4" t="str">
        <f>HYPERLINK("http://141.218.60.56/~jnz1568/getInfo.php?workbook=01_01.xlsx&amp;sheet=A0&amp;row=253&amp;col=31&amp;number=&amp;sourceID=18","")</f>
        <v/>
      </c>
      <c r="AF253" s="4" t="str">
        <f>HYPERLINK("http://141.218.60.56/~jnz1568/getInfo.php?workbook=01_01.xlsx&amp;sheet=A0&amp;row=253&amp;col=32&amp;number=&amp;sourceID=18","")</f>
        <v/>
      </c>
      <c r="AG253" s="4" t="str">
        <f>HYPERLINK("http://141.218.60.56/~jnz1568/getInfo.php?workbook=01_01.xlsx&amp;sheet=A0&amp;row=253&amp;col=33&amp;number=&amp;sourceID=18","")</f>
        <v/>
      </c>
      <c r="AH253" s="4" t="str">
        <f>HYPERLINK("http://141.218.60.56/~jnz1568/getInfo.php?workbook=01_01.xlsx&amp;sheet=A0&amp;row=253&amp;col=34&amp;number=&amp;sourceID=20","")</f>
        <v/>
      </c>
    </row>
    <row r="254" spans="1:34">
      <c r="A254" s="3">
        <v>1</v>
      </c>
      <c r="B254" s="3">
        <v>1</v>
      </c>
      <c r="C254" s="3">
        <v>24</v>
      </c>
      <c r="D254" s="3">
        <v>7</v>
      </c>
      <c r="E254" s="3">
        <f>((1/(INDEX(E0!J$4:J$28,C254,1)-INDEX(E0!J$4:J$28,D254,1))))*100000000</f>
        <v>0</v>
      </c>
      <c r="F254" s="4" t="str">
        <f>HYPERLINK("http://141.218.60.56/~jnz1568/getInfo.php?workbook=01_01.xlsx&amp;sheet=A0&amp;row=254&amp;col=6&amp;number=&amp;sourceID=18","")</f>
        <v/>
      </c>
      <c r="G254" s="4" t="str">
        <f>HYPERLINK("http://141.218.60.56/~jnz1568/getInfo.php?workbook=01_01.xlsx&amp;sheet=A0&amp;row=254&amp;col=7&amp;number=&amp;sourceID=15","")</f>
        <v/>
      </c>
      <c r="H254" s="4" t="str">
        <f>HYPERLINK("http://141.218.60.56/~jnz1568/getInfo.php?workbook=01_01.xlsx&amp;sheet=A0&amp;row=254&amp;col=8&amp;number=&amp;sourceID=15","")</f>
        <v/>
      </c>
      <c r="I254" s="4" t="str">
        <f>HYPERLINK("http://141.218.60.56/~jnz1568/getInfo.php?workbook=01_01.xlsx&amp;sheet=A0&amp;row=254&amp;col=9&amp;number=&amp;sourceID=15","")</f>
        <v/>
      </c>
      <c r="J254" s="4" t="str">
        <f>HYPERLINK("http://141.218.60.56/~jnz1568/getInfo.php?workbook=01_01.xlsx&amp;sheet=A0&amp;row=254&amp;col=10&amp;number=&amp;sourceID=15","")</f>
        <v/>
      </c>
      <c r="K254" s="4" t="str">
        <f>HYPERLINK("http://141.218.60.56/~jnz1568/getInfo.php?workbook=01_01.xlsx&amp;sheet=A0&amp;row=254&amp;col=11&amp;number=&amp;sourceID=15","")</f>
        <v/>
      </c>
      <c r="L254" s="4" t="str">
        <f>HYPERLINK("http://141.218.60.56/~jnz1568/getInfo.php?workbook=01_01.xlsx&amp;sheet=A0&amp;row=254&amp;col=12&amp;number=&amp;sourceID=15","")</f>
        <v/>
      </c>
      <c r="M254" s="4" t="str">
        <f>HYPERLINK("http://141.218.60.56/~jnz1568/getInfo.php?workbook=01_01.xlsx&amp;sheet=A0&amp;row=254&amp;col=13&amp;number=&amp;sourceID=15","")</f>
        <v/>
      </c>
      <c r="N254" s="4" t="str">
        <f>HYPERLINK("http://141.218.60.56/~jnz1568/getInfo.php?workbook=01_01.xlsx&amp;sheet=A0&amp;row=254&amp;col=14&amp;number==&amp;sourceID=11","=")</f>
        <v>=</v>
      </c>
      <c r="O254" s="4" t="str">
        <f>HYPERLINK("http://141.218.60.56/~jnz1568/getInfo.php?workbook=01_01.xlsx&amp;sheet=A0&amp;row=254&amp;col=15&amp;number=&amp;sourceID=11","")</f>
        <v/>
      </c>
      <c r="P254" s="4" t="str">
        <f>HYPERLINK("http://141.218.60.56/~jnz1568/getInfo.php?workbook=01_01.xlsx&amp;sheet=A0&amp;row=254&amp;col=16&amp;number=10.449&amp;sourceID=11","10.449")</f>
        <v>10.449</v>
      </c>
      <c r="Q254" s="4" t="str">
        <f>HYPERLINK("http://141.218.60.56/~jnz1568/getInfo.php?workbook=01_01.xlsx&amp;sheet=A0&amp;row=254&amp;col=17&amp;number=&amp;sourceID=11","")</f>
        <v/>
      </c>
      <c r="R254" s="4" t="str">
        <f>HYPERLINK("http://141.218.60.56/~jnz1568/getInfo.php?workbook=01_01.xlsx&amp;sheet=A0&amp;row=254&amp;col=18&amp;number=&amp;sourceID=11","")</f>
        <v/>
      </c>
      <c r="S254" s="4" t="str">
        <f>HYPERLINK("http://141.218.60.56/~jnz1568/getInfo.php?workbook=01_01.xlsx&amp;sheet=A0&amp;row=254&amp;col=19&amp;number=&amp;sourceID=11","")</f>
        <v/>
      </c>
      <c r="T254" s="4" t="str">
        <f>HYPERLINK("http://141.218.60.56/~jnz1568/getInfo.php?workbook=01_01.xlsx&amp;sheet=A0&amp;row=254&amp;col=20&amp;number=8.92e-13&amp;sourceID=11","8.92e-13")</f>
        <v>8.92e-13</v>
      </c>
      <c r="U254" s="4" t="str">
        <f>HYPERLINK("http://141.218.60.56/~jnz1568/getInfo.php?workbook=01_01.xlsx&amp;sheet=A0&amp;row=254&amp;col=21&amp;number=10.455&amp;sourceID=12","10.455")</f>
        <v>10.455</v>
      </c>
      <c r="V254" s="4" t="str">
        <f>HYPERLINK("http://141.218.60.56/~jnz1568/getInfo.php?workbook=01_01.xlsx&amp;sheet=A0&amp;row=254&amp;col=22&amp;number=&amp;sourceID=12","")</f>
        <v/>
      </c>
      <c r="W254" s="4" t="str">
        <f>HYPERLINK("http://141.218.60.56/~jnz1568/getInfo.php?workbook=01_01.xlsx&amp;sheet=A0&amp;row=254&amp;col=23&amp;number=10.455&amp;sourceID=12","10.455")</f>
        <v>10.455</v>
      </c>
      <c r="X254" s="4" t="str">
        <f>HYPERLINK("http://141.218.60.56/~jnz1568/getInfo.php?workbook=01_01.xlsx&amp;sheet=A0&amp;row=254&amp;col=24&amp;number=&amp;sourceID=12","")</f>
        <v/>
      </c>
      <c r="Y254" s="4" t="str">
        <f>HYPERLINK("http://141.218.60.56/~jnz1568/getInfo.php?workbook=01_01.xlsx&amp;sheet=A0&amp;row=254&amp;col=25&amp;number=&amp;sourceID=12","")</f>
        <v/>
      </c>
      <c r="Z254" s="4" t="str">
        <f>HYPERLINK("http://141.218.60.56/~jnz1568/getInfo.php?workbook=01_01.xlsx&amp;sheet=A0&amp;row=254&amp;col=26&amp;number=&amp;sourceID=12","")</f>
        <v/>
      </c>
      <c r="AA254" s="4" t="str">
        <f>HYPERLINK("http://141.218.60.56/~jnz1568/getInfo.php?workbook=01_01.xlsx&amp;sheet=A0&amp;row=254&amp;col=27&amp;number=8.92e-13&amp;sourceID=12","8.92e-13")</f>
        <v>8.92e-13</v>
      </c>
      <c r="AB254" s="4" t="str">
        <f>HYPERLINK("http://141.218.60.56/~jnz1568/getInfo.php?workbook=01_01.xlsx&amp;sheet=A0&amp;row=254&amp;col=28&amp;number=&amp;sourceID=18","")</f>
        <v/>
      </c>
      <c r="AC254" s="4" t="str">
        <f>HYPERLINK("http://141.218.60.56/~jnz1568/getInfo.php?workbook=01_01.xlsx&amp;sheet=A0&amp;row=254&amp;col=29&amp;number=&amp;sourceID=18","")</f>
        <v/>
      </c>
      <c r="AD254" s="4" t="str">
        <f>HYPERLINK("http://141.218.60.56/~jnz1568/getInfo.php?workbook=01_01.xlsx&amp;sheet=A0&amp;row=254&amp;col=30&amp;number=&amp;sourceID=18","")</f>
        <v/>
      </c>
      <c r="AE254" s="4" t="str">
        <f>HYPERLINK("http://141.218.60.56/~jnz1568/getInfo.php?workbook=01_01.xlsx&amp;sheet=A0&amp;row=254&amp;col=31&amp;number=&amp;sourceID=18","")</f>
        <v/>
      </c>
      <c r="AF254" s="4" t="str">
        <f>HYPERLINK("http://141.218.60.56/~jnz1568/getInfo.php?workbook=01_01.xlsx&amp;sheet=A0&amp;row=254&amp;col=32&amp;number=&amp;sourceID=18","")</f>
        <v/>
      </c>
      <c r="AG254" s="4" t="str">
        <f>HYPERLINK("http://141.218.60.56/~jnz1568/getInfo.php?workbook=01_01.xlsx&amp;sheet=A0&amp;row=254&amp;col=33&amp;number=&amp;sourceID=18","")</f>
        <v/>
      </c>
      <c r="AH254" s="4" t="str">
        <f>HYPERLINK("http://141.218.60.56/~jnz1568/getInfo.php?workbook=01_01.xlsx&amp;sheet=A0&amp;row=254&amp;col=34&amp;number=&amp;sourceID=20","")</f>
        <v/>
      </c>
    </row>
    <row r="255" spans="1:34">
      <c r="A255" s="3">
        <v>1</v>
      </c>
      <c r="B255" s="3">
        <v>1</v>
      </c>
      <c r="C255" s="3">
        <v>24</v>
      </c>
      <c r="D255" s="3">
        <v>8</v>
      </c>
      <c r="E255" s="3">
        <f>((1/(INDEX(E0!J$4:J$28,C255,1)-INDEX(E0!J$4:J$28,D255,1))))*100000000</f>
        <v>0</v>
      </c>
      <c r="F255" s="4" t="str">
        <f>HYPERLINK("http://141.218.60.56/~jnz1568/getInfo.php?workbook=01_01.xlsx&amp;sheet=A0&amp;row=255&amp;col=6&amp;number=&amp;sourceID=18","")</f>
        <v/>
      </c>
      <c r="G255" s="4" t="str">
        <f>HYPERLINK("http://141.218.60.56/~jnz1568/getInfo.php?workbook=01_01.xlsx&amp;sheet=A0&amp;row=255&amp;col=7&amp;number=&amp;sourceID=15","")</f>
        <v/>
      </c>
      <c r="H255" s="4" t="str">
        <f>HYPERLINK("http://141.218.60.56/~jnz1568/getInfo.php?workbook=01_01.xlsx&amp;sheet=A0&amp;row=255&amp;col=8&amp;number=&amp;sourceID=15","")</f>
        <v/>
      </c>
      <c r="I255" s="4" t="str">
        <f>HYPERLINK("http://141.218.60.56/~jnz1568/getInfo.php?workbook=01_01.xlsx&amp;sheet=A0&amp;row=255&amp;col=9&amp;number=&amp;sourceID=15","")</f>
        <v/>
      </c>
      <c r="J255" s="4" t="str">
        <f>HYPERLINK("http://141.218.60.56/~jnz1568/getInfo.php?workbook=01_01.xlsx&amp;sheet=A0&amp;row=255&amp;col=10&amp;number=&amp;sourceID=15","")</f>
        <v/>
      </c>
      <c r="K255" s="4" t="str">
        <f>HYPERLINK("http://141.218.60.56/~jnz1568/getInfo.php?workbook=01_01.xlsx&amp;sheet=A0&amp;row=255&amp;col=11&amp;number=&amp;sourceID=15","")</f>
        <v/>
      </c>
      <c r="L255" s="4" t="str">
        <f>HYPERLINK("http://141.218.60.56/~jnz1568/getInfo.php?workbook=01_01.xlsx&amp;sheet=A0&amp;row=255&amp;col=12&amp;number=&amp;sourceID=15","")</f>
        <v/>
      </c>
      <c r="M255" s="4" t="str">
        <f>HYPERLINK("http://141.218.60.56/~jnz1568/getInfo.php?workbook=01_01.xlsx&amp;sheet=A0&amp;row=255&amp;col=13&amp;number=&amp;sourceID=15","")</f>
        <v/>
      </c>
      <c r="N255" s="4" t="str">
        <f>HYPERLINK("http://141.218.60.56/~jnz1568/getInfo.php?workbook=01_01.xlsx&amp;sheet=A0&amp;row=255&amp;col=14&amp;number==&amp;sourceID=11","=")</f>
        <v>=</v>
      </c>
      <c r="O255" s="4" t="str">
        <f>HYPERLINK("http://141.218.60.56/~jnz1568/getInfo.php?workbook=01_01.xlsx&amp;sheet=A0&amp;row=255&amp;col=15&amp;number=&amp;sourceID=11","")</f>
        <v/>
      </c>
      <c r="P255" s="4" t="str">
        <f>HYPERLINK("http://141.218.60.56/~jnz1568/getInfo.php?workbook=01_01.xlsx&amp;sheet=A0&amp;row=255&amp;col=16&amp;number=&amp;sourceID=11","")</f>
        <v/>
      </c>
      <c r="Q255" s="4" t="str">
        <f>HYPERLINK("http://141.218.60.56/~jnz1568/getInfo.php?workbook=01_01.xlsx&amp;sheet=A0&amp;row=255&amp;col=17&amp;number=3.5381e-06&amp;sourceID=11","3.5381e-06")</f>
        <v>3.5381e-06</v>
      </c>
      <c r="R255" s="4" t="str">
        <f>HYPERLINK("http://141.218.60.56/~jnz1568/getInfo.php?workbook=01_01.xlsx&amp;sheet=A0&amp;row=255&amp;col=18&amp;number=&amp;sourceID=11","")</f>
        <v/>
      </c>
      <c r="S255" s="4" t="str">
        <f>HYPERLINK("http://141.218.60.56/~jnz1568/getInfo.php?workbook=01_01.xlsx&amp;sheet=A0&amp;row=255&amp;col=19&amp;number=0&amp;sourceID=11","0")</f>
        <v>0</v>
      </c>
      <c r="T255" s="4" t="str">
        <f>HYPERLINK("http://141.218.60.56/~jnz1568/getInfo.php?workbook=01_01.xlsx&amp;sheet=A0&amp;row=255&amp;col=20&amp;number=&amp;sourceID=11","")</f>
        <v/>
      </c>
      <c r="U255" s="4" t="str">
        <f>HYPERLINK("http://141.218.60.56/~jnz1568/getInfo.php?workbook=01_01.xlsx&amp;sheet=A0&amp;row=255&amp;col=21&amp;number=3.54e-06&amp;sourceID=12","3.54e-06")</f>
        <v>3.54e-06</v>
      </c>
      <c r="V255" s="4" t="str">
        <f>HYPERLINK("http://141.218.60.56/~jnz1568/getInfo.php?workbook=01_01.xlsx&amp;sheet=A0&amp;row=255&amp;col=22&amp;number=&amp;sourceID=12","")</f>
        <v/>
      </c>
      <c r="W255" s="4" t="str">
        <f>HYPERLINK("http://141.218.60.56/~jnz1568/getInfo.php?workbook=01_01.xlsx&amp;sheet=A0&amp;row=255&amp;col=23&amp;number=&amp;sourceID=12","")</f>
        <v/>
      </c>
      <c r="X255" s="4" t="str">
        <f>HYPERLINK("http://141.218.60.56/~jnz1568/getInfo.php?workbook=01_01.xlsx&amp;sheet=A0&amp;row=255&amp;col=24&amp;number=3.54e-06&amp;sourceID=12","3.54e-06")</f>
        <v>3.54e-06</v>
      </c>
      <c r="Y255" s="4" t="str">
        <f>HYPERLINK("http://141.218.60.56/~jnz1568/getInfo.php?workbook=01_01.xlsx&amp;sheet=A0&amp;row=255&amp;col=25&amp;number=&amp;sourceID=12","")</f>
        <v/>
      </c>
      <c r="Z255" s="4" t="str">
        <f>HYPERLINK("http://141.218.60.56/~jnz1568/getInfo.php?workbook=01_01.xlsx&amp;sheet=A0&amp;row=255&amp;col=26&amp;number=0&amp;sourceID=12","0")</f>
        <v>0</v>
      </c>
      <c r="AA255" s="4" t="str">
        <f>HYPERLINK("http://141.218.60.56/~jnz1568/getInfo.php?workbook=01_01.xlsx&amp;sheet=A0&amp;row=255&amp;col=27&amp;number=&amp;sourceID=12","")</f>
        <v/>
      </c>
      <c r="AB255" s="4" t="str">
        <f>HYPERLINK("http://141.218.60.56/~jnz1568/getInfo.php?workbook=01_01.xlsx&amp;sheet=A0&amp;row=255&amp;col=28&amp;number=&amp;sourceID=18","")</f>
        <v/>
      </c>
      <c r="AC255" s="4" t="str">
        <f>HYPERLINK("http://141.218.60.56/~jnz1568/getInfo.php?workbook=01_01.xlsx&amp;sheet=A0&amp;row=255&amp;col=29&amp;number=&amp;sourceID=18","")</f>
        <v/>
      </c>
      <c r="AD255" s="4" t="str">
        <f>HYPERLINK("http://141.218.60.56/~jnz1568/getInfo.php?workbook=01_01.xlsx&amp;sheet=A0&amp;row=255&amp;col=30&amp;number=&amp;sourceID=18","")</f>
        <v/>
      </c>
      <c r="AE255" s="4" t="str">
        <f>HYPERLINK("http://141.218.60.56/~jnz1568/getInfo.php?workbook=01_01.xlsx&amp;sheet=A0&amp;row=255&amp;col=31&amp;number=&amp;sourceID=18","")</f>
        <v/>
      </c>
      <c r="AF255" s="4" t="str">
        <f>HYPERLINK("http://141.218.60.56/~jnz1568/getInfo.php?workbook=01_01.xlsx&amp;sheet=A0&amp;row=255&amp;col=32&amp;number=&amp;sourceID=18","")</f>
        <v/>
      </c>
      <c r="AG255" s="4" t="str">
        <f>HYPERLINK("http://141.218.60.56/~jnz1568/getInfo.php?workbook=01_01.xlsx&amp;sheet=A0&amp;row=255&amp;col=33&amp;number=&amp;sourceID=18","")</f>
        <v/>
      </c>
      <c r="AH255" s="4" t="str">
        <f>HYPERLINK("http://141.218.60.56/~jnz1568/getInfo.php?workbook=01_01.xlsx&amp;sheet=A0&amp;row=255&amp;col=34&amp;number=&amp;sourceID=20","")</f>
        <v/>
      </c>
    </row>
    <row r="256" spans="1:34">
      <c r="A256" s="3">
        <v>1</v>
      </c>
      <c r="B256" s="3">
        <v>1</v>
      </c>
      <c r="C256" s="3">
        <v>24</v>
      </c>
      <c r="D256" s="3">
        <v>9</v>
      </c>
      <c r="E256" s="3">
        <f>((1/(INDEX(E0!J$4:J$28,C256,1)-INDEX(E0!J$4:J$28,D256,1))))*100000000</f>
        <v>0</v>
      </c>
      <c r="F256" s="4" t="str">
        <f>HYPERLINK("http://141.218.60.56/~jnz1568/getInfo.php?workbook=01_01.xlsx&amp;sheet=A0&amp;row=256&amp;col=6&amp;number=&amp;sourceID=18","")</f>
        <v/>
      </c>
      <c r="G256" s="4" t="str">
        <f>HYPERLINK("http://141.218.60.56/~jnz1568/getInfo.php?workbook=01_01.xlsx&amp;sheet=A0&amp;row=256&amp;col=7&amp;number=&amp;sourceID=15","")</f>
        <v/>
      </c>
      <c r="H256" s="4" t="str">
        <f>HYPERLINK("http://141.218.60.56/~jnz1568/getInfo.php?workbook=01_01.xlsx&amp;sheet=A0&amp;row=256&amp;col=8&amp;number=&amp;sourceID=15","")</f>
        <v/>
      </c>
      <c r="I256" s="4" t="str">
        <f>HYPERLINK("http://141.218.60.56/~jnz1568/getInfo.php?workbook=01_01.xlsx&amp;sheet=A0&amp;row=256&amp;col=9&amp;number=&amp;sourceID=15","")</f>
        <v/>
      </c>
      <c r="J256" s="4" t="str">
        <f>HYPERLINK("http://141.218.60.56/~jnz1568/getInfo.php?workbook=01_01.xlsx&amp;sheet=A0&amp;row=256&amp;col=10&amp;number=&amp;sourceID=15","")</f>
        <v/>
      </c>
      <c r="K256" s="4" t="str">
        <f>HYPERLINK("http://141.218.60.56/~jnz1568/getInfo.php?workbook=01_01.xlsx&amp;sheet=A0&amp;row=256&amp;col=11&amp;number=&amp;sourceID=15","")</f>
        <v/>
      </c>
      <c r="L256" s="4" t="str">
        <f>HYPERLINK("http://141.218.60.56/~jnz1568/getInfo.php?workbook=01_01.xlsx&amp;sheet=A0&amp;row=256&amp;col=12&amp;number=&amp;sourceID=15","")</f>
        <v/>
      </c>
      <c r="M256" s="4" t="str">
        <f>HYPERLINK("http://141.218.60.56/~jnz1568/getInfo.php?workbook=01_01.xlsx&amp;sheet=A0&amp;row=256&amp;col=13&amp;number=&amp;sourceID=15","")</f>
        <v/>
      </c>
      <c r="N256" s="4" t="str">
        <f>HYPERLINK("http://141.218.60.56/~jnz1568/getInfo.php?workbook=01_01.xlsx&amp;sheet=A0&amp;row=256&amp;col=14&amp;number==&amp;sourceID=11","=")</f>
        <v>=</v>
      </c>
      <c r="O256" s="4" t="str">
        <f>HYPERLINK("http://141.218.60.56/~jnz1568/getInfo.php?workbook=01_01.xlsx&amp;sheet=A0&amp;row=256&amp;col=15&amp;number=&amp;sourceID=11","")</f>
        <v/>
      </c>
      <c r="P256" s="4" t="str">
        <f>HYPERLINK("http://141.218.60.56/~jnz1568/getInfo.php?workbook=01_01.xlsx&amp;sheet=A0&amp;row=256&amp;col=16&amp;number=1.161&amp;sourceID=11","1.161")</f>
        <v>1.161</v>
      </c>
      <c r="Q256" s="4" t="str">
        <f>HYPERLINK("http://141.218.60.56/~jnz1568/getInfo.php?workbook=01_01.xlsx&amp;sheet=A0&amp;row=256&amp;col=17&amp;number=&amp;sourceID=11","")</f>
        <v/>
      </c>
      <c r="R256" s="4" t="str">
        <f>HYPERLINK("http://141.218.60.56/~jnz1568/getInfo.php?workbook=01_01.xlsx&amp;sheet=A0&amp;row=256&amp;col=18&amp;number=1.406e-12&amp;sourceID=11","1.406e-12")</f>
        <v>1.406e-12</v>
      </c>
      <c r="S256" s="4" t="str">
        <f>HYPERLINK("http://141.218.60.56/~jnz1568/getInfo.php?workbook=01_01.xlsx&amp;sheet=A0&amp;row=256&amp;col=19&amp;number=&amp;sourceID=11","")</f>
        <v/>
      </c>
      <c r="T256" s="4" t="str">
        <f>HYPERLINK("http://141.218.60.56/~jnz1568/getInfo.php?workbook=01_01.xlsx&amp;sheet=A0&amp;row=256&amp;col=20&amp;number=3.3e-14&amp;sourceID=11","3.3e-14")</f>
        <v>3.3e-14</v>
      </c>
      <c r="U256" s="4" t="str">
        <f>HYPERLINK("http://141.218.60.56/~jnz1568/getInfo.php?workbook=01_01.xlsx&amp;sheet=A0&amp;row=256&amp;col=21&amp;number=1.1616&amp;sourceID=12","1.1616")</f>
        <v>1.1616</v>
      </c>
      <c r="V256" s="4" t="str">
        <f>HYPERLINK("http://141.218.60.56/~jnz1568/getInfo.php?workbook=01_01.xlsx&amp;sheet=A0&amp;row=256&amp;col=22&amp;number=&amp;sourceID=12","")</f>
        <v/>
      </c>
      <c r="W256" s="4" t="str">
        <f>HYPERLINK("http://141.218.60.56/~jnz1568/getInfo.php?workbook=01_01.xlsx&amp;sheet=A0&amp;row=256&amp;col=23&amp;number=1.1616&amp;sourceID=12","1.1616")</f>
        <v>1.1616</v>
      </c>
      <c r="X256" s="4" t="str">
        <f>HYPERLINK("http://141.218.60.56/~jnz1568/getInfo.php?workbook=01_01.xlsx&amp;sheet=A0&amp;row=256&amp;col=24&amp;number=&amp;sourceID=12","")</f>
        <v/>
      </c>
      <c r="Y256" s="4" t="str">
        <f>HYPERLINK("http://141.218.60.56/~jnz1568/getInfo.php?workbook=01_01.xlsx&amp;sheet=A0&amp;row=256&amp;col=25&amp;number=1.387e-12&amp;sourceID=12","1.387e-12")</f>
        <v>1.387e-12</v>
      </c>
      <c r="Z256" s="4" t="str">
        <f>HYPERLINK("http://141.218.60.56/~jnz1568/getInfo.php?workbook=01_01.xlsx&amp;sheet=A0&amp;row=256&amp;col=26&amp;number=&amp;sourceID=12","")</f>
        <v/>
      </c>
      <c r="AA256" s="4" t="str">
        <f>HYPERLINK("http://141.218.60.56/~jnz1568/getInfo.php?workbook=01_01.xlsx&amp;sheet=A0&amp;row=256&amp;col=27&amp;number=3.3e-14&amp;sourceID=12","3.3e-14")</f>
        <v>3.3e-14</v>
      </c>
      <c r="AB256" s="4" t="str">
        <f>HYPERLINK("http://141.218.60.56/~jnz1568/getInfo.php?workbook=01_01.xlsx&amp;sheet=A0&amp;row=256&amp;col=28&amp;number=&amp;sourceID=18","")</f>
        <v/>
      </c>
      <c r="AC256" s="4" t="str">
        <f>HYPERLINK("http://141.218.60.56/~jnz1568/getInfo.php?workbook=01_01.xlsx&amp;sheet=A0&amp;row=256&amp;col=29&amp;number=&amp;sourceID=18","")</f>
        <v/>
      </c>
      <c r="AD256" s="4" t="str">
        <f>HYPERLINK("http://141.218.60.56/~jnz1568/getInfo.php?workbook=01_01.xlsx&amp;sheet=A0&amp;row=256&amp;col=30&amp;number=&amp;sourceID=18","")</f>
        <v/>
      </c>
      <c r="AE256" s="4" t="str">
        <f>HYPERLINK("http://141.218.60.56/~jnz1568/getInfo.php?workbook=01_01.xlsx&amp;sheet=A0&amp;row=256&amp;col=31&amp;number=&amp;sourceID=18","")</f>
        <v/>
      </c>
      <c r="AF256" s="4" t="str">
        <f>HYPERLINK("http://141.218.60.56/~jnz1568/getInfo.php?workbook=01_01.xlsx&amp;sheet=A0&amp;row=256&amp;col=32&amp;number=&amp;sourceID=18","")</f>
        <v/>
      </c>
      <c r="AG256" s="4" t="str">
        <f>HYPERLINK("http://141.218.60.56/~jnz1568/getInfo.php?workbook=01_01.xlsx&amp;sheet=A0&amp;row=256&amp;col=33&amp;number=&amp;sourceID=18","")</f>
        <v/>
      </c>
      <c r="AH256" s="4" t="str">
        <f>HYPERLINK("http://141.218.60.56/~jnz1568/getInfo.php?workbook=01_01.xlsx&amp;sheet=A0&amp;row=256&amp;col=34&amp;number=&amp;sourceID=20","")</f>
        <v/>
      </c>
    </row>
    <row r="257" spans="1:34">
      <c r="A257" s="3">
        <v>1</v>
      </c>
      <c r="B257" s="3">
        <v>1</v>
      </c>
      <c r="C257" s="3">
        <v>24</v>
      </c>
      <c r="D257" s="3">
        <v>10</v>
      </c>
      <c r="E257" s="3">
        <f>((1/(INDEX(E0!J$4:J$28,C257,1)-INDEX(E0!J$4:J$28,D257,1))))*100000000</f>
        <v>0</v>
      </c>
      <c r="F257" s="4" t="str">
        <f>HYPERLINK("http://141.218.60.56/~jnz1568/getInfo.php?workbook=01_01.xlsx&amp;sheet=A0&amp;row=257&amp;col=6&amp;number=&amp;sourceID=18","")</f>
        <v/>
      </c>
      <c r="G257" s="4" t="str">
        <f>HYPERLINK("http://141.218.60.56/~jnz1568/getInfo.php?workbook=01_01.xlsx&amp;sheet=A0&amp;row=257&amp;col=7&amp;number=&amp;sourceID=15","")</f>
        <v/>
      </c>
      <c r="H257" s="4" t="str">
        <f>HYPERLINK("http://141.218.60.56/~jnz1568/getInfo.php?workbook=01_01.xlsx&amp;sheet=A0&amp;row=257&amp;col=8&amp;number=&amp;sourceID=15","")</f>
        <v/>
      </c>
      <c r="I257" s="4" t="str">
        <f>HYPERLINK("http://141.218.60.56/~jnz1568/getInfo.php?workbook=01_01.xlsx&amp;sheet=A0&amp;row=257&amp;col=9&amp;number=&amp;sourceID=15","")</f>
        <v/>
      </c>
      <c r="J257" s="4" t="str">
        <f>HYPERLINK("http://141.218.60.56/~jnz1568/getInfo.php?workbook=01_01.xlsx&amp;sheet=A0&amp;row=257&amp;col=10&amp;number=&amp;sourceID=15","")</f>
        <v/>
      </c>
      <c r="K257" s="4" t="str">
        <f>HYPERLINK("http://141.218.60.56/~jnz1568/getInfo.php?workbook=01_01.xlsx&amp;sheet=A0&amp;row=257&amp;col=11&amp;number=&amp;sourceID=15","")</f>
        <v/>
      </c>
      <c r="L257" s="4" t="str">
        <f>HYPERLINK("http://141.218.60.56/~jnz1568/getInfo.php?workbook=01_01.xlsx&amp;sheet=A0&amp;row=257&amp;col=12&amp;number=&amp;sourceID=15","")</f>
        <v/>
      </c>
      <c r="M257" s="4" t="str">
        <f>HYPERLINK("http://141.218.60.56/~jnz1568/getInfo.php?workbook=01_01.xlsx&amp;sheet=A0&amp;row=257&amp;col=13&amp;number=&amp;sourceID=15","")</f>
        <v/>
      </c>
      <c r="N257" s="4" t="str">
        <f>HYPERLINK("http://141.218.60.56/~jnz1568/getInfo.php?workbook=01_01.xlsx&amp;sheet=A0&amp;row=257&amp;col=14&amp;number==&amp;sourceID=11","=")</f>
        <v>=</v>
      </c>
      <c r="O257" s="4" t="str">
        <f>HYPERLINK("http://141.218.60.56/~jnz1568/getInfo.php?workbook=01_01.xlsx&amp;sheet=A0&amp;row=257&amp;col=15&amp;number=&amp;sourceID=11","")</f>
        <v/>
      </c>
      <c r="P257" s="4" t="str">
        <f>HYPERLINK("http://141.218.60.56/~jnz1568/getInfo.php?workbook=01_01.xlsx&amp;sheet=A0&amp;row=257&amp;col=16&amp;number=&amp;sourceID=11","")</f>
        <v/>
      </c>
      <c r="Q257" s="4" t="str">
        <f>HYPERLINK("http://141.218.60.56/~jnz1568/getInfo.php?workbook=01_01.xlsx&amp;sheet=A0&amp;row=257&amp;col=17&amp;number=9.7788e-08&amp;sourceID=11","9.7788e-08")</f>
        <v>9.7788e-08</v>
      </c>
      <c r="R257" s="4" t="str">
        <f>HYPERLINK("http://141.218.60.56/~jnz1568/getInfo.php?workbook=01_01.xlsx&amp;sheet=A0&amp;row=257&amp;col=18&amp;number=&amp;sourceID=11","")</f>
        <v/>
      </c>
      <c r="S257" s="4" t="str">
        <f>HYPERLINK("http://141.218.60.56/~jnz1568/getInfo.php?workbook=01_01.xlsx&amp;sheet=A0&amp;row=257&amp;col=19&amp;number=&amp;sourceID=11","")</f>
        <v/>
      </c>
      <c r="T257" s="4" t="str">
        <f>HYPERLINK("http://141.218.60.56/~jnz1568/getInfo.php?workbook=01_01.xlsx&amp;sheet=A0&amp;row=257&amp;col=20&amp;number=&amp;sourceID=11","")</f>
        <v/>
      </c>
      <c r="U257" s="4" t="str">
        <f>HYPERLINK("http://141.218.60.56/~jnz1568/getInfo.php?workbook=01_01.xlsx&amp;sheet=A0&amp;row=257&amp;col=21&amp;number=9.7841e-08&amp;sourceID=12","9.7841e-08")</f>
        <v>9.7841e-08</v>
      </c>
      <c r="V257" s="4" t="str">
        <f>HYPERLINK("http://141.218.60.56/~jnz1568/getInfo.php?workbook=01_01.xlsx&amp;sheet=A0&amp;row=257&amp;col=22&amp;number=&amp;sourceID=12","")</f>
        <v/>
      </c>
      <c r="W257" s="4" t="str">
        <f>HYPERLINK("http://141.218.60.56/~jnz1568/getInfo.php?workbook=01_01.xlsx&amp;sheet=A0&amp;row=257&amp;col=23&amp;number=&amp;sourceID=12","")</f>
        <v/>
      </c>
      <c r="X257" s="4" t="str">
        <f>HYPERLINK("http://141.218.60.56/~jnz1568/getInfo.php?workbook=01_01.xlsx&amp;sheet=A0&amp;row=257&amp;col=24&amp;number=9.7841e-08&amp;sourceID=12","9.7841e-08")</f>
        <v>9.7841e-08</v>
      </c>
      <c r="Y257" s="4" t="str">
        <f>HYPERLINK("http://141.218.60.56/~jnz1568/getInfo.php?workbook=01_01.xlsx&amp;sheet=A0&amp;row=257&amp;col=25&amp;number=&amp;sourceID=12","")</f>
        <v/>
      </c>
      <c r="Z257" s="4" t="str">
        <f>HYPERLINK("http://141.218.60.56/~jnz1568/getInfo.php?workbook=01_01.xlsx&amp;sheet=A0&amp;row=257&amp;col=26&amp;number=&amp;sourceID=12","")</f>
        <v/>
      </c>
      <c r="AA257" s="4" t="str">
        <f>HYPERLINK("http://141.218.60.56/~jnz1568/getInfo.php?workbook=01_01.xlsx&amp;sheet=A0&amp;row=257&amp;col=27&amp;number=&amp;sourceID=12","")</f>
        <v/>
      </c>
      <c r="AB257" s="4" t="str">
        <f>HYPERLINK("http://141.218.60.56/~jnz1568/getInfo.php?workbook=01_01.xlsx&amp;sheet=A0&amp;row=257&amp;col=28&amp;number=&amp;sourceID=18","")</f>
        <v/>
      </c>
      <c r="AC257" s="4" t="str">
        <f>HYPERLINK("http://141.218.60.56/~jnz1568/getInfo.php?workbook=01_01.xlsx&amp;sheet=A0&amp;row=257&amp;col=29&amp;number=&amp;sourceID=18","")</f>
        <v/>
      </c>
      <c r="AD257" s="4" t="str">
        <f>HYPERLINK("http://141.218.60.56/~jnz1568/getInfo.php?workbook=01_01.xlsx&amp;sheet=A0&amp;row=257&amp;col=30&amp;number=&amp;sourceID=18","")</f>
        <v/>
      </c>
      <c r="AE257" s="4" t="str">
        <f>HYPERLINK("http://141.218.60.56/~jnz1568/getInfo.php?workbook=01_01.xlsx&amp;sheet=A0&amp;row=257&amp;col=31&amp;number=&amp;sourceID=18","")</f>
        <v/>
      </c>
      <c r="AF257" s="4" t="str">
        <f>HYPERLINK("http://141.218.60.56/~jnz1568/getInfo.php?workbook=01_01.xlsx&amp;sheet=A0&amp;row=257&amp;col=32&amp;number=&amp;sourceID=18","")</f>
        <v/>
      </c>
      <c r="AG257" s="4" t="str">
        <f>HYPERLINK("http://141.218.60.56/~jnz1568/getInfo.php?workbook=01_01.xlsx&amp;sheet=A0&amp;row=257&amp;col=33&amp;number=&amp;sourceID=18","")</f>
        <v/>
      </c>
      <c r="AH257" s="4" t="str">
        <f>HYPERLINK("http://141.218.60.56/~jnz1568/getInfo.php?workbook=01_01.xlsx&amp;sheet=A0&amp;row=257&amp;col=34&amp;number=&amp;sourceID=20","")</f>
        <v/>
      </c>
    </row>
    <row r="258" spans="1:34">
      <c r="A258" s="3">
        <v>1</v>
      </c>
      <c r="B258" s="3">
        <v>1</v>
      </c>
      <c r="C258" s="3">
        <v>24</v>
      </c>
      <c r="D258" s="3">
        <v>11</v>
      </c>
      <c r="E258" s="3">
        <f>((1/(INDEX(E0!J$4:J$28,C258,1)-INDEX(E0!J$4:J$28,D258,1))))*100000000</f>
        <v>0</v>
      </c>
      <c r="F258" s="4" t="str">
        <f>HYPERLINK("http://141.218.60.56/~jnz1568/getInfo.php?workbook=01_01.xlsx&amp;sheet=A0&amp;row=258&amp;col=6&amp;number=&amp;sourceID=18","")</f>
        <v/>
      </c>
      <c r="G258" s="4" t="str">
        <f>HYPERLINK("http://141.218.60.56/~jnz1568/getInfo.php?workbook=01_01.xlsx&amp;sheet=A0&amp;row=258&amp;col=7&amp;number=&amp;sourceID=15","")</f>
        <v/>
      </c>
      <c r="H258" s="4" t="str">
        <f>HYPERLINK("http://141.218.60.56/~jnz1568/getInfo.php?workbook=01_01.xlsx&amp;sheet=A0&amp;row=258&amp;col=8&amp;number=&amp;sourceID=15","")</f>
        <v/>
      </c>
      <c r="I258" s="4" t="str">
        <f>HYPERLINK("http://141.218.60.56/~jnz1568/getInfo.php?workbook=01_01.xlsx&amp;sheet=A0&amp;row=258&amp;col=9&amp;number=&amp;sourceID=15","")</f>
        <v/>
      </c>
      <c r="J258" s="4" t="str">
        <f>HYPERLINK("http://141.218.60.56/~jnz1568/getInfo.php?workbook=01_01.xlsx&amp;sheet=A0&amp;row=258&amp;col=10&amp;number=&amp;sourceID=15","")</f>
        <v/>
      </c>
      <c r="K258" s="4" t="str">
        <f>HYPERLINK("http://141.218.60.56/~jnz1568/getInfo.php?workbook=01_01.xlsx&amp;sheet=A0&amp;row=258&amp;col=11&amp;number=&amp;sourceID=15","")</f>
        <v/>
      </c>
      <c r="L258" s="4" t="str">
        <f>HYPERLINK("http://141.218.60.56/~jnz1568/getInfo.php?workbook=01_01.xlsx&amp;sheet=A0&amp;row=258&amp;col=12&amp;number=&amp;sourceID=15","")</f>
        <v/>
      </c>
      <c r="M258" s="4" t="str">
        <f>HYPERLINK("http://141.218.60.56/~jnz1568/getInfo.php?workbook=01_01.xlsx&amp;sheet=A0&amp;row=258&amp;col=13&amp;number=&amp;sourceID=15","")</f>
        <v/>
      </c>
      <c r="N258" s="4" t="str">
        <f>HYPERLINK("http://141.218.60.56/~jnz1568/getInfo.php?workbook=01_01.xlsx&amp;sheet=A0&amp;row=258&amp;col=14&amp;number==&amp;sourceID=11","=")</f>
        <v>=</v>
      </c>
      <c r="O258" s="4" t="str">
        <f>HYPERLINK("http://141.218.60.56/~jnz1568/getInfo.php?workbook=01_01.xlsx&amp;sheet=A0&amp;row=258&amp;col=15&amp;number=&amp;sourceID=11","")</f>
        <v/>
      </c>
      <c r="P258" s="4" t="str">
        <f>HYPERLINK("http://141.218.60.56/~jnz1568/getInfo.php?workbook=01_01.xlsx&amp;sheet=A0&amp;row=258&amp;col=16&amp;number=&amp;sourceID=11","")</f>
        <v/>
      </c>
      <c r="Q258" s="4" t="str">
        <f>HYPERLINK("http://141.218.60.56/~jnz1568/getInfo.php?workbook=01_01.xlsx&amp;sheet=A0&amp;row=258&amp;col=17&amp;number=&amp;sourceID=11","")</f>
        <v/>
      </c>
      <c r="R258" s="4" t="str">
        <f>HYPERLINK("http://141.218.60.56/~jnz1568/getInfo.php?workbook=01_01.xlsx&amp;sheet=A0&amp;row=258&amp;col=18&amp;number=&amp;sourceID=11","")</f>
        <v/>
      </c>
      <c r="S258" s="4" t="str">
        <f>HYPERLINK("http://141.218.60.56/~jnz1568/getInfo.php?workbook=01_01.xlsx&amp;sheet=A0&amp;row=258&amp;col=19&amp;number=&amp;sourceID=11","")</f>
        <v/>
      </c>
      <c r="T258" s="4" t="str">
        <f>HYPERLINK("http://141.218.60.56/~jnz1568/getInfo.php?workbook=01_01.xlsx&amp;sheet=A0&amp;row=258&amp;col=20&amp;number=0&amp;sourceID=11","0")</f>
        <v>0</v>
      </c>
      <c r="U258" s="4" t="str">
        <f>HYPERLINK("http://141.218.60.56/~jnz1568/getInfo.php?workbook=01_01.xlsx&amp;sheet=A0&amp;row=258&amp;col=21&amp;number=0&amp;sourceID=12","0")</f>
        <v>0</v>
      </c>
      <c r="V258" s="4" t="str">
        <f>HYPERLINK("http://141.218.60.56/~jnz1568/getInfo.php?workbook=01_01.xlsx&amp;sheet=A0&amp;row=258&amp;col=22&amp;number=&amp;sourceID=12","")</f>
        <v/>
      </c>
      <c r="W258" s="4" t="str">
        <f>HYPERLINK("http://141.218.60.56/~jnz1568/getInfo.php?workbook=01_01.xlsx&amp;sheet=A0&amp;row=258&amp;col=23&amp;number=&amp;sourceID=12","")</f>
        <v/>
      </c>
      <c r="X258" s="4" t="str">
        <f>HYPERLINK("http://141.218.60.56/~jnz1568/getInfo.php?workbook=01_01.xlsx&amp;sheet=A0&amp;row=258&amp;col=24&amp;number=&amp;sourceID=12","")</f>
        <v/>
      </c>
      <c r="Y258" s="4" t="str">
        <f>HYPERLINK("http://141.218.60.56/~jnz1568/getInfo.php?workbook=01_01.xlsx&amp;sheet=A0&amp;row=258&amp;col=25&amp;number=&amp;sourceID=12","")</f>
        <v/>
      </c>
      <c r="Z258" s="4" t="str">
        <f>HYPERLINK("http://141.218.60.56/~jnz1568/getInfo.php?workbook=01_01.xlsx&amp;sheet=A0&amp;row=258&amp;col=26&amp;number=&amp;sourceID=12","")</f>
        <v/>
      </c>
      <c r="AA258" s="4" t="str">
        <f>HYPERLINK("http://141.218.60.56/~jnz1568/getInfo.php?workbook=01_01.xlsx&amp;sheet=A0&amp;row=258&amp;col=27&amp;number=0&amp;sourceID=12","0")</f>
        <v>0</v>
      </c>
      <c r="AB258" s="4" t="str">
        <f>HYPERLINK("http://141.218.60.56/~jnz1568/getInfo.php?workbook=01_01.xlsx&amp;sheet=A0&amp;row=258&amp;col=28&amp;number=&amp;sourceID=18","")</f>
        <v/>
      </c>
      <c r="AC258" s="4" t="str">
        <f>HYPERLINK("http://141.218.60.56/~jnz1568/getInfo.php?workbook=01_01.xlsx&amp;sheet=A0&amp;row=258&amp;col=29&amp;number=&amp;sourceID=18","")</f>
        <v/>
      </c>
      <c r="AD258" s="4" t="str">
        <f>HYPERLINK("http://141.218.60.56/~jnz1568/getInfo.php?workbook=01_01.xlsx&amp;sheet=A0&amp;row=258&amp;col=30&amp;number=&amp;sourceID=18","")</f>
        <v/>
      </c>
      <c r="AE258" s="4" t="str">
        <f>HYPERLINK("http://141.218.60.56/~jnz1568/getInfo.php?workbook=01_01.xlsx&amp;sheet=A0&amp;row=258&amp;col=31&amp;number=&amp;sourceID=18","")</f>
        <v/>
      </c>
      <c r="AF258" s="4" t="str">
        <f>HYPERLINK("http://141.218.60.56/~jnz1568/getInfo.php?workbook=01_01.xlsx&amp;sheet=A0&amp;row=258&amp;col=32&amp;number=&amp;sourceID=18","")</f>
        <v/>
      </c>
      <c r="AG258" s="4" t="str">
        <f>HYPERLINK("http://141.218.60.56/~jnz1568/getInfo.php?workbook=01_01.xlsx&amp;sheet=A0&amp;row=258&amp;col=33&amp;number=&amp;sourceID=18","")</f>
        <v/>
      </c>
      <c r="AH258" s="4" t="str">
        <f>HYPERLINK("http://141.218.60.56/~jnz1568/getInfo.php?workbook=01_01.xlsx&amp;sheet=A0&amp;row=258&amp;col=34&amp;number=&amp;sourceID=20","")</f>
        <v/>
      </c>
    </row>
    <row r="259" spans="1:34">
      <c r="A259" s="3">
        <v>1</v>
      </c>
      <c r="B259" s="3">
        <v>1</v>
      </c>
      <c r="C259" s="3">
        <v>24</v>
      </c>
      <c r="D259" s="3">
        <v>12</v>
      </c>
      <c r="E259" s="3">
        <f>((1/(INDEX(E0!J$4:J$28,C259,1)-INDEX(E0!J$4:J$28,D259,1))))*100000000</f>
        <v>0</v>
      </c>
      <c r="F259" s="4" t="str">
        <f>HYPERLINK("http://141.218.60.56/~jnz1568/getInfo.php?workbook=01_01.xlsx&amp;sheet=A0&amp;row=259&amp;col=6&amp;number=&amp;sourceID=18","")</f>
        <v/>
      </c>
      <c r="G259" s="4" t="str">
        <f>HYPERLINK("http://141.218.60.56/~jnz1568/getInfo.php?workbook=01_01.xlsx&amp;sheet=A0&amp;row=259&amp;col=7&amp;number=&amp;sourceID=15","")</f>
        <v/>
      </c>
      <c r="H259" s="4" t="str">
        <f>HYPERLINK("http://141.218.60.56/~jnz1568/getInfo.php?workbook=01_01.xlsx&amp;sheet=A0&amp;row=259&amp;col=8&amp;number=&amp;sourceID=15","")</f>
        <v/>
      </c>
      <c r="I259" s="4" t="str">
        <f>HYPERLINK("http://141.218.60.56/~jnz1568/getInfo.php?workbook=01_01.xlsx&amp;sheet=A0&amp;row=259&amp;col=9&amp;number=&amp;sourceID=15","")</f>
        <v/>
      </c>
      <c r="J259" s="4" t="str">
        <f>HYPERLINK("http://141.218.60.56/~jnz1568/getInfo.php?workbook=01_01.xlsx&amp;sheet=A0&amp;row=259&amp;col=10&amp;number=&amp;sourceID=15","")</f>
        <v/>
      </c>
      <c r="K259" s="4" t="str">
        <f>HYPERLINK("http://141.218.60.56/~jnz1568/getInfo.php?workbook=01_01.xlsx&amp;sheet=A0&amp;row=259&amp;col=11&amp;number=&amp;sourceID=15","")</f>
        <v/>
      </c>
      <c r="L259" s="4" t="str">
        <f>HYPERLINK("http://141.218.60.56/~jnz1568/getInfo.php?workbook=01_01.xlsx&amp;sheet=A0&amp;row=259&amp;col=12&amp;number=&amp;sourceID=15","")</f>
        <v/>
      </c>
      <c r="M259" s="4" t="str">
        <f>HYPERLINK("http://141.218.60.56/~jnz1568/getInfo.php?workbook=01_01.xlsx&amp;sheet=A0&amp;row=259&amp;col=13&amp;number=&amp;sourceID=15","")</f>
        <v/>
      </c>
      <c r="N259" s="4" t="str">
        <f>HYPERLINK("http://141.218.60.56/~jnz1568/getInfo.php?workbook=01_01.xlsx&amp;sheet=A0&amp;row=259&amp;col=14&amp;number==&amp;sourceID=11","=")</f>
        <v>=</v>
      </c>
      <c r="O259" s="4" t="str">
        <f>HYPERLINK("http://141.218.60.56/~jnz1568/getInfo.php?workbook=01_01.xlsx&amp;sheet=A0&amp;row=259&amp;col=15&amp;number=&amp;sourceID=11","")</f>
        <v/>
      </c>
      <c r="P259" s="4" t="str">
        <f>HYPERLINK("http://141.218.60.56/~jnz1568/getInfo.php?workbook=01_01.xlsx&amp;sheet=A0&amp;row=259&amp;col=16&amp;number=0.89917&amp;sourceID=11","0.89917")</f>
        <v>0.89917</v>
      </c>
      <c r="Q259" s="4" t="str">
        <f>HYPERLINK("http://141.218.60.56/~jnz1568/getInfo.php?workbook=01_01.xlsx&amp;sheet=A0&amp;row=259&amp;col=17&amp;number=&amp;sourceID=11","")</f>
        <v/>
      </c>
      <c r="R259" s="4" t="str">
        <f>HYPERLINK("http://141.218.60.56/~jnz1568/getInfo.php?workbook=01_01.xlsx&amp;sheet=A0&amp;row=259&amp;col=18&amp;number=&amp;sourceID=11","")</f>
        <v/>
      </c>
      <c r="S259" s="4" t="str">
        <f>HYPERLINK("http://141.218.60.56/~jnz1568/getInfo.php?workbook=01_01.xlsx&amp;sheet=A0&amp;row=259&amp;col=19&amp;number=&amp;sourceID=11","")</f>
        <v/>
      </c>
      <c r="T259" s="4" t="str">
        <f>HYPERLINK("http://141.218.60.56/~jnz1568/getInfo.php?workbook=01_01.xlsx&amp;sheet=A0&amp;row=259&amp;col=20&amp;number=8e-15&amp;sourceID=11","8e-15")</f>
        <v>8e-15</v>
      </c>
      <c r="U259" s="4" t="str">
        <f>HYPERLINK("http://141.218.60.56/~jnz1568/getInfo.php?workbook=01_01.xlsx&amp;sheet=A0&amp;row=259&amp;col=21&amp;number=0.89966&amp;sourceID=12","0.89966")</f>
        <v>0.89966</v>
      </c>
      <c r="V259" s="4" t="str">
        <f>HYPERLINK("http://141.218.60.56/~jnz1568/getInfo.php?workbook=01_01.xlsx&amp;sheet=A0&amp;row=259&amp;col=22&amp;number=&amp;sourceID=12","")</f>
        <v/>
      </c>
      <c r="W259" s="4" t="str">
        <f>HYPERLINK("http://141.218.60.56/~jnz1568/getInfo.php?workbook=01_01.xlsx&amp;sheet=A0&amp;row=259&amp;col=23&amp;number=0.89966&amp;sourceID=12","0.89966")</f>
        <v>0.89966</v>
      </c>
      <c r="X259" s="4" t="str">
        <f>HYPERLINK("http://141.218.60.56/~jnz1568/getInfo.php?workbook=01_01.xlsx&amp;sheet=A0&amp;row=259&amp;col=24&amp;number=&amp;sourceID=12","")</f>
        <v/>
      </c>
      <c r="Y259" s="4" t="str">
        <f>HYPERLINK("http://141.218.60.56/~jnz1568/getInfo.php?workbook=01_01.xlsx&amp;sheet=A0&amp;row=259&amp;col=25&amp;number=&amp;sourceID=12","")</f>
        <v/>
      </c>
      <c r="Z259" s="4" t="str">
        <f>HYPERLINK("http://141.218.60.56/~jnz1568/getInfo.php?workbook=01_01.xlsx&amp;sheet=A0&amp;row=259&amp;col=26&amp;number=&amp;sourceID=12","")</f>
        <v/>
      </c>
      <c r="AA259" s="4" t="str">
        <f>HYPERLINK("http://141.218.60.56/~jnz1568/getInfo.php?workbook=01_01.xlsx&amp;sheet=A0&amp;row=259&amp;col=27&amp;number=8e-15&amp;sourceID=12","8e-15")</f>
        <v>8e-15</v>
      </c>
      <c r="AB259" s="4" t="str">
        <f>HYPERLINK("http://141.218.60.56/~jnz1568/getInfo.php?workbook=01_01.xlsx&amp;sheet=A0&amp;row=259&amp;col=28&amp;number=&amp;sourceID=18","")</f>
        <v/>
      </c>
      <c r="AC259" s="4" t="str">
        <f>HYPERLINK("http://141.218.60.56/~jnz1568/getInfo.php?workbook=01_01.xlsx&amp;sheet=A0&amp;row=259&amp;col=29&amp;number=&amp;sourceID=18","")</f>
        <v/>
      </c>
      <c r="AD259" s="4" t="str">
        <f>HYPERLINK("http://141.218.60.56/~jnz1568/getInfo.php?workbook=01_01.xlsx&amp;sheet=A0&amp;row=259&amp;col=30&amp;number=&amp;sourceID=18","")</f>
        <v/>
      </c>
      <c r="AE259" s="4" t="str">
        <f>HYPERLINK("http://141.218.60.56/~jnz1568/getInfo.php?workbook=01_01.xlsx&amp;sheet=A0&amp;row=259&amp;col=31&amp;number=&amp;sourceID=18","")</f>
        <v/>
      </c>
      <c r="AF259" s="4" t="str">
        <f>HYPERLINK("http://141.218.60.56/~jnz1568/getInfo.php?workbook=01_01.xlsx&amp;sheet=A0&amp;row=259&amp;col=32&amp;number=&amp;sourceID=18","")</f>
        <v/>
      </c>
      <c r="AG259" s="4" t="str">
        <f>HYPERLINK("http://141.218.60.56/~jnz1568/getInfo.php?workbook=01_01.xlsx&amp;sheet=A0&amp;row=259&amp;col=33&amp;number=&amp;sourceID=18","")</f>
        <v/>
      </c>
      <c r="AH259" s="4" t="str">
        <f>HYPERLINK("http://141.218.60.56/~jnz1568/getInfo.php?workbook=01_01.xlsx&amp;sheet=A0&amp;row=259&amp;col=34&amp;number=&amp;sourceID=20","")</f>
        <v/>
      </c>
    </row>
    <row r="260" spans="1:34">
      <c r="A260" s="3">
        <v>1</v>
      </c>
      <c r="B260" s="3">
        <v>1</v>
      </c>
      <c r="C260" s="3">
        <v>24</v>
      </c>
      <c r="D260" s="3">
        <v>13</v>
      </c>
      <c r="E260" s="3">
        <f>((1/(INDEX(E0!J$4:J$28,C260,1)-INDEX(E0!J$4:J$28,D260,1))))*100000000</f>
        <v>0</v>
      </c>
      <c r="F260" s="4" t="str">
        <f>HYPERLINK("http://141.218.60.56/~jnz1568/getInfo.php?workbook=01_01.xlsx&amp;sheet=A0&amp;row=260&amp;col=6&amp;number=&amp;sourceID=18","")</f>
        <v/>
      </c>
      <c r="G260" s="4" t="str">
        <f>HYPERLINK("http://141.218.60.56/~jnz1568/getInfo.php?workbook=01_01.xlsx&amp;sheet=A0&amp;row=260&amp;col=7&amp;number=&amp;sourceID=15","")</f>
        <v/>
      </c>
      <c r="H260" s="4" t="str">
        <f>HYPERLINK("http://141.218.60.56/~jnz1568/getInfo.php?workbook=01_01.xlsx&amp;sheet=A0&amp;row=260&amp;col=8&amp;number=&amp;sourceID=15","")</f>
        <v/>
      </c>
      <c r="I260" s="4" t="str">
        <f>HYPERLINK("http://141.218.60.56/~jnz1568/getInfo.php?workbook=01_01.xlsx&amp;sheet=A0&amp;row=260&amp;col=9&amp;number=&amp;sourceID=15","")</f>
        <v/>
      </c>
      <c r="J260" s="4" t="str">
        <f>HYPERLINK("http://141.218.60.56/~jnz1568/getInfo.php?workbook=01_01.xlsx&amp;sheet=A0&amp;row=260&amp;col=10&amp;number=&amp;sourceID=15","")</f>
        <v/>
      </c>
      <c r="K260" s="4" t="str">
        <f>HYPERLINK("http://141.218.60.56/~jnz1568/getInfo.php?workbook=01_01.xlsx&amp;sheet=A0&amp;row=260&amp;col=11&amp;number=&amp;sourceID=15","")</f>
        <v/>
      </c>
      <c r="L260" s="4" t="str">
        <f>HYPERLINK("http://141.218.60.56/~jnz1568/getInfo.php?workbook=01_01.xlsx&amp;sheet=A0&amp;row=260&amp;col=12&amp;number=&amp;sourceID=15","")</f>
        <v/>
      </c>
      <c r="M260" s="4" t="str">
        <f>HYPERLINK("http://141.218.60.56/~jnz1568/getInfo.php?workbook=01_01.xlsx&amp;sheet=A0&amp;row=260&amp;col=13&amp;number=&amp;sourceID=15","")</f>
        <v/>
      </c>
      <c r="N260" s="4" t="str">
        <f>HYPERLINK("http://141.218.60.56/~jnz1568/getInfo.php?workbook=01_01.xlsx&amp;sheet=A0&amp;row=260&amp;col=14&amp;number==&amp;sourceID=11","=")</f>
        <v>=</v>
      </c>
      <c r="O260" s="4" t="str">
        <f>HYPERLINK("http://141.218.60.56/~jnz1568/getInfo.php?workbook=01_01.xlsx&amp;sheet=A0&amp;row=260&amp;col=15&amp;number=&amp;sourceID=11","")</f>
        <v/>
      </c>
      <c r="P260" s="4" t="str">
        <f>HYPERLINK("http://141.218.60.56/~jnz1568/getInfo.php?workbook=01_01.xlsx&amp;sheet=A0&amp;row=260&amp;col=16&amp;number=&amp;sourceID=11","")</f>
        <v/>
      </c>
      <c r="Q260" s="4" t="str">
        <f>HYPERLINK("http://141.218.60.56/~jnz1568/getInfo.php?workbook=01_01.xlsx&amp;sheet=A0&amp;row=260&amp;col=17&amp;number=3.2593e-08&amp;sourceID=11","3.2593e-08")</f>
        <v>3.2593e-08</v>
      </c>
      <c r="R260" s="4" t="str">
        <f>HYPERLINK("http://141.218.60.56/~jnz1568/getInfo.php?workbook=01_01.xlsx&amp;sheet=A0&amp;row=260&amp;col=18&amp;number=&amp;sourceID=11","")</f>
        <v/>
      </c>
      <c r="S260" s="4" t="str">
        <f>HYPERLINK("http://141.218.60.56/~jnz1568/getInfo.php?workbook=01_01.xlsx&amp;sheet=A0&amp;row=260&amp;col=19&amp;number=0&amp;sourceID=11","0")</f>
        <v>0</v>
      </c>
      <c r="T260" s="4" t="str">
        <f>HYPERLINK("http://141.218.60.56/~jnz1568/getInfo.php?workbook=01_01.xlsx&amp;sheet=A0&amp;row=260&amp;col=20&amp;number=&amp;sourceID=11","")</f>
        <v/>
      </c>
      <c r="U260" s="4" t="str">
        <f>HYPERLINK("http://141.218.60.56/~jnz1568/getInfo.php?workbook=01_01.xlsx&amp;sheet=A0&amp;row=260&amp;col=21&amp;number=3.261e-08&amp;sourceID=12","3.261e-08")</f>
        <v>3.261e-08</v>
      </c>
      <c r="V260" s="4" t="str">
        <f>HYPERLINK("http://141.218.60.56/~jnz1568/getInfo.php?workbook=01_01.xlsx&amp;sheet=A0&amp;row=260&amp;col=22&amp;number=&amp;sourceID=12","")</f>
        <v/>
      </c>
      <c r="W260" s="4" t="str">
        <f>HYPERLINK("http://141.218.60.56/~jnz1568/getInfo.php?workbook=01_01.xlsx&amp;sheet=A0&amp;row=260&amp;col=23&amp;number=&amp;sourceID=12","")</f>
        <v/>
      </c>
      <c r="X260" s="4" t="str">
        <f>HYPERLINK("http://141.218.60.56/~jnz1568/getInfo.php?workbook=01_01.xlsx&amp;sheet=A0&amp;row=260&amp;col=24&amp;number=3.261e-08&amp;sourceID=12","3.261e-08")</f>
        <v>3.261e-08</v>
      </c>
      <c r="Y260" s="4" t="str">
        <f>HYPERLINK("http://141.218.60.56/~jnz1568/getInfo.php?workbook=01_01.xlsx&amp;sheet=A0&amp;row=260&amp;col=25&amp;number=&amp;sourceID=12","")</f>
        <v/>
      </c>
      <c r="Z260" s="4" t="str">
        <f>HYPERLINK("http://141.218.60.56/~jnz1568/getInfo.php?workbook=01_01.xlsx&amp;sheet=A0&amp;row=260&amp;col=26&amp;number=0&amp;sourceID=12","0")</f>
        <v>0</v>
      </c>
      <c r="AA260" s="4" t="str">
        <f>HYPERLINK("http://141.218.60.56/~jnz1568/getInfo.php?workbook=01_01.xlsx&amp;sheet=A0&amp;row=260&amp;col=27&amp;number=&amp;sourceID=12","")</f>
        <v/>
      </c>
      <c r="AB260" s="4" t="str">
        <f>HYPERLINK("http://141.218.60.56/~jnz1568/getInfo.php?workbook=01_01.xlsx&amp;sheet=A0&amp;row=260&amp;col=28&amp;number=&amp;sourceID=18","")</f>
        <v/>
      </c>
      <c r="AC260" s="4" t="str">
        <f>HYPERLINK("http://141.218.60.56/~jnz1568/getInfo.php?workbook=01_01.xlsx&amp;sheet=A0&amp;row=260&amp;col=29&amp;number=&amp;sourceID=18","")</f>
        <v/>
      </c>
      <c r="AD260" s="4" t="str">
        <f>HYPERLINK("http://141.218.60.56/~jnz1568/getInfo.php?workbook=01_01.xlsx&amp;sheet=A0&amp;row=260&amp;col=30&amp;number=&amp;sourceID=18","")</f>
        <v/>
      </c>
      <c r="AE260" s="4" t="str">
        <f>HYPERLINK("http://141.218.60.56/~jnz1568/getInfo.php?workbook=01_01.xlsx&amp;sheet=A0&amp;row=260&amp;col=31&amp;number=&amp;sourceID=18","")</f>
        <v/>
      </c>
      <c r="AF260" s="4" t="str">
        <f>HYPERLINK("http://141.218.60.56/~jnz1568/getInfo.php?workbook=01_01.xlsx&amp;sheet=A0&amp;row=260&amp;col=32&amp;number=&amp;sourceID=18","")</f>
        <v/>
      </c>
      <c r="AG260" s="4" t="str">
        <f>HYPERLINK("http://141.218.60.56/~jnz1568/getInfo.php?workbook=01_01.xlsx&amp;sheet=A0&amp;row=260&amp;col=33&amp;number=&amp;sourceID=18","")</f>
        <v/>
      </c>
      <c r="AH260" s="4" t="str">
        <f>HYPERLINK("http://141.218.60.56/~jnz1568/getInfo.php?workbook=01_01.xlsx&amp;sheet=A0&amp;row=260&amp;col=34&amp;number=&amp;sourceID=20","")</f>
        <v/>
      </c>
    </row>
    <row r="261" spans="1:34">
      <c r="A261" s="3">
        <v>1</v>
      </c>
      <c r="B261" s="3">
        <v>1</v>
      </c>
      <c r="C261" s="3">
        <v>24</v>
      </c>
      <c r="D261" s="3">
        <v>14</v>
      </c>
      <c r="E261" s="3">
        <f>((1/(INDEX(E0!J$4:J$28,C261,1)-INDEX(E0!J$4:J$28,D261,1))))*100000000</f>
        <v>0</v>
      </c>
      <c r="F261" s="4" t="str">
        <f>HYPERLINK("http://141.218.60.56/~jnz1568/getInfo.php?workbook=01_01.xlsx&amp;sheet=A0&amp;row=261&amp;col=6&amp;number=&amp;sourceID=18","")</f>
        <v/>
      </c>
      <c r="G261" s="4" t="str">
        <f>HYPERLINK("http://141.218.60.56/~jnz1568/getInfo.php?workbook=01_01.xlsx&amp;sheet=A0&amp;row=261&amp;col=7&amp;number=&amp;sourceID=15","")</f>
        <v/>
      </c>
      <c r="H261" s="4" t="str">
        <f>HYPERLINK("http://141.218.60.56/~jnz1568/getInfo.php?workbook=01_01.xlsx&amp;sheet=A0&amp;row=261&amp;col=8&amp;number=&amp;sourceID=15","")</f>
        <v/>
      </c>
      <c r="I261" s="4" t="str">
        <f>HYPERLINK("http://141.218.60.56/~jnz1568/getInfo.php?workbook=01_01.xlsx&amp;sheet=A0&amp;row=261&amp;col=9&amp;number=&amp;sourceID=15","")</f>
        <v/>
      </c>
      <c r="J261" s="4" t="str">
        <f>HYPERLINK("http://141.218.60.56/~jnz1568/getInfo.php?workbook=01_01.xlsx&amp;sheet=A0&amp;row=261&amp;col=10&amp;number=&amp;sourceID=15","")</f>
        <v/>
      </c>
      <c r="K261" s="4" t="str">
        <f>HYPERLINK("http://141.218.60.56/~jnz1568/getInfo.php?workbook=01_01.xlsx&amp;sheet=A0&amp;row=261&amp;col=11&amp;number=&amp;sourceID=15","")</f>
        <v/>
      </c>
      <c r="L261" s="4" t="str">
        <f>HYPERLINK("http://141.218.60.56/~jnz1568/getInfo.php?workbook=01_01.xlsx&amp;sheet=A0&amp;row=261&amp;col=12&amp;number=&amp;sourceID=15","")</f>
        <v/>
      </c>
      <c r="M261" s="4" t="str">
        <f>HYPERLINK("http://141.218.60.56/~jnz1568/getInfo.php?workbook=01_01.xlsx&amp;sheet=A0&amp;row=261&amp;col=13&amp;number=&amp;sourceID=15","")</f>
        <v/>
      </c>
      <c r="N261" s="4" t="str">
        <f>HYPERLINK("http://141.218.60.56/~jnz1568/getInfo.php?workbook=01_01.xlsx&amp;sheet=A0&amp;row=261&amp;col=14&amp;number==&amp;sourceID=11","=")</f>
        <v>=</v>
      </c>
      <c r="O261" s="4" t="str">
        <f>HYPERLINK("http://141.218.60.56/~jnz1568/getInfo.php?workbook=01_01.xlsx&amp;sheet=A0&amp;row=261&amp;col=15&amp;number=&amp;sourceID=11","")</f>
        <v/>
      </c>
      <c r="P261" s="4" t="str">
        <f>HYPERLINK("http://141.218.60.56/~jnz1568/getInfo.php?workbook=01_01.xlsx&amp;sheet=A0&amp;row=261&amp;col=16&amp;number=0.099905&amp;sourceID=11","0.099905")</f>
        <v>0.099905</v>
      </c>
      <c r="Q261" s="4" t="str">
        <f>HYPERLINK("http://141.218.60.56/~jnz1568/getInfo.php?workbook=01_01.xlsx&amp;sheet=A0&amp;row=261&amp;col=17&amp;number=&amp;sourceID=11","")</f>
        <v/>
      </c>
      <c r="R261" s="4" t="str">
        <f>HYPERLINK("http://141.218.60.56/~jnz1568/getInfo.php?workbook=01_01.xlsx&amp;sheet=A0&amp;row=261&amp;col=18&amp;number=5.4e-14&amp;sourceID=11","5.4e-14")</f>
        <v>5.4e-14</v>
      </c>
      <c r="S261" s="4" t="str">
        <f>HYPERLINK("http://141.218.60.56/~jnz1568/getInfo.php?workbook=01_01.xlsx&amp;sheet=A0&amp;row=261&amp;col=19&amp;number=&amp;sourceID=11","")</f>
        <v/>
      </c>
      <c r="T261" s="4" t="str">
        <f>HYPERLINK("http://141.218.60.56/~jnz1568/getInfo.php?workbook=01_01.xlsx&amp;sheet=A0&amp;row=261&amp;col=20&amp;number=0&amp;sourceID=11","0")</f>
        <v>0</v>
      </c>
      <c r="U261" s="4" t="str">
        <f>HYPERLINK("http://141.218.60.56/~jnz1568/getInfo.php?workbook=01_01.xlsx&amp;sheet=A0&amp;row=261&amp;col=21&amp;number=0.09996&amp;sourceID=12","0.09996")</f>
        <v>0.09996</v>
      </c>
      <c r="V261" s="4" t="str">
        <f>HYPERLINK("http://141.218.60.56/~jnz1568/getInfo.php?workbook=01_01.xlsx&amp;sheet=A0&amp;row=261&amp;col=22&amp;number=&amp;sourceID=12","")</f>
        <v/>
      </c>
      <c r="W261" s="4" t="str">
        <f>HYPERLINK("http://141.218.60.56/~jnz1568/getInfo.php?workbook=01_01.xlsx&amp;sheet=A0&amp;row=261&amp;col=23&amp;number=0.09996&amp;sourceID=12","0.09996")</f>
        <v>0.09996</v>
      </c>
      <c r="X261" s="4" t="str">
        <f>HYPERLINK("http://141.218.60.56/~jnz1568/getInfo.php?workbook=01_01.xlsx&amp;sheet=A0&amp;row=261&amp;col=24&amp;number=&amp;sourceID=12","")</f>
        <v/>
      </c>
      <c r="Y261" s="4" t="str">
        <f>HYPERLINK("http://141.218.60.56/~jnz1568/getInfo.php?workbook=01_01.xlsx&amp;sheet=A0&amp;row=261&amp;col=25&amp;number=5.4e-14&amp;sourceID=12","5.4e-14")</f>
        <v>5.4e-14</v>
      </c>
      <c r="Z261" s="4" t="str">
        <f>HYPERLINK("http://141.218.60.56/~jnz1568/getInfo.php?workbook=01_01.xlsx&amp;sheet=A0&amp;row=261&amp;col=26&amp;number=&amp;sourceID=12","")</f>
        <v/>
      </c>
      <c r="AA261" s="4" t="str">
        <f>HYPERLINK("http://141.218.60.56/~jnz1568/getInfo.php?workbook=01_01.xlsx&amp;sheet=A0&amp;row=261&amp;col=27&amp;number=0&amp;sourceID=12","0")</f>
        <v>0</v>
      </c>
      <c r="AB261" s="4" t="str">
        <f>HYPERLINK("http://141.218.60.56/~jnz1568/getInfo.php?workbook=01_01.xlsx&amp;sheet=A0&amp;row=261&amp;col=28&amp;number=&amp;sourceID=18","")</f>
        <v/>
      </c>
      <c r="AC261" s="4" t="str">
        <f>HYPERLINK("http://141.218.60.56/~jnz1568/getInfo.php?workbook=01_01.xlsx&amp;sheet=A0&amp;row=261&amp;col=29&amp;number=&amp;sourceID=18","")</f>
        <v/>
      </c>
      <c r="AD261" s="4" t="str">
        <f>HYPERLINK("http://141.218.60.56/~jnz1568/getInfo.php?workbook=01_01.xlsx&amp;sheet=A0&amp;row=261&amp;col=30&amp;number=&amp;sourceID=18","")</f>
        <v/>
      </c>
      <c r="AE261" s="4" t="str">
        <f>HYPERLINK("http://141.218.60.56/~jnz1568/getInfo.php?workbook=01_01.xlsx&amp;sheet=A0&amp;row=261&amp;col=31&amp;number=&amp;sourceID=18","")</f>
        <v/>
      </c>
      <c r="AF261" s="4" t="str">
        <f>HYPERLINK("http://141.218.60.56/~jnz1568/getInfo.php?workbook=01_01.xlsx&amp;sheet=A0&amp;row=261&amp;col=32&amp;number=&amp;sourceID=18","")</f>
        <v/>
      </c>
      <c r="AG261" s="4" t="str">
        <f>HYPERLINK("http://141.218.60.56/~jnz1568/getInfo.php?workbook=01_01.xlsx&amp;sheet=A0&amp;row=261&amp;col=33&amp;number=&amp;sourceID=18","")</f>
        <v/>
      </c>
      <c r="AH261" s="4" t="str">
        <f>HYPERLINK("http://141.218.60.56/~jnz1568/getInfo.php?workbook=01_01.xlsx&amp;sheet=A0&amp;row=261&amp;col=34&amp;number=&amp;sourceID=20","")</f>
        <v/>
      </c>
    </row>
    <row r="262" spans="1:34">
      <c r="A262" s="3">
        <v>1</v>
      </c>
      <c r="B262" s="3">
        <v>1</v>
      </c>
      <c r="C262" s="3">
        <v>24</v>
      </c>
      <c r="D262" s="3">
        <v>15</v>
      </c>
      <c r="E262" s="3">
        <f>((1/(INDEX(E0!J$4:J$28,C262,1)-INDEX(E0!J$4:J$28,D262,1))))*100000000</f>
        <v>0</v>
      </c>
      <c r="F262" s="4" t="str">
        <f>HYPERLINK("http://141.218.60.56/~jnz1568/getInfo.php?workbook=01_01.xlsx&amp;sheet=A0&amp;row=262&amp;col=6&amp;number=&amp;sourceID=18","")</f>
        <v/>
      </c>
      <c r="G262" s="4" t="str">
        <f>HYPERLINK("http://141.218.60.56/~jnz1568/getInfo.php?workbook=01_01.xlsx&amp;sheet=A0&amp;row=262&amp;col=7&amp;number=4102200&amp;sourceID=15","4102200")</f>
        <v>4102200</v>
      </c>
      <c r="H262" s="4" t="str">
        <f>HYPERLINK("http://141.218.60.56/~jnz1568/getInfo.php?workbook=01_01.xlsx&amp;sheet=A0&amp;row=262&amp;col=8&amp;number=4102200&amp;sourceID=15","4102200")</f>
        <v>4102200</v>
      </c>
      <c r="I262" s="4" t="str">
        <f>HYPERLINK("http://141.218.60.56/~jnz1568/getInfo.php?workbook=01_01.xlsx&amp;sheet=A0&amp;row=262&amp;col=9&amp;number=&amp;sourceID=15","")</f>
        <v/>
      </c>
      <c r="J262" s="4" t="str">
        <f>HYPERLINK("http://141.218.60.56/~jnz1568/getInfo.php?workbook=01_01.xlsx&amp;sheet=A0&amp;row=262&amp;col=10&amp;number=&amp;sourceID=15","")</f>
        <v/>
      </c>
      <c r="K262" s="4" t="str">
        <f>HYPERLINK("http://141.218.60.56/~jnz1568/getInfo.php?workbook=01_01.xlsx&amp;sheet=A0&amp;row=262&amp;col=11&amp;number=&amp;sourceID=15","")</f>
        <v/>
      </c>
      <c r="L262" s="4" t="str">
        <f>HYPERLINK("http://141.218.60.56/~jnz1568/getInfo.php?workbook=01_01.xlsx&amp;sheet=A0&amp;row=262&amp;col=12&amp;number=&amp;sourceID=15","")</f>
        <v/>
      </c>
      <c r="M262" s="4" t="str">
        <f>HYPERLINK("http://141.218.60.56/~jnz1568/getInfo.php?workbook=01_01.xlsx&amp;sheet=A0&amp;row=262&amp;col=13&amp;number=&amp;sourceID=15","")</f>
        <v/>
      </c>
      <c r="N262" s="4" t="str">
        <f>HYPERLINK("http://141.218.60.56/~jnz1568/getInfo.php?workbook=01_01.xlsx&amp;sheet=A0&amp;row=262&amp;col=14&amp;number==SUM(O262:T262)&amp;sourceID=11","=SUM(O262:T262)")</f>
        <v>=SUM(O262:T262)</v>
      </c>
      <c r="O262" s="4" t="str">
        <f>HYPERLINK("http://141.218.60.56/~jnz1568/getInfo.php?workbook=01_01.xlsx&amp;sheet=A0&amp;row=262&amp;col=15&amp;number=4102300&amp;sourceID=11","4102300")</f>
        <v>4102300</v>
      </c>
      <c r="P262" s="4" t="str">
        <f>HYPERLINK("http://141.218.60.56/~jnz1568/getInfo.php?workbook=01_01.xlsx&amp;sheet=A0&amp;row=262&amp;col=16&amp;number=&amp;sourceID=11","")</f>
        <v/>
      </c>
      <c r="Q262" s="4" t="str">
        <f>HYPERLINK("http://141.218.60.56/~jnz1568/getInfo.php?workbook=01_01.xlsx&amp;sheet=A0&amp;row=262&amp;col=17&amp;number=3.3514e-08&amp;sourceID=11","3.3514e-08")</f>
        <v>3.3514e-08</v>
      </c>
      <c r="R262" s="4" t="str">
        <f>HYPERLINK("http://141.218.60.56/~jnz1568/getInfo.php?workbook=01_01.xlsx&amp;sheet=A0&amp;row=262&amp;col=18&amp;number=&amp;sourceID=11","")</f>
        <v/>
      </c>
      <c r="S262" s="4" t="str">
        <f>HYPERLINK("http://141.218.60.56/~jnz1568/getInfo.php?workbook=01_01.xlsx&amp;sheet=A0&amp;row=262&amp;col=19&amp;number=1.6699e-07&amp;sourceID=11","1.6699e-07")</f>
        <v>1.6699e-07</v>
      </c>
      <c r="T262" s="4" t="str">
        <f>HYPERLINK("http://141.218.60.56/~jnz1568/getInfo.php?workbook=01_01.xlsx&amp;sheet=A0&amp;row=262&amp;col=20&amp;number=&amp;sourceID=11","")</f>
        <v/>
      </c>
      <c r="U262" s="4" t="str">
        <f>HYPERLINK("http://141.218.60.56/~jnz1568/getInfo.php?workbook=01_01.xlsx&amp;sheet=A0&amp;row=262&amp;col=21&amp;number=4104500&amp;sourceID=12","4104500")</f>
        <v>4104500</v>
      </c>
      <c r="V262" s="4" t="str">
        <f>HYPERLINK("http://141.218.60.56/~jnz1568/getInfo.php?workbook=01_01.xlsx&amp;sheet=A0&amp;row=262&amp;col=22&amp;number=4104500&amp;sourceID=12","4104500")</f>
        <v>4104500</v>
      </c>
      <c r="W262" s="4" t="str">
        <f>HYPERLINK("http://141.218.60.56/~jnz1568/getInfo.php?workbook=01_01.xlsx&amp;sheet=A0&amp;row=262&amp;col=23&amp;number=&amp;sourceID=12","")</f>
        <v/>
      </c>
      <c r="X262" s="4" t="str">
        <f>HYPERLINK("http://141.218.60.56/~jnz1568/getInfo.php?workbook=01_01.xlsx&amp;sheet=A0&amp;row=262&amp;col=24&amp;number=3.3532e-08&amp;sourceID=12","3.3532e-08")</f>
        <v>3.3532e-08</v>
      </c>
      <c r="Y262" s="4" t="str">
        <f>HYPERLINK("http://141.218.60.56/~jnz1568/getInfo.php?workbook=01_01.xlsx&amp;sheet=A0&amp;row=262&amp;col=25&amp;number=&amp;sourceID=12","")</f>
        <v/>
      </c>
      <c r="Z262" s="4" t="str">
        <f>HYPERLINK("http://141.218.60.56/~jnz1568/getInfo.php?workbook=01_01.xlsx&amp;sheet=A0&amp;row=262&amp;col=26&amp;number=1.6709e-07&amp;sourceID=12","1.6709e-07")</f>
        <v>1.6709e-07</v>
      </c>
      <c r="AA262" s="4" t="str">
        <f>HYPERLINK("http://141.218.60.56/~jnz1568/getInfo.php?workbook=01_01.xlsx&amp;sheet=A0&amp;row=262&amp;col=27&amp;number=&amp;sourceID=12","")</f>
        <v/>
      </c>
      <c r="AB262" s="4" t="str">
        <f>HYPERLINK("http://141.218.60.56/~jnz1568/getInfo.php?workbook=01_01.xlsx&amp;sheet=A0&amp;row=262&amp;col=28&amp;number=&amp;sourceID=18","")</f>
        <v/>
      </c>
      <c r="AC262" s="4" t="str">
        <f>HYPERLINK("http://141.218.60.56/~jnz1568/getInfo.php?workbook=01_01.xlsx&amp;sheet=A0&amp;row=262&amp;col=29&amp;number=&amp;sourceID=18","")</f>
        <v/>
      </c>
      <c r="AD262" s="4" t="str">
        <f>HYPERLINK("http://141.218.60.56/~jnz1568/getInfo.php?workbook=01_01.xlsx&amp;sheet=A0&amp;row=262&amp;col=30&amp;number=&amp;sourceID=18","")</f>
        <v/>
      </c>
      <c r="AE262" s="4" t="str">
        <f>HYPERLINK("http://141.218.60.56/~jnz1568/getInfo.php?workbook=01_01.xlsx&amp;sheet=A0&amp;row=262&amp;col=31&amp;number=&amp;sourceID=18","")</f>
        <v/>
      </c>
      <c r="AF262" s="4" t="str">
        <f>HYPERLINK("http://141.218.60.56/~jnz1568/getInfo.php?workbook=01_01.xlsx&amp;sheet=A0&amp;row=262&amp;col=32&amp;number=&amp;sourceID=18","")</f>
        <v/>
      </c>
      <c r="AG262" s="4" t="str">
        <f>HYPERLINK("http://141.218.60.56/~jnz1568/getInfo.php?workbook=01_01.xlsx&amp;sheet=A0&amp;row=262&amp;col=33&amp;number=&amp;sourceID=18","")</f>
        <v/>
      </c>
      <c r="AH262" s="4" t="str">
        <f>HYPERLINK("http://141.218.60.56/~jnz1568/getInfo.php?workbook=01_01.xlsx&amp;sheet=A0&amp;row=262&amp;col=34&amp;number=&amp;sourceID=20","")</f>
        <v/>
      </c>
    </row>
    <row r="263" spans="1:34">
      <c r="A263" s="3">
        <v>1</v>
      </c>
      <c r="B263" s="3">
        <v>1</v>
      </c>
      <c r="C263" s="3">
        <v>24</v>
      </c>
      <c r="D263" s="3">
        <v>16</v>
      </c>
      <c r="E263" s="3">
        <f>((1/(INDEX(E0!J$4:J$28,C263,1)-INDEX(E0!J$4:J$28,D263,1))))*100000000</f>
        <v>0</v>
      </c>
      <c r="F263" s="4" t="str">
        <f>HYPERLINK("http://141.218.60.56/~jnz1568/getInfo.php?workbook=01_01.xlsx&amp;sheet=A0&amp;row=263&amp;col=6&amp;number=&amp;sourceID=18","")</f>
        <v/>
      </c>
      <c r="G263" s="4" t="str">
        <f>HYPERLINK("http://141.218.60.56/~jnz1568/getInfo.php?workbook=01_01.xlsx&amp;sheet=A0&amp;row=263&amp;col=7&amp;number=151930&amp;sourceID=15","151930")</f>
        <v>151930</v>
      </c>
      <c r="H263" s="4" t="str">
        <f>HYPERLINK("http://141.218.60.56/~jnz1568/getInfo.php?workbook=01_01.xlsx&amp;sheet=A0&amp;row=263&amp;col=8&amp;number=151930&amp;sourceID=15","151930")</f>
        <v>151930</v>
      </c>
      <c r="I263" s="4" t="str">
        <f>HYPERLINK("http://141.218.60.56/~jnz1568/getInfo.php?workbook=01_01.xlsx&amp;sheet=A0&amp;row=263&amp;col=9&amp;number=&amp;sourceID=15","")</f>
        <v/>
      </c>
      <c r="J263" s="4" t="str">
        <f>HYPERLINK("http://141.218.60.56/~jnz1568/getInfo.php?workbook=01_01.xlsx&amp;sheet=A0&amp;row=263&amp;col=10&amp;number=&amp;sourceID=15","")</f>
        <v/>
      </c>
      <c r="K263" s="4" t="str">
        <f>HYPERLINK("http://141.218.60.56/~jnz1568/getInfo.php?workbook=01_01.xlsx&amp;sheet=A0&amp;row=263&amp;col=11&amp;number=&amp;sourceID=15","")</f>
        <v/>
      </c>
      <c r="L263" s="4" t="str">
        <f>HYPERLINK("http://141.218.60.56/~jnz1568/getInfo.php?workbook=01_01.xlsx&amp;sheet=A0&amp;row=263&amp;col=12&amp;number=&amp;sourceID=15","")</f>
        <v/>
      </c>
      <c r="M263" s="4" t="str">
        <f>HYPERLINK("http://141.218.60.56/~jnz1568/getInfo.php?workbook=01_01.xlsx&amp;sheet=A0&amp;row=263&amp;col=13&amp;number=&amp;sourceID=15","")</f>
        <v/>
      </c>
      <c r="N263" s="4" t="str">
        <f>HYPERLINK("http://141.218.60.56/~jnz1568/getInfo.php?workbook=01_01.xlsx&amp;sheet=A0&amp;row=263&amp;col=14&amp;number==&amp;sourceID=11","=")</f>
        <v>=</v>
      </c>
      <c r="O263" s="4" t="str">
        <f>HYPERLINK("http://141.218.60.56/~jnz1568/getInfo.php?workbook=01_01.xlsx&amp;sheet=A0&amp;row=263&amp;col=15&amp;number=151930&amp;sourceID=11","151930")</f>
        <v>151930</v>
      </c>
      <c r="P263" s="4" t="str">
        <f>HYPERLINK("http://141.218.60.56/~jnz1568/getInfo.php?workbook=01_01.xlsx&amp;sheet=A0&amp;row=263&amp;col=16&amp;number=&amp;sourceID=11","")</f>
        <v/>
      </c>
      <c r="Q263" s="4" t="str">
        <f>HYPERLINK("http://141.218.60.56/~jnz1568/getInfo.php?workbook=01_01.xlsx&amp;sheet=A0&amp;row=263&amp;col=17&amp;number=9.14e-09&amp;sourceID=11","9.14e-09")</f>
        <v>9.14e-09</v>
      </c>
      <c r="R263" s="4" t="str">
        <f>HYPERLINK("http://141.218.60.56/~jnz1568/getInfo.php?workbook=01_01.xlsx&amp;sheet=A0&amp;row=263&amp;col=18&amp;number=&amp;sourceID=11","")</f>
        <v/>
      </c>
      <c r="S263" s="4" t="str">
        <f>HYPERLINK("http://141.218.60.56/~jnz1568/getInfo.php?workbook=01_01.xlsx&amp;sheet=A0&amp;row=263&amp;col=19&amp;number=&amp;sourceID=11","")</f>
        <v/>
      </c>
      <c r="T263" s="4" t="str">
        <f>HYPERLINK("http://141.218.60.56/~jnz1568/getInfo.php?workbook=01_01.xlsx&amp;sheet=A0&amp;row=263&amp;col=20&amp;number=&amp;sourceID=11","")</f>
        <v/>
      </c>
      <c r="U263" s="4" t="str">
        <f>HYPERLINK("http://141.218.60.56/~jnz1568/getInfo.php?workbook=01_01.xlsx&amp;sheet=A0&amp;row=263&amp;col=21&amp;number=152020&amp;sourceID=12","152020")</f>
        <v>152020</v>
      </c>
      <c r="V263" s="4" t="str">
        <f>HYPERLINK("http://141.218.60.56/~jnz1568/getInfo.php?workbook=01_01.xlsx&amp;sheet=A0&amp;row=263&amp;col=22&amp;number=152020&amp;sourceID=12","152020")</f>
        <v>152020</v>
      </c>
      <c r="W263" s="4" t="str">
        <f>HYPERLINK("http://141.218.60.56/~jnz1568/getInfo.php?workbook=01_01.xlsx&amp;sheet=A0&amp;row=263&amp;col=23&amp;number=&amp;sourceID=12","")</f>
        <v/>
      </c>
      <c r="X263" s="4" t="str">
        <f>HYPERLINK("http://141.218.60.56/~jnz1568/getInfo.php?workbook=01_01.xlsx&amp;sheet=A0&amp;row=263&amp;col=24&amp;number=9.1449e-09&amp;sourceID=12","9.1449e-09")</f>
        <v>9.1449e-09</v>
      </c>
      <c r="Y263" s="4" t="str">
        <f>HYPERLINK("http://141.218.60.56/~jnz1568/getInfo.php?workbook=01_01.xlsx&amp;sheet=A0&amp;row=263&amp;col=25&amp;number=&amp;sourceID=12","")</f>
        <v/>
      </c>
      <c r="Z263" s="4" t="str">
        <f>HYPERLINK("http://141.218.60.56/~jnz1568/getInfo.php?workbook=01_01.xlsx&amp;sheet=A0&amp;row=263&amp;col=26&amp;number=&amp;sourceID=12","")</f>
        <v/>
      </c>
      <c r="AA263" s="4" t="str">
        <f>HYPERLINK("http://141.218.60.56/~jnz1568/getInfo.php?workbook=01_01.xlsx&amp;sheet=A0&amp;row=263&amp;col=27&amp;number=&amp;sourceID=12","")</f>
        <v/>
      </c>
      <c r="AB263" s="4" t="str">
        <f>HYPERLINK("http://141.218.60.56/~jnz1568/getInfo.php?workbook=01_01.xlsx&amp;sheet=A0&amp;row=263&amp;col=28&amp;number=&amp;sourceID=18","")</f>
        <v/>
      </c>
      <c r="AC263" s="4" t="str">
        <f>HYPERLINK("http://141.218.60.56/~jnz1568/getInfo.php?workbook=01_01.xlsx&amp;sheet=A0&amp;row=263&amp;col=29&amp;number=&amp;sourceID=18","")</f>
        <v/>
      </c>
      <c r="AD263" s="4" t="str">
        <f>HYPERLINK("http://141.218.60.56/~jnz1568/getInfo.php?workbook=01_01.xlsx&amp;sheet=A0&amp;row=263&amp;col=30&amp;number=&amp;sourceID=18","")</f>
        <v/>
      </c>
      <c r="AE263" s="4" t="str">
        <f>HYPERLINK("http://141.218.60.56/~jnz1568/getInfo.php?workbook=01_01.xlsx&amp;sheet=A0&amp;row=263&amp;col=31&amp;number=&amp;sourceID=18","")</f>
        <v/>
      </c>
      <c r="AF263" s="4" t="str">
        <f>HYPERLINK("http://141.218.60.56/~jnz1568/getInfo.php?workbook=01_01.xlsx&amp;sheet=A0&amp;row=263&amp;col=32&amp;number=&amp;sourceID=18","")</f>
        <v/>
      </c>
      <c r="AG263" s="4" t="str">
        <f>HYPERLINK("http://141.218.60.56/~jnz1568/getInfo.php?workbook=01_01.xlsx&amp;sheet=A0&amp;row=263&amp;col=33&amp;number=&amp;sourceID=18","")</f>
        <v/>
      </c>
      <c r="AH263" s="4" t="str">
        <f>HYPERLINK("http://141.218.60.56/~jnz1568/getInfo.php?workbook=01_01.xlsx&amp;sheet=A0&amp;row=263&amp;col=34&amp;number=&amp;sourceID=20","")</f>
        <v/>
      </c>
    </row>
    <row r="264" spans="1:34">
      <c r="A264" s="3">
        <v>1</v>
      </c>
      <c r="B264" s="3">
        <v>1</v>
      </c>
      <c r="C264" s="3">
        <v>24</v>
      </c>
      <c r="D264" s="3">
        <v>17</v>
      </c>
      <c r="E264" s="3">
        <f>((1/(INDEX(E0!J$4:J$28,C264,1)-INDEX(E0!J$4:J$28,D264,1))))*100000000</f>
        <v>0</v>
      </c>
      <c r="F264" s="4" t="str">
        <f>HYPERLINK("http://141.218.60.56/~jnz1568/getInfo.php?workbook=01_01.xlsx&amp;sheet=A0&amp;row=264&amp;col=6&amp;number=&amp;sourceID=18","")</f>
        <v/>
      </c>
      <c r="G264" s="4" t="str">
        <f>HYPERLINK("http://141.218.60.56/~jnz1568/getInfo.php?workbook=01_01.xlsx&amp;sheet=A0&amp;row=264&amp;col=7&amp;number=&amp;sourceID=15","")</f>
        <v/>
      </c>
      <c r="H264" s="4" t="str">
        <f>HYPERLINK("http://141.218.60.56/~jnz1568/getInfo.php?workbook=01_01.xlsx&amp;sheet=A0&amp;row=264&amp;col=8&amp;number=&amp;sourceID=15","")</f>
        <v/>
      </c>
      <c r="I264" s="4" t="str">
        <f>HYPERLINK("http://141.218.60.56/~jnz1568/getInfo.php?workbook=01_01.xlsx&amp;sheet=A0&amp;row=264&amp;col=9&amp;number=&amp;sourceID=15","")</f>
        <v/>
      </c>
      <c r="J264" s="4" t="str">
        <f>HYPERLINK("http://141.218.60.56/~jnz1568/getInfo.php?workbook=01_01.xlsx&amp;sheet=A0&amp;row=264&amp;col=10&amp;number=&amp;sourceID=15","")</f>
        <v/>
      </c>
      <c r="K264" s="4" t="str">
        <f>HYPERLINK("http://141.218.60.56/~jnz1568/getInfo.php?workbook=01_01.xlsx&amp;sheet=A0&amp;row=264&amp;col=11&amp;number=&amp;sourceID=15","")</f>
        <v/>
      </c>
      <c r="L264" s="4" t="str">
        <f>HYPERLINK("http://141.218.60.56/~jnz1568/getInfo.php?workbook=01_01.xlsx&amp;sheet=A0&amp;row=264&amp;col=12&amp;number=&amp;sourceID=15","")</f>
        <v/>
      </c>
      <c r="M264" s="4" t="str">
        <f>HYPERLINK("http://141.218.60.56/~jnz1568/getInfo.php?workbook=01_01.xlsx&amp;sheet=A0&amp;row=264&amp;col=13&amp;number=&amp;sourceID=15","")</f>
        <v/>
      </c>
      <c r="N264" s="4" t="str">
        <f>HYPERLINK("http://141.218.60.56/~jnz1568/getInfo.php?workbook=01_01.xlsx&amp;sheet=A0&amp;row=264&amp;col=14&amp;number==&amp;sourceID=11","=")</f>
        <v>=</v>
      </c>
      <c r="O264" s="4" t="str">
        <f>HYPERLINK("http://141.218.60.56/~jnz1568/getInfo.php?workbook=01_01.xlsx&amp;sheet=A0&amp;row=264&amp;col=15&amp;number=&amp;sourceID=11","")</f>
        <v/>
      </c>
      <c r="P264" s="4" t="str">
        <f>HYPERLINK("http://141.218.60.56/~jnz1568/getInfo.php?workbook=01_01.xlsx&amp;sheet=A0&amp;row=264&amp;col=16&amp;number=&amp;sourceID=11","")</f>
        <v/>
      </c>
      <c r="Q264" s="4" t="str">
        <f>HYPERLINK("http://141.218.60.56/~jnz1568/getInfo.php?workbook=01_01.xlsx&amp;sheet=A0&amp;row=264&amp;col=17&amp;number=0&amp;sourceID=11","0")</f>
        <v>0</v>
      </c>
      <c r="R264" s="4" t="str">
        <f>HYPERLINK("http://141.218.60.56/~jnz1568/getInfo.php?workbook=01_01.xlsx&amp;sheet=A0&amp;row=264&amp;col=18&amp;number=&amp;sourceID=11","")</f>
        <v/>
      </c>
      <c r="S264" s="4" t="str">
        <f>HYPERLINK("http://141.218.60.56/~jnz1568/getInfo.php?workbook=01_01.xlsx&amp;sheet=A0&amp;row=264&amp;col=19&amp;number=&amp;sourceID=11","")</f>
        <v/>
      </c>
      <c r="T264" s="4" t="str">
        <f>HYPERLINK("http://141.218.60.56/~jnz1568/getInfo.php?workbook=01_01.xlsx&amp;sheet=A0&amp;row=264&amp;col=20&amp;number=&amp;sourceID=11","")</f>
        <v/>
      </c>
      <c r="U264" s="4" t="str">
        <f>HYPERLINK("http://141.218.60.56/~jnz1568/getInfo.php?workbook=01_01.xlsx&amp;sheet=A0&amp;row=264&amp;col=21&amp;number=0&amp;sourceID=12","0")</f>
        <v>0</v>
      </c>
      <c r="V264" s="4" t="str">
        <f>HYPERLINK("http://141.218.60.56/~jnz1568/getInfo.php?workbook=01_01.xlsx&amp;sheet=A0&amp;row=264&amp;col=22&amp;number=&amp;sourceID=12","")</f>
        <v/>
      </c>
      <c r="W264" s="4" t="str">
        <f>HYPERLINK("http://141.218.60.56/~jnz1568/getInfo.php?workbook=01_01.xlsx&amp;sheet=A0&amp;row=264&amp;col=23&amp;number=&amp;sourceID=12","")</f>
        <v/>
      </c>
      <c r="X264" s="4" t="str">
        <f>HYPERLINK("http://141.218.60.56/~jnz1568/getInfo.php?workbook=01_01.xlsx&amp;sheet=A0&amp;row=264&amp;col=24&amp;number=0&amp;sourceID=12","0")</f>
        <v>0</v>
      </c>
      <c r="Y264" s="4" t="str">
        <f>HYPERLINK("http://141.218.60.56/~jnz1568/getInfo.php?workbook=01_01.xlsx&amp;sheet=A0&amp;row=264&amp;col=25&amp;number=&amp;sourceID=12","")</f>
        <v/>
      </c>
      <c r="Z264" s="4" t="str">
        <f>HYPERLINK("http://141.218.60.56/~jnz1568/getInfo.php?workbook=01_01.xlsx&amp;sheet=A0&amp;row=264&amp;col=26&amp;number=&amp;sourceID=12","")</f>
        <v/>
      </c>
      <c r="AA264" s="4" t="str">
        <f>HYPERLINK("http://141.218.60.56/~jnz1568/getInfo.php?workbook=01_01.xlsx&amp;sheet=A0&amp;row=264&amp;col=27&amp;number=&amp;sourceID=12","")</f>
        <v/>
      </c>
      <c r="AB264" s="4" t="str">
        <f>HYPERLINK("http://141.218.60.56/~jnz1568/getInfo.php?workbook=01_01.xlsx&amp;sheet=A0&amp;row=264&amp;col=28&amp;number=&amp;sourceID=18","")</f>
        <v/>
      </c>
      <c r="AC264" s="4" t="str">
        <f>HYPERLINK("http://141.218.60.56/~jnz1568/getInfo.php?workbook=01_01.xlsx&amp;sheet=A0&amp;row=264&amp;col=29&amp;number=&amp;sourceID=18","")</f>
        <v/>
      </c>
      <c r="AD264" s="4" t="str">
        <f>HYPERLINK("http://141.218.60.56/~jnz1568/getInfo.php?workbook=01_01.xlsx&amp;sheet=A0&amp;row=264&amp;col=30&amp;number=&amp;sourceID=18","")</f>
        <v/>
      </c>
      <c r="AE264" s="4" t="str">
        <f>HYPERLINK("http://141.218.60.56/~jnz1568/getInfo.php?workbook=01_01.xlsx&amp;sheet=A0&amp;row=264&amp;col=31&amp;number=&amp;sourceID=18","")</f>
        <v/>
      </c>
      <c r="AF264" s="4" t="str">
        <f>HYPERLINK("http://141.218.60.56/~jnz1568/getInfo.php?workbook=01_01.xlsx&amp;sheet=A0&amp;row=264&amp;col=32&amp;number=&amp;sourceID=18","")</f>
        <v/>
      </c>
      <c r="AG264" s="4" t="str">
        <f>HYPERLINK("http://141.218.60.56/~jnz1568/getInfo.php?workbook=01_01.xlsx&amp;sheet=A0&amp;row=264&amp;col=33&amp;number=&amp;sourceID=18","")</f>
        <v/>
      </c>
      <c r="AH264" s="4" t="str">
        <f>HYPERLINK("http://141.218.60.56/~jnz1568/getInfo.php?workbook=01_01.xlsx&amp;sheet=A0&amp;row=264&amp;col=34&amp;number=&amp;sourceID=20","")</f>
        <v/>
      </c>
    </row>
    <row r="265" spans="1:34">
      <c r="A265" s="3">
        <v>1</v>
      </c>
      <c r="B265" s="3">
        <v>1</v>
      </c>
      <c r="C265" s="3">
        <v>24</v>
      </c>
      <c r="D265" s="3">
        <v>18</v>
      </c>
      <c r="E265" s="3">
        <f>((1/(INDEX(E0!J$4:J$28,C265,1)-INDEX(E0!J$4:J$28,D265,1))))*100000000</f>
        <v>0</v>
      </c>
      <c r="F265" s="4" t="str">
        <f>HYPERLINK("http://141.218.60.56/~jnz1568/getInfo.php?workbook=01_01.xlsx&amp;sheet=A0&amp;row=265&amp;col=6&amp;number=&amp;sourceID=18","")</f>
        <v/>
      </c>
      <c r="G265" s="4" t="str">
        <f>HYPERLINK("http://141.218.60.56/~jnz1568/getInfo.php?workbook=01_01.xlsx&amp;sheet=A0&amp;row=265&amp;col=7&amp;number=&amp;sourceID=15","")</f>
        <v/>
      </c>
      <c r="H265" s="4" t="str">
        <f>HYPERLINK("http://141.218.60.56/~jnz1568/getInfo.php?workbook=01_01.xlsx&amp;sheet=A0&amp;row=265&amp;col=8&amp;number=&amp;sourceID=15","")</f>
        <v/>
      </c>
      <c r="I265" s="4" t="str">
        <f>HYPERLINK("http://141.218.60.56/~jnz1568/getInfo.php?workbook=01_01.xlsx&amp;sheet=A0&amp;row=265&amp;col=9&amp;number=&amp;sourceID=15","")</f>
        <v/>
      </c>
      <c r="J265" s="4" t="str">
        <f>HYPERLINK("http://141.218.60.56/~jnz1568/getInfo.php?workbook=01_01.xlsx&amp;sheet=A0&amp;row=265&amp;col=10&amp;number=&amp;sourceID=15","")</f>
        <v/>
      </c>
      <c r="K265" s="4" t="str">
        <f>HYPERLINK("http://141.218.60.56/~jnz1568/getInfo.php?workbook=01_01.xlsx&amp;sheet=A0&amp;row=265&amp;col=11&amp;number=&amp;sourceID=15","")</f>
        <v/>
      </c>
      <c r="L265" s="4" t="str">
        <f>HYPERLINK("http://141.218.60.56/~jnz1568/getInfo.php?workbook=01_01.xlsx&amp;sheet=A0&amp;row=265&amp;col=12&amp;number=&amp;sourceID=15","")</f>
        <v/>
      </c>
      <c r="M265" s="4" t="str">
        <f>HYPERLINK("http://141.218.60.56/~jnz1568/getInfo.php?workbook=01_01.xlsx&amp;sheet=A0&amp;row=265&amp;col=13&amp;number=&amp;sourceID=15","")</f>
        <v/>
      </c>
      <c r="N265" s="4" t="str">
        <f>HYPERLINK("http://141.218.60.56/~jnz1568/getInfo.php?workbook=01_01.xlsx&amp;sheet=A0&amp;row=265&amp;col=14&amp;number==&amp;sourceID=11","=")</f>
        <v>=</v>
      </c>
      <c r="O265" s="4" t="str">
        <f>HYPERLINK("http://141.218.60.56/~jnz1568/getInfo.php?workbook=01_01.xlsx&amp;sheet=A0&amp;row=265&amp;col=15&amp;number=&amp;sourceID=11","")</f>
        <v/>
      </c>
      <c r="P265" s="4" t="str">
        <f>HYPERLINK("http://141.218.60.56/~jnz1568/getInfo.php?workbook=01_01.xlsx&amp;sheet=A0&amp;row=265&amp;col=16&amp;number=&amp;sourceID=11","")</f>
        <v/>
      </c>
      <c r="Q265" s="4" t="str">
        <f>HYPERLINK("http://141.218.60.56/~jnz1568/getInfo.php?workbook=01_01.xlsx&amp;sheet=A0&amp;row=265&amp;col=17&amp;number=&amp;sourceID=11","")</f>
        <v/>
      </c>
      <c r="R265" s="4" t="str">
        <f>HYPERLINK("http://141.218.60.56/~jnz1568/getInfo.php?workbook=01_01.xlsx&amp;sheet=A0&amp;row=265&amp;col=18&amp;number=&amp;sourceID=11","")</f>
        <v/>
      </c>
      <c r="S265" s="4" t="str">
        <f>HYPERLINK("http://141.218.60.56/~jnz1568/getInfo.php?workbook=01_01.xlsx&amp;sheet=A0&amp;row=265&amp;col=19&amp;number=&amp;sourceID=11","")</f>
        <v/>
      </c>
      <c r="T265" s="4" t="str">
        <f>HYPERLINK("http://141.218.60.56/~jnz1568/getInfo.php?workbook=01_01.xlsx&amp;sheet=A0&amp;row=265&amp;col=20&amp;number=0&amp;sourceID=11","0")</f>
        <v>0</v>
      </c>
      <c r="U265" s="4" t="str">
        <f>HYPERLINK("http://141.218.60.56/~jnz1568/getInfo.php?workbook=01_01.xlsx&amp;sheet=A0&amp;row=265&amp;col=21&amp;number=0&amp;sourceID=12","0")</f>
        <v>0</v>
      </c>
      <c r="V265" s="4" t="str">
        <f>HYPERLINK("http://141.218.60.56/~jnz1568/getInfo.php?workbook=01_01.xlsx&amp;sheet=A0&amp;row=265&amp;col=22&amp;number=&amp;sourceID=12","")</f>
        <v/>
      </c>
      <c r="W265" s="4" t="str">
        <f>HYPERLINK("http://141.218.60.56/~jnz1568/getInfo.php?workbook=01_01.xlsx&amp;sheet=A0&amp;row=265&amp;col=23&amp;number=&amp;sourceID=12","")</f>
        <v/>
      </c>
      <c r="X265" s="4" t="str">
        <f>HYPERLINK("http://141.218.60.56/~jnz1568/getInfo.php?workbook=01_01.xlsx&amp;sheet=A0&amp;row=265&amp;col=24&amp;number=&amp;sourceID=12","")</f>
        <v/>
      </c>
      <c r="Y265" s="4" t="str">
        <f>HYPERLINK("http://141.218.60.56/~jnz1568/getInfo.php?workbook=01_01.xlsx&amp;sheet=A0&amp;row=265&amp;col=25&amp;number=&amp;sourceID=12","")</f>
        <v/>
      </c>
      <c r="Z265" s="4" t="str">
        <f>HYPERLINK("http://141.218.60.56/~jnz1568/getInfo.php?workbook=01_01.xlsx&amp;sheet=A0&amp;row=265&amp;col=26&amp;number=&amp;sourceID=12","")</f>
        <v/>
      </c>
      <c r="AA265" s="4" t="str">
        <f>HYPERLINK("http://141.218.60.56/~jnz1568/getInfo.php?workbook=01_01.xlsx&amp;sheet=A0&amp;row=265&amp;col=27&amp;number=0&amp;sourceID=12","0")</f>
        <v>0</v>
      </c>
      <c r="AB265" s="4" t="str">
        <f>HYPERLINK("http://141.218.60.56/~jnz1568/getInfo.php?workbook=01_01.xlsx&amp;sheet=A0&amp;row=265&amp;col=28&amp;number=&amp;sourceID=18","")</f>
        <v/>
      </c>
      <c r="AC265" s="4" t="str">
        <f>HYPERLINK("http://141.218.60.56/~jnz1568/getInfo.php?workbook=01_01.xlsx&amp;sheet=A0&amp;row=265&amp;col=29&amp;number=&amp;sourceID=18","")</f>
        <v/>
      </c>
      <c r="AD265" s="4" t="str">
        <f>HYPERLINK("http://141.218.60.56/~jnz1568/getInfo.php?workbook=01_01.xlsx&amp;sheet=A0&amp;row=265&amp;col=30&amp;number=&amp;sourceID=18","")</f>
        <v/>
      </c>
      <c r="AE265" s="4" t="str">
        <f>HYPERLINK("http://141.218.60.56/~jnz1568/getInfo.php?workbook=01_01.xlsx&amp;sheet=A0&amp;row=265&amp;col=31&amp;number=&amp;sourceID=18","")</f>
        <v/>
      </c>
      <c r="AF265" s="4" t="str">
        <f>HYPERLINK("http://141.218.60.56/~jnz1568/getInfo.php?workbook=01_01.xlsx&amp;sheet=A0&amp;row=265&amp;col=32&amp;number=&amp;sourceID=18","")</f>
        <v/>
      </c>
      <c r="AG265" s="4" t="str">
        <f>HYPERLINK("http://141.218.60.56/~jnz1568/getInfo.php?workbook=01_01.xlsx&amp;sheet=A0&amp;row=265&amp;col=33&amp;number=&amp;sourceID=18","")</f>
        <v/>
      </c>
      <c r="AH265" s="4" t="str">
        <f>HYPERLINK("http://141.218.60.56/~jnz1568/getInfo.php?workbook=01_01.xlsx&amp;sheet=A0&amp;row=265&amp;col=34&amp;number=&amp;sourceID=20","")</f>
        <v/>
      </c>
    </row>
    <row r="266" spans="1:34">
      <c r="A266" s="3">
        <v>1</v>
      </c>
      <c r="B266" s="3">
        <v>1</v>
      </c>
      <c r="C266" s="3">
        <v>24</v>
      </c>
      <c r="D266" s="3">
        <v>19</v>
      </c>
      <c r="E266" s="3">
        <f>((1/(INDEX(E0!J$4:J$28,C266,1)-INDEX(E0!J$4:J$28,D266,1))))*100000000</f>
        <v>0</v>
      </c>
      <c r="F266" s="4" t="str">
        <f>HYPERLINK("http://141.218.60.56/~jnz1568/getInfo.php?workbook=01_01.xlsx&amp;sheet=A0&amp;row=266&amp;col=6&amp;number=&amp;sourceID=18","")</f>
        <v/>
      </c>
      <c r="G266" s="4" t="str">
        <f>HYPERLINK("http://141.218.60.56/~jnz1568/getInfo.php?workbook=01_01.xlsx&amp;sheet=A0&amp;row=266&amp;col=7&amp;number=&amp;sourceID=15","")</f>
        <v/>
      </c>
      <c r="H266" s="4" t="str">
        <f>HYPERLINK("http://141.218.60.56/~jnz1568/getInfo.php?workbook=01_01.xlsx&amp;sheet=A0&amp;row=266&amp;col=8&amp;number=&amp;sourceID=15","")</f>
        <v/>
      </c>
      <c r="I266" s="4" t="str">
        <f>HYPERLINK("http://141.218.60.56/~jnz1568/getInfo.php?workbook=01_01.xlsx&amp;sheet=A0&amp;row=266&amp;col=9&amp;number=&amp;sourceID=15","")</f>
        <v/>
      </c>
      <c r="J266" s="4" t="str">
        <f>HYPERLINK("http://141.218.60.56/~jnz1568/getInfo.php?workbook=01_01.xlsx&amp;sheet=A0&amp;row=266&amp;col=10&amp;number=&amp;sourceID=15","")</f>
        <v/>
      </c>
      <c r="K266" s="4" t="str">
        <f>HYPERLINK("http://141.218.60.56/~jnz1568/getInfo.php?workbook=01_01.xlsx&amp;sheet=A0&amp;row=266&amp;col=11&amp;number=&amp;sourceID=15","")</f>
        <v/>
      </c>
      <c r="L266" s="4" t="str">
        <f>HYPERLINK("http://141.218.60.56/~jnz1568/getInfo.php?workbook=01_01.xlsx&amp;sheet=A0&amp;row=266&amp;col=12&amp;number=&amp;sourceID=15","")</f>
        <v/>
      </c>
      <c r="M266" s="4" t="str">
        <f>HYPERLINK("http://141.218.60.56/~jnz1568/getInfo.php?workbook=01_01.xlsx&amp;sheet=A0&amp;row=266&amp;col=13&amp;number=&amp;sourceID=15","")</f>
        <v/>
      </c>
      <c r="N266" s="4" t="str">
        <f>HYPERLINK("http://141.218.60.56/~jnz1568/getInfo.php?workbook=01_01.xlsx&amp;sheet=A0&amp;row=266&amp;col=14&amp;number==&amp;sourceID=11","=")</f>
        <v>=</v>
      </c>
      <c r="O266" s="4" t="str">
        <f>HYPERLINK("http://141.218.60.56/~jnz1568/getInfo.php?workbook=01_01.xlsx&amp;sheet=A0&amp;row=266&amp;col=15&amp;number=&amp;sourceID=11","")</f>
        <v/>
      </c>
      <c r="P266" s="4" t="str">
        <f>HYPERLINK("http://141.218.60.56/~jnz1568/getInfo.php?workbook=01_01.xlsx&amp;sheet=A0&amp;row=266&amp;col=16&amp;number=0&amp;sourceID=11","0")</f>
        <v>0</v>
      </c>
      <c r="Q266" s="4" t="str">
        <f>HYPERLINK("http://141.218.60.56/~jnz1568/getInfo.php?workbook=01_01.xlsx&amp;sheet=A0&amp;row=266&amp;col=17&amp;number=&amp;sourceID=11","")</f>
        <v/>
      </c>
      <c r="R266" s="4" t="str">
        <f>HYPERLINK("http://141.218.60.56/~jnz1568/getInfo.php?workbook=01_01.xlsx&amp;sheet=A0&amp;row=266&amp;col=18&amp;number=&amp;sourceID=11","")</f>
        <v/>
      </c>
      <c r="S266" s="4" t="str">
        <f>HYPERLINK("http://141.218.60.56/~jnz1568/getInfo.php?workbook=01_01.xlsx&amp;sheet=A0&amp;row=266&amp;col=19&amp;number=&amp;sourceID=11","")</f>
        <v/>
      </c>
      <c r="T266" s="4" t="str">
        <f>HYPERLINK("http://141.218.60.56/~jnz1568/getInfo.php?workbook=01_01.xlsx&amp;sheet=A0&amp;row=266&amp;col=20&amp;number=0&amp;sourceID=11","0")</f>
        <v>0</v>
      </c>
      <c r="U266" s="4" t="str">
        <f>HYPERLINK("http://141.218.60.56/~jnz1568/getInfo.php?workbook=01_01.xlsx&amp;sheet=A0&amp;row=266&amp;col=21&amp;number=0&amp;sourceID=12","0")</f>
        <v>0</v>
      </c>
      <c r="V266" s="4" t="str">
        <f>HYPERLINK("http://141.218.60.56/~jnz1568/getInfo.php?workbook=01_01.xlsx&amp;sheet=A0&amp;row=266&amp;col=22&amp;number=&amp;sourceID=12","")</f>
        <v/>
      </c>
      <c r="W266" s="4" t="str">
        <f>HYPERLINK("http://141.218.60.56/~jnz1568/getInfo.php?workbook=01_01.xlsx&amp;sheet=A0&amp;row=266&amp;col=23&amp;number=0&amp;sourceID=12","0")</f>
        <v>0</v>
      </c>
      <c r="X266" s="4" t="str">
        <f>HYPERLINK("http://141.218.60.56/~jnz1568/getInfo.php?workbook=01_01.xlsx&amp;sheet=A0&amp;row=266&amp;col=24&amp;number=&amp;sourceID=12","")</f>
        <v/>
      </c>
      <c r="Y266" s="4" t="str">
        <f>HYPERLINK("http://141.218.60.56/~jnz1568/getInfo.php?workbook=01_01.xlsx&amp;sheet=A0&amp;row=266&amp;col=25&amp;number=&amp;sourceID=12","")</f>
        <v/>
      </c>
      <c r="Z266" s="4" t="str">
        <f>HYPERLINK("http://141.218.60.56/~jnz1568/getInfo.php?workbook=01_01.xlsx&amp;sheet=A0&amp;row=266&amp;col=26&amp;number=&amp;sourceID=12","")</f>
        <v/>
      </c>
      <c r="AA266" s="4" t="str">
        <f>HYPERLINK("http://141.218.60.56/~jnz1568/getInfo.php?workbook=01_01.xlsx&amp;sheet=A0&amp;row=266&amp;col=27&amp;number=0&amp;sourceID=12","0")</f>
        <v>0</v>
      </c>
      <c r="AB266" s="4" t="str">
        <f>HYPERLINK("http://141.218.60.56/~jnz1568/getInfo.php?workbook=01_01.xlsx&amp;sheet=A0&amp;row=266&amp;col=28&amp;number=&amp;sourceID=18","")</f>
        <v/>
      </c>
      <c r="AC266" s="4" t="str">
        <f>HYPERLINK("http://141.218.60.56/~jnz1568/getInfo.php?workbook=01_01.xlsx&amp;sheet=A0&amp;row=266&amp;col=29&amp;number=&amp;sourceID=18","")</f>
        <v/>
      </c>
      <c r="AD266" s="4" t="str">
        <f>HYPERLINK("http://141.218.60.56/~jnz1568/getInfo.php?workbook=01_01.xlsx&amp;sheet=A0&amp;row=266&amp;col=30&amp;number=&amp;sourceID=18","")</f>
        <v/>
      </c>
      <c r="AE266" s="4" t="str">
        <f>HYPERLINK("http://141.218.60.56/~jnz1568/getInfo.php?workbook=01_01.xlsx&amp;sheet=A0&amp;row=266&amp;col=31&amp;number=&amp;sourceID=18","")</f>
        <v/>
      </c>
      <c r="AF266" s="4" t="str">
        <f>HYPERLINK("http://141.218.60.56/~jnz1568/getInfo.php?workbook=01_01.xlsx&amp;sheet=A0&amp;row=266&amp;col=32&amp;number=&amp;sourceID=18","")</f>
        <v/>
      </c>
      <c r="AG266" s="4" t="str">
        <f>HYPERLINK("http://141.218.60.56/~jnz1568/getInfo.php?workbook=01_01.xlsx&amp;sheet=A0&amp;row=266&amp;col=33&amp;number=&amp;sourceID=18","")</f>
        <v/>
      </c>
      <c r="AH266" s="4" t="str">
        <f>HYPERLINK("http://141.218.60.56/~jnz1568/getInfo.php?workbook=01_01.xlsx&amp;sheet=A0&amp;row=266&amp;col=34&amp;number=&amp;sourceID=20","")</f>
        <v/>
      </c>
    </row>
    <row r="267" spans="1:34">
      <c r="A267" s="3">
        <v>1</v>
      </c>
      <c r="B267" s="3">
        <v>1</v>
      </c>
      <c r="C267" s="3">
        <v>24</v>
      </c>
      <c r="D267" s="3">
        <v>20</v>
      </c>
      <c r="E267" s="3">
        <f>((1/(INDEX(E0!J$4:J$28,C267,1)-INDEX(E0!J$4:J$28,D267,1))))*100000000</f>
        <v>0</v>
      </c>
      <c r="F267" s="4" t="str">
        <f>HYPERLINK("http://141.218.60.56/~jnz1568/getInfo.php?workbook=01_01.xlsx&amp;sheet=A0&amp;row=267&amp;col=6&amp;number=&amp;sourceID=18","")</f>
        <v/>
      </c>
      <c r="G267" s="4" t="str">
        <f>HYPERLINK("http://141.218.60.56/~jnz1568/getInfo.php?workbook=01_01.xlsx&amp;sheet=A0&amp;row=267&amp;col=7&amp;number=&amp;sourceID=15","")</f>
        <v/>
      </c>
      <c r="H267" s="4" t="str">
        <f>HYPERLINK("http://141.218.60.56/~jnz1568/getInfo.php?workbook=01_01.xlsx&amp;sheet=A0&amp;row=267&amp;col=8&amp;number=&amp;sourceID=15","")</f>
        <v/>
      </c>
      <c r="I267" s="4" t="str">
        <f>HYPERLINK("http://141.218.60.56/~jnz1568/getInfo.php?workbook=01_01.xlsx&amp;sheet=A0&amp;row=267&amp;col=9&amp;number=&amp;sourceID=15","")</f>
        <v/>
      </c>
      <c r="J267" s="4" t="str">
        <f>HYPERLINK("http://141.218.60.56/~jnz1568/getInfo.php?workbook=01_01.xlsx&amp;sheet=A0&amp;row=267&amp;col=10&amp;number=&amp;sourceID=15","")</f>
        <v/>
      </c>
      <c r="K267" s="4" t="str">
        <f>HYPERLINK("http://141.218.60.56/~jnz1568/getInfo.php?workbook=01_01.xlsx&amp;sheet=A0&amp;row=267&amp;col=11&amp;number=&amp;sourceID=15","")</f>
        <v/>
      </c>
      <c r="L267" s="4" t="str">
        <f>HYPERLINK("http://141.218.60.56/~jnz1568/getInfo.php?workbook=01_01.xlsx&amp;sheet=A0&amp;row=267&amp;col=12&amp;number=&amp;sourceID=15","")</f>
        <v/>
      </c>
      <c r="M267" s="4" t="str">
        <f>HYPERLINK("http://141.218.60.56/~jnz1568/getInfo.php?workbook=01_01.xlsx&amp;sheet=A0&amp;row=267&amp;col=13&amp;number=&amp;sourceID=15","")</f>
        <v/>
      </c>
      <c r="N267" s="4" t="str">
        <f>HYPERLINK("http://141.218.60.56/~jnz1568/getInfo.php?workbook=01_01.xlsx&amp;sheet=A0&amp;row=267&amp;col=14&amp;number==&amp;sourceID=11","=")</f>
        <v>=</v>
      </c>
      <c r="O267" s="4" t="str">
        <f>HYPERLINK("http://141.218.60.56/~jnz1568/getInfo.php?workbook=01_01.xlsx&amp;sheet=A0&amp;row=267&amp;col=15&amp;number=&amp;sourceID=11","")</f>
        <v/>
      </c>
      <c r="P267" s="4" t="str">
        <f>HYPERLINK("http://141.218.60.56/~jnz1568/getInfo.php?workbook=01_01.xlsx&amp;sheet=A0&amp;row=267&amp;col=16&amp;number=&amp;sourceID=11","")</f>
        <v/>
      </c>
      <c r="Q267" s="4" t="str">
        <f>HYPERLINK("http://141.218.60.56/~jnz1568/getInfo.php?workbook=01_01.xlsx&amp;sheet=A0&amp;row=267&amp;col=17&amp;number=0&amp;sourceID=11","0")</f>
        <v>0</v>
      </c>
      <c r="R267" s="4" t="str">
        <f>HYPERLINK("http://141.218.60.56/~jnz1568/getInfo.php?workbook=01_01.xlsx&amp;sheet=A0&amp;row=267&amp;col=18&amp;number=&amp;sourceID=11","")</f>
        <v/>
      </c>
      <c r="S267" s="4" t="str">
        <f>HYPERLINK("http://141.218.60.56/~jnz1568/getInfo.php?workbook=01_01.xlsx&amp;sheet=A0&amp;row=267&amp;col=19&amp;number=0&amp;sourceID=11","0")</f>
        <v>0</v>
      </c>
      <c r="T267" s="4" t="str">
        <f>HYPERLINK("http://141.218.60.56/~jnz1568/getInfo.php?workbook=01_01.xlsx&amp;sheet=A0&amp;row=267&amp;col=20&amp;number=&amp;sourceID=11","")</f>
        <v/>
      </c>
      <c r="U267" s="4" t="str">
        <f>HYPERLINK("http://141.218.60.56/~jnz1568/getInfo.php?workbook=01_01.xlsx&amp;sheet=A0&amp;row=267&amp;col=21&amp;number=0&amp;sourceID=12","0")</f>
        <v>0</v>
      </c>
      <c r="V267" s="4" t="str">
        <f>HYPERLINK("http://141.218.60.56/~jnz1568/getInfo.php?workbook=01_01.xlsx&amp;sheet=A0&amp;row=267&amp;col=22&amp;number=&amp;sourceID=12","")</f>
        <v/>
      </c>
      <c r="W267" s="4" t="str">
        <f>HYPERLINK("http://141.218.60.56/~jnz1568/getInfo.php?workbook=01_01.xlsx&amp;sheet=A0&amp;row=267&amp;col=23&amp;number=&amp;sourceID=12","")</f>
        <v/>
      </c>
      <c r="X267" s="4" t="str">
        <f>HYPERLINK("http://141.218.60.56/~jnz1568/getInfo.php?workbook=01_01.xlsx&amp;sheet=A0&amp;row=267&amp;col=24&amp;number=0&amp;sourceID=12","0")</f>
        <v>0</v>
      </c>
      <c r="Y267" s="4" t="str">
        <f>HYPERLINK("http://141.218.60.56/~jnz1568/getInfo.php?workbook=01_01.xlsx&amp;sheet=A0&amp;row=267&amp;col=25&amp;number=&amp;sourceID=12","")</f>
        <v/>
      </c>
      <c r="Z267" s="4" t="str">
        <f>HYPERLINK("http://141.218.60.56/~jnz1568/getInfo.php?workbook=01_01.xlsx&amp;sheet=A0&amp;row=267&amp;col=26&amp;number=0&amp;sourceID=12","0")</f>
        <v>0</v>
      </c>
      <c r="AA267" s="4" t="str">
        <f>HYPERLINK("http://141.218.60.56/~jnz1568/getInfo.php?workbook=01_01.xlsx&amp;sheet=A0&amp;row=267&amp;col=27&amp;number=&amp;sourceID=12","")</f>
        <v/>
      </c>
      <c r="AB267" s="4" t="str">
        <f>HYPERLINK("http://141.218.60.56/~jnz1568/getInfo.php?workbook=01_01.xlsx&amp;sheet=A0&amp;row=267&amp;col=28&amp;number=&amp;sourceID=18","")</f>
        <v/>
      </c>
      <c r="AC267" s="4" t="str">
        <f>HYPERLINK("http://141.218.60.56/~jnz1568/getInfo.php?workbook=01_01.xlsx&amp;sheet=A0&amp;row=267&amp;col=29&amp;number=&amp;sourceID=18","")</f>
        <v/>
      </c>
      <c r="AD267" s="4" t="str">
        <f>HYPERLINK("http://141.218.60.56/~jnz1568/getInfo.php?workbook=01_01.xlsx&amp;sheet=A0&amp;row=267&amp;col=30&amp;number=&amp;sourceID=18","")</f>
        <v/>
      </c>
      <c r="AE267" s="4" t="str">
        <f>HYPERLINK("http://141.218.60.56/~jnz1568/getInfo.php?workbook=01_01.xlsx&amp;sheet=A0&amp;row=267&amp;col=31&amp;number=&amp;sourceID=18","")</f>
        <v/>
      </c>
      <c r="AF267" s="4" t="str">
        <f>HYPERLINK("http://141.218.60.56/~jnz1568/getInfo.php?workbook=01_01.xlsx&amp;sheet=A0&amp;row=267&amp;col=32&amp;number=&amp;sourceID=18","")</f>
        <v/>
      </c>
      <c r="AG267" s="4" t="str">
        <f>HYPERLINK("http://141.218.60.56/~jnz1568/getInfo.php?workbook=01_01.xlsx&amp;sheet=A0&amp;row=267&amp;col=33&amp;number=&amp;sourceID=18","")</f>
        <v/>
      </c>
      <c r="AH267" s="4" t="str">
        <f>HYPERLINK("http://141.218.60.56/~jnz1568/getInfo.php?workbook=01_01.xlsx&amp;sheet=A0&amp;row=267&amp;col=34&amp;number=&amp;sourceID=20","")</f>
        <v/>
      </c>
    </row>
    <row r="268" spans="1:34">
      <c r="A268" s="3">
        <v>1</v>
      </c>
      <c r="B268" s="3">
        <v>1</v>
      </c>
      <c r="C268" s="3">
        <v>24</v>
      </c>
      <c r="D268" s="3">
        <v>21</v>
      </c>
      <c r="E268" s="3">
        <f>((1/(INDEX(E0!J$4:J$28,C268,1)-INDEX(E0!J$4:J$28,D268,1))))*100000000</f>
        <v>0</v>
      </c>
      <c r="F268" s="4" t="str">
        <f>HYPERLINK("http://141.218.60.56/~jnz1568/getInfo.php?workbook=01_01.xlsx&amp;sheet=A0&amp;row=268&amp;col=6&amp;number=&amp;sourceID=18","")</f>
        <v/>
      </c>
      <c r="G268" s="4" t="str">
        <f>HYPERLINK("http://141.218.60.56/~jnz1568/getInfo.php?workbook=01_01.xlsx&amp;sheet=A0&amp;row=268&amp;col=7&amp;number=&amp;sourceID=15","")</f>
        <v/>
      </c>
      <c r="H268" s="4" t="str">
        <f>HYPERLINK("http://141.218.60.56/~jnz1568/getInfo.php?workbook=01_01.xlsx&amp;sheet=A0&amp;row=268&amp;col=8&amp;number=&amp;sourceID=15","")</f>
        <v/>
      </c>
      <c r="I268" s="4" t="str">
        <f>HYPERLINK("http://141.218.60.56/~jnz1568/getInfo.php?workbook=01_01.xlsx&amp;sheet=A0&amp;row=268&amp;col=9&amp;number=&amp;sourceID=15","")</f>
        <v/>
      </c>
      <c r="J268" s="4" t="str">
        <f>HYPERLINK("http://141.218.60.56/~jnz1568/getInfo.php?workbook=01_01.xlsx&amp;sheet=A0&amp;row=268&amp;col=10&amp;number=&amp;sourceID=15","")</f>
        <v/>
      </c>
      <c r="K268" s="4" t="str">
        <f>HYPERLINK("http://141.218.60.56/~jnz1568/getInfo.php?workbook=01_01.xlsx&amp;sheet=A0&amp;row=268&amp;col=11&amp;number=&amp;sourceID=15","")</f>
        <v/>
      </c>
      <c r="L268" s="4" t="str">
        <f>HYPERLINK("http://141.218.60.56/~jnz1568/getInfo.php?workbook=01_01.xlsx&amp;sheet=A0&amp;row=268&amp;col=12&amp;number=&amp;sourceID=15","")</f>
        <v/>
      </c>
      <c r="M268" s="4" t="str">
        <f>HYPERLINK("http://141.218.60.56/~jnz1568/getInfo.php?workbook=01_01.xlsx&amp;sheet=A0&amp;row=268&amp;col=13&amp;number=&amp;sourceID=15","")</f>
        <v/>
      </c>
      <c r="N268" s="4" t="str">
        <f>HYPERLINK("http://141.218.60.56/~jnz1568/getInfo.php?workbook=01_01.xlsx&amp;sheet=A0&amp;row=268&amp;col=14&amp;number==&amp;sourceID=11","=")</f>
        <v>=</v>
      </c>
      <c r="O268" s="4" t="str">
        <f>HYPERLINK("http://141.218.60.56/~jnz1568/getInfo.php?workbook=01_01.xlsx&amp;sheet=A0&amp;row=268&amp;col=15&amp;number=&amp;sourceID=11","")</f>
        <v/>
      </c>
      <c r="P268" s="4" t="str">
        <f>HYPERLINK("http://141.218.60.56/~jnz1568/getInfo.php?workbook=01_01.xlsx&amp;sheet=A0&amp;row=268&amp;col=16&amp;number=0&amp;sourceID=11","0")</f>
        <v>0</v>
      </c>
      <c r="Q268" s="4" t="str">
        <f>HYPERLINK("http://141.218.60.56/~jnz1568/getInfo.php?workbook=01_01.xlsx&amp;sheet=A0&amp;row=268&amp;col=17&amp;number=&amp;sourceID=11","")</f>
        <v/>
      </c>
      <c r="R268" s="4" t="str">
        <f>HYPERLINK("http://141.218.60.56/~jnz1568/getInfo.php?workbook=01_01.xlsx&amp;sheet=A0&amp;row=268&amp;col=18&amp;number=0&amp;sourceID=11","0")</f>
        <v>0</v>
      </c>
      <c r="S268" s="4" t="str">
        <f>HYPERLINK("http://141.218.60.56/~jnz1568/getInfo.php?workbook=01_01.xlsx&amp;sheet=A0&amp;row=268&amp;col=19&amp;number=&amp;sourceID=11","")</f>
        <v/>
      </c>
      <c r="T268" s="4" t="str">
        <f>HYPERLINK("http://141.218.60.56/~jnz1568/getInfo.php?workbook=01_01.xlsx&amp;sheet=A0&amp;row=268&amp;col=20&amp;number=0&amp;sourceID=11","0")</f>
        <v>0</v>
      </c>
      <c r="U268" s="4" t="str">
        <f>HYPERLINK("http://141.218.60.56/~jnz1568/getInfo.php?workbook=01_01.xlsx&amp;sheet=A0&amp;row=268&amp;col=21&amp;number=0&amp;sourceID=12","0")</f>
        <v>0</v>
      </c>
      <c r="V268" s="4" t="str">
        <f>HYPERLINK("http://141.218.60.56/~jnz1568/getInfo.php?workbook=01_01.xlsx&amp;sheet=A0&amp;row=268&amp;col=22&amp;number=&amp;sourceID=12","")</f>
        <v/>
      </c>
      <c r="W268" s="4" t="str">
        <f>HYPERLINK("http://141.218.60.56/~jnz1568/getInfo.php?workbook=01_01.xlsx&amp;sheet=A0&amp;row=268&amp;col=23&amp;number=0&amp;sourceID=12","0")</f>
        <v>0</v>
      </c>
      <c r="X268" s="4" t="str">
        <f>HYPERLINK("http://141.218.60.56/~jnz1568/getInfo.php?workbook=01_01.xlsx&amp;sheet=A0&amp;row=268&amp;col=24&amp;number=&amp;sourceID=12","")</f>
        <v/>
      </c>
      <c r="Y268" s="4" t="str">
        <f>HYPERLINK("http://141.218.60.56/~jnz1568/getInfo.php?workbook=01_01.xlsx&amp;sheet=A0&amp;row=268&amp;col=25&amp;number=0&amp;sourceID=12","0")</f>
        <v>0</v>
      </c>
      <c r="Z268" s="4" t="str">
        <f>HYPERLINK("http://141.218.60.56/~jnz1568/getInfo.php?workbook=01_01.xlsx&amp;sheet=A0&amp;row=268&amp;col=26&amp;number=&amp;sourceID=12","")</f>
        <v/>
      </c>
      <c r="AA268" s="4" t="str">
        <f>HYPERLINK("http://141.218.60.56/~jnz1568/getInfo.php?workbook=01_01.xlsx&amp;sheet=A0&amp;row=268&amp;col=27&amp;number=0&amp;sourceID=12","0")</f>
        <v>0</v>
      </c>
      <c r="AB268" s="4" t="str">
        <f>HYPERLINK("http://141.218.60.56/~jnz1568/getInfo.php?workbook=01_01.xlsx&amp;sheet=A0&amp;row=268&amp;col=28&amp;number=&amp;sourceID=18","")</f>
        <v/>
      </c>
      <c r="AC268" s="4" t="str">
        <f>HYPERLINK("http://141.218.60.56/~jnz1568/getInfo.php?workbook=01_01.xlsx&amp;sheet=A0&amp;row=268&amp;col=29&amp;number=&amp;sourceID=18","")</f>
        <v/>
      </c>
      <c r="AD268" s="4" t="str">
        <f>HYPERLINK("http://141.218.60.56/~jnz1568/getInfo.php?workbook=01_01.xlsx&amp;sheet=A0&amp;row=268&amp;col=30&amp;number=&amp;sourceID=18","")</f>
        <v/>
      </c>
      <c r="AE268" s="4" t="str">
        <f>HYPERLINK("http://141.218.60.56/~jnz1568/getInfo.php?workbook=01_01.xlsx&amp;sheet=A0&amp;row=268&amp;col=31&amp;number=&amp;sourceID=18","")</f>
        <v/>
      </c>
      <c r="AF268" s="4" t="str">
        <f>HYPERLINK("http://141.218.60.56/~jnz1568/getInfo.php?workbook=01_01.xlsx&amp;sheet=A0&amp;row=268&amp;col=32&amp;number=&amp;sourceID=18","")</f>
        <v/>
      </c>
      <c r="AG268" s="4" t="str">
        <f>HYPERLINK("http://141.218.60.56/~jnz1568/getInfo.php?workbook=01_01.xlsx&amp;sheet=A0&amp;row=268&amp;col=33&amp;number=&amp;sourceID=18","")</f>
        <v/>
      </c>
      <c r="AH268" s="4" t="str">
        <f>HYPERLINK("http://141.218.60.56/~jnz1568/getInfo.php?workbook=01_01.xlsx&amp;sheet=A0&amp;row=268&amp;col=34&amp;number=&amp;sourceID=20","")</f>
        <v/>
      </c>
    </row>
    <row r="269" spans="1:34">
      <c r="A269" s="3">
        <v>1</v>
      </c>
      <c r="B269" s="3">
        <v>1</v>
      </c>
      <c r="C269" s="3">
        <v>24</v>
      </c>
      <c r="D269" s="3">
        <v>22</v>
      </c>
      <c r="E269" s="3">
        <f>((1/(INDEX(E0!J$4:J$28,C269,1)-INDEX(E0!J$4:J$28,D269,1))))*100000000</f>
        <v>0</v>
      </c>
      <c r="F269" s="4" t="str">
        <f>HYPERLINK("http://141.218.60.56/~jnz1568/getInfo.php?workbook=01_01.xlsx&amp;sheet=A0&amp;row=269&amp;col=6&amp;number=&amp;sourceID=18","")</f>
        <v/>
      </c>
      <c r="G269" s="4" t="str">
        <f>HYPERLINK("http://141.218.60.56/~jnz1568/getInfo.php?workbook=01_01.xlsx&amp;sheet=A0&amp;row=269&amp;col=7&amp;number=&amp;sourceID=15","")</f>
        <v/>
      </c>
      <c r="H269" s="4" t="str">
        <f>HYPERLINK("http://141.218.60.56/~jnz1568/getInfo.php?workbook=01_01.xlsx&amp;sheet=A0&amp;row=269&amp;col=8&amp;number=&amp;sourceID=15","")</f>
        <v/>
      </c>
      <c r="I269" s="4" t="str">
        <f>HYPERLINK("http://141.218.60.56/~jnz1568/getInfo.php?workbook=01_01.xlsx&amp;sheet=A0&amp;row=269&amp;col=9&amp;number=&amp;sourceID=15","")</f>
        <v/>
      </c>
      <c r="J269" s="4" t="str">
        <f>HYPERLINK("http://141.218.60.56/~jnz1568/getInfo.php?workbook=01_01.xlsx&amp;sheet=A0&amp;row=269&amp;col=10&amp;number=&amp;sourceID=15","")</f>
        <v/>
      </c>
      <c r="K269" s="4" t="str">
        <f>HYPERLINK("http://141.218.60.56/~jnz1568/getInfo.php?workbook=01_01.xlsx&amp;sheet=A0&amp;row=269&amp;col=11&amp;number=&amp;sourceID=15","")</f>
        <v/>
      </c>
      <c r="L269" s="4" t="str">
        <f>HYPERLINK("http://141.218.60.56/~jnz1568/getInfo.php?workbook=01_01.xlsx&amp;sheet=A0&amp;row=269&amp;col=12&amp;number=&amp;sourceID=15","")</f>
        <v/>
      </c>
      <c r="M269" s="4" t="str">
        <f>HYPERLINK("http://141.218.60.56/~jnz1568/getInfo.php?workbook=01_01.xlsx&amp;sheet=A0&amp;row=269&amp;col=13&amp;number=&amp;sourceID=15","")</f>
        <v/>
      </c>
      <c r="N269" s="4" t="str">
        <f>HYPERLINK("http://141.218.60.56/~jnz1568/getInfo.php?workbook=01_01.xlsx&amp;sheet=A0&amp;row=269&amp;col=14&amp;number==&amp;sourceID=11","=")</f>
        <v>=</v>
      </c>
      <c r="O269" s="4" t="str">
        <f>HYPERLINK("http://141.218.60.56/~jnz1568/getInfo.php?workbook=01_01.xlsx&amp;sheet=A0&amp;row=269&amp;col=15&amp;number=2.5978e-11&amp;sourceID=11","2.5978e-11")</f>
        <v>2.5978e-11</v>
      </c>
      <c r="P269" s="4" t="str">
        <f>HYPERLINK("http://141.218.60.56/~jnz1568/getInfo.php?workbook=01_01.xlsx&amp;sheet=A0&amp;row=269&amp;col=16&amp;number=&amp;sourceID=11","")</f>
        <v/>
      </c>
      <c r="Q269" s="4" t="str">
        <f>HYPERLINK("http://141.218.60.56/~jnz1568/getInfo.php?workbook=01_01.xlsx&amp;sheet=A0&amp;row=269&amp;col=17&amp;number=0&amp;sourceID=11","0")</f>
        <v>0</v>
      </c>
      <c r="R269" s="4" t="str">
        <f>HYPERLINK("http://141.218.60.56/~jnz1568/getInfo.php?workbook=01_01.xlsx&amp;sheet=A0&amp;row=269&amp;col=18&amp;number=&amp;sourceID=11","")</f>
        <v/>
      </c>
      <c r="S269" s="4" t="str">
        <f>HYPERLINK("http://141.218.60.56/~jnz1568/getInfo.php?workbook=01_01.xlsx&amp;sheet=A0&amp;row=269&amp;col=19&amp;number=0&amp;sourceID=11","0")</f>
        <v>0</v>
      </c>
      <c r="T269" s="4" t="str">
        <f>HYPERLINK("http://141.218.60.56/~jnz1568/getInfo.php?workbook=01_01.xlsx&amp;sheet=A0&amp;row=269&amp;col=20&amp;number=&amp;sourceID=11","")</f>
        <v/>
      </c>
      <c r="U269" s="4" t="str">
        <f>HYPERLINK("http://141.218.60.56/~jnz1568/getInfo.php?workbook=01_01.xlsx&amp;sheet=A0&amp;row=269&amp;col=21&amp;number=2.6312e-11&amp;sourceID=12","2.6312e-11")</f>
        <v>2.6312e-11</v>
      </c>
      <c r="V269" s="4" t="str">
        <f>HYPERLINK("http://141.218.60.56/~jnz1568/getInfo.php?workbook=01_01.xlsx&amp;sheet=A0&amp;row=269&amp;col=22&amp;number=2.6312e-11&amp;sourceID=12","2.6312e-11")</f>
        <v>2.6312e-11</v>
      </c>
      <c r="W269" s="4" t="str">
        <f>HYPERLINK("http://141.218.60.56/~jnz1568/getInfo.php?workbook=01_01.xlsx&amp;sheet=A0&amp;row=269&amp;col=23&amp;number=&amp;sourceID=12","")</f>
        <v/>
      </c>
      <c r="X269" s="4" t="str">
        <f>HYPERLINK("http://141.218.60.56/~jnz1568/getInfo.php?workbook=01_01.xlsx&amp;sheet=A0&amp;row=269&amp;col=24&amp;number=0&amp;sourceID=12","0")</f>
        <v>0</v>
      </c>
      <c r="Y269" s="4" t="str">
        <f>HYPERLINK("http://141.218.60.56/~jnz1568/getInfo.php?workbook=01_01.xlsx&amp;sheet=A0&amp;row=269&amp;col=25&amp;number=&amp;sourceID=12","")</f>
        <v/>
      </c>
      <c r="Z269" s="4" t="str">
        <f>HYPERLINK("http://141.218.60.56/~jnz1568/getInfo.php?workbook=01_01.xlsx&amp;sheet=A0&amp;row=269&amp;col=26&amp;number=0&amp;sourceID=12","0")</f>
        <v>0</v>
      </c>
      <c r="AA269" s="4" t="str">
        <f>HYPERLINK("http://141.218.60.56/~jnz1568/getInfo.php?workbook=01_01.xlsx&amp;sheet=A0&amp;row=269&amp;col=27&amp;number=&amp;sourceID=12","")</f>
        <v/>
      </c>
      <c r="AB269" s="4" t="str">
        <f>HYPERLINK("http://141.218.60.56/~jnz1568/getInfo.php?workbook=01_01.xlsx&amp;sheet=A0&amp;row=269&amp;col=28&amp;number=&amp;sourceID=18","")</f>
        <v/>
      </c>
      <c r="AC269" s="4" t="str">
        <f>HYPERLINK("http://141.218.60.56/~jnz1568/getInfo.php?workbook=01_01.xlsx&amp;sheet=A0&amp;row=269&amp;col=29&amp;number=&amp;sourceID=18","")</f>
        <v/>
      </c>
      <c r="AD269" s="4" t="str">
        <f>HYPERLINK("http://141.218.60.56/~jnz1568/getInfo.php?workbook=01_01.xlsx&amp;sheet=A0&amp;row=269&amp;col=30&amp;number=&amp;sourceID=18","")</f>
        <v/>
      </c>
      <c r="AE269" s="4" t="str">
        <f>HYPERLINK("http://141.218.60.56/~jnz1568/getInfo.php?workbook=01_01.xlsx&amp;sheet=A0&amp;row=269&amp;col=31&amp;number=&amp;sourceID=18","")</f>
        <v/>
      </c>
      <c r="AF269" s="4" t="str">
        <f>HYPERLINK("http://141.218.60.56/~jnz1568/getInfo.php?workbook=01_01.xlsx&amp;sheet=A0&amp;row=269&amp;col=32&amp;number=&amp;sourceID=18","")</f>
        <v/>
      </c>
      <c r="AG269" s="4" t="str">
        <f>HYPERLINK("http://141.218.60.56/~jnz1568/getInfo.php?workbook=01_01.xlsx&amp;sheet=A0&amp;row=269&amp;col=33&amp;number=&amp;sourceID=18","")</f>
        <v/>
      </c>
      <c r="AH269" s="4" t="str">
        <f>HYPERLINK("http://141.218.60.56/~jnz1568/getInfo.php?workbook=01_01.xlsx&amp;sheet=A0&amp;row=269&amp;col=34&amp;number=&amp;sourceID=20","")</f>
        <v/>
      </c>
    </row>
    <row r="270" spans="1:34">
      <c r="A270" s="3">
        <v>1</v>
      </c>
      <c r="B270" s="3">
        <v>1</v>
      </c>
      <c r="C270" s="3">
        <v>25</v>
      </c>
      <c r="D270" s="3">
        <v>4</v>
      </c>
      <c r="E270" s="3">
        <f>((1/(INDEX(E0!J$4:J$28,C270,1)-INDEX(E0!J$4:J$28,D270,1))))*100000000</f>
        <v>0</v>
      </c>
      <c r="F270" s="4" t="str">
        <f>HYPERLINK("http://141.218.60.56/~jnz1568/getInfo.php?workbook=01_01.xlsx&amp;sheet=A0&amp;row=270&amp;col=6&amp;number=&amp;sourceID=18","")</f>
        <v/>
      </c>
      <c r="G270" s="4" t="str">
        <f>HYPERLINK("http://141.218.60.56/~jnz1568/getInfo.php?workbook=01_01.xlsx&amp;sheet=A0&amp;row=270&amp;col=7&amp;number=&amp;sourceID=15","")</f>
        <v/>
      </c>
      <c r="H270" s="4" t="str">
        <f>HYPERLINK("http://141.218.60.56/~jnz1568/getInfo.php?workbook=01_01.xlsx&amp;sheet=A0&amp;row=270&amp;col=8&amp;number=&amp;sourceID=15","")</f>
        <v/>
      </c>
      <c r="I270" s="4" t="str">
        <f>HYPERLINK("http://141.218.60.56/~jnz1568/getInfo.php?workbook=01_01.xlsx&amp;sheet=A0&amp;row=270&amp;col=9&amp;number=&amp;sourceID=15","")</f>
        <v/>
      </c>
      <c r="J270" s="4" t="str">
        <f>HYPERLINK("http://141.218.60.56/~jnz1568/getInfo.php?workbook=01_01.xlsx&amp;sheet=A0&amp;row=270&amp;col=10&amp;number=&amp;sourceID=15","")</f>
        <v/>
      </c>
      <c r="K270" s="4" t="str">
        <f>HYPERLINK("http://141.218.60.56/~jnz1568/getInfo.php?workbook=01_01.xlsx&amp;sheet=A0&amp;row=270&amp;col=11&amp;number=&amp;sourceID=15","")</f>
        <v/>
      </c>
      <c r="L270" s="4" t="str">
        <f>HYPERLINK("http://141.218.60.56/~jnz1568/getInfo.php?workbook=01_01.xlsx&amp;sheet=A0&amp;row=270&amp;col=12&amp;number=&amp;sourceID=15","")</f>
        <v/>
      </c>
      <c r="M270" s="4" t="str">
        <f>HYPERLINK("http://141.218.60.56/~jnz1568/getInfo.php?workbook=01_01.xlsx&amp;sheet=A0&amp;row=270&amp;col=13&amp;number=&amp;sourceID=15","")</f>
        <v/>
      </c>
      <c r="N270" s="4" t="str">
        <f>HYPERLINK("http://141.218.60.56/~jnz1568/getInfo.php?workbook=01_01.xlsx&amp;sheet=A0&amp;row=270&amp;col=14&amp;number==&amp;sourceID=11","=")</f>
        <v>=</v>
      </c>
      <c r="O270" s="4" t="str">
        <f>HYPERLINK("http://141.218.60.56/~jnz1568/getInfo.php?workbook=01_01.xlsx&amp;sheet=A0&amp;row=270&amp;col=15&amp;number=&amp;sourceID=11","")</f>
        <v/>
      </c>
      <c r="P270" s="4" t="str">
        <f>HYPERLINK("http://141.218.60.56/~jnz1568/getInfo.php?workbook=01_01.xlsx&amp;sheet=A0&amp;row=270&amp;col=16&amp;number=&amp;sourceID=11","")</f>
        <v/>
      </c>
      <c r="Q270" s="4" t="str">
        <f>HYPERLINK("http://141.218.60.56/~jnz1568/getInfo.php?workbook=01_01.xlsx&amp;sheet=A0&amp;row=270&amp;col=17&amp;number=3.3512e-05&amp;sourceID=11","3.3512e-05")</f>
        <v>3.3512e-05</v>
      </c>
      <c r="R270" s="4" t="str">
        <f>HYPERLINK("http://141.218.60.56/~jnz1568/getInfo.php?workbook=01_01.xlsx&amp;sheet=A0&amp;row=270&amp;col=18&amp;number=&amp;sourceID=11","")</f>
        <v/>
      </c>
      <c r="S270" s="4" t="str">
        <f>HYPERLINK("http://141.218.60.56/~jnz1568/getInfo.php?workbook=01_01.xlsx&amp;sheet=A0&amp;row=270&amp;col=19&amp;number=&amp;sourceID=11","")</f>
        <v/>
      </c>
      <c r="T270" s="4" t="str">
        <f>HYPERLINK("http://141.218.60.56/~jnz1568/getInfo.php?workbook=01_01.xlsx&amp;sheet=A0&amp;row=270&amp;col=20&amp;number=&amp;sourceID=11","")</f>
        <v/>
      </c>
      <c r="U270" s="4" t="str">
        <f>HYPERLINK("http://141.218.60.56/~jnz1568/getInfo.php?workbook=01_01.xlsx&amp;sheet=A0&amp;row=270&amp;col=21&amp;number=3.3531e-05&amp;sourceID=12","3.3531e-05")</f>
        <v>3.3531e-05</v>
      </c>
      <c r="V270" s="4" t="str">
        <f>HYPERLINK("http://141.218.60.56/~jnz1568/getInfo.php?workbook=01_01.xlsx&amp;sheet=A0&amp;row=270&amp;col=22&amp;number=&amp;sourceID=12","")</f>
        <v/>
      </c>
      <c r="W270" s="4" t="str">
        <f>HYPERLINK("http://141.218.60.56/~jnz1568/getInfo.php?workbook=01_01.xlsx&amp;sheet=A0&amp;row=270&amp;col=23&amp;number=&amp;sourceID=12","")</f>
        <v/>
      </c>
      <c r="X270" s="4" t="str">
        <f>HYPERLINK("http://141.218.60.56/~jnz1568/getInfo.php?workbook=01_01.xlsx&amp;sheet=A0&amp;row=270&amp;col=24&amp;number=3.3531e-05&amp;sourceID=12","3.3531e-05")</f>
        <v>3.3531e-05</v>
      </c>
      <c r="Y270" s="4" t="str">
        <f>HYPERLINK("http://141.218.60.56/~jnz1568/getInfo.php?workbook=01_01.xlsx&amp;sheet=A0&amp;row=270&amp;col=25&amp;number=&amp;sourceID=12","")</f>
        <v/>
      </c>
      <c r="Z270" s="4" t="str">
        <f>HYPERLINK("http://141.218.60.56/~jnz1568/getInfo.php?workbook=01_01.xlsx&amp;sheet=A0&amp;row=270&amp;col=26&amp;number=&amp;sourceID=12","")</f>
        <v/>
      </c>
      <c r="AA270" s="4" t="str">
        <f>HYPERLINK("http://141.218.60.56/~jnz1568/getInfo.php?workbook=01_01.xlsx&amp;sheet=A0&amp;row=270&amp;col=27&amp;number=&amp;sourceID=12","")</f>
        <v/>
      </c>
      <c r="AB270" s="4" t="str">
        <f>HYPERLINK("http://141.218.60.56/~jnz1568/getInfo.php?workbook=01_01.xlsx&amp;sheet=A0&amp;row=270&amp;col=28&amp;number=&amp;sourceID=18","")</f>
        <v/>
      </c>
      <c r="AC270" s="4" t="str">
        <f>HYPERLINK("http://141.218.60.56/~jnz1568/getInfo.php?workbook=01_01.xlsx&amp;sheet=A0&amp;row=270&amp;col=29&amp;number=&amp;sourceID=18","")</f>
        <v/>
      </c>
      <c r="AD270" s="4" t="str">
        <f>HYPERLINK("http://141.218.60.56/~jnz1568/getInfo.php?workbook=01_01.xlsx&amp;sheet=A0&amp;row=270&amp;col=30&amp;number=&amp;sourceID=18","")</f>
        <v/>
      </c>
      <c r="AE270" s="4" t="str">
        <f>HYPERLINK("http://141.218.60.56/~jnz1568/getInfo.php?workbook=01_01.xlsx&amp;sheet=A0&amp;row=270&amp;col=31&amp;number=&amp;sourceID=18","")</f>
        <v/>
      </c>
      <c r="AF270" s="4" t="str">
        <f>HYPERLINK("http://141.218.60.56/~jnz1568/getInfo.php?workbook=01_01.xlsx&amp;sheet=A0&amp;row=270&amp;col=32&amp;number=&amp;sourceID=18","")</f>
        <v/>
      </c>
      <c r="AG270" s="4" t="str">
        <f>HYPERLINK("http://141.218.60.56/~jnz1568/getInfo.php?workbook=01_01.xlsx&amp;sheet=A0&amp;row=270&amp;col=33&amp;number=&amp;sourceID=18","")</f>
        <v/>
      </c>
      <c r="AH270" s="4" t="str">
        <f>HYPERLINK("http://141.218.60.56/~jnz1568/getInfo.php?workbook=01_01.xlsx&amp;sheet=A0&amp;row=270&amp;col=34&amp;number=&amp;sourceID=20","")</f>
        <v/>
      </c>
    </row>
    <row r="271" spans="1:34">
      <c r="A271" s="3">
        <v>1</v>
      </c>
      <c r="B271" s="3">
        <v>1</v>
      </c>
      <c r="C271" s="3">
        <v>25</v>
      </c>
      <c r="D271" s="3">
        <v>7</v>
      </c>
      <c r="E271" s="3">
        <f>((1/(INDEX(E0!J$4:J$28,C271,1)-INDEX(E0!J$4:J$28,D271,1))))*100000000</f>
        <v>0</v>
      </c>
      <c r="F271" s="4" t="str">
        <f>HYPERLINK("http://141.218.60.56/~jnz1568/getInfo.php?workbook=01_01.xlsx&amp;sheet=A0&amp;row=271&amp;col=6&amp;number=&amp;sourceID=18","")</f>
        <v/>
      </c>
      <c r="G271" s="4" t="str">
        <f>HYPERLINK("http://141.218.60.56/~jnz1568/getInfo.php?workbook=01_01.xlsx&amp;sheet=A0&amp;row=271&amp;col=7&amp;number=&amp;sourceID=15","")</f>
        <v/>
      </c>
      <c r="H271" s="4" t="str">
        <f>HYPERLINK("http://141.218.60.56/~jnz1568/getInfo.php?workbook=01_01.xlsx&amp;sheet=A0&amp;row=271&amp;col=8&amp;number=&amp;sourceID=15","")</f>
        <v/>
      </c>
      <c r="I271" s="4" t="str">
        <f>HYPERLINK("http://141.218.60.56/~jnz1568/getInfo.php?workbook=01_01.xlsx&amp;sheet=A0&amp;row=271&amp;col=9&amp;number=&amp;sourceID=15","")</f>
        <v/>
      </c>
      <c r="J271" s="4" t="str">
        <f>HYPERLINK("http://141.218.60.56/~jnz1568/getInfo.php?workbook=01_01.xlsx&amp;sheet=A0&amp;row=271&amp;col=10&amp;number=&amp;sourceID=15","")</f>
        <v/>
      </c>
      <c r="K271" s="4" t="str">
        <f>HYPERLINK("http://141.218.60.56/~jnz1568/getInfo.php?workbook=01_01.xlsx&amp;sheet=A0&amp;row=271&amp;col=11&amp;number=&amp;sourceID=15","")</f>
        <v/>
      </c>
      <c r="L271" s="4" t="str">
        <f>HYPERLINK("http://141.218.60.56/~jnz1568/getInfo.php?workbook=01_01.xlsx&amp;sheet=A0&amp;row=271&amp;col=12&amp;number=&amp;sourceID=15","")</f>
        <v/>
      </c>
      <c r="M271" s="4" t="str">
        <f>HYPERLINK("http://141.218.60.56/~jnz1568/getInfo.php?workbook=01_01.xlsx&amp;sheet=A0&amp;row=271&amp;col=13&amp;number=&amp;sourceID=15","")</f>
        <v/>
      </c>
      <c r="N271" s="4" t="str">
        <f>HYPERLINK("http://141.218.60.56/~jnz1568/getInfo.php?workbook=01_01.xlsx&amp;sheet=A0&amp;row=271&amp;col=14&amp;number==&amp;sourceID=11","=")</f>
        <v>=</v>
      </c>
      <c r="O271" s="4" t="str">
        <f>HYPERLINK("http://141.218.60.56/~jnz1568/getInfo.php?workbook=01_01.xlsx&amp;sheet=A0&amp;row=271&amp;col=15&amp;number=&amp;sourceID=11","")</f>
        <v/>
      </c>
      <c r="P271" s="4" t="str">
        <f>HYPERLINK("http://141.218.60.56/~jnz1568/getInfo.php?workbook=01_01.xlsx&amp;sheet=A0&amp;row=271&amp;col=16&amp;number=&amp;sourceID=11","")</f>
        <v/>
      </c>
      <c r="Q271" s="4" t="str">
        <f>HYPERLINK("http://141.218.60.56/~jnz1568/getInfo.php?workbook=01_01.xlsx&amp;sheet=A0&amp;row=271&amp;col=17&amp;number=&amp;sourceID=11","")</f>
        <v/>
      </c>
      <c r="R271" s="4" t="str">
        <f>HYPERLINK("http://141.218.60.56/~jnz1568/getInfo.php?workbook=01_01.xlsx&amp;sheet=A0&amp;row=271&amp;col=18&amp;number=&amp;sourceID=11","")</f>
        <v/>
      </c>
      <c r="S271" s="4" t="str">
        <f>HYPERLINK("http://141.218.60.56/~jnz1568/getInfo.php?workbook=01_01.xlsx&amp;sheet=A0&amp;row=271&amp;col=19&amp;number=&amp;sourceID=11","")</f>
        <v/>
      </c>
      <c r="T271" s="4" t="str">
        <f>HYPERLINK("http://141.218.60.56/~jnz1568/getInfo.php?workbook=01_01.xlsx&amp;sheet=A0&amp;row=271&amp;col=20&amp;number=3.568e-12&amp;sourceID=11","3.568e-12")</f>
        <v>3.568e-12</v>
      </c>
      <c r="U271" s="4" t="str">
        <f>HYPERLINK("http://141.218.60.56/~jnz1568/getInfo.php?workbook=01_01.xlsx&amp;sheet=A0&amp;row=271&amp;col=21&amp;number=3.569e-12&amp;sourceID=12","3.569e-12")</f>
        <v>3.569e-12</v>
      </c>
      <c r="V271" s="4" t="str">
        <f>HYPERLINK("http://141.218.60.56/~jnz1568/getInfo.php?workbook=01_01.xlsx&amp;sheet=A0&amp;row=271&amp;col=22&amp;number=&amp;sourceID=12","")</f>
        <v/>
      </c>
      <c r="W271" s="4" t="str">
        <f>HYPERLINK("http://141.218.60.56/~jnz1568/getInfo.php?workbook=01_01.xlsx&amp;sheet=A0&amp;row=271&amp;col=23&amp;number=&amp;sourceID=12","")</f>
        <v/>
      </c>
      <c r="X271" s="4" t="str">
        <f>HYPERLINK("http://141.218.60.56/~jnz1568/getInfo.php?workbook=01_01.xlsx&amp;sheet=A0&amp;row=271&amp;col=24&amp;number=&amp;sourceID=12","")</f>
        <v/>
      </c>
      <c r="Y271" s="4" t="str">
        <f>HYPERLINK("http://141.218.60.56/~jnz1568/getInfo.php?workbook=01_01.xlsx&amp;sheet=A0&amp;row=271&amp;col=25&amp;number=&amp;sourceID=12","")</f>
        <v/>
      </c>
      <c r="Z271" s="4" t="str">
        <f>HYPERLINK("http://141.218.60.56/~jnz1568/getInfo.php?workbook=01_01.xlsx&amp;sheet=A0&amp;row=271&amp;col=26&amp;number=&amp;sourceID=12","")</f>
        <v/>
      </c>
      <c r="AA271" s="4" t="str">
        <f>HYPERLINK("http://141.218.60.56/~jnz1568/getInfo.php?workbook=01_01.xlsx&amp;sheet=A0&amp;row=271&amp;col=27&amp;number=3.569e-12&amp;sourceID=12","3.569e-12")</f>
        <v>3.569e-12</v>
      </c>
      <c r="AB271" s="4" t="str">
        <f>HYPERLINK("http://141.218.60.56/~jnz1568/getInfo.php?workbook=01_01.xlsx&amp;sheet=A0&amp;row=271&amp;col=28&amp;number=&amp;sourceID=18","")</f>
        <v/>
      </c>
      <c r="AC271" s="4" t="str">
        <f>HYPERLINK("http://141.218.60.56/~jnz1568/getInfo.php?workbook=01_01.xlsx&amp;sheet=A0&amp;row=271&amp;col=29&amp;number=&amp;sourceID=18","")</f>
        <v/>
      </c>
      <c r="AD271" s="4" t="str">
        <f>HYPERLINK("http://141.218.60.56/~jnz1568/getInfo.php?workbook=01_01.xlsx&amp;sheet=A0&amp;row=271&amp;col=30&amp;number=&amp;sourceID=18","")</f>
        <v/>
      </c>
      <c r="AE271" s="4" t="str">
        <f>HYPERLINK("http://141.218.60.56/~jnz1568/getInfo.php?workbook=01_01.xlsx&amp;sheet=A0&amp;row=271&amp;col=31&amp;number=&amp;sourceID=18","")</f>
        <v/>
      </c>
      <c r="AF271" s="4" t="str">
        <f>HYPERLINK("http://141.218.60.56/~jnz1568/getInfo.php?workbook=01_01.xlsx&amp;sheet=A0&amp;row=271&amp;col=32&amp;number=&amp;sourceID=18","")</f>
        <v/>
      </c>
      <c r="AG271" s="4" t="str">
        <f>HYPERLINK("http://141.218.60.56/~jnz1568/getInfo.php?workbook=01_01.xlsx&amp;sheet=A0&amp;row=271&amp;col=33&amp;number=&amp;sourceID=18","")</f>
        <v/>
      </c>
      <c r="AH271" s="4" t="str">
        <f>HYPERLINK("http://141.218.60.56/~jnz1568/getInfo.php?workbook=01_01.xlsx&amp;sheet=A0&amp;row=271&amp;col=34&amp;number=&amp;sourceID=20","")</f>
        <v/>
      </c>
    </row>
    <row r="272" spans="1:34">
      <c r="A272" s="3">
        <v>1</v>
      </c>
      <c r="B272" s="3">
        <v>1</v>
      </c>
      <c r="C272" s="3">
        <v>25</v>
      </c>
      <c r="D272" s="3">
        <v>8</v>
      </c>
      <c r="E272" s="3">
        <f>((1/(INDEX(E0!J$4:J$28,C272,1)-INDEX(E0!J$4:J$28,D272,1))))*100000000</f>
        <v>0</v>
      </c>
      <c r="F272" s="4" t="str">
        <f>HYPERLINK("http://141.218.60.56/~jnz1568/getInfo.php?workbook=01_01.xlsx&amp;sheet=A0&amp;row=272&amp;col=6&amp;number=&amp;sourceID=18","")</f>
        <v/>
      </c>
      <c r="G272" s="4" t="str">
        <f>HYPERLINK("http://141.218.60.56/~jnz1568/getInfo.php?workbook=01_01.xlsx&amp;sheet=A0&amp;row=272&amp;col=7&amp;number=&amp;sourceID=15","")</f>
        <v/>
      </c>
      <c r="H272" s="4" t="str">
        <f>HYPERLINK("http://141.218.60.56/~jnz1568/getInfo.php?workbook=01_01.xlsx&amp;sheet=A0&amp;row=272&amp;col=8&amp;number=&amp;sourceID=15","")</f>
        <v/>
      </c>
      <c r="I272" s="4" t="str">
        <f>HYPERLINK("http://141.218.60.56/~jnz1568/getInfo.php?workbook=01_01.xlsx&amp;sheet=A0&amp;row=272&amp;col=9&amp;number=&amp;sourceID=15","")</f>
        <v/>
      </c>
      <c r="J272" s="4" t="str">
        <f>HYPERLINK("http://141.218.60.56/~jnz1568/getInfo.php?workbook=01_01.xlsx&amp;sheet=A0&amp;row=272&amp;col=10&amp;number=&amp;sourceID=15","")</f>
        <v/>
      </c>
      <c r="K272" s="4" t="str">
        <f>HYPERLINK("http://141.218.60.56/~jnz1568/getInfo.php?workbook=01_01.xlsx&amp;sheet=A0&amp;row=272&amp;col=11&amp;number=&amp;sourceID=15","")</f>
        <v/>
      </c>
      <c r="L272" s="4" t="str">
        <f>HYPERLINK("http://141.218.60.56/~jnz1568/getInfo.php?workbook=01_01.xlsx&amp;sheet=A0&amp;row=272&amp;col=12&amp;number=&amp;sourceID=15","")</f>
        <v/>
      </c>
      <c r="M272" s="4" t="str">
        <f>HYPERLINK("http://141.218.60.56/~jnz1568/getInfo.php?workbook=01_01.xlsx&amp;sheet=A0&amp;row=272&amp;col=13&amp;number=&amp;sourceID=15","")</f>
        <v/>
      </c>
      <c r="N272" s="4" t="str">
        <f>HYPERLINK("http://141.218.60.56/~jnz1568/getInfo.php?workbook=01_01.xlsx&amp;sheet=A0&amp;row=272&amp;col=14&amp;number==&amp;sourceID=11","=")</f>
        <v>=</v>
      </c>
      <c r="O272" s="4" t="str">
        <f>HYPERLINK("http://141.218.60.56/~jnz1568/getInfo.php?workbook=01_01.xlsx&amp;sheet=A0&amp;row=272&amp;col=15&amp;number=&amp;sourceID=11","")</f>
        <v/>
      </c>
      <c r="P272" s="4" t="str">
        <f>HYPERLINK("http://141.218.60.56/~jnz1568/getInfo.php?workbook=01_01.xlsx&amp;sheet=A0&amp;row=272&amp;col=16&amp;number=&amp;sourceID=11","")</f>
        <v/>
      </c>
      <c r="Q272" s="4" t="str">
        <f>HYPERLINK("http://141.218.60.56/~jnz1568/getInfo.php?workbook=01_01.xlsx&amp;sheet=A0&amp;row=272&amp;col=17&amp;number=1.4152e-05&amp;sourceID=11","1.4152e-05")</f>
        <v>1.4152e-05</v>
      </c>
      <c r="R272" s="4" t="str">
        <f>HYPERLINK("http://141.218.60.56/~jnz1568/getInfo.php?workbook=01_01.xlsx&amp;sheet=A0&amp;row=272&amp;col=18&amp;number=&amp;sourceID=11","")</f>
        <v/>
      </c>
      <c r="S272" s="4" t="str">
        <f>HYPERLINK("http://141.218.60.56/~jnz1568/getInfo.php?workbook=01_01.xlsx&amp;sheet=A0&amp;row=272&amp;col=19&amp;number=&amp;sourceID=11","")</f>
        <v/>
      </c>
      <c r="T272" s="4" t="str">
        <f>HYPERLINK("http://141.218.60.56/~jnz1568/getInfo.php?workbook=01_01.xlsx&amp;sheet=A0&amp;row=272&amp;col=20&amp;number=&amp;sourceID=11","")</f>
        <v/>
      </c>
      <c r="U272" s="4" t="str">
        <f>HYPERLINK("http://141.218.60.56/~jnz1568/getInfo.php?workbook=01_01.xlsx&amp;sheet=A0&amp;row=272&amp;col=21&amp;number=1.416e-05&amp;sourceID=12","1.416e-05")</f>
        <v>1.416e-05</v>
      </c>
      <c r="V272" s="4" t="str">
        <f>HYPERLINK("http://141.218.60.56/~jnz1568/getInfo.php?workbook=01_01.xlsx&amp;sheet=A0&amp;row=272&amp;col=22&amp;number=&amp;sourceID=12","")</f>
        <v/>
      </c>
      <c r="W272" s="4" t="str">
        <f>HYPERLINK("http://141.218.60.56/~jnz1568/getInfo.php?workbook=01_01.xlsx&amp;sheet=A0&amp;row=272&amp;col=23&amp;number=&amp;sourceID=12","")</f>
        <v/>
      </c>
      <c r="X272" s="4" t="str">
        <f>HYPERLINK("http://141.218.60.56/~jnz1568/getInfo.php?workbook=01_01.xlsx&amp;sheet=A0&amp;row=272&amp;col=24&amp;number=1.416e-05&amp;sourceID=12","1.416e-05")</f>
        <v>1.416e-05</v>
      </c>
      <c r="Y272" s="4" t="str">
        <f>HYPERLINK("http://141.218.60.56/~jnz1568/getInfo.php?workbook=01_01.xlsx&amp;sheet=A0&amp;row=272&amp;col=25&amp;number=&amp;sourceID=12","")</f>
        <v/>
      </c>
      <c r="Z272" s="4" t="str">
        <f>HYPERLINK("http://141.218.60.56/~jnz1568/getInfo.php?workbook=01_01.xlsx&amp;sheet=A0&amp;row=272&amp;col=26&amp;number=&amp;sourceID=12","")</f>
        <v/>
      </c>
      <c r="AA272" s="4" t="str">
        <f>HYPERLINK("http://141.218.60.56/~jnz1568/getInfo.php?workbook=01_01.xlsx&amp;sheet=A0&amp;row=272&amp;col=27&amp;number=&amp;sourceID=12","")</f>
        <v/>
      </c>
      <c r="AB272" s="4" t="str">
        <f>HYPERLINK("http://141.218.60.56/~jnz1568/getInfo.php?workbook=01_01.xlsx&amp;sheet=A0&amp;row=272&amp;col=28&amp;number=&amp;sourceID=18","")</f>
        <v/>
      </c>
      <c r="AC272" s="4" t="str">
        <f>HYPERLINK("http://141.218.60.56/~jnz1568/getInfo.php?workbook=01_01.xlsx&amp;sheet=A0&amp;row=272&amp;col=29&amp;number=&amp;sourceID=18","")</f>
        <v/>
      </c>
      <c r="AD272" s="4" t="str">
        <f>HYPERLINK("http://141.218.60.56/~jnz1568/getInfo.php?workbook=01_01.xlsx&amp;sheet=A0&amp;row=272&amp;col=30&amp;number=&amp;sourceID=18","")</f>
        <v/>
      </c>
      <c r="AE272" s="4" t="str">
        <f>HYPERLINK("http://141.218.60.56/~jnz1568/getInfo.php?workbook=01_01.xlsx&amp;sheet=A0&amp;row=272&amp;col=31&amp;number=&amp;sourceID=18","")</f>
        <v/>
      </c>
      <c r="AF272" s="4" t="str">
        <f>HYPERLINK("http://141.218.60.56/~jnz1568/getInfo.php?workbook=01_01.xlsx&amp;sheet=A0&amp;row=272&amp;col=32&amp;number=&amp;sourceID=18","")</f>
        <v/>
      </c>
      <c r="AG272" s="4" t="str">
        <f>HYPERLINK("http://141.218.60.56/~jnz1568/getInfo.php?workbook=01_01.xlsx&amp;sheet=A0&amp;row=272&amp;col=33&amp;number=&amp;sourceID=18","")</f>
        <v/>
      </c>
      <c r="AH272" s="4" t="str">
        <f>HYPERLINK("http://141.218.60.56/~jnz1568/getInfo.php?workbook=01_01.xlsx&amp;sheet=A0&amp;row=272&amp;col=34&amp;number=&amp;sourceID=20","")</f>
        <v/>
      </c>
    </row>
    <row r="273" spans="1:34">
      <c r="A273" s="3">
        <v>1</v>
      </c>
      <c r="B273" s="3">
        <v>1</v>
      </c>
      <c r="C273" s="3">
        <v>25</v>
      </c>
      <c r="D273" s="3">
        <v>9</v>
      </c>
      <c r="E273" s="3">
        <f>((1/(INDEX(E0!J$4:J$28,C273,1)-INDEX(E0!J$4:J$28,D273,1))))*100000000</f>
        <v>0</v>
      </c>
      <c r="F273" s="4" t="str">
        <f>HYPERLINK("http://141.218.60.56/~jnz1568/getInfo.php?workbook=01_01.xlsx&amp;sheet=A0&amp;row=273&amp;col=6&amp;number=&amp;sourceID=18","")</f>
        <v/>
      </c>
      <c r="G273" s="4" t="str">
        <f>HYPERLINK("http://141.218.60.56/~jnz1568/getInfo.php?workbook=01_01.xlsx&amp;sheet=A0&amp;row=273&amp;col=7&amp;number=&amp;sourceID=15","")</f>
        <v/>
      </c>
      <c r="H273" s="4" t="str">
        <f>HYPERLINK("http://141.218.60.56/~jnz1568/getInfo.php?workbook=01_01.xlsx&amp;sheet=A0&amp;row=273&amp;col=8&amp;number=&amp;sourceID=15","")</f>
        <v/>
      </c>
      <c r="I273" s="4" t="str">
        <f>HYPERLINK("http://141.218.60.56/~jnz1568/getInfo.php?workbook=01_01.xlsx&amp;sheet=A0&amp;row=273&amp;col=9&amp;number=&amp;sourceID=15","")</f>
        <v/>
      </c>
      <c r="J273" s="4" t="str">
        <f>HYPERLINK("http://141.218.60.56/~jnz1568/getInfo.php?workbook=01_01.xlsx&amp;sheet=A0&amp;row=273&amp;col=10&amp;number=&amp;sourceID=15","")</f>
        <v/>
      </c>
      <c r="K273" s="4" t="str">
        <f>HYPERLINK("http://141.218.60.56/~jnz1568/getInfo.php?workbook=01_01.xlsx&amp;sheet=A0&amp;row=273&amp;col=11&amp;number=&amp;sourceID=15","")</f>
        <v/>
      </c>
      <c r="L273" s="4" t="str">
        <f>HYPERLINK("http://141.218.60.56/~jnz1568/getInfo.php?workbook=01_01.xlsx&amp;sheet=A0&amp;row=273&amp;col=12&amp;number=&amp;sourceID=15","")</f>
        <v/>
      </c>
      <c r="M273" s="4" t="str">
        <f>HYPERLINK("http://141.218.60.56/~jnz1568/getInfo.php?workbook=01_01.xlsx&amp;sheet=A0&amp;row=273&amp;col=13&amp;number=&amp;sourceID=15","")</f>
        <v/>
      </c>
      <c r="N273" s="4" t="str">
        <f>HYPERLINK("http://141.218.60.56/~jnz1568/getInfo.php?workbook=01_01.xlsx&amp;sheet=A0&amp;row=273&amp;col=14&amp;number==&amp;sourceID=11","=")</f>
        <v>=</v>
      </c>
      <c r="O273" s="4" t="str">
        <f>HYPERLINK("http://141.218.60.56/~jnz1568/getInfo.php?workbook=01_01.xlsx&amp;sheet=A0&amp;row=273&amp;col=15&amp;number=&amp;sourceID=11","")</f>
        <v/>
      </c>
      <c r="P273" s="4" t="str">
        <f>HYPERLINK("http://141.218.60.56/~jnz1568/getInfo.php?workbook=01_01.xlsx&amp;sheet=A0&amp;row=273&amp;col=16&amp;number=11.61&amp;sourceID=11","11.61")</f>
        <v>11.61</v>
      </c>
      <c r="Q273" s="4" t="str">
        <f>HYPERLINK("http://141.218.60.56/~jnz1568/getInfo.php?workbook=01_01.xlsx&amp;sheet=A0&amp;row=273&amp;col=17&amp;number=&amp;sourceID=11","")</f>
        <v/>
      </c>
      <c r="R273" s="4" t="str">
        <f>HYPERLINK("http://141.218.60.56/~jnz1568/getInfo.php?workbook=01_01.xlsx&amp;sheet=A0&amp;row=273&amp;col=18&amp;number=&amp;sourceID=11","")</f>
        <v/>
      </c>
      <c r="S273" s="4" t="str">
        <f>HYPERLINK("http://141.218.60.56/~jnz1568/getInfo.php?workbook=01_01.xlsx&amp;sheet=A0&amp;row=273&amp;col=19&amp;number=&amp;sourceID=11","")</f>
        <v/>
      </c>
      <c r="T273" s="4" t="str">
        <f>HYPERLINK("http://141.218.60.56/~jnz1568/getInfo.php?workbook=01_01.xlsx&amp;sheet=A0&amp;row=273&amp;col=20&amp;number=1.1627e-11&amp;sourceID=11","1.1627e-11")</f>
        <v>1.1627e-11</v>
      </c>
      <c r="U273" s="4" t="str">
        <f>HYPERLINK("http://141.218.60.56/~jnz1568/getInfo.php?workbook=01_01.xlsx&amp;sheet=A0&amp;row=273&amp;col=21&amp;number=11.616&amp;sourceID=12","11.616")</f>
        <v>11.616</v>
      </c>
      <c r="V273" s="4" t="str">
        <f>HYPERLINK("http://141.218.60.56/~jnz1568/getInfo.php?workbook=01_01.xlsx&amp;sheet=A0&amp;row=273&amp;col=22&amp;number=&amp;sourceID=12","")</f>
        <v/>
      </c>
      <c r="W273" s="4" t="str">
        <f>HYPERLINK("http://141.218.60.56/~jnz1568/getInfo.php?workbook=01_01.xlsx&amp;sheet=A0&amp;row=273&amp;col=23&amp;number=11.616&amp;sourceID=12","11.616")</f>
        <v>11.616</v>
      </c>
      <c r="X273" s="4" t="str">
        <f>HYPERLINK("http://141.218.60.56/~jnz1568/getInfo.php?workbook=01_01.xlsx&amp;sheet=A0&amp;row=273&amp;col=24&amp;number=&amp;sourceID=12","")</f>
        <v/>
      </c>
      <c r="Y273" s="4" t="str">
        <f>HYPERLINK("http://141.218.60.56/~jnz1568/getInfo.php?workbook=01_01.xlsx&amp;sheet=A0&amp;row=273&amp;col=25&amp;number=&amp;sourceID=12","")</f>
        <v/>
      </c>
      <c r="Z273" s="4" t="str">
        <f>HYPERLINK("http://141.218.60.56/~jnz1568/getInfo.php?workbook=01_01.xlsx&amp;sheet=A0&amp;row=273&amp;col=26&amp;number=&amp;sourceID=12","")</f>
        <v/>
      </c>
      <c r="AA273" s="4" t="str">
        <f>HYPERLINK("http://141.218.60.56/~jnz1568/getInfo.php?workbook=01_01.xlsx&amp;sheet=A0&amp;row=273&amp;col=27&amp;number=1.1634e-11&amp;sourceID=12","1.1634e-11")</f>
        <v>1.1634e-11</v>
      </c>
      <c r="AB273" s="4" t="str">
        <f>HYPERLINK("http://141.218.60.56/~jnz1568/getInfo.php?workbook=01_01.xlsx&amp;sheet=A0&amp;row=273&amp;col=28&amp;number=&amp;sourceID=18","")</f>
        <v/>
      </c>
      <c r="AC273" s="4" t="str">
        <f>HYPERLINK("http://141.218.60.56/~jnz1568/getInfo.php?workbook=01_01.xlsx&amp;sheet=A0&amp;row=273&amp;col=29&amp;number=&amp;sourceID=18","")</f>
        <v/>
      </c>
      <c r="AD273" s="4" t="str">
        <f>HYPERLINK("http://141.218.60.56/~jnz1568/getInfo.php?workbook=01_01.xlsx&amp;sheet=A0&amp;row=273&amp;col=30&amp;number=&amp;sourceID=18","")</f>
        <v/>
      </c>
      <c r="AE273" s="4" t="str">
        <f>HYPERLINK("http://141.218.60.56/~jnz1568/getInfo.php?workbook=01_01.xlsx&amp;sheet=A0&amp;row=273&amp;col=31&amp;number=&amp;sourceID=18","")</f>
        <v/>
      </c>
      <c r="AF273" s="4" t="str">
        <f>HYPERLINK("http://141.218.60.56/~jnz1568/getInfo.php?workbook=01_01.xlsx&amp;sheet=A0&amp;row=273&amp;col=32&amp;number=&amp;sourceID=18","")</f>
        <v/>
      </c>
      <c r="AG273" s="4" t="str">
        <f>HYPERLINK("http://141.218.60.56/~jnz1568/getInfo.php?workbook=01_01.xlsx&amp;sheet=A0&amp;row=273&amp;col=33&amp;number=&amp;sourceID=18","")</f>
        <v/>
      </c>
      <c r="AH273" s="4" t="str">
        <f>HYPERLINK("http://141.218.60.56/~jnz1568/getInfo.php?workbook=01_01.xlsx&amp;sheet=A0&amp;row=273&amp;col=34&amp;number=&amp;sourceID=20","")</f>
        <v/>
      </c>
    </row>
    <row r="274" spans="1:34">
      <c r="A274" s="3">
        <v>1</v>
      </c>
      <c r="B274" s="3">
        <v>1</v>
      </c>
      <c r="C274" s="3">
        <v>25</v>
      </c>
      <c r="D274" s="3">
        <v>12</v>
      </c>
      <c r="E274" s="3">
        <f>((1/(INDEX(E0!J$4:J$28,C274,1)-INDEX(E0!J$4:J$28,D274,1))))*100000000</f>
        <v>0</v>
      </c>
      <c r="F274" s="4" t="str">
        <f>HYPERLINK("http://141.218.60.56/~jnz1568/getInfo.php?workbook=01_01.xlsx&amp;sheet=A0&amp;row=274&amp;col=6&amp;number=&amp;sourceID=18","")</f>
        <v/>
      </c>
      <c r="G274" s="4" t="str">
        <f>HYPERLINK("http://141.218.60.56/~jnz1568/getInfo.php?workbook=01_01.xlsx&amp;sheet=A0&amp;row=274&amp;col=7&amp;number=&amp;sourceID=15","")</f>
        <v/>
      </c>
      <c r="H274" s="4" t="str">
        <f>HYPERLINK("http://141.218.60.56/~jnz1568/getInfo.php?workbook=01_01.xlsx&amp;sheet=A0&amp;row=274&amp;col=8&amp;number=&amp;sourceID=15","")</f>
        <v/>
      </c>
      <c r="I274" s="4" t="str">
        <f>HYPERLINK("http://141.218.60.56/~jnz1568/getInfo.php?workbook=01_01.xlsx&amp;sheet=A0&amp;row=274&amp;col=9&amp;number=&amp;sourceID=15","")</f>
        <v/>
      </c>
      <c r="J274" s="4" t="str">
        <f>HYPERLINK("http://141.218.60.56/~jnz1568/getInfo.php?workbook=01_01.xlsx&amp;sheet=A0&amp;row=274&amp;col=10&amp;number=&amp;sourceID=15","")</f>
        <v/>
      </c>
      <c r="K274" s="4" t="str">
        <f>HYPERLINK("http://141.218.60.56/~jnz1568/getInfo.php?workbook=01_01.xlsx&amp;sheet=A0&amp;row=274&amp;col=11&amp;number=&amp;sourceID=15","")</f>
        <v/>
      </c>
      <c r="L274" s="4" t="str">
        <f>HYPERLINK("http://141.218.60.56/~jnz1568/getInfo.php?workbook=01_01.xlsx&amp;sheet=A0&amp;row=274&amp;col=12&amp;number=&amp;sourceID=15","")</f>
        <v/>
      </c>
      <c r="M274" s="4" t="str">
        <f>HYPERLINK("http://141.218.60.56/~jnz1568/getInfo.php?workbook=01_01.xlsx&amp;sheet=A0&amp;row=274&amp;col=13&amp;number=&amp;sourceID=15","")</f>
        <v/>
      </c>
      <c r="N274" s="4" t="str">
        <f>HYPERLINK("http://141.218.60.56/~jnz1568/getInfo.php?workbook=01_01.xlsx&amp;sheet=A0&amp;row=274&amp;col=14&amp;number==&amp;sourceID=11","=")</f>
        <v>=</v>
      </c>
      <c r="O274" s="4" t="str">
        <f>HYPERLINK("http://141.218.60.56/~jnz1568/getInfo.php?workbook=01_01.xlsx&amp;sheet=A0&amp;row=274&amp;col=15&amp;number=&amp;sourceID=11","")</f>
        <v/>
      </c>
      <c r="P274" s="4" t="str">
        <f>HYPERLINK("http://141.218.60.56/~jnz1568/getInfo.php?workbook=01_01.xlsx&amp;sheet=A0&amp;row=274&amp;col=16&amp;number=&amp;sourceID=11","")</f>
        <v/>
      </c>
      <c r="Q274" s="4" t="str">
        <f>HYPERLINK("http://141.218.60.56/~jnz1568/getInfo.php?workbook=01_01.xlsx&amp;sheet=A0&amp;row=274&amp;col=17&amp;number=&amp;sourceID=11","")</f>
        <v/>
      </c>
      <c r="R274" s="4" t="str">
        <f>HYPERLINK("http://141.218.60.56/~jnz1568/getInfo.php?workbook=01_01.xlsx&amp;sheet=A0&amp;row=274&amp;col=18&amp;number=&amp;sourceID=11","")</f>
        <v/>
      </c>
      <c r="S274" s="4" t="str">
        <f>HYPERLINK("http://141.218.60.56/~jnz1568/getInfo.php?workbook=01_01.xlsx&amp;sheet=A0&amp;row=274&amp;col=19&amp;number=&amp;sourceID=11","")</f>
        <v/>
      </c>
      <c r="T274" s="4" t="str">
        <f>HYPERLINK("http://141.218.60.56/~jnz1568/getInfo.php?workbook=01_01.xlsx&amp;sheet=A0&amp;row=274&amp;col=20&amp;number=3.1e-14&amp;sourceID=11","3.1e-14")</f>
        <v>3.1e-14</v>
      </c>
      <c r="U274" s="4" t="str">
        <f>HYPERLINK("http://141.218.60.56/~jnz1568/getInfo.php?workbook=01_01.xlsx&amp;sheet=A0&amp;row=274&amp;col=21&amp;number=3.1e-14&amp;sourceID=12","3.1e-14")</f>
        <v>3.1e-14</v>
      </c>
      <c r="V274" s="4" t="str">
        <f>HYPERLINK("http://141.218.60.56/~jnz1568/getInfo.php?workbook=01_01.xlsx&amp;sheet=A0&amp;row=274&amp;col=22&amp;number=&amp;sourceID=12","")</f>
        <v/>
      </c>
      <c r="W274" s="4" t="str">
        <f>HYPERLINK("http://141.218.60.56/~jnz1568/getInfo.php?workbook=01_01.xlsx&amp;sheet=A0&amp;row=274&amp;col=23&amp;number=&amp;sourceID=12","")</f>
        <v/>
      </c>
      <c r="X274" s="4" t="str">
        <f>HYPERLINK("http://141.218.60.56/~jnz1568/getInfo.php?workbook=01_01.xlsx&amp;sheet=A0&amp;row=274&amp;col=24&amp;number=&amp;sourceID=12","")</f>
        <v/>
      </c>
      <c r="Y274" s="4" t="str">
        <f>HYPERLINK("http://141.218.60.56/~jnz1568/getInfo.php?workbook=01_01.xlsx&amp;sheet=A0&amp;row=274&amp;col=25&amp;number=&amp;sourceID=12","")</f>
        <v/>
      </c>
      <c r="Z274" s="4" t="str">
        <f>HYPERLINK("http://141.218.60.56/~jnz1568/getInfo.php?workbook=01_01.xlsx&amp;sheet=A0&amp;row=274&amp;col=26&amp;number=&amp;sourceID=12","")</f>
        <v/>
      </c>
      <c r="AA274" s="4" t="str">
        <f>HYPERLINK("http://141.218.60.56/~jnz1568/getInfo.php?workbook=01_01.xlsx&amp;sheet=A0&amp;row=274&amp;col=27&amp;number=3.1e-14&amp;sourceID=12","3.1e-14")</f>
        <v>3.1e-14</v>
      </c>
      <c r="AB274" s="4" t="str">
        <f>HYPERLINK("http://141.218.60.56/~jnz1568/getInfo.php?workbook=01_01.xlsx&amp;sheet=A0&amp;row=274&amp;col=28&amp;number=&amp;sourceID=18","")</f>
        <v/>
      </c>
      <c r="AC274" s="4" t="str">
        <f>HYPERLINK("http://141.218.60.56/~jnz1568/getInfo.php?workbook=01_01.xlsx&amp;sheet=A0&amp;row=274&amp;col=29&amp;number=&amp;sourceID=18","")</f>
        <v/>
      </c>
      <c r="AD274" s="4" t="str">
        <f>HYPERLINK("http://141.218.60.56/~jnz1568/getInfo.php?workbook=01_01.xlsx&amp;sheet=A0&amp;row=274&amp;col=30&amp;number=&amp;sourceID=18","")</f>
        <v/>
      </c>
      <c r="AE274" s="4" t="str">
        <f>HYPERLINK("http://141.218.60.56/~jnz1568/getInfo.php?workbook=01_01.xlsx&amp;sheet=A0&amp;row=274&amp;col=31&amp;number=&amp;sourceID=18","")</f>
        <v/>
      </c>
      <c r="AF274" s="4" t="str">
        <f>HYPERLINK("http://141.218.60.56/~jnz1568/getInfo.php?workbook=01_01.xlsx&amp;sheet=A0&amp;row=274&amp;col=32&amp;number=&amp;sourceID=18","")</f>
        <v/>
      </c>
      <c r="AG274" s="4" t="str">
        <f>HYPERLINK("http://141.218.60.56/~jnz1568/getInfo.php?workbook=01_01.xlsx&amp;sheet=A0&amp;row=274&amp;col=33&amp;number=&amp;sourceID=18","")</f>
        <v/>
      </c>
      <c r="AH274" s="4" t="str">
        <f>HYPERLINK("http://141.218.60.56/~jnz1568/getInfo.php?workbook=01_01.xlsx&amp;sheet=A0&amp;row=274&amp;col=34&amp;number=&amp;sourceID=20","")</f>
        <v/>
      </c>
    </row>
    <row r="275" spans="1:34">
      <c r="A275" s="3">
        <v>1</v>
      </c>
      <c r="B275" s="3">
        <v>1</v>
      </c>
      <c r="C275" s="3">
        <v>25</v>
      </c>
      <c r="D275" s="3">
        <v>13</v>
      </c>
      <c r="E275" s="3">
        <f>((1/(INDEX(E0!J$4:J$28,C275,1)-INDEX(E0!J$4:J$28,D275,1))))*100000000</f>
        <v>0</v>
      </c>
      <c r="F275" s="4" t="str">
        <f>HYPERLINK("http://141.218.60.56/~jnz1568/getInfo.php?workbook=01_01.xlsx&amp;sheet=A0&amp;row=275&amp;col=6&amp;number=&amp;sourceID=18","")</f>
        <v/>
      </c>
      <c r="G275" s="4" t="str">
        <f>HYPERLINK("http://141.218.60.56/~jnz1568/getInfo.php?workbook=01_01.xlsx&amp;sheet=A0&amp;row=275&amp;col=7&amp;number=&amp;sourceID=15","")</f>
        <v/>
      </c>
      <c r="H275" s="4" t="str">
        <f>HYPERLINK("http://141.218.60.56/~jnz1568/getInfo.php?workbook=01_01.xlsx&amp;sheet=A0&amp;row=275&amp;col=8&amp;number=&amp;sourceID=15","")</f>
        <v/>
      </c>
      <c r="I275" s="4" t="str">
        <f>HYPERLINK("http://141.218.60.56/~jnz1568/getInfo.php?workbook=01_01.xlsx&amp;sheet=A0&amp;row=275&amp;col=9&amp;number=&amp;sourceID=15","")</f>
        <v/>
      </c>
      <c r="J275" s="4" t="str">
        <f>HYPERLINK("http://141.218.60.56/~jnz1568/getInfo.php?workbook=01_01.xlsx&amp;sheet=A0&amp;row=275&amp;col=10&amp;number=&amp;sourceID=15","")</f>
        <v/>
      </c>
      <c r="K275" s="4" t="str">
        <f>HYPERLINK("http://141.218.60.56/~jnz1568/getInfo.php?workbook=01_01.xlsx&amp;sheet=A0&amp;row=275&amp;col=11&amp;number=&amp;sourceID=15","")</f>
        <v/>
      </c>
      <c r="L275" s="4" t="str">
        <f>HYPERLINK("http://141.218.60.56/~jnz1568/getInfo.php?workbook=01_01.xlsx&amp;sheet=A0&amp;row=275&amp;col=12&amp;number=&amp;sourceID=15","")</f>
        <v/>
      </c>
      <c r="M275" s="4" t="str">
        <f>HYPERLINK("http://141.218.60.56/~jnz1568/getInfo.php?workbook=01_01.xlsx&amp;sheet=A0&amp;row=275&amp;col=13&amp;number=&amp;sourceID=15","")</f>
        <v/>
      </c>
      <c r="N275" s="4" t="str">
        <f>HYPERLINK("http://141.218.60.56/~jnz1568/getInfo.php?workbook=01_01.xlsx&amp;sheet=A0&amp;row=275&amp;col=14&amp;number==&amp;sourceID=11","=")</f>
        <v>=</v>
      </c>
      <c r="O275" s="4" t="str">
        <f>HYPERLINK("http://141.218.60.56/~jnz1568/getInfo.php?workbook=01_01.xlsx&amp;sheet=A0&amp;row=275&amp;col=15&amp;number=&amp;sourceID=11","")</f>
        <v/>
      </c>
      <c r="P275" s="4" t="str">
        <f>HYPERLINK("http://141.218.60.56/~jnz1568/getInfo.php?workbook=01_01.xlsx&amp;sheet=A0&amp;row=275&amp;col=16&amp;number=&amp;sourceID=11","")</f>
        <v/>
      </c>
      <c r="Q275" s="4" t="str">
        <f>HYPERLINK("http://141.218.60.56/~jnz1568/getInfo.php?workbook=01_01.xlsx&amp;sheet=A0&amp;row=275&amp;col=17&amp;number=1.3037e-07&amp;sourceID=11","1.3037e-07")</f>
        <v>1.3037e-07</v>
      </c>
      <c r="R275" s="4" t="str">
        <f>HYPERLINK("http://141.218.60.56/~jnz1568/getInfo.php?workbook=01_01.xlsx&amp;sheet=A0&amp;row=275&amp;col=18&amp;number=&amp;sourceID=11","")</f>
        <v/>
      </c>
      <c r="S275" s="4" t="str">
        <f>HYPERLINK("http://141.218.60.56/~jnz1568/getInfo.php?workbook=01_01.xlsx&amp;sheet=A0&amp;row=275&amp;col=19&amp;number=&amp;sourceID=11","")</f>
        <v/>
      </c>
      <c r="T275" s="4" t="str">
        <f>HYPERLINK("http://141.218.60.56/~jnz1568/getInfo.php?workbook=01_01.xlsx&amp;sheet=A0&amp;row=275&amp;col=20&amp;number=&amp;sourceID=11","")</f>
        <v/>
      </c>
      <c r="U275" s="4" t="str">
        <f>HYPERLINK("http://141.218.60.56/~jnz1568/getInfo.php?workbook=01_01.xlsx&amp;sheet=A0&amp;row=275&amp;col=21&amp;number=1.3044e-07&amp;sourceID=12","1.3044e-07")</f>
        <v>1.3044e-07</v>
      </c>
      <c r="V275" s="4" t="str">
        <f>HYPERLINK("http://141.218.60.56/~jnz1568/getInfo.php?workbook=01_01.xlsx&amp;sheet=A0&amp;row=275&amp;col=22&amp;number=&amp;sourceID=12","")</f>
        <v/>
      </c>
      <c r="W275" s="4" t="str">
        <f>HYPERLINK("http://141.218.60.56/~jnz1568/getInfo.php?workbook=01_01.xlsx&amp;sheet=A0&amp;row=275&amp;col=23&amp;number=&amp;sourceID=12","")</f>
        <v/>
      </c>
      <c r="X275" s="4" t="str">
        <f>HYPERLINK("http://141.218.60.56/~jnz1568/getInfo.php?workbook=01_01.xlsx&amp;sheet=A0&amp;row=275&amp;col=24&amp;number=1.3044e-07&amp;sourceID=12","1.3044e-07")</f>
        <v>1.3044e-07</v>
      </c>
      <c r="Y275" s="4" t="str">
        <f>HYPERLINK("http://141.218.60.56/~jnz1568/getInfo.php?workbook=01_01.xlsx&amp;sheet=A0&amp;row=275&amp;col=25&amp;number=&amp;sourceID=12","")</f>
        <v/>
      </c>
      <c r="Z275" s="4" t="str">
        <f>HYPERLINK("http://141.218.60.56/~jnz1568/getInfo.php?workbook=01_01.xlsx&amp;sheet=A0&amp;row=275&amp;col=26&amp;number=&amp;sourceID=12","")</f>
        <v/>
      </c>
      <c r="AA275" s="4" t="str">
        <f>HYPERLINK("http://141.218.60.56/~jnz1568/getInfo.php?workbook=01_01.xlsx&amp;sheet=A0&amp;row=275&amp;col=27&amp;number=&amp;sourceID=12","")</f>
        <v/>
      </c>
      <c r="AB275" s="4" t="str">
        <f>HYPERLINK("http://141.218.60.56/~jnz1568/getInfo.php?workbook=01_01.xlsx&amp;sheet=A0&amp;row=275&amp;col=28&amp;number=&amp;sourceID=18","")</f>
        <v/>
      </c>
      <c r="AC275" s="4" t="str">
        <f>HYPERLINK("http://141.218.60.56/~jnz1568/getInfo.php?workbook=01_01.xlsx&amp;sheet=A0&amp;row=275&amp;col=29&amp;number=&amp;sourceID=18","")</f>
        <v/>
      </c>
      <c r="AD275" s="4" t="str">
        <f>HYPERLINK("http://141.218.60.56/~jnz1568/getInfo.php?workbook=01_01.xlsx&amp;sheet=A0&amp;row=275&amp;col=30&amp;number=&amp;sourceID=18","")</f>
        <v/>
      </c>
      <c r="AE275" s="4" t="str">
        <f>HYPERLINK("http://141.218.60.56/~jnz1568/getInfo.php?workbook=01_01.xlsx&amp;sheet=A0&amp;row=275&amp;col=31&amp;number=&amp;sourceID=18","")</f>
        <v/>
      </c>
      <c r="AF275" s="4" t="str">
        <f>HYPERLINK("http://141.218.60.56/~jnz1568/getInfo.php?workbook=01_01.xlsx&amp;sheet=A0&amp;row=275&amp;col=32&amp;number=&amp;sourceID=18","")</f>
        <v/>
      </c>
      <c r="AG275" s="4" t="str">
        <f>HYPERLINK("http://141.218.60.56/~jnz1568/getInfo.php?workbook=01_01.xlsx&amp;sheet=A0&amp;row=275&amp;col=33&amp;number=&amp;sourceID=18","")</f>
        <v/>
      </c>
      <c r="AH275" s="4" t="str">
        <f>HYPERLINK("http://141.218.60.56/~jnz1568/getInfo.php?workbook=01_01.xlsx&amp;sheet=A0&amp;row=275&amp;col=34&amp;number=&amp;sourceID=20","")</f>
        <v/>
      </c>
    </row>
    <row r="276" spans="1:34">
      <c r="A276" s="3">
        <v>1</v>
      </c>
      <c r="B276" s="3">
        <v>1</v>
      </c>
      <c r="C276" s="3">
        <v>25</v>
      </c>
      <c r="D276" s="3">
        <v>14</v>
      </c>
      <c r="E276" s="3">
        <f>((1/(INDEX(E0!J$4:J$28,C276,1)-INDEX(E0!J$4:J$28,D276,1))))*100000000</f>
        <v>0</v>
      </c>
      <c r="F276" s="4" t="str">
        <f>HYPERLINK("http://141.218.60.56/~jnz1568/getInfo.php?workbook=01_01.xlsx&amp;sheet=A0&amp;row=276&amp;col=6&amp;number=&amp;sourceID=18","")</f>
        <v/>
      </c>
      <c r="G276" s="4" t="str">
        <f>HYPERLINK("http://141.218.60.56/~jnz1568/getInfo.php?workbook=01_01.xlsx&amp;sheet=A0&amp;row=276&amp;col=7&amp;number=&amp;sourceID=15","")</f>
        <v/>
      </c>
      <c r="H276" s="4" t="str">
        <f>HYPERLINK("http://141.218.60.56/~jnz1568/getInfo.php?workbook=01_01.xlsx&amp;sheet=A0&amp;row=276&amp;col=8&amp;number=&amp;sourceID=15","")</f>
        <v/>
      </c>
      <c r="I276" s="4" t="str">
        <f>HYPERLINK("http://141.218.60.56/~jnz1568/getInfo.php?workbook=01_01.xlsx&amp;sheet=A0&amp;row=276&amp;col=9&amp;number=&amp;sourceID=15","")</f>
        <v/>
      </c>
      <c r="J276" s="4" t="str">
        <f>HYPERLINK("http://141.218.60.56/~jnz1568/getInfo.php?workbook=01_01.xlsx&amp;sheet=A0&amp;row=276&amp;col=10&amp;number=&amp;sourceID=15","")</f>
        <v/>
      </c>
      <c r="K276" s="4" t="str">
        <f>HYPERLINK("http://141.218.60.56/~jnz1568/getInfo.php?workbook=01_01.xlsx&amp;sheet=A0&amp;row=276&amp;col=11&amp;number=&amp;sourceID=15","")</f>
        <v/>
      </c>
      <c r="L276" s="4" t="str">
        <f>HYPERLINK("http://141.218.60.56/~jnz1568/getInfo.php?workbook=01_01.xlsx&amp;sheet=A0&amp;row=276&amp;col=12&amp;number=&amp;sourceID=15","")</f>
        <v/>
      </c>
      <c r="M276" s="4" t="str">
        <f>HYPERLINK("http://141.218.60.56/~jnz1568/getInfo.php?workbook=01_01.xlsx&amp;sheet=A0&amp;row=276&amp;col=13&amp;number=&amp;sourceID=15","")</f>
        <v/>
      </c>
      <c r="N276" s="4" t="str">
        <f>HYPERLINK("http://141.218.60.56/~jnz1568/getInfo.php?workbook=01_01.xlsx&amp;sheet=A0&amp;row=276&amp;col=14&amp;number==&amp;sourceID=11","=")</f>
        <v>=</v>
      </c>
      <c r="O276" s="4" t="str">
        <f>HYPERLINK("http://141.218.60.56/~jnz1568/getInfo.php?workbook=01_01.xlsx&amp;sheet=A0&amp;row=276&amp;col=15&amp;number=&amp;sourceID=11","")</f>
        <v/>
      </c>
      <c r="P276" s="4" t="str">
        <f>HYPERLINK("http://141.218.60.56/~jnz1568/getInfo.php?workbook=01_01.xlsx&amp;sheet=A0&amp;row=276&amp;col=16&amp;number=0.99906&amp;sourceID=11","0.99906")</f>
        <v>0.99906</v>
      </c>
      <c r="Q276" s="4" t="str">
        <f>HYPERLINK("http://141.218.60.56/~jnz1568/getInfo.php?workbook=01_01.xlsx&amp;sheet=A0&amp;row=276&amp;col=17&amp;number=&amp;sourceID=11","")</f>
        <v/>
      </c>
      <c r="R276" s="4" t="str">
        <f>HYPERLINK("http://141.218.60.56/~jnz1568/getInfo.php?workbook=01_01.xlsx&amp;sheet=A0&amp;row=276&amp;col=18&amp;number=&amp;sourceID=11","")</f>
        <v/>
      </c>
      <c r="S276" s="4" t="str">
        <f>HYPERLINK("http://141.218.60.56/~jnz1568/getInfo.php?workbook=01_01.xlsx&amp;sheet=A0&amp;row=276&amp;col=19&amp;number=&amp;sourceID=11","")</f>
        <v/>
      </c>
      <c r="T276" s="4" t="str">
        <f>HYPERLINK("http://141.218.60.56/~jnz1568/getInfo.php?workbook=01_01.xlsx&amp;sheet=A0&amp;row=276&amp;col=20&amp;number=1e-13&amp;sourceID=11","1e-13")</f>
        <v>1e-13</v>
      </c>
      <c r="U276" s="4" t="str">
        <f>HYPERLINK("http://141.218.60.56/~jnz1568/getInfo.php?workbook=01_01.xlsx&amp;sheet=A0&amp;row=276&amp;col=21&amp;number=0.9996&amp;sourceID=12","0.9996")</f>
        <v>0.9996</v>
      </c>
      <c r="V276" s="4" t="str">
        <f>HYPERLINK("http://141.218.60.56/~jnz1568/getInfo.php?workbook=01_01.xlsx&amp;sheet=A0&amp;row=276&amp;col=22&amp;number=&amp;sourceID=12","")</f>
        <v/>
      </c>
      <c r="W276" s="4" t="str">
        <f>HYPERLINK("http://141.218.60.56/~jnz1568/getInfo.php?workbook=01_01.xlsx&amp;sheet=A0&amp;row=276&amp;col=23&amp;number=0.9996&amp;sourceID=12","0.9996")</f>
        <v>0.9996</v>
      </c>
      <c r="X276" s="4" t="str">
        <f>HYPERLINK("http://141.218.60.56/~jnz1568/getInfo.php?workbook=01_01.xlsx&amp;sheet=A0&amp;row=276&amp;col=24&amp;number=&amp;sourceID=12","")</f>
        <v/>
      </c>
      <c r="Y276" s="4" t="str">
        <f>HYPERLINK("http://141.218.60.56/~jnz1568/getInfo.php?workbook=01_01.xlsx&amp;sheet=A0&amp;row=276&amp;col=25&amp;number=&amp;sourceID=12","")</f>
        <v/>
      </c>
      <c r="Z276" s="4" t="str">
        <f>HYPERLINK("http://141.218.60.56/~jnz1568/getInfo.php?workbook=01_01.xlsx&amp;sheet=A0&amp;row=276&amp;col=26&amp;number=&amp;sourceID=12","")</f>
        <v/>
      </c>
      <c r="AA276" s="4" t="str">
        <f>HYPERLINK("http://141.218.60.56/~jnz1568/getInfo.php?workbook=01_01.xlsx&amp;sheet=A0&amp;row=276&amp;col=27&amp;number=1e-13&amp;sourceID=12","1e-13")</f>
        <v>1e-13</v>
      </c>
      <c r="AB276" s="4" t="str">
        <f>HYPERLINK("http://141.218.60.56/~jnz1568/getInfo.php?workbook=01_01.xlsx&amp;sheet=A0&amp;row=276&amp;col=28&amp;number=&amp;sourceID=18","")</f>
        <v/>
      </c>
      <c r="AC276" s="4" t="str">
        <f>HYPERLINK("http://141.218.60.56/~jnz1568/getInfo.php?workbook=01_01.xlsx&amp;sheet=A0&amp;row=276&amp;col=29&amp;number=&amp;sourceID=18","")</f>
        <v/>
      </c>
      <c r="AD276" s="4" t="str">
        <f>HYPERLINK("http://141.218.60.56/~jnz1568/getInfo.php?workbook=01_01.xlsx&amp;sheet=A0&amp;row=276&amp;col=30&amp;number=&amp;sourceID=18","")</f>
        <v/>
      </c>
      <c r="AE276" s="4" t="str">
        <f>HYPERLINK("http://141.218.60.56/~jnz1568/getInfo.php?workbook=01_01.xlsx&amp;sheet=A0&amp;row=276&amp;col=31&amp;number=&amp;sourceID=18","")</f>
        <v/>
      </c>
      <c r="AF276" s="4" t="str">
        <f>HYPERLINK("http://141.218.60.56/~jnz1568/getInfo.php?workbook=01_01.xlsx&amp;sheet=A0&amp;row=276&amp;col=32&amp;number=&amp;sourceID=18","")</f>
        <v/>
      </c>
      <c r="AG276" s="4" t="str">
        <f>HYPERLINK("http://141.218.60.56/~jnz1568/getInfo.php?workbook=01_01.xlsx&amp;sheet=A0&amp;row=276&amp;col=33&amp;number=&amp;sourceID=18","")</f>
        <v/>
      </c>
      <c r="AH276" s="4" t="str">
        <f>HYPERLINK("http://141.218.60.56/~jnz1568/getInfo.php?workbook=01_01.xlsx&amp;sheet=A0&amp;row=276&amp;col=34&amp;number=&amp;sourceID=20","")</f>
        <v/>
      </c>
    </row>
    <row r="277" spans="1:34">
      <c r="A277" s="3">
        <v>1</v>
      </c>
      <c r="B277" s="3">
        <v>1</v>
      </c>
      <c r="C277" s="3">
        <v>25</v>
      </c>
      <c r="D277" s="3">
        <v>15</v>
      </c>
      <c r="E277" s="3">
        <f>((1/(INDEX(E0!J$4:J$28,C277,1)-INDEX(E0!J$4:J$28,D277,1))))*100000000</f>
        <v>0</v>
      </c>
      <c r="F277" s="4" t="str">
        <f>HYPERLINK("http://141.218.60.56/~jnz1568/getInfo.php?workbook=01_01.xlsx&amp;sheet=A0&amp;row=277&amp;col=6&amp;number=&amp;sourceID=18","")</f>
        <v/>
      </c>
      <c r="G277" s="4" t="str">
        <f>HYPERLINK("http://141.218.60.56/~jnz1568/getInfo.php?workbook=01_01.xlsx&amp;sheet=A0&amp;row=277&amp;col=7&amp;number=&amp;sourceID=15","")</f>
        <v/>
      </c>
      <c r="H277" s="4" t="str">
        <f>HYPERLINK("http://141.218.60.56/~jnz1568/getInfo.php?workbook=01_01.xlsx&amp;sheet=A0&amp;row=277&amp;col=8&amp;number=&amp;sourceID=15","")</f>
        <v/>
      </c>
      <c r="I277" s="4" t="str">
        <f>HYPERLINK("http://141.218.60.56/~jnz1568/getInfo.php?workbook=01_01.xlsx&amp;sheet=A0&amp;row=277&amp;col=9&amp;number=&amp;sourceID=15","")</f>
        <v/>
      </c>
      <c r="J277" s="4" t="str">
        <f>HYPERLINK("http://141.218.60.56/~jnz1568/getInfo.php?workbook=01_01.xlsx&amp;sheet=A0&amp;row=277&amp;col=10&amp;number=&amp;sourceID=15","")</f>
        <v/>
      </c>
      <c r="K277" s="4" t="str">
        <f>HYPERLINK("http://141.218.60.56/~jnz1568/getInfo.php?workbook=01_01.xlsx&amp;sheet=A0&amp;row=277&amp;col=11&amp;number=&amp;sourceID=15","")</f>
        <v/>
      </c>
      <c r="L277" s="4" t="str">
        <f>HYPERLINK("http://141.218.60.56/~jnz1568/getInfo.php?workbook=01_01.xlsx&amp;sheet=A0&amp;row=277&amp;col=12&amp;number=&amp;sourceID=15","")</f>
        <v/>
      </c>
      <c r="M277" s="4" t="str">
        <f>HYPERLINK("http://141.218.60.56/~jnz1568/getInfo.php?workbook=01_01.xlsx&amp;sheet=A0&amp;row=277&amp;col=13&amp;number=&amp;sourceID=15","")</f>
        <v/>
      </c>
      <c r="N277" s="4" t="str">
        <f>HYPERLINK("http://141.218.60.56/~jnz1568/getInfo.php?workbook=01_01.xlsx&amp;sheet=A0&amp;row=277&amp;col=14&amp;number==&amp;sourceID=11","=")</f>
        <v>=</v>
      </c>
      <c r="O277" s="4" t="str">
        <f>HYPERLINK("http://141.218.60.56/~jnz1568/getInfo.php?workbook=01_01.xlsx&amp;sheet=A0&amp;row=277&amp;col=15&amp;number=&amp;sourceID=11","")</f>
        <v/>
      </c>
      <c r="P277" s="4" t="str">
        <f>HYPERLINK("http://141.218.60.56/~jnz1568/getInfo.php?workbook=01_01.xlsx&amp;sheet=A0&amp;row=277&amp;col=16&amp;number=&amp;sourceID=11","")</f>
        <v/>
      </c>
      <c r="Q277" s="4" t="str">
        <f>HYPERLINK("http://141.218.60.56/~jnz1568/getInfo.php?workbook=01_01.xlsx&amp;sheet=A0&amp;row=277&amp;col=17&amp;number=6.0934e-09&amp;sourceID=11","6.0934e-09")</f>
        <v>6.0934e-09</v>
      </c>
      <c r="R277" s="4" t="str">
        <f>HYPERLINK("http://141.218.60.56/~jnz1568/getInfo.php?workbook=01_01.xlsx&amp;sheet=A0&amp;row=277&amp;col=18&amp;number=&amp;sourceID=11","")</f>
        <v/>
      </c>
      <c r="S277" s="4" t="str">
        <f>HYPERLINK("http://141.218.60.56/~jnz1568/getInfo.php?workbook=01_01.xlsx&amp;sheet=A0&amp;row=277&amp;col=19&amp;number=8.7247e-08&amp;sourceID=11","8.7247e-08")</f>
        <v>8.7247e-08</v>
      </c>
      <c r="T277" s="4" t="str">
        <f>HYPERLINK("http://141.218.60.56/~jnz1568/getInfo.php?workbook=01_01.xlsx&amp;sheet=A0&amp;row=277&amp;col=20&amp;number=&amp;sourceID=11","")</f>
        <v/>
      </c>
      <c r="U277" s="4" t="str">
        <f>HYPERLINK("http://141.218.60.56/~jnz1568/getInfo.php?workbook=01_01.xlsx&amp;sheet=A0&amp;row=277&amp;col=21&amp;number=9.3391e-08&amp;sourceID=12","9.3391e-08")</f>
        <v>9.3391e-08</v>
      </c>
      <c r="V277" s="4" t="str">
        <f>HYPERLINK("http://141.218.60.56/~jnz1568/getInfo.php?workbook=01_01.xlsx&amp;sheet=A0&amp;row=277&amp;col=22&amp;number=&amp;sourceID=12","")</f>
        <v/>
      </c>
      <c r="W277" s="4" t="str">
        <f>HYPERLINK("http://141.218.60.56/~jnz1568/getInfo.php?workbook=01_01.xlsx&amp;sheet=A0&amp;row=277&amp;col=23&amp;number=&amp;sourceID=12","")</f>
        <v/>
      </c>
      <c r="X277" s="4" t="str">
        <f>HYPERLINK("http://141.218.60.56/~jnz1568/getInfo.php?workbook=01_01.xlsx&amp;sheet=A0&amp;row=277&amp;col=24&amp;number=6.0967e-09&amp;sourceID=12","6.0967e-09")</f>
        <v>6.0967e-09</v>
      </c>
      <c r="Y277" s="4" t="str">
        <f>HYPERLINK("http://141.218.60.56/~jnz1568/getInfo.php?workbook=01_01.xlsx&amp;sheet=A0&amp;row=277&amp;col=25&amp;number=&amp;sourceID=12","")</f>
        <v/>
      </c>
      <c r="Z277" s="4" t="str">
        <f>HYPERLINK("http://141.218.60.56/~jnz1568/getInfo.php?workbook=01_01.xlsx&amp;sheet=A0&amp;row=277&amp;col=26&amp;number=8.7294e-08&amp;sourceID=12","8.7294e-08")</f>
        <v>8.7294e-08</v>
      </c>
      <c r="AA277" s="4" t="str">
        <f>HYPERLINK("http://141.218.60.56/~jnz1568/getInfo.php?workbook=01_01.xlsx&amp;sheet=A0&amp;row=277&amp;col=27&amp;number=&amp;sourceID=12","")</f>
        <v/>
      </c>
      <c r="AB277" s="4" t="str">
        <f>HYPERLINK("http://141.218.60.56/~jnz1568/getInfo.php?workbook=01_01.xlsx&amp;sheet=A0&amp;row=277&amp;col=28&amp;number=&amp;sourceID=18","")</f>
        <v/>
      </c>
      <c r="AC277" s="4" t="str">
        <f>HYPERLINK("http://141.218.60.56/~jnz1568/getInfo.php?workbook=01_01.xlsx&amp;sheet=A0&amp;row=277&amp;col=29&amp;number=&amp;sourceID=18","")</f>
        <v/>
      </c>
      <c r="AD277" s="4" t="str">
        <f>HYPERLINK("http://141.218.60.56/~jnz1568/getInfo.php?workbook=01_01.xlsx&amp;sheet=A0&amp;row=277&amp;col=30&amp;number=&amp;sourceID=18","")</f>
        <v/>
      </c>
      <c r="AE277" s="4" t="str">
        <f>HYPERLINK("http://141.218.60.56/~jnz1568/getInfo.php?workbook=01_01.xlsx&amp;sheet=A0&amp;row=277&amp;col=31&amp;number=&amp;sourceID=18","")</f>
        <v/>
      </c>
      <c r="AF277" s="4" t="str">
        <f>HYPERLINK("http://141.218.60.56/~jnz1568/getInfo.php?workbook=01_01.xlsx&amp;sheet=A0&amp;row=277&amp;col=32&amp;number=&amp;sourceID=18","")</f>
        <v/>
      </c>
      <c r="AG277" s="4" t="str">
        <f>HYPERLINK("http://141.218.60.56/~jnz1568/getInfo.php?workbook=01_01.xlsx&amp;sheet=A0&amp;row=277&amp;col=33&amp;number=&amp;sourceID=18","")</f>
        <v/>
      </c>
      <c r="AH277" s="4" t="str">
        <f>HYPERLINK("http://141.218.60.56/~jnz1568/getInfo.php?workbook=01_01.xlsx&amp;sheet=A0&amp;row=277&amp;col=34&amp;number=&amp;sourceID=20","")</f>
        <v/>
      </c>
    </row>
    <row r="278" spans="1:34">
      <c r="A278" s="3">
        <v>1</v>
      </c>
      <c r="B278" s="3">
        <v>1</v>
      </c>
      <c r="C278" s="3">
        <v>25</v>
      </c>
      <c r="D278" s="3">
        <v>16</v>
      </c>
      <c r="E278" s="3">
        <f>((1/(INDEX(E0!J$4:J$28,C278,1)-INDEX(E0!J$4:J$28,D278,1))))*100000000</f>
        <v>0</v>
      </c>
      <c r="F278" s="4" t="str">
        <f>HYPERLINK("http://141.218.60.56/~jnz1568/getInfo.php?workbook=01_01.xlsx&amp;sheet=A0&amp;row=278&amp;col=6&amp;number=&amp;sourceID=18","")</f>
        <v/>
      </c>
      <c r="G278" s="4" t="str">
        <f>HYPERLINK("http://141.218.60.56/~jnz1568/getInfo.php?workbook=01_01.xlsx&amp;sheet=A0&amp;row=278&amp;col=7&amp;number=4254200&amp;sourceID=15","4254200")</f>
        <v>4254200</v>
      </c>
      <c r="H278" s="4" t="str">
        <f>HYPERLINK("http://141.218.60.56/~jnz1568/getInfo.php?workbook=01_01.xlsx&amp;sheet=A0&amp;row=278&amp;col=8&amp;number=4254200&amp;sourceID=15","4254200")</f>
        <v>4254200</v>
      </c>
      <c r="I278" s="4" t="str">
        <f>HYPERLINK("http://141.218.60.56/~jnz1568/getInfo.php?workbook=01_01.xlsx&amp;sheet=A0&amp;row=278&amp;col=9&amp;number=&amp;sourceID=15","")</f>
        <v/>
      </c>
      <c r="J278" s="4" t="str">
        <f>HYPERLINK("http://141.218.60.56/~jnz1568/getInfo.php?workbook=01_01.xlsx&amp;sheet=A0&amp;row=278&amp;col=10&amp;number=&amp;sourceID=15","")</f>
        <v/>
      </c>
      <c r="K278" s="4" t="str">
        <f>HYPERLINK("http://141.218.60.56/~jnz1568/getInfo.php?workbook=01_01.xlsx&amp;sheet=A0&amp;row=278&amp;col=11&amp;number=&amp;sourceID=15","")</f>
        <v/>
      </c>
      <c r="L278" s="4" t="str">
        <f>HYPERLINK("http://141.218.60.56/~jnz1568/getInfo.php?workbook=01_01.xlsx&amp;sheet=A0&amp;row=278&amp;col=12&amp;number=&amp;sourceID=15","")</f>
        <v/>
      </c>
      <c r="M278" s="4" t="str">
        <f>HYPERLINK("http://141.218.60.56/~jnz1568/getInfo.php?workbook=01_01.xlsx&amp;sheet=A0&amp;row=278&amp;col=13&amp;number=&amp;sourceID=15","")</f>
        <v/>
      </c>
      <c r="N278" s="4" t="str">
        <f>HYPERLINK("http://141.218.60.56/~jnz1568/getInfo.php?workbook=01_01.xlsx&amp;sheet=A0&amp;row=278&amp;col=14&amp;number==&amp;sourceID=11","=")</f>
        <v>=</v>
      </c>
      <c r="O278" s="4" t="str">
        <f>HYPERLINK("http://141.218.60.56/~jnz1568/getInfo.php?workbook=01_01.xlsx&amp;sheet=A0&amp;row=278&amp;col=15&amp;number=4254200&amp;sourceID=11","4254200")</f>
        <v>4254200</v>
      </c>
      <c r="P278" s="4" t="str">
        <f>HYPERLINK("http://141.218.60.56/~jnz1568/getInfo.php?workbook=01_01.xlsx&amp;sheet=A0&amp;row=278&amp;col=16&amp;number=&amp;sourceID=11","")</f>
        <v/>
      </c>
      <c r="Q278" s="4" t="str">
        <f>HYPERLINK("http://141.218.60.56/~jnz1568/getInfo.php?workbook=01_01.xlsx&amp;sheet=A0&amp;row=278&amp;col=17&amp;number=3.656e-08&amp;sourceID=11","3.656e-08")</f>
        <v>3.656e-08</v>
      </c>
      <c r="R278" s="4" t="str">
        <f>HYPERLINK("http://141.218.60.56/~jnz1568/getInfo.php?workbook=01_01.xlsx&amp;sheet=A0&amp;row=278&amp;col=18&amp;number=&amp;sourceID=11","")</f>
        <v/>
      </c>
      <c r="S278" s="4" t="str">
        <f>HYPERLINK("http://141.218.60.56/~jnz1568/getInfo.php?workbook=01_01.xlsx&amp;sheet=A0&amp;row=278&amp;col=19&amp;number=8.0975e-07&amp;sourceID=11","8.0975e-07")</f>
        <v>8.0975e-07</v>
      </c>
      <c r="T278" s="4" t="str">
        <f>HYPERLINK("http://141.218.60.56/~jnz1568/getInfo.php?workbook=01_01.xlsx&amp;sheet=A0&amp;row=278&amp;col=20&amp;number=&amp;sourceID=11","")</f>
        <v/>
      </c>
      <c r="U278" s="4" t="str">
        <f>HYPERLINK("http://141.218.60.56/~jnz1568/getInfo.php?workbook=01_01.xlsx&amp;sheet=A0&amp;row=278&amp;col=21&amp;number=4256500&amp;sourceID=12","4256500")</f>
        <v>4256500</v>
      </c>
      <c r="V278" s="4" t="str">
        <f>HYPERLINK("http://141.218.60.56/~jnz1568/getInfo.php?workbook=01_01.xlsx&amp;sheet=A0&amp;row=278&amp;col=22&amp;number=4256500&amp;sourceID=12","4256500")</f>
        <v>4256500</v>
      </c>
      <c r="W278" s="4" t="str">
        <f>HYPERLINK("http://141.218.60.56/~jnz1568/getInfo.php?workbook=01_01.xlsx&amp;sheet=A0&amp;row=278&amp;col=23&amp;number=&amp;sourceID=12","")</f>
        <v/>
      </c>
      <c r="X278" s="4" t="str">
        <f>HYPERLINK("http://141.218.60.56/~jnz1568/getInfo.php?workbook=01_01.xlsx&amp;sheet=A0&amp;row=278&amp;col=24&amp;number=3.658e-08&amp;sourceID=12","3.658e-08")</f>
        <v>3.658e-08</v>
      </c>
      <c r="Y278" s="4" t="str">
        <f>HYPERLINK("http://141.218.60.56/~jnz1568/getInfo.php?workbook=01_01.xlsx&amp;sheet=A0&amp;row=278&amp;col=25&amp;number=&amp;sourceID=12","")</f>
        <v/>
      </c>
      <c r="Z278" s="4" t="str">
        <f>HYPERLINK("http://141.218.60.56/~jnz1568/getInfo.php?workbook=01_01.xlsx&amp;sheet=A0&amp;row=278&amp;col=26&amp;number=8.1019e-07&amp;sourceID=12","8.1019e-07")</f>
        <v>8.1019e-07</v>
      </c>
      <c r="AA278" s="4" t="str">
        <f>HYPERLINK("http://141.218.60.56/~jnz1568/getInfo.php?workbook=01_01.xlsx&amp;sheet=A0&amp;row=278&amp;col=27&amp;number=&amp;sourceID=12","")</f>
        <v/>
      </c>
      <c r="AB278" s="4" t="str">
        <f>HYPERLINK("http://141.218.60.56/~jnz1568/getInfo.php?workbook=01_01.xlsx&amp;sheet=A0&amp;row=278&amp;col=28&amp;number=&amp;sourceID=18","")</f>
        <v/>
      </c>
      <c r="AC278" s="4" t="str">
        <f>HYPERLINK("http://141.218.60.56/~jnz1568/getInfo.php?workbook=01_01.xlsx&amp;sheet=A0&amp;row=278&amp;col=29&amp;number=&amp;sourceID=18","")</f>
        <v/>
      </c>
      <c r="AD278" s="4" t="str">
        <f>HYPERLINK("http://141.218.60.56/~jnz1568/getInfo.php?workbook=01_01.xlsx&amp;sheet=A0&amp;row=278&amp;col=30&amp;number=&amp;sourceID=18","")</f>
        <v/>
      </c>
      <c r="AE278" s="4" t="str">
        <f>HYPERLINK("http://141.218.60.56/~jnz1568/getInfo.php?workbook=01_01.xlsx&amp;sheet=A0&amp;row=278&amp;col=31&amp;number=&amp;sourceID=18","")</f>
        <v/>
      </c>
      <c r="AF278" s="4" t="str">
        <f>HYPERLINK("http://141.218.60.56/~jnz1568/getInfo.php?workbook=01_01.xlsx&amp;sheet=A0&amp;row=278&amp;col=32&amp;number=&amp;sourceID=18","")</f>
        <v/>
      </c>
      <c r="AG278" s="4" t="str">
        <f>HYPERLINK("http://141.218.60.56/~jnz1568/getInfo.php?workbook=01_01.xlsx&amp;sheet=A0&amp;row=278&amp;col=33&amp;number=&amp;sourceID=18","")</f>
        <v/>
      </c>
      <c r="AH278" s="4" t="str">
        <f>HYPERLINK("http://141.218.60.56/~jnz1568/getInfo.php?workbook=01_01.xlsx&amp;sheet=A0&amp;row=278&amp;col=34&amp;number=&amp;sourceID=20","")</f>
        <v/>
      </c>
    </row>
    <row r="279" spans="1:34">
      <c r="A279" s="3">
        <v>1</v>
      </c>
      <c r="B279" s="3">
        <v>1</v>
      </c>
      <c r="C279" s="3">
        <v>25</v>
      </c>
      <c r="D279" s="3">
        <v>19</v>
      </c>
      <c r="E279" s="3">
        <f>((1/(INDEX(E0!J$4:J$28,C279,1)-INDEX(E0!J$4:J$28,D279,1))))*100000000</f>
        <v>0</v>
      </c>
      <c r="F279" s="4" t="str">
        <f>HYPERLINK("http://141.218.60.56/~jnz1568/getInfo.php?workbook=01_01.xlsx&amp;sheet=A0&amp;row=279&amp;col=6&amp;number=&amp;sourceID=18","")</f>
        <v/>
      </c>
      <c r="G279" s="4" t="str">
        <f>HYPERLINK("http://141.218.60.56/~jnz1568/getInfo.php?workbook=01_01.xlsx&amp;sheet=A0&amp;row=279&amp;col=7&amp;number=&amp;sourceID=15","")</f>
        <v/>
      </c>
      <c r="H279" s="4" t="str">
        <f>HYPERLINK("http://141.218.60.56/~jnz1568/getInfo.php?workbook=01_01.xlsx&amp;sheet=A0&amp;row=279&amp;col=8&amp;number=&amp;sourceID=15","")</f>
        <v/>
      </c>
      <c r="I279" s="4" t="str">
        <f>HYPERLINK("http://141.218.60.56/~jnz1568/getInfo.php?workbook=01_01.xlsx&amp;sheet=A0&amp;row=279&amp;col=9&amp;number=&amp;sourceID=15","")</f>
        <v/>
      </c>
      <c r="J279" s="4" t="str">
        <f>HYPERLINK("http://141.218.60.56/~jnz1568/getInfo.php?workbook=01_01.xlsx&amp;sheet=A0&amp;row=279&amp;col=10&amp;number=&amp;sourceID=15","")</f>
        <v/>
      </c>
      <c r="K279" s="4" t="str">
        <f>HYPERLINK("http://141.218.60.56/~jnz1568/getInfo.php?workbook=01_01.xlsx&amp;sheet=A0&amp;row=279&amp;col=11&amp;number=&amp;sourceID=15","")</f>
        <v/>
      </c>
      <c r="L279" s="4" t="str">
        <f>HYPERLINK("http://141.218.60.56/~jnz1568/getInfo.php?workbook=01_01.xlsx&amp;sheet=A0&amp;row=279&amp;col=12&amp;number=&amp;sourceID=15","")</f>
        <v/>
      </c>
      <c r="M279" s="4" t="str">
        <f>HYPERLINK("http://141.218.60.56/~jnz1568/getInfo.php?workbook=01_01.xlsx&amp;sheet=A0&amp;row=279&amp;col=13&amp;number=&amp;sourceID=15","")</f>
        <v/>
      </c>
      <c r="N279" s="4" t="str">
        <f>HYPERLINK("http://141.218.60.56/~jnz1568/getInfo.php?workbook=01_01.xlsx&amp;sheet=A0&amp;row=279&amp;col=14&amp;number==&amp;sourceID=11","=")</f>
        <v>=</v>
      </c>
      <c r="O279" s="4" t="str">
        <f>HYPERLINK("http://141.218.60.56/~jnz1568/getInfo.php?workbook=01_01.xlsx&amp;sheet=A0&amp;row=279&amp;col=15&amp;number=&amp;sourceID=11","")</f>
        <v/>
      </c>
      <c r="P279" s="4" t="str">
        <f>HYPERLINK("http://141.218.60.56/~jnz1568/getInfo.php?workbook=01_01.xlsx&amp;sheet=A0&amp;row=279&amp;col=16&amp;number=&amp;sourceID=11","")</f>
        <v/>
      </c>
      <c r="Q279" s="4" t="str">
        <f>HYPERLINK("http://141.218.60.56/~jnz1568/getInfo.php?workbook=01_01.xlsx&amp;sheet=A0&amp;row=279&amp;col=17&amp;number=&amp;sourceID=11","")</f>
        <v/>
      </c>
      <c r="R279" s="4" t="str">
        <f>HYPERLINK("http://141.218.60.56/~jnz1568/getInfo.php?workbook=01_01.xlsx&amp;sheet=A0&amp;row=279&amp;col=18&amp;number=&amp;sourceID=11","")</f>
        <v/>
      </c>
      <c r="S279" s="4" t="str">
        <f>HYPERLINK("http://141.218.60.56/~jnz1568/getInfo.php?workbook=01_01.xlsx&amp;sheet=A0&amp;row=279&amp;col=19&amp;number=&amp;sourceID=11","")</f>
        <v/>
      </c>
      <c r="T279" s="4" t="str">
        <f>HYPERLINK("http://141.218.60.56/~jnz1568/getInfo.php?workbook=01_01.xlsx&amp;sheet=A0&amp;row=279&amp;col=20&amp;number=0&amp;sourceID=11","0")</f>
        <v>0</v>
      </c>
      <c r="U279" s="4" t="str">
        <f>HYPERLINK("http://141.218.60.56/~jnz1568/getInfo.php?workbook=01_01.xlsx&amp;sheet=A0&amp;row=279&amp;col=21&amp;number=0&amp;sourceID=12","0")</f>
        <v>0</v>
      </c>
      <c r="V279" s="4" t="str">
        <f>HYPERLINK("http://141.218.60.56/~jnz1568/getInfo.php?workbook=01_01.xlsx&amp;sheet=A0&amp;row=279&amp;col=22&amp;number=&amp;sourceID=12","")</f>
        <v/>
      </c>
      <c r="W279" s="4" t="str">
        <f>HYPERLINK("http://141.218.60.56/~jnz1568/getInfo.php?workbook=01_01.xlsx&amp;sheet=A0&amp;row=279&amp;col=23&amp;number=&amp;sourceID=12","")</f>
        <v/>
      </c>
      <c r="X279" s="4" t="str">
        <f>HYPERLINK("http://141.218.60.56/~jnz1568/getInfo.php?workbook=01_01.xlsx&amp;sheet=A0&amp;row=279&amp;col=24&amp;number=&amp;sourceID=12","")</f>
        <v/>
      </c>
      <c r="Y279" s="4" t="str">
        <f>HYPERLINK("http://141.218.60.56/~jnz1568/getInfo.php?workbook=01_01.xlsx&amp;sheet=A0&amp;row=279&amp;col=25&amp;number=&amp;sourceID=12","")</f>
        <v/>
      </c>
      <c r="Z279" s="4" t="str">
        <f>HYPERLINK("http://141.218.60.56/~jnz1568/getInfo.php?workbook=01_01.xlsx&amp;sheet=A0&amp;row=279&amp;col=26&amp;number=&amp;sourceID=12","")</f>
        <v/>
      </c>
      <c r="AA279" s="4" t="str">
        <f>HYPERLINK("http://141.218.60.56/~jnz1568/getInfo.php?workbook=01_01.xlsx&amp;sheet=A0&amp;row=279&amp;col=27&amp;number=0&amp;sourceID=12","0")</f>
        <v>0</v>
      </c>
      <c r="AB279" s="4" t="str">
        <f>HYPERLINK("http://141.218.60.56/~jnz1568/getInfo.php?workbook=01_01.xlsx&amp;sheet=A0&amp;row=279&amp;col=28&amp;number=&amp;sourceID=18","")</f>
        <v/>
      </c>
      <c r="AC279" s="4" t="str">
        <f>HYPERLINK("http://141.218.60.56/~jnz1568/getInfo.php?workbook=01_01.xlsx&amp;sheet=A0&amp;row=279&amp;col=29&amp;number=&amp;sourceID=18","")</f>
        <v/>
      </c>
      <c r="AD279" s="4" t="str">
        <f>HYPERLINK("http://141.218.60.56/~jnz1568/getInfo.php?workbook=01_01.xlsx&amp;sheet=A0&amp;row=279&amp;col=30&amp;number=&amp;sourceID=18","")</f>
        <v/>
      </c>
      <c r="AE279" s="4" t="str">
        <f>HYPERLINK("http://141.218.60.56/~jnz1568/getInfo.php?workbook=01_01.xlsx&amp;sheet=A0&amp;row=279&amp;col=31&amp;number=&amp;sourceID=18","")</f>
        <v/>
      </c>
      <c r="AF279" s="4" t="str">
        <f>HYPERLINK("http://141.218.60.56/~jnz1568/getInfo.php?workbook=01_01.xlsx&amp;sheet=A0&amp;row=279&amp;col=32&amp;number=&amp;sourceID=18","")</f>
        <v/>
      </c>
      <c r="AG279" s="4" t="str">
        <f>HYPERLINK("http://141.218.60.56/~jnz1568/getInfo.php?workbook=01_01.xlsx&amp;sheet=A0&amp;row=279&amp;col=33&amp;number=&amp;sourceID=18","")</f>
        <v/>
      </c>
      <c r="AH279" s="4" t="str">
        <f>HYPERLINK("http://141.218.60.56/~jnz1568/getInfo.php?workbook=01_01.xlsx&amp;sheet=A0&amp;row=279&amp;col=34&amp;number=&amp;sourceID=20","")</f>
        <v/>
      </c>
    </row>
    <row r="280" spans="1:34">
      <c r="A280" s="3">
        <v>1</v>
      </c>
      <c r="B280" s="3">
        <v>1</v>
      </c>
      <c r="C280" s="3">
        <v>25</v>
      </c>
      <c r="D280" s="3">
        <v>20</v>
      </c>
      <c r="E280" s="3">
        <f>((1/(INDEX(E0!J$4:J$28,C280,1)-INDEX(E0!J$4:J$28,D280,1))))*100000000</f>
        <v>0</v>
      </c>
      <c r="F280" s="4" t="str">
        <f>HYPERLINK("http://141.218.60.56/~jnz1568/getInfo.php?workbook=01_01.xlsx&amp;sheet=A0&amp;row=280&amp;col=6&amp;number=&amp;sourceID=18","")</f>
        <v/>
      </c>
      <c r="G280" s="4" t="str">
        <f>HYPERLINK("http://141.218.60.56/~jnz1568/getInfo.php?workbook=01_01.xlsx&amp;sheet=A0&amp;row=280&amp;col=7&amp;number=&amp;sourceID=15","")</f>
        <v/>
      </c>
      <c r="H280" s="4" t="str">
        <f>HYPERLINK("http://141.218.60.56/~jnz1568/getInfo.php?workbook=01_01.xlsx&amp;sheet=A0&amp;row=280&amp;col=8&amp;number=&amp;sourceID=15","")</f>
        <v/>
      </c>
      <c r="I280" s="4" t="str">
        <f>HYPERLINK("http://141.218.60.56/~jnz1568/getInfo.php?workbook=01_01.xlsx&amp;sheet=A0&amp;row=280&amp;col=9&amp;number=&amp;sourceID=15","")</f>
        <v/>
      </c>
      <c r="J280" s="4" t="str">
        <f>HYPERLINK("http://141.218.60.56/~jnz1568/getInfo.php?workbook=01_01.xlsx&amp;sheet=A0&amp;row=280&amp;col=10&amp;number=&amp;sourceID=15","")</f>
        <v/>
      </c>
      <c r="K280" s="4" t="str">
        <f>HYPERLINK("http://141.218.60.56/~jnz1568/getInfo.php?workbook=01_01.xlsx&amp;sheet=A0&amp;row=280&amp;col=11&amp;number=&amp;sourceID=15","")</f>
        <v/>
      </c>
      <c r="L280" s="4" t="str">
        <f>HYPERLINK("http://141.218.60.56/~jnz1568/getInfo.php?workbook=01_01.xlsx&amp;sheet=A0&amp;row=280&amp;col=12&amp;number=&amp;sourceID=15","")</f>
        <v/>
      </c>
      <c r="M280" s="4" t="str">
        <f>HYPERLINK("http://141.218.60.56/~jnz1568/getInfo.php?workbook=01_01.xlsx&amp;sheet=A0&amp;row=280&amp;col=13&amp;number=&amp;sourceID=15","")</f>
        <v/>
      </c>
      <c r="N280" s="4" t="str">
        <f>HYPERLINK("http://141.218.60.56/~jnz1568/getInfo.php?workbook=01_01.xlsx&amp;sheet=A0&amp;row=280&amp;col=14&amp;number==&amp;sourceID=11","=")</f>
        <v>=</v>
      </c>
      <c r="O280" s="4" t="str">
        <f>HYPERLINK("http://141.218.60.56/~jnz1568/getInfo.php?workbook=01_01.xlsx&amp;sheet=A0&amp;row=280&amp;col=15&amp;number=&amp;sourceID=11","")</f>
        <v/>
      </c>
      <c r="P280" s="4" t="str">
        <f>HYPERLINK("http://141.218.60.56/~jnz1568/getInfo.php?workbook=01_01.xlsx&amp;sheet=A0&amp;row=280&amp;col=16&amp;number=&amp;sourceID=11","")</f>
        <v/>
      </c>
      <c r="Q280" s="4" t="str">
        <f>HYPERLINK("http://141.218.60.56/~jnz1568/getInfo.php?workbook=01_01.xlsx&amp;sheet=A0&amp;row=280&amp;col=17&amp;number=0&amp;sourceID=11","0")</f>
        <v>0</v>
      </c>
      <c r="R280" s="4" t="str">
        <f>HYPERLINK("http://141.218.60.56/~jnz1568/getInfo.php?workbook=01_01.xlsx&amp;sheet=A0&amp;row=280&amp;col=18&amp;number=&amp;sourceID=11","")</f>
        <v/>
      </c>
      <c r="S280" s="4" t="str">
        <f>HYPERLINK("http://141.218.60.56/~jnz1568/getInfo.php?workbook=01_01.xlsx&amp;sheet=A0&amp;row=280&amp;col=19&amp;number=&amp;sourceID=11","")</f>
        <v/>
      </c>
      <c r="T280" s="4" t="str">
        <f>HYPERLINK("http://141.218.60.56/~jnz1568/getInfo.php?workbook=01_01.xlsx&amp;sheet=A0&amp;row=280&amp;col=20&amp;number=&amp;sourceID=11","")</f>
        <v/>
      </c>
      <c r="U280" s="4" t="str">
        <f>HYPERLINK("http://141.218.60.56/~jnz1568/getInfo.php?workbook=01_01.xlsx&amp;sheet=A0&amp;row=280&amp;col=21&amp;number=0&amp;sourceID=12","0")</f>
        <v>0</v>
      </c>
      <c r="V280" s="4" t="str">
        <f>HYPERLINK("http://141.218.60.56/~jnz1568/getInfo.php?workbook=01_01.xlsx&amp;sheet=A0&amp;row=280&amp;col=22&amp;number=&amp;sourceID=12","")</f>
        <v/>
      </c>
      <c r="W280" s="4" t="str">
        <f>HYPERLINK("http://141.218.60.56/~jnz1568/getInfo.php?workbook=01_01.xlsx&amp;sheet=A0&amp;row=280&amp;col=23&amp;number=&amp;sourceID=12","")</f>
        <v/>
      </c>
      <c r="X280" s="4" t="str">
        <f>HYPERLINK("http://141.218.60.56/~jnz1568/getInfo.php?workbook=01_01.xlsx&amp;sheet=A0&amp;row=280&amp;col=24&amp;number=0&amp;sourceID=12","0")</f>
        <v>0</v>
      </c>
      <c r="Y280" s="4" t="str">
        <f>HYPERLINK("http://141.218.60.56/~jnz1568/getInfo.php?workbook=01_01.xlsx&amp;sheet=A0&amp;row=280&amp;col=25&amp;number=&amp;sourceID=12","")</f>
        <v/>
      </c>
      <c r="Z280" s="4" t="str">
        <f>HYPERLINK("http://141.218.60.56/~jnz1568/getInfo.php?workbook=01_01.xlsx&amp;sheet=A0&amp;row=280&amp;col=26&amp;number=&amp;sourceID=12","")</f>
        <v/>
      </c>
      <c r="AA280" s="4" t="str">
        <f>HYPERLINK("http://141.218.60.56/~jnz1568/getInfo.php?workbook=01_01.xlsx&amp;sheet=A0&amp;row=280&amp;col=27&amp;number=&amp;sourceID=12","")</f>
        <v/>
      </c>
      <c r="AB280" s="4" t="str">
        <f>HYPERLINK("http://141.218.60.56/~jnz1568/getInfo.php?workbook=01_01.xlsx&amp;sheet=A0&amp;row=280&amp;col=28&amp;number=&amp;sourceID=18","")</f>
        <v/>
      </c>
      <c r="AC280" s="4" t="str">
        <f>HYPERLINK("http://141.218.60.56/~jnz1568/getInfo.php?workbook=01_01.xlsx&amp;sheet=A0&amp;row=280&amp;col=29&amp;number=&amp;sourceID=18","")</f>
        <v/>
      </c>
      <c r="AD280" s="4" t="str">
        <f>HYPERLINK("http://141.218.60.56/~jnz1568/getInfo.php?workbook=01_01.xlsx&amp;sheet=A0&amp;row=280&amp;col=30&amp;number=&amp;sourceID=18","")</f>
        <v/>
      </c>
      <c r="AE280" s="4" t="str">
        <f>HYPERLINK("http://141.218.60.56/~jnz1568/getInfo.php?workbook=01_01.xlsx&amp;sheet=A0&amp;row=280&amp;col=31&amp;number=&amp;sourceID=18","")</f>
        <v/>
      </c>
      <c r="AF280" s="4" t="str">
        <f>HYPERLINK("http://141.218.60.56/~jnz1568/getInfo.php?workbook=01_01.xlsx&amp;sheet=A0&amp;row=280&amp;col=32&amp;number=&amp;sourceID=18","")</f>
        <v/>
      </c>
      <c r="AG280" s="4" t="str">
        <f>HYPERLINK("http://141.218.60.56/~jnz1568/getInfo.php?workbook=01_01.xlsx&amp;sheet=A0&amp;row=280&amp;col=33&amp;number=&amp;sourceID=18","")</f>
        <v/>
      </c>
      <c r="AH280" s="4" t="str">
        <f>HYPERLINK("http://141.218.60.56/~jnz1568/getInfo.php?workbook=01_01.xlsx&amp;sheet=A0&amp;row=280&amp;col=34&amp;number=&amp;sourceID=20","")</f>
        <v/>
      </c>
    </row>
    <row r="281" spans="1:34">
      <c r="A281" s="3">
        <v>1</v>
      </c>
      <c r="B281" s="3">
        <v>1</v>
      </c>
      <c r="C281" s="3">
        <v>25</v>
      </c>
      <c r="D281" s="3">
        <v>21</v>
      </c>
      <c r="E281" s="3">
        <f>((1/(INDEX(E0!J$4:J$28,C281,1)-INDEX(E0!J$4:J$28,D281,1))))*100000000</f>
        <v>0</v>
      </c>
      <c r="F281" s="4" t="str">
        <f>HYPERLINK("http://141.218.60.56/~jnz1568/getInfo.php?workbook=01_01.xlsx&amp;sheet=A0&amp;row=281&amp;col=6&amp;number=&amp;sourceID=18","")</f>
        <v/>
      </c>
      <c r="G281" s="4" t="str">
        <f>HYPERLINK("http://141.218.60.56/~jnz1568/getInfo.php?workbook=01_01.xlsx&amp;sheet=A0&amp;row=281&amp;col=7&amp;number=&amp;sourceID=15","")</f>
        <v/>
      </c>
      <c r="H281" s="4" t="str">
        <f>HYPERLINK("http://141.218.60.56/~jnz1568/getInfo.php?workbook=01_01.xlsx&amp;sheet=A0&amp;row=281&amp;col=8&amp;number=&amp;sourceID=15","")</f>
        <v/>
      </c>
      <c r="I281" s="4" t="str">
        <f>HYPERLINK("http://141.218.60.56/~jnz1568/getInfo.php?workbook=01_01.xlsx&amp;sheet=A0&amp;row=281&amp;col=9&amp;number=&amp;sourceID=15","")</f>
        <v/>
      </c>
      <c r="J281" s="4" t="str">
        <f>HYPERLINK("http://141.218.60.56/~jnz1568/getInfo.php?workbook=01_01.xlsx&amp;sheet=A0&amp;row=281&amp;col=10&amp;number=&amp;sourceID=15","")</f>
        <v/>
      </c>
      <c r="K281" s="4" t="str">
        <f>HYPERLINK("http://141.218.60.56/~jnz1568/getInfo.php?workbook=01_01.xlsx&amp;sheet=A0&amp;row=281&amp;col=11&amp;number=&amp;sourceID=15","")</f>
        <v/>
      </c>
      <c r="L281" s="4" t="str">
        <f>HYPERLINK("http://141.218.60.56/~jnz1568/getInfo.php?workbook=01_01.xlsx&amp;sheet=A0&amp;row=281&amp;col=12&amp;number=&amp;sourceID=15","")</f>
        <v/>
      </c>
      <c r="M281" s="4" t="str">
        <f>HYPERLINK("http://141.218.60.56/~jnz1568/getInfo.php?workbook=01_01.xlsx&amp;sheet=A0&amp;row=281&amp;col=13&amp;number=&amp;sourceID=15","")</f>
        <v/>
      </c>
      <c r="N281" s="4" t="str">
        <f>HYPERLINK("http://141.218.60.56/~jnz1568/getInfo.php?workbook=01_01.xlsx&amp;sheet=A0&amp;row=281&amp;col=14&amp;number==&amp;sourceID=11","=")</f>
        <v>=</v>
      </c>
      <c r="O281" s="4" t="str">
        <f>HYPERLINK("http://141.218.60.56/~jnz1568/getInfo.php?workbook=01_01.xlsx&amp;sheet=A0&amp;row=281&amp;col=15&amp;number=&amp;sourceID=11","")</f>
        <v/>
      </c>
      <c r="P281" s="4" t="str">
        <f>HYPERLINK("http://141.218.60.56/~jnz1568/getInfo.php?workbook=01_01.xlsx&amp;sheet=A0&amp;row=281&amp;col=16&amp;number=0&amp;sourceID=11","0")</f>
        <v>0</v>
      </c>
      <c r="Q281" s="4" t="str">
        <f>HYPERLINK("http://141.218.60.56/~jnz1568/getInfo.php?workbook=01_01.xlsx&amp;sheet=A0&amp;row=281&amp;col=17&amp;number=&amp;sourceID=11","")</f>
        <v/>
      </c>
      <c r="R281" s="4" t="str">
        <f>HYPERLINK("http://141.218.60.56/~jnz1568/getInfo.php?workbook=01_01.xlsx&amp;sheet=A0&amp;row=281&amp;col=18&amp;number=&amp;sourceID=11","")</f>
        <v/>
      </c>
      <c r="S281" s="4" t="str">
        <f>HYPERLINK("http://141.218.60.56/~jnz1568/getInfo.php?workbook=01_01.xlsx&amp;sheet=A0&amp;row=281&amp;col=19&amp;number=&amp;sourceID=11","")</f>
        <v/>
      </c>
      <c r="T281" s="4" t="str">
        <f>HYPERLINK("http://141.218.60.56/~jnz1568/getInfo.php?workbook=01_01.xlsx&amp;sheet=A0&amp;row=281&amp;col=20&amp;number=0&amp;sourceID=11","0")</f>
        <v>0</v>
      </c>
      <c r="U281" s="4" t="str">
        <f>HYPERLINK("http://141.218.60.56/~jnz1568/getInfo.php?workbook=01_01.xlsx&amp;sheet=A0&amp;row=281&amp;col=21&amp;number=0&amp;sourceID=12","0")</f>
        <v>0</v>
      </c>
      <c r="V281" s="4" t="str">
        <f>HYPERLINK("http://141.218.60.56/~jnz1568/getInfo.php?workbook=01_01.xlsx&amp;sheet=A0&amp;row=281&amp;col=22&amp;number=&amp;sourceID=12","")</f>
        <v/>
      </c>
      <c r="W281" s="4" t="str">
        <f>HYPERLINK("http://141.218.60.56/~jnz1568/getInfo.php?workbook=01_01.xlsx&amp;sheet=A0&amp;row=281&amp;col=23&amp;number=0&amp;sourceID=12","0")</f>
        <v>0</v>
      </c>
      <c r="X281" s="4" t="str">
        <f>HYPERLINK("http://141.218.60.56/~jnz1568/getInfo.php?workbook=01_01.xlsx&amp;sheet=A0&amp;row=281&amp;col=24&amp;number=&amp;sourceID=12","")</f>
        <v/>
      </c>
      <c r="Y281" s="4" t="str">
        <f>HYPERLINK("http://141.218.60.56/~jnz1568/getInfo.php?workbook=01_01.xlsx&amp;sheet=A0&amp;row=281&amp;col=25&amp;number=&amp;sourceID=12","")</f>
        <v/>
      </c>
      <c r="Z281" s="4" t="str">
        <f>HYPERLINK("http://141.218.60.56/~jnz1568/getInfo.php?workbook=01_01.xlsx&amp;sheet=A0&amp;row=281&amp;col=26&amp;number=&amp;sourceID=12","")</f>
        <v/>
      </c>
      <c r="AA281" s="4" t="str">
        <f>HYPERLINK("http://141.218.60.56/~jnz1568/getInfo.php?workbook=01_01.xlsx&amp;sheet=A0&amp;row=281&amp;col=27&amp;number=0&amp;sourceID=12","0")</f>
        <v>0</v>
      </c>
      <c r="AB281" s="4" t="str">
        <f>HYPERLINK("http://141.218.60.56/~jnz1568/getInfo.php?workbook=01_01.xlsx&amp;sheet=A0&amp;row=281&amp;col=28&amp;number=&amp;sourceID=18","")</f>
        <v/>
      </c>
      <c r="AC281" s="4" t="str">
        <f>HYPERLINK("http://141.218.60.56/~jnz1568/getInfo.php?workbook=01_01.xlsx&amp;sheet=A0&amp;row=281&amp;col=29&amp;number=&amp;sourceID=18","")</f>
        <v/>
      </c>
      <c r="AD281" s="4" t="str">
        <f>HYPERLINK("http://141.218.60.56/~jnz1568/getInfo.php?workbook=01_01.xlsx&amp;sheet=A0&amp;row=281&amp;col=30&amp;number=&amp;sourceID=18","")</f>
        <v/>
      </c>
      <c r="AE281" s="4" t="str">
        <f>HYPERLINK("http://141.218.60.56/~jnz1568/getInfo.php?workbook=01_01.xlsx&amp;sheet=A0&amp;row=281&amp;col=31&amp;number=&amp;sourceID=18","")</f>
        <v/>
      </c>
      <c r="AF281" s="4" t="str">
        <f>HYPERLINK("http://141.218.60.56/~jnz1568/getInfo.php?workbook=01_01.xlsx&amp;sheet=A0&amp;row=281&amp;col=32&amp;number=&amp;sourceID=18","")</f>
        <v/>
      </c>
      <c r="AG281" s="4" t="str">
        <f>HYPERLINK("http://141.218.60.56/~jnz1568/getInfo.php?workbook=01_01.xlsx&amp;sheet=A0&amp;row=281&amp;col=33&amp;number=&amp;sourceID=18","")</f>
        <v/>
      </c>
      <c r="AH281" s="4" t="str">
        <f>HYPERLINK("http://141.218.60.56/~jnz1568/getInfo.php?workbook=01_01.xlsx&amp;sheet=A0&amp;row=281&amp;col=34&amp;number=&amp;sourceID=20","")</f>
        <v/>
      </c>
    </row>
    <row r="282" spans="1:34">
      <c r="A282" s="3">
        <v>1</v>
      </c>
      <c r="B282" s="3">
        <v>1</v>
      </c>
      <c r="C282" s="3">
        <v>25</v>
      </c>
      <c r="D282" s="3">
        <v>22</v>
      </c>
      <c r="E282" s="3">
        <f>((1/(INDEX(E0!J$4:J$28,C282,1)-INDEX(E0!J$4:J$28,D282,1))))*100000000</f>
        <v>0</v>
      </c>
      <c r="F282" s="4" t="str">
        <f>HYPERLINK("http://141.218.60.56/~jnz1568/getInfo.php?workbook=01_01.xlsx&amp;sheet=A0&amp;row=282&amp;col=6&amp;number=&amp;sourceID=18","")</f>
        <v/>
      </c>
      <c r="G282" s="4" t="str">
        <f>HYPERLINK("http://141.218.60.56/~jnz1568/getInfo.php?workbook=01_01.xlsx&amp;sheet=A0&amp;row=282&amp;col=7&amp;number=&amp;sourceID=15","")</f>
        <v/>
      </c>
      <c r="H282" s="4" t="str">
        <f>HYPERLINK("http://141.218.60.56/~jnz1568/getInfo.php?workbook=01_01.xlsx&amp;sheet=A0&amp;row=282&amp;col=8&amp;number=&amp;sourceID=15","")</f>
        <v/>
      </c>
      <c r="I282" s="4" t="str">
        <f>HYPERLINK("http://141.218.60.56/~jnz1568/getInfo.php?workbook=01_01.xlsx&amp;sheet=A0&amp;row=282&amp;col=9&amp;number=&amp;sourceID=15","")</f>
        <v/>
      </c>
      <c r="J282" s="4" t="str">
        <f>HYPERLINK("http://141.218.60.56/~jnz1568/getInfo.php?workbook=01_01.xlsx&amp;sheet=A0&amp;row=282&amp;col=10&amp;number=&amp;sourceID=15","")</f>
        <v/>
      </c>
      <c r="K282" s="4" t="str">
        <f>HYPERLINK("http://141.218.60.56/~jnz1568/getInfo.php?workbook=01_01.xlsx&amp;sheet=A0&amp;row=282&amp;col=11&amp;number=&amp;sourceID=15","")</f>
        <v/>
      </c>
      <c r="L282" s="4" t="str">
        <f>HYPERLINK("http://141.218.60.56/~jnz1568/getInfo.php?workbook=01_01.xlsx&amp;sheet=A0&amp;row=282&amp;col=12&amp;number=&amp;sourceID=15","")</f>
        <v/>
      </c>
      <c r="M282" s="4" t="str">
        <f>HYPERLINK("http://141.218.60.56/~jnz1568/getInfo.php?workbook=01_01.xlsx&amp;sheet=A0&amp;row=282&amp;col=13&amp;number=&amp;sourceID=15","")</f>
        <v/>
      </c>
      <c r="N282" s="4" t="str">
        <f>HYPERLINK("http://141.218.60.56/~jnz1568/getInfo.php?workbook=01_01.xlsx&amp;sheet=A0&amp;row=282&amp;col=14&amp;number==&amp;sourceID=11","=")</f>
        <v>=</v>
      </c>
      <c r="O282" s="4" t="str">
        <f>HYPERLINK("http://141.218.60.56/~jnz1568/getInfo.php?workbook=01_01.xlsx&amp;sheet=A0&amp;row=282&amp;col=15&amp;number=&amp;sourceID=11","")</f>
        <v/>
      </c>
      <c r="P282" s="4" t="str">
        <f>HYPERLINK("http://141.218.60.56/~jnz1568/getInfo.php?workbook=01_01.xlsx&amp;sheet=A0&amp;row=282&amp;col=16&amp;number=&amp;sourceID=11","")</f>
        <v/>
      </c>
      <c r="Q282" s="4" t="str">
        <f>HYPERLINK("http://141.218.60.56/~jnz1568/getInfo.php?workbook=01_01.xlsx&amp;sheet=A0&amp;row=282&amp;col=17&amp;number=0&amp;sourceID=11","0")</f>
        <v>0</v>
      </c>
      <c r="R282" s="4" t="str">
        <f>HYPERLINK("http://141.218.60.56/~jnz1568/getInfo.php?workbook=01_01.xlsx&amp;sheet=A0&amp;row=282&amp;col=18&amp;number=&amp;sourceID=11","")</f>
        <v/>
      </c>
      <c r="S282" s="4" t="str">
        <f>HYPERLINK("http://141.218.60.56/~jnz1568/getInfo.php?workbook=01_01.xlsx&amp;sheet=A0&amp;row=282&amp;col=19&amp;number=0&amp;sourceID=11","0")</f>
        <v>0</v>
      </c>
      <c r="T282" s="4" t="str">
        <f>HYPERLINK("http://141.218.60.56/~jnz1568/getInfo.php?workbook=01_01.xlsx&amp;sheet=A0&amp;row=282&amp;col=20&amp;number=&amp;sourceID=11","")</f>
        <v/>
      </c>
      <c r="U282" s="4" t="str">
        <f>HYPERLINK("http://141.218.60.56/~jnz1568/getInfo.php?workbook=01_01.xlsx&amp;sheet=A0&amp;row=282&amp;col=21&amp;number=0&amp;sourceID=12","0")</f>
        <v>0</v>
      </c>
      <c r="V282" s="4" t="str">
        <f>HYPERLINK("http://141.218.60.56/~jnz1568/getInfo.php?workbook=01_01.xlsx&amp;sheet=A0&amp;row=282&amp;col=22&amp;number=&amp;sourceID=12","")</f>
        <v/>
      </c>
      <c r="W282" s="4" t="str">
        <f>HYPERLINK("http://141.218.60.56/~jnz1568/getInfo.php?workbook=01_01.xlsx&amp;sheet=A0&amp;row=282&amp;col=23&amp;number=&amp;sourceID=12","")</f>
        <v/>
      </c>
      <c r="X282" s="4" t="str">
        <f>HYPERLINK("http://141.218.60.56/~jnz1568/getInfo.php?workbook=01_01.xlsx&amp;sheet=A0&amp;row=282&amp;col=24&amp;number=0&amp;sourceID=12","0")</f>
        <v>0</v>
      </c>
      <c r="Y282" s="4" t="str">
        <f>HYPERLINK("http://141.218.60.56/~jnz1568/getInfo.php?workbook=01_01.xlsx&amp;sheet=A0&amp;row=282&amp;col=25&amp;number=&amp;sourceID=12","")</f>
        <v/>
      </c>
      <c r="Z282" s="4" t="str">
        <f>HYPERLINK("http://141.218.60.56/~jnz1568/getInfo.php?workbook=01_01.xlsx&amp;sheet=A0&amp;row=282&amp;col=26&amp;number=0&amp;sourceID=12","0")</f>
        <v>0</v>
      </c>
      <c r="AA282" s="4" t="str">
        <f>HYPERLINK("http://141.218.60.56/~jnz1568/getInfo.php?workbook=01_01.xlsx&amp;sheet=A0&amp;row=282&amp;col=27&amp;number=&amp;sourceID=12","")</f>
        <v/>
      </c>
      <c r="AB282" s="4" t="str">
        <f>HYPERLINK("http://141.218.60.56/~jnz1568/getInfo.php?workbook=01_01.xlsx&amp;sheet=A0&amp;row=282&amp;col=28&amp;number=&amp;sourceID=18","")</f>
        <v/>
      </c>
      <c r="AC282" s="4" t="str">
        <f>HYPERLINK("http://141.218.60.56/~jnz1568/getInfo.php?workbook=01_01.xlsx&amp;sheet=A0&amp;row=282&amp;col=29&amp;number=&amp;sourceID=18","")</f>
        <v/>
      </c>
      <c r="AD282" s="4" t="str">
        <f>HYPERLINK("http://141.218.60.56/~jnz1568/getInfo.php?workbook=01_01.xlsx&amp;sheet=A0&amp;row=282&amp;col=30&amp;number=&amp;sourceID=18","")</f>
        <v/>
      </c>
      <c r="AE282" s="4" t="str">
        <f>HYPERLINK("http://141.218.60.56/~jnz1568/getInfo.php?workbook=01_01.xlsx&amp;sheet=A0&amp;row=282&amp;col=31&amp;number=&amp;sourceID=18","")</f>
        <v/>
      </c>
      <c r="AF282" s="4" t="str">
        <f>HYPERLINK("http://141.218.60.56/~jnz1568/getInfo.php?workbook=01_01.xlsx&amp;sheet=A0&amp;row=282&amp;col=32&amp;number=&amp;sourceID=18","")</f>
        <v/>
      </c>
      <c r="AG282" s="4" t="str">
        <f>HYPERLINK("http://141.218.60.56/~jnz1568/getInfo.php?workbook=01_01.xlsx&amp;sheet=A0&amp;row=282&amp;col=33&amp;number=&amp;sourceID=18","")</f>
        <v/>
      </c>
      <c r="AH282" s="4" t="str">
        <f>HYPERLINK("http://141.218.60.56/~jnz1568/getInfo.php?workbook=01_01.xlsx&amp;sheet=A0&amp;row=282&amp;col=34&amp;number=&amp;sourceID=20","")</f>
        <v/>
      </c>
    </row>
    <row r="283" spans="1:34">
      <c r="A283" s="3">
        <v>1</v>
      </c>
      <c r="B283" s="3">
        <v>1</v>
      </c>
      <c r="C283" s="3">
        <v>25</v>
      </c>
      <c r="D283" s="3">
        <v>23</v>
      </c>
      <c r="E283" s="3">
        <f>((1/(INDEX(E0!J$4:J$28,C283,1)-INDEX(E0!J$4:J$28,D283,1))))*100000000</f>
        <v>0</v>
      </c>
      <c r="F283" s="4" t="str">
        <f>HYPERLINK("http://141.218.60.56/~jnz1568/getInfo.php?workbook=01_01.xlsx&amp;sheet=A0&amp;row=283&amp;col=6&amp;number=&amp;sourceID=18","")</f>
        <v/>
      </c>
      <c r="G283" s="4" t="str">
        <f>HYPERLINK("http://141.218.60.56/~jnz1568/getInfo.php?workbook=01_01.xlsx&amp;sheet=A0&amp;row=283&amp;col=7&amp;number=&amp;sourceID=15","")</f>
        <v/>
      </c>
      <c r="H283" s="4" t="str">
        <f>HYPERLINK("http://141.218.60.56/~jnz1568/getInfo.php?workbook=01_01.xlsx&amp;sheet=A0&amp;row=283&amp;col=8&amp;number=&amp;sourceID=15","")</f>
        <v/>
      </c>
      <c r="I283" s="4" t="str">
        <f>HYPERLINK("http://141.218.60.56/~jnz1568/getInfo.php?workbook=01_01.xlsx&amp;sheet=A0&amp;row=283&amp;col=9&amp;number=&amp;sourceID=15","")</f>
        <v/>
      </c>
      <c r="J283" s="4" t="str">
        <f>HYPERLINK("http://141.218.60.56/~jnz1568/getInfo.php?workbook=01_01.xlsx&amp;sheet=A0&amp;row=283&amp;col=10&amp;number=&amp;sourceID=15","")</f>
        <v/>
      </c>
      <c r="K283" s="4" t="str">
        <f>HYPERLINK("http://141.218.60.56/~jnz1568/getInfo.php?workbook=01_01.xlsx&amp;sheet=A0&amp;row=283&amp;col=11&amp;number=&amp;sourceID=15","")</f>
        <v/>
      </c>
      <c r="L283" s="4" t="str">
        <f>HYPERLINK("http://141.218.60.56/~jnz1568/getInfo.php?workbook=01_01.xlsx&amp;sheet=A0&amp;row=283&amp;col=12&amp;number=&amp;sourceID=15","")</f>
        <v/>
      </c>
      <c r="M283" s="4" t="str">
        <f>HYPERLINK("http://141.218.60.56/~jnz1568/getInfo.php?workbook=01_01.xlsx&amp;sheet=A0&amp;row=283&amp;col=13&amp;number=&amp;sourceID=15","")</f>
        <v/>
      </c>
      <c r="N283" s="4" t="str">
        <f>HYPERLINK("http://141.218.60.56/~jnz1568/getInfo.php?workbook=01_01.xlsx&amp;sheet=A0&amp;row=283&amp;col=14&amp;number==&amp;sourceID=11","=")</f>
        <v>=</v>
      </c>
      <c r="O283" s="4" t="str">
        <f>HYPERLINK("http://141.218.60.56/~jnz1568/getInfo.php?workbook=01_01.xlsx&amp;sheet=A0&amp;row=283&amp;col=15&amp;number=5.819e-12&amp;sourceID=11","5.819e-12")</f>
        <v>5.819e-12</v>
      </c>
      <c r="P283" s="4" t="str">
        <f>HYPERLINK("http://141.218.60.56/~jnz1568/getInfo.php?workbook=01_01.xlsx&amp;sheet=A0&amp;row=283&amp;col=16&amp;number=&amp;sourceID=11","")</f>
        <v/>
      </c>
      <c r="Q283" s="4" t="str">
        <f>HYPERLINK("http://141.218.60.56/~jnz1568/getInfo.php?workbook=01_01.xlsx&amp;sheet=A0&amp;row=283&amp;col=17&amp;number=0&amp;sourceID=11","0")</f>
        <v>0</v>
      </c>
      <c r="R283" s="4" t="str">
        <f>HYPERLINK("http://141.218.60.56/~jnz1568/getInfo.php?workbook=01_01.xlsx&amp;sheet=A0&amp;row=283&amp;col=18&amp;number=&amp;sourceID=11","")</f>
        <v/>
      </c>
      <c r="S283" s="4" t="str">
        <f>HYPERLINK("http://141.218.60.56/~jnz1568/getInfo.php?workbook=01_01.xlsx&amp;sheet=A0&amp;row=283&amp;col=19&amp;number=0&amp;sourceID=11","0")</f>
        <v>0</v>
      </c>
      <c r="T283" s="4" t="str">
        <f>HYPERLINK("http://141.218.60.56/~jnz1568/getInfo.php?workbook=01_01.xlsx&amp;sheet=A0&amp;row=283&amp;col=20&amp;number=&amp;sourceID=11","")</f>
        <v/>
      </c>
      <c r="U283" s="4" t="str">
        <f>HYPERLINK("http://141.218.60.56/~jnz1568/getInfo.php?workbook=01_01.xlsx&amp;sheet=A0&amp;row=283&amp;col=21&amp;number=5.848e-12&amp;sourceID=12","5.848e-12")</f>
        <v>5.848e-12</v>
      </c>
      <c r="V283" s="4" t="str">
        <f>HYPERLINK("http://141.218.60.56/~jnz1568/getInfo.php?workbook=01_01.xlsx&amp;sheet=A0&amp;row=283&amp;col=22&amp;number=5.848e-12&amp;sourceID=12","5.848e-12")</f>
        <v>5.848e-12</v>
      </c>
      <c r="W283" s="4" t="str">
        <f>HYPERLINK("http://141.218.60.56/~jnz1568/getInfo.php?workbook=01_01.xlsx&amp;sheet=A0&amp;row=283&amp;col=23&amp;number=&amp;sourceID=12","")</f>
        <v/>
      </c>
      <c r="X283" s="4" t="str">
        <f>HYPERLINK("http://141.218.60.56/~jnz1568/getInfo.php?workbook=01_01.xlsx&amp;sheet=A0&amp;row=283&amp;col=24&amp;number=0&amp;sourceID=12","0")</f>
        <v>0</v>
      </c>
      <c r="Y283" s="4" t="str">
        <f>HYPERLINK("http://141.218.60.56/~jnz1568/getInfo.php?workbook=01_01.xlsx&amp;sheet=A0&amp;row=283&amp;col=25&amp;number=&amp;sourceID=12","")</f>
        <v/>
      </c>
      <c r="Z283" s="4" t="str">
        <f>HYPERLINK("http://141.218.60.56/~jnz1568/getInfo.php?workbook=01_01.xlsx&amp;sheet=A0&amp;row=283&amp;col=26&amp;number=0&amp;sourceID=12","0")</f>
        <v>0</v>
      </c>
      <c r="AA283" s="4" t="str">
        <f>HYPERLINK("http://141.218.60.56/~jnz1568/getInfo.php?workbook=01_01.xlsx&amp;sheet=A0&amp;row=283&amp;col=27&amp;number=&amp;sourceID=12","")</f>
        <v/>
      </c>
      <c r="AB283" s="4" t="str">
        <f>HYPERLINK("http://141.218.60.56/~jnz1568/getInfo.php?workbook=01_01.xlsx&amp;sheet=A0&amp;row=283&amp;col=28&amp;number=&amp;sourceID=18","")</f>
        <v/>
      </c>
      <c r="AC283" s="4" t="str">
        <f>HYPERLINK("http://141.218.60.56/~jnz1568/getInfo.php?workbook=01_01.xlsx&amp;sheet=A0&amp;row=283&amp;col=29&amp;number=&amp;sourceID=18","")</f>
        <v/>
      </c>
      <c r="AD283" s="4" t="str">
        <f>HYPERLINK("http://141.218.60.56/~jnz1568/getInfo.php?workbook=01_01.xlsx&amp;sheet=A0&amp;row=283&amp;col=30&amp;number=&amp;sourceID=18","")</f>
        <v/>
      </c>
      <c r="AE283" s="4" t="str">
        <f>HYPERLINK("http://141.218.60.56/~jnz1568/getInfo.php?workbook=01_01.xlsx&amp;sheet=A0&amp;row=283&amp;col=31&amp;number=&amp;sourceID=18","")</f>
        <v/>
      </c>
      <c r="AF283" s="4" t="str">
        <f>HYPERLINK("http://141.218.60.56/~jnz1568/getInfo.php?workbook=01_01.xlsx&amp;sheet=A0&amp;row=283&amp;col=32&amp;number=&amp;sourceID=18","")</f>
        <v/>
      </c>
      <c r="AG283" s="4" t="str">
        <f>HYPERLINK("http://141.218.60.56/~jnz1568/getInfo.php?workbook=01_01.xlsx&amp;sheet=A0&amp;row=283&amp;col=33&amp;number=&amp;sourceID=18","")</f>
        <v/>
      </c>
      <c r="AH283" s="4" t="str">
        <f>HYPERLINK("http://141.218.60.56/~jnz1568/getInfo.php?workbook=01_01.xlsx&amp;sheet=A0&amp;row=283&amp;col=34&amp;number=&amp;sourceID=20","")</f>
        <v/>
      </c>
    </row>
    <row r="284" spans="1:34">
      <c r="A284" s="3">
        <v>1</v>
      </c>
      <c r="B284" s="3">
        <v>1</v>
      </c>
      <c r="C284" s="3">
        <v>25</v>
      </c>
      <c r="D284" s="3">
        <v>24</v>
      </c>
      <c r="E284" s="3">
        <f>((1/(INDEX(E0!J$4:J$28,C284,1)-INDEX(E0!J$4:J$28,D284,1))))*100000000</f>
        <v>0</v>
      </c>
      <c r="F284" s="4" t="str">
        <f>HYPERLINK("http://141.218.60.56/~jnz1568/getInfo.php?workbook=01_01.xlsx&amp;sheet=A0&amp;row=284&amp;col=6&amp;number=&amp;sourceID=18","")</f>
        <v/>
      </c>
      <c r="G284" s="4" t="str">
        <f>HYPERLINK("http://141.218.60.56/~jnz1568/getInfo.php?workbook=01_01.xlsx&amp;sheet=A0&amp;row=284&amp;col=7&amp;number=&amp;sourceID=15","")</f>
        <v/>
      </c>
      <c r="H284" s="4" t="str">
        <f>HYPERLINK("http://141.218.60.56/~jnz1568/getInfo.php?workbook=01_01.xlsx&amp;sheet=A0&amp;row=284&amp;col=8&amp;number=&amp;sourceID=15","")</f>
        <v/>
      </c>
      <c r="I284" s="4" t="str">
        <f>HYPERLINK("http://141.218.60.56/~jnz1568/getInfo.php?workbook=01_01.xlsx&amp;sheet=A0&amp;row=284&amp;col=9&amp;number=&amp;sourceID=15","")</f>
        <v/>
      </c>
      <c r="J284" s="4" t="str">
        <f>HYPERLINK("http://141.218.60.56/~jnz1568/getInfo.php?workbook=01_01.xlsx&amp;sheet=A0&amp;row=284&amp;col=10&amp;number=&amp;sourceID=15","")</f>
        <v/>
      </c>
      <c r="K284" s="4" t="str">
        <f>HYPERLINK("http://141.218.60.56/~jnz1568/getInfo.php?workbook=01_01.xlsx&amp;sheet=A0&amp;row=284&amp;col=11&amp;number=&amp;sourceID=15","")</f>
        <v/>
      </c>
      <c r="L284" s="4" t="str">
        <f>HYPERLINK("http://141.218.60.56/~jnz1568/getInfo.php?workbook=01_01.xlsx&amp;sheet=A0&amp;row=284&amp;col=12&amp;number=&amp;sourceID=15","")</f>
        <v/>
      </c>
      <c r="M284" s="4" t="str">
        <f>HYPERLINK("http://141.218.60.56/~jnz1568/getInfo.php?workbook=01_01.xlsx&amp;sheet=A0&amp;row=284&amp;col=13&amp;number=&amp;sourceID=15","")</f>
        <v/>
      </c>
      <c r="N284" s="4" t="str">
        <f>HYPERLINK("http://141.218.60.56/~jnz1568/getInfo.php?workbook=01_01.xlsx&amp;sheet=A0&amp;row=284&amp;col=14&amp;number==&amp;sourceID=11","=")</f>
        <v>=</v>
      </c>
      <c r="O284" s="4" t="str">
        <f>HYPERLINK("http://141.218.60.56/~jnz1568/getInfo.php?workbook=01_01.xlsx&amp;sheet=A0&amp;row=284&amp;col=15&amp;number=&amp;sourceID=11","")</f>
        <v/>
      </c>
      <c r="P284" s="4" t="str">
        <f>HYPERLINK("http://141.218.60.56/~jnz1568/getInfo.php?workbook=01_01.xlsx&amp;sheet=A0&amp;row=284&amp;col=16&amp;number=0&amp;sourceID=11","0")</f>
        <v>0</v>
      </c>
      <c r="Q284" s="4" t="str">
        <f>HYPERLINK("http://141.218.60.56/~jnz1568/getInfo.php?workbook=01_01.xlsx&amp;sheet=A0&amp;row=284&amp;col=17&amp;number=&amp;sourceID=11","")</f>
        <v/>
      </c>
      <c r="R284" s="4" t="str">
        <f>HYPERLINK("http://141.218.60.56/~jnz1568/getInfo.php?workbook=01_01.xlsx&amp;sheet=A0&amp;row=284&amp;col=18&amp;number=0&amp;sourceID=11","0")</f>
        <v>0</v>
      </c>
      <c r="S284" s="4" t="str">
        <f>HYPERLINK("http://141.218.60.56/~jnz1568/getInfo.php?workbook=01_01.xlsx&amp;sheet=A0&amp;row=284&amp;col=19&amp;number=&amp;sourceID=11","")</f>
        <v/>
      </c>
      <c r="T284" s="4" t="str">
        <f>HYPERLINK("http://141.218.60.56/~jnz1568/getInfo.php?workbook=01_01.xlsx&amp;sheet=A0&amp;row=284&amp;col=20&amp;number=0&amp;sourceID=11","0")</f>
        <v>0</v>
      </c>
      <c r="U284" s="4" t="str">
        <f>HYPERLINK("http://141.218.60.56/~jnz1568/getInfo.php?workbook=01_01.xlsx&amp;sheet=A0&amp;row=284&amp;col=21&amp;number=0&amp;sourceID=12","0")</f>
        <v>0</v>
      </c>
      <c r="V284" s="4" t="str">
        <f>HYPERLINK("http://141.218.60.56/~jnz1568/getInfo.php?workbook=01_01.xlsx&amp;sheet=A0&amp;row=284&amp;col=22&amp;number=&amp;sourceID=12","")</f>
        <v/>
      </c>
      <c r="W284" s="4" t="str">
        <f>HYPERLINK("http://141.218.60.56/~jnz1568/getInfo.php?workbook=01_01.xlsx&amp;sheet=A0&amp;row=284&amp;col=23&amp;number=0&amp;sourceID=12","0")</f>
        <v>0</v>
      </c>
      <c r="X284" s="4" t="str">
        <f>HYPERLINK("http://141.218.60.56/~jnz1568/getInfo.php?workbook=01_01.xlsx&amp;sheet=A0&amp;row=284&amp;col=24&amp;number=&amp;sourceID=12","")</f>
        <v/>
      </c>
      <c r="Y284" s="4" t="str">
        <f>HYPERLINK("http://141.218.60.56/~jnz1568/getInfo.php?workbook=01_01.xlsx&amp;sheet=A0&amp;row=284&amp;col=25&amp;number=0&amp;sourceID=12","0")</f>
        <v>0</v>
      </c>
      <c r="Z284" s="4" t="str">
        <f>HYPERLINK("http://141.218.60.56/~jnz1568/getInfo.php?workbook=01_01.xlsx&amp;sheet=A0&amp;row=284&amp;col=26&amp;number=&amp;sourceID=12","")</f>
        <v/>
      </c>
      <c r="AA284" s="4" t="str">
        <f>HYPERLINK("http://141.218.60.56/~jnz1568/getInfo.php?workbook=01_01.xlsx&amp;sheet=A0&amp;row=284&amp;col=27&amp;number=0&amp;sourceID=12","0")</f>
        <v>0</v>
      </c>
      <c r="AB284" s="4" t="str">
        <f>HYPERLINK("http://141.218.60.56/~jnz1568/getInfo.php?workbook=01_01.xlsx&amp;sheet=A0&amp;row=284&amp;col=28&amp;number=&amp;sourceID=18","")</f>
        <v/>
      </c>
      <c r="AC284" s="4" t="str">
        <f>HYPERLINK("http://141.218.60.56/~jnz1568/getInfo.php?workbook=01_01.xlsx&amp;sheet=A0&amp;row=284&amp;col=29&amp;number=&amp;sourceID=18","")</f>
        <v/>
      </c>
      <c r="AD284" s="4" t="str">
        <f>HYPERLINK("http://141.218.60.56/~jnz1568/getInfo.php?workbook=01_01.xlsx&amp;sheet=A0&amp;row=284&amp;col=30&amp;number=&amp;sourceID=18","")</f>
        <v/>
      </c>
      <c r="AE284" s="4" t="str">
        <f>HYPERLINK("http://141.218.60.56/~jnz1568/getInfo.php?workbook=01_01.xlsx&amp;sheet=A0&amp;row=284&amp;col=31&amp;number=&amp;sourceID=18","")</f>
        <v/>
      </c>
      <c r="AF284" s="4" t="str">
        <f>HYPERLINK("http://141.218.60.56/~jnz1568/getInfo.php?workbook=01_01.xlsx&amp;sheet=A0&amp;row=284&amp;col=32&amp;number=&amp;sourceID=18","")</f>
        <v/>
      </c>
      <c r="AG284" s="4" t="str">
        <f>HYPERLINK("http://141.218.60.56/~jnz1568/getInfo.php?workbook=01_01.xlsx&amp;sheet=A0&amp;row=284&amp;col=33&amp;number=&amp;sourceID=18","")</f>
        <v/>
      </c>
      <c r="AH284" s="4" t="str">
        <f>HYPERLINK("http://141.218.60.56/~jnz1568/getInfo.php?workbook=01_01.xlsx&amp;sheet=A0&amp;row=284&amp;col=34&amp;number=&amp;sourceID=20","")</f>
        <v/>
      </c>
    </row>
  </sheetData>
  <mergeCells count="1">
    <mergeCell ref="A1:A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15.7109375" customWidth="1"/>
    <col min="6" max="6" width="13.7109375" customWidth="1"/>
  </cols>
  <sheetData>
    <row r="1" spans="1:6">
      <c r="A1" s="1" t="s">
        <v>51</v>
      </c>
      <c r="B1" s="1"/>
      <c r="C1" s="1"/>
      <c r="D1" s="1"/>
      <c r="E1" s="1"/>
      <c r="F1" s="1"/>
    </row>
    <row r="2" spans="1:6">
      <c r="A2" s="2"/>
      <c r="B2" s="2"/>
      <c r="C2" s="2"/>
      <c r="D2" s="2"/>
      <c r="E2" s="2"/>
      <c r="F2" s="2" t="s">
        <v>39</v>
      </c>
    </row>
    <row r="3" spans="1:6">
      <c r="A3" s="2" t="s">
        <v>6</v>
      </c>
      <c r="B3" s="2" t="s">
        <v>7</v>
      </c>
      <c r="C3" s="2" t="s">
        <v>41</v>
      </c>
      <c r="D3" s="2" t="s">
        <v>8</v>
      </c>
      <c r="E3" s="2" t="s">
        <v>42</v>
      </c>
      <c r="F3" s="2" t="s">
        <v>44</v>
      </c>
    </row>
    <row r="4" spans="1:6">
      <c r="A4" s="3">
        <v>1</v>
      </c>
      <c r="B4" s="3">
        <v>1</v>
      </c>
      <c r="C4" s="3">
        <v>3</v>
      </c>
      <c r="D4" s="3">
        <v>1</v>
      </c>
      <c r="E4" s="3">
        <f>((1/(INDEX('E1'!I$4:I$18,C4,1)-INDEX('E1'!I$4:I$18,D4,1))))*100000000</f>
        <v>0</v>
      </c>
      <c r="F4" s="4" t="str">
        <f>HYPERLINK("http://141.218.60.56/~jnz1568/getInfo.php?workbook=01_01.xlsx&amp;sheet=A1&amp;row=4&amp;col=6&amp;number=626490000&amp;sourceID=15","626490000")</f>
        <v>626490000</v>
      </c>
    </row>
    <row r="5" spans="1:6">
      <c r="A5" s="3">
        <v>1</v>
      </c>
      <c r="B5" s="3">
        <v>1</v>
      </c>
      <c r="C5" s="3">
        <v>4</v>
      </c>
      <c r="D5" s="3">
        <v>3</v>
      </c>
      <c r="E5" s="3">
        <f>((1/(INDEX('E1'!I$4:I$18,C5,1)-INDEX('E1'!I$4:I$18,D5,1))))*100000000</f>
        <v>0</v>
      </c>
      <c r="F5" s="4" t="str">
        <f>HYPERLINK("http://141.218.60.56/~jnz1568/getInfo.php?workbook=01_01.xlsx&amp;sheet=A1&amp;row=5&amp;col=6&amp;number=6314300&amp;sourceID=15","6314300")</f>
        <v>6314300</v>
      </c>
    </row>
    <row r="6" spans="1:6">
      <c r="A6" s="3">
        <v>1</v>
      </c>
      <c r="B6" s="3">
        <v>1</v>
      </c>
      <c r="C6" s="3">
        <v>5</v>
      </c>
      <c r="D6" s="3">
        <v>1</v>
      </c>
      <c r="E6" s="3">
        <f>((1/(INDEX('E1'!I$4:I$18,C6,1)-INDEX('E1'!I$4:I$18,D6,1))))*100000000</f>
        <v>0</v>
      </c>
      <c r="F6" s="4" t="str">
        <f>HYPERLINK("http://141.218.60.56/~jnz1568/getInfo.php?workbook=01_01.xlsx&amp;sheet=A1&amp;row=6&amp;col=6&amp;number=167250000&amp;sourceID=15","167250000")</f>
        <v>167250000</v>
      </c>
    </row>
    <row r="7" spans="1:6">
      <c r="A7" s="3">
        <v>1</v>
      </c>
      <c r="B7" s="3">
        <v>1</v>
      </c>
      <c r="C7" s="3">
        <v>5</v>
      </c>
      <c r="D7" s="3">
        <v>2</v>
      </c>
      <c r="E7" s="3">
        <f>((1/(INDEX('E1'!I$4:I$18,C7,1)-INDEX('E1'!I$4:I$18,D7,1))))*100000000</f>
        <v>0</v>
      </c>
      <c r="F7" s="4" t="str">
        <f>HYPERLINK("http://141.218.60.56/~jnz1568/getInfo.php?workbook=01_01.xlsx&amp;sheet=A1&amp;row=7&amp;col=6&amp;number=22448000&amp;sourceID=15","22448000")</f>
        <v>22448000</v>
      </c>
    </row>
    <row r="8" spans="1:6">
      <c r="A8" s="3">
        <v>1</v>
      </c>
      <c r="B8" s="3">
        <v>1</v>
      </c>
      <c r="C8" s="3">
        <v>6</v>
      </c>
      <c r="D8" s="3">
        <v>3</v>
      </c>
      <c r="E8" s="3">
        <f>((1/(INDEX('E1'!I$4:I$18,C8,1)-INDEX('E1'!I$4:I$18,D8,1))))*100000000</f>
        <v>0</v>
      </c>
      <c r="F8" s="4" t="str">
        <f>HYPERLINK("http://141.218.60.56/~jnz1568/getInfo.php?workbook=01_01.xlsx&amp;sheet=A1&amp;row=8&amp;col=6&amp;number=64651000&amp;sourceID=15","64651000")</f>
        <v>64651000</v>
      </c>
    </row>
    <row r="9" spans="1:6">
      <c r="A9" s="3">
        <v>1</v>
      </c>
      <c r="B9" s="3">
        <v>1</v>
      </c>
      <c r="C9" s="3">
        <v>7</v>
      </c>
      <c r="D9" s="3">
        <v>3</v>
      </c>
      <c r="E9" s="3">
        <f>((1/(INDEX('E1'!I$4:I$18,C9,1)-INDEX('E1'!I$4:I$18,D9,1))))*100000000</f>
        <v>0</v>
      </c>
      <c r="F9" s="4" t="str">
        <f>HYPERLINK("http://141.218.60.56/~jnz1568/getInfo.php?workbook=01_01.xlsx&amp;sheet=A1&amp;row=9&amp;col=6&amp;number=2578400&amp;sourceID=15","2578400")</f>
        <v>2578400</v>
      </c>
    </row>
    <row r="10" spans="1:6">
      <c r="A10" s="3">
        <v>1</v>
      </c>
      <c r="B10" s="3">
        <v>1</v>
      </c>
      <c r="C10" s="3">
        <v>7</v>
      </c>
      <c r="D10" s="3">
        <v>5</v>
      </c>
      <c r="E10" s="3">
        <f>((1/(INDEX('E1'!I$4:I$18,C10,1)-INDEX('E1'!I$4:I$18,D10,1))))*100000000</f>
        <v>0</v>
      </c>
      <c r="F10" s="4" t="str">
        <f>HYPERLINK("http://141.218.60.56/~jnz1568/getInfo.php?workbook=01_01.xlsx&amp;sheet=A1&amp;row=10&amp;col=6&amp;number=1835600&amp;sourceID=15","1835600")</f>
        <v>1835600</v>
      </c>
    </row>
    <row r="11" spans="1:6">
      <c r="A11" s="3">
        <v>1</v>
      </c>
      <c r="B11" s="3">
        <v>1</v>
      </c>
      <c r="C11" s="3">
        <v>8</v>
      </c>
      <c r="D11" s="3">
        <v>1</v>
      </c>
      <c r="E11" s="3">
        <f>((1/(INDEX('E1'!I$4:I$18,C11,1)-INDEX('E1'!I$4:I$18,D11,1))))*100000000</f>
        <v>0</v>
      </c>
      <c r="F11" s="4" t="str">
        <f>HYPERLINK("http://141.218.60.56/~jnz1568/getInfo.php?workbook=01_01.xlsx&amp;sheet=A1&amp;row=11&amp;col=6&amp;number=68186000&amp;sourceID=15","68186000")</f>
        <v>68186000</v>
      </c>
    </row>
    <row r="12" spans="1:6">
      <c r="A12" s="3">
        <v>1</v>
      </c>
      <c r="B12" s="3">
        <v>1</v>
      </c>
      <c r="C12" s="3">
        <v>8</v>
      </c>
      <c r="D12" s="3">
        <v>2</v>
      </c>
      <c r="E12" s="3">
        <f>((1/(INDEX('E1'!I$4:I$18,C12,1)-INDEX('E1'!I$4:I$18,D12,1))))*100000000</f>
        <v>0</v>
      </c>
      <c r="F12" s="4" t="str">
        <f>HYPERLINK("http://141.218.60.56/~jnz1568/getInfo.php?workbook=01_01.xlsx&amp;sheet=A1&amp;row=12&amp;col=6&amp;number=9668100&amp;sourceID=15","9668100")</f>
        <v>9668100</v>
      </c>
    </row>
    <row r="13" spans="1:6">
      <c r="A13" s="3">
        <v>1</v>
      </c>
      <c r="B13" s="3">
        <v>1</v>
      </c>
      <c r="C13" s="3">
        <v>8</v>
      </c>
      <c r="D13" s="3">
        <v>4</v>
      </c>
      <c r="E13" s="3">
        <f>((1/(INDEX('E1'!I$4:I$18,C13,1)-INDEX('E1'!I$4:I$18,D13,1))))*100000000</f>
        <v>0</v>
      </c>
      <c r="F13" s="4" t="str">
        <f>HYPERLINK("http://141.218.60.56/~jnz1568/getInfo.php?workbook=01_01.xlsx&amp;sheet=A1&amp;row=13&amp;col=6&amp;number=3065100&amp;sourceID=15","3065100")</f>
        <v>3065100</v>
      </c>
    </row>
    <row r="14" spans="1:6">
      <c r="A14" s="3">
        <v>1</v>
      </c>
      <c r="B14" s="3">
        <v>1</v>
      </c>
      <c r="C14" s="3">
        <v>8</v>
      </c>
      <c r="D14" s="3">
        <v>6</v>
      </c>
      <c r="E14" s="3">
        <f>((1/(INDEX('E1'!I$4:I$18,C14,1)-INDEX('E1'!I$4:I$18,D14,1))))*100000000</f>
        <v>0</v>
      </c>
      <c r="F14" s="4" t="str">
        <f>HYPERLINK("http://141.218.60.56/~jnz1568/getInfo.php?workbook=01_01.xlsx&amp;sheet=A1&amp;row=14&amp;col=6&amp;number=347570&amp;sourceID=15","347570")</f>
        <v>347570</v>
      </c>
    </row>
    <row r="15" spans="1:6">
      <c r="A15" s="3">
        <v>1</v>
      </c>
      <c r="B15" s="3">
        <v>1</v>
      </c>
      <c r="C15" s="3">
        <v>9</v>
      </c>
      <c r="D15" s="3">
        <v>3</v>
      </c>
      <c r="E15" s="3">
        <f>((1/(INDEX('E1'!I$4:I$18,C15,1)-INDEX('E1'!I$4:I$18,D15,1))))*100000000</f>
        <v>0</v>
      </c>
      <c r="F15" s="4" t="str">
        <f>HYPERLINK("http://141.218.60.56/~jnz1568/getInfo.php?workbook=01_01.xlsx&amp;sheet=A1&amp;row=15&amp;col=6&amp;number=20625000&amp;sourceID=15","20625000")</f>
        <v>20625000</v>
      </c>
    </row>
    <row r="16" spans="1:6">
      <c r="A16" s="3">
        <v>1</v>
      </c>
      <c r="B16" s="3">
        <v>1</v>
      </c>
      <c r="C16" s="3">
        <v>9</v>
      </c>
      <c r="D16" s="3">
        <v>5</v>
      </c>
      <c r="E16" s="3">
        <f>((1/(INDEX('E1'!I$4:I$18,C16,1)-INDEX('E1'!I$4:I$18,D16,1))))*100000000</f>
        <v>0</v>
      </c>
      <c r="F16" s="4" t="str">
        <f>HYPERLINK("http://141.218.60.56/~jnz1568/getInfo.php?workbook=01_01.xlsx&amp;sheet=A1&amp;row=16&amp;col=6&amp;number=7037600&amp;sourceID=15","7037600")</f>
        <v>7037600</v>
      </c>
    </row>
    <row r="17" spans="1:6">
      <c r="A17" s="3">
        <v>1</v>
      </c>
      <c r="B17" s="3">
        <v>1</v>
      </c>
      <c r="C17" s="3">
        <v>10</v>
      </c>
      <c r="D17" s="3">
        <v>6</v>
      </c>
      <c r="E17" s="3">
        <f>((1/(INDEX('E1'!I$4:I$18,C17,1)-INDEX('E1'!I$4:I$18,D17,1))))*100000000</f>
        <v>0</v>
      </c>
      <c r="F17" s="4" t="str">
        <f>HYPERLINK("http://141.218.60.56/~jnz1568/getInfo.php?workbook=01_01.xlsx&amp;sheet=A1&amp;row=17&amp;col=6&amp;number=13788000&amp;sourceID=15","13788000")</f>
        <v>13788000</v>
      </c>
    </row>
    <row r="18" spans="1:6">
      <c r="A18" s="3">
        <v>1</v>
      </c>
      <c r="B18" s="3">
        <v>1</v>
      </c>
      <c r="C18" s="3">
        <v>11</v>
      </c>
      <c r="D18" s="3">
        <v>3</v>
      </c>
      <c r="E18" s="3">
        <f>((1/(INDEX('E1'!I$4:I$18,C18,1)-INDEX('E1'!I$4:I$18,D18,1))))*100000000</f>
        <v>0</v>
      </c>
      <c r="F18" s="4" t="str">
        <f>HYPERLINK("http://141.218.60.56/~jnz1568/getInfo.php?workbook=01_01.xlsx&amp;sheet=A1&amp;row=18&amp;col=6&amp;number=1288800&amp;sourceID=15","1288800")</f>
        <v>1288800</v>
      </c>
    </row>
    <row r="19" spans="1:6">
      <c r="A19" s="3">
        <v>1</v>
      </c>
      <c r="B19" s="3">
        <v>1</v>
      </c>
      <c r="C19" s="3">
        <v>11</v>
      </c>
      <c r="D19" s="3">
        <v>5</v>
      </c>
      <c r="E19" s="3">
        <f>((1/(INDEX('E1'!I$4:I$18,C19,1)-INDEX('E1'!I$4:I$18,D19,1))))*100000000</f>
        <v>0</v>
      </c>
      <c r="F19" s="4" t="str">
        <f>HYPERLINK("http://141.218.60.56/~jnz1568/getInfo.php?workbook=01_01.xlsx&amp;sheet=A1&amp;row=19&amp;col=6&amp;number=904770&amp;sourceID=15","904770")</f>
        <v>904770</v>
      </c>
    </row>
    <row r="20" spans="1:6">
      <c r="A20" s="3">
        <v>1</v>
      </c>
      <c r="B20" s="3">
        <v>1</v>
      </c>
      <c r="C20" s="3">
        <v>11</v>
      </c>
      <c r="D20" s="3">
        <v>8</v>
      </c>
      <c r="E20" s="3">
        <f>((1/(INDEX('E1'!I$4:I$18,C20,1)-INDEX('E1'!I$4:I$18,D20,1))))*100000000</f>
        <v>0</v>
      </c>
      <c r="F20" s="4" t="str">
        <f>HYPERLINK("http://141.218.60.56/~jnz1568/getInfo.php?workbook=01_01.xlsx&amp;sheet=A1&amp;row=20&amp;col=6&amp;number=645130&amp;sourceID=15","645130")</f>
        <v>645130</v>
      </c>
    </row>
    <row r="21" spans="1:6">
      <c r="A21" s="3">
        <v>1</v>
      </c>
      <c r="B21" s="3">
        <v>1</v>
      </c>
      <c r="C21" s="3">
        <v>12</v>
      </c>
      <c r="D21" s="3">
        <v>1</v>
      </c>
      <c r="E21" s="3">
        <f>((1/(INDEX('E1'!I$4:I$18,C21,1)-INDEX('E1'!I$4:I$18,D21,1))))*100000000</f>
        <v>0</v>
      </c>
      <c r="F21" s="4" t="str">
        <f>HYPERLINK("http://141.218.60.56/~jnz1568/getInfo.php?workbook=01_01.xlsx&amp;sheet=A1&amp;row=21&amp;col=6&amp;number=34375000&amp;sourceID=15","34375000")</f>
        <v>34375000</v>
      </c>
    </row>
    <row r="22" spans="1:6">
      <c r="A22" s="3">
        <v>1</v>
      </c>
      <c r="B22" s="3">
        <v>1</v>
      </c>
      <c r="C22" s="3">
        <v>12</v>
      </c>
      <c r="D22" s="3">
        <v>2</v>
      </c>
      <c r="E22" s="3">
        <f>((1/(INDEX('E1'!I$4:I$18,C22,1)-INDEX('E1'!I$4:I$18,D22,1))))*100000000</f>
        <v>0</v>
      </c>
      <c r="F22" s="4" t="str">
        <f>HYPERLINK("http://141.218.60.56/~jnz1568/getInfo.php?workbook=01_01.xlsx&amp;sheet=A1&amp;row=22&amp;col=6&amp;number=4948400&amp;sourceID=15","4948400")</f>
        <v>4948400</v>
      </c>
    </row>
    <row r="23" spans="1:6">
      <c r="A23" s="3">
        <v>1</v>
      </c>
      <c r="B23" s="3">
        <v>1</v>
      </c>
      <c r="C23" s="3">
        <v>12</v>
      </c>
      <c r="D23" s="3">
        <v>4</v>
      </c>
      <c r="E23" s="3">
        <f>((1/(INDEX('E1'!I$4:I$18,C23,1)-INDEX('E1'!I$4:I$18,D23,1))))*100000000</f>
        <v>0</v>
      </c>
      <c r="F23" s="4" t="str">
        <f>HYPERLINK("http://141.218.60.56/~jnz1568/getInfo.php?workbook=01_01.xlsx&amp;sheet=A1&amp;row=23&amp;col=6&amp;number=1637700&amp;sourceID=15","1637700")</f>
        <v>1637700</v>
      </c>
    </row>
    <row r="24" spans="1:6">
      <c r="A24" s="3">
        <v>1</v>
      </c>
      <c r="B24" s="3">
        <v>1</v>
      </c>
      <c r="C24" s="3">
        <v>12</v>
      </c>
      <c r="D24" s="3">
        <v>6</v>
      </c>
      <c r="E24" s="3">
        <f>((1/(INDEX('E1'!I$4:I$18,C24,1)-INDEX('E1'!I$4:I$18,D24,1))))*100000000</f>
        <v>0</v>
      </c>
      <c r="F24" s="4" t="str">
        <f>HYPERLINK("http://141.218.60.56/~jnz1568/getInfo.php?workbook=01_01.xlsx&amp;sheet=A1&amp;row=24&amp;col=6&amp;number=149550&amp;sourceID=15","149550")</f>
        <v>149550</v>
      </c>
    </row>
    <row r="25" spans="1:6">
      <c r="A25" s="3">
        <v>1</v>
      </c>
      <c r="B25" s="3">
        <v>1</v>
      </c>
      <c r="C25" s="3">
        <v>12</v>
      </c>
      <c r="D25" s="3">
        <v>7</v>
      </c>
      <c r="E25" s="3">
        <f>((1/(INDEX('E1'!I$4:I$18,C25,1)-INDEX('E1'!I$4:I$18,D25,1))))*100000000</f>
        <v>0</v>
      </c>
      <c r="F25" s="4" t="str">
        <f>HYPERLINK("http://141.218.60.56/~jnz1568/getInfo.php?workbook=01_01.xlsx&amp;sheet=A1&amp;row=25&amp;col=6&amp;number=737170&amp;sourceID=15","737170")</f>
        <v>737170</v>
      </c>
    </row>
    <row r="26" spans="1:6">
      <c r="A26" s="3">
        <v>1</v>
      </c>
      <c r="B26" s="3">
        <v>1</v>
      </c>
      <c r="C26" s="3">
        <v>12</v>
      </c>
      <c r="D26" s="3">
        <v>9</v>
      </c>
      <c r="E26" s="3">
        <f>((1/(INDEX('E1'!I$4:I$18,C26,1)-INDEX('E1'!I$4:I$18,D26,1))))*100000000</f>
        <v>0</v>
      </c>
      <c r="F26" s="4" t="str">
        <f>HYPERLINK("http://141.218.60.56/~jnz1568/getInfo.php?workbook=01_01.xlsx&amp;sheet=A1&amp;row=26&amp;col=6&amp;number=188470&amp;sourceID=15","188470")</f>
        <v>188470</v>
      </c>
    </row>
    <row r="27" spans="1:6">
      <c r="A27" s="3">
        <v>1</v>
      </c>
      <c r="B27" s="3">
        <v>1</v>
      </c>
      <c r="C27" s="3">
        <v>13</v>
      </c>
      <c r="D27" s="3">
        <v>3</v>
      </c>
      <c r="E27" s="3">
        <f>((1/(INDEX('E1'!I$4:I$18,C27,1)-INDEX('E1'!I$4:I$18,D27,1))))*100000000</f>
        <v>0</v>
      </c>
      <c r="F27" s="4" t="str">
        <f>HYPERLINK("http://141.218.60.56/~jnz1568/getInfo.php?workbook=01_01.xlsx&amp;sheet=A1&amp;row=27&amp;col=6&amp;number=9425500&amp;sourceID=15","9425500")</f>
        <v>9425500</v>
      </c>
    </row>
    <row r="28" spans="1:6">
      <c r="A28" s="3">
        <v>1</v>
      </c>
      <c r="B28" s="3">
        <v>1</v>
      </c>
      <c r="C28" s="3">
        <v>13</v>
      </c>
      <c r="D28" s="3">
        <v>5</v>
      </c>
      <c r="E28" s="3">
        <f>((1/(INDEX('E1'!I$4:I$18,C28,1)-INDEX('E1'!I$4:I$18,D28,1))))*100000000</f>
        <v>0</v>
      </c>
      <c r="F28" s="4" t="str">
        <f>HYPERLINK("http://141.218.60.56/~jnz1568/getInfo.php?workbook=01_01.xlsx&amp;sheet=A1&amp;row=28&amp;col=6&amp;number=3391500&amp;sourceID=15","3391500")</f>
        <v>3391500</v>
      </c>
    </row>
    <row r="29" spans="1:6">
      <c r="A29" s="3">
        <v>1</v>
      </c>
      <c r="B29" s="3">
        <v>1</v>
      </c>
      <c r="C29" s="3">
        <v>13</v>
      </c>
      <c r="D29" s="3">
        <v>8</v>
      </c>
      <c r="E29" s="3">
        <f>((1/(INDEX('E1'!I$4:I$18,C29,1)-INDEX('E1'!I$4:I$18,D29,1))))*100000000</f>
        <v>0</v>
      </c>
      <c r="F29" s="4" t="str">
        <f>HYPERLINK("http://141.218.60.56/~jnz1568/getInfo.php?workbook=01_01.xlsx&amp;sheet=A1&amp;row=29&amp;col=6&amp;number=1485800&amp;sourceID=15","1485800")</f>
        <v>1485800</v>
      </c>
    </row>
    <row r="30" spans="1:6">
      <c r="A30" s="3">
        <v>1</v>
      </c>
      <c r="B30" s="3">
        <v>1</v>
      </c>
      <c r="C30" s="3">
        <v>13</v>
      </c>
      <c r="D30" s="3">
        <v>10</v>
      </c>
      <c r="E30" s="3">
        <f>((1/(INDEX('E1'!I$4:I$18,C30,1)-INDEX('E1'!I$4:I$18,D30,1))))*100000000</f>
        <v>0</v>
      </c>
      <c r="F30" s="4" t="str">
        <f>HYPERLINK("http://141.218.60.56/~jnz1568/getInfo.php?workbook=01_01.xlsx&amp;sheet=A1&amp;row=30&amp;col=6&amp;number=50479&amp;sourceID=15","50479")</f>
        <v>50479</v>
      </c>
    </row>
    <row r="31" spans="1:6">
      <c r="A31" s="3">
        <v>1</v>
      </c>
      <c r="B31" s="3">
        <v>1</v>
      </c>
      <c r="C31" s="3">
        <v>14</v>
      </c>
      <c r="D31" s="3">
        <v>6</v>
      </c>
      <c r="E31" s="3">
        <f>((1/(INDEX('E1'!I$4:I$18,C31,1)-INDEX('E1'!I$4:I$18,D31,1))))*100000000</f>
        <v>0</v>
      </c>
      <c r="F31" s="4" t="str">
        <f>HYPERLINK("http://141.218.60.56/~jnz1568/getInfo.php?workbook=01_01.xlsx&amp;sheet=A1&amp;row=31&amp;col=6&amp;number=4542200&amp;sourceID=15","4542200")</f>
        <v>4542200</v>
      </c>
    </row>
    <row r="32" spans="1:6">
      <c r="A32" s="3">
        <v>1</v>
      </c>
      <c r="B32" s="3">
        <v>1</v>
      </c>
      <c r="C32" s="3">
        <v>14</v>
      </c>
      <c r="D32" s="3">
        <v>9</v>
      </c>
      <c r="E32" s="3">
        <f>((1/(INDEX('E1'!I$4:I$18,C32,1)-INDEX('E1'!I$4:I$18,D32,1))))*100000000</f>
        <v>0</v>
      </c>
      <c r="F32" s="4" t="str">
        <f>HYPERLINK("http://141.218.60.56/~jnz1568/getInfo.php?workbook=01_01.xlsx&amp;sheet=A1&amp;row=32&amp;col=6&amp;number=2584400&amp;sourceID=15","2584400")</f>
        <v>2584400</v>
      </c>
    </row>
    <row r="33" spans="1:6">
      <c r="A33" s="3">
        <v>1</v>
      </c>
      <c r="B33" s="3">
        <v>1</v>
      </c>
      <c r="C33" s="3">
        <v>15</v>
      </c>
      <c r="D33" s="3">
        <v>10</v>
      </c>
      <c r="E33" s="3">
        <f>((1/(INDEX('E1'!I$4:I$18,C33,1)-INDEX('E1'!I$4:I$18,D33,1))))*100000000</f>
        <v>0</v>
      </c>
      <c r="F33" s="4" t="str">
        <f>HYPERLINK("http://141.218.60.56/~jnz1568/getInfo.php?workbook=01_01.xlsx&amp;sheet=A1&amp;row=33&amp;col=6&amp;number=4254200&amp;sourceID=15","4254200")</f>
        <v>4254200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858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3.7109375" customWidth="1"/>
    <col min="6" max="6" width="15.7109375" customWidth="1"/>
    <col min="7" max="7" width="9.7109375" customWidth="1"/>
    <col min="8" max="8" width="9.7109375" customWidth="1"/>
    <col min="9" max="9" width="8.7109375" customWidth="1"/>
  </cols>
  <sheetData>
    <row r="1" spans="1:9">
      <c r="A1" s="1" t="s">
        <v>52</v>
      </c>
      <c r="B1" s="1"/>
      <c r="C1" s="1"/>
      <c r="D1" s="1"/>
      <c r="E1" s="1"/>
      <c r="F1" s="1"/>
      <c r="G1" s="1"/>
      <c r="H1" s="1"/>
      <c r="I1" s="1"/>
    </row>
    <row r="2" spans="1:9">
      <c r="A2" s="2"/>
      <c r="B2" s="2"/>
      <c r="C2" s="2"/>
      <c r="D2" s="2"/>
      <c r="E2" s="2"/>
      <c r="F2" s="2" t="s">
        <v>53</v>
      </c>
      <c r="G2" s="2" t="s">
        <v>53</v>
      </c>
      <c r="H2" s="2" t="s">
        <v>54</v>
      </c>
      <c r="I2" s="2" t="s">
        <v>54</v>
      </c>
    </row>
    <row r="3" spans="1:9">
      <c r="A3" s="2" t="s">
        <v>6</v>
      </c>
      <c r="B3" s="2" t="s">
        <v>7</v>
      </c>
      <c r="C3" s="2" t="s">
        <v>41</v>
      </c>
      <c r="D3" s="2" t="s">
        <v>8</v>
      </c>
      <c r="E3" s="2" t="s">
        <v>55</v>
      </c>
      <c r="F3" s="2" t="s">
        <v>56</v>
      </c>
      <c r="G3" s="2" t="s">
        <v>57</v>
      </c>
      <c r="H3" s="2" t="s">
        <v>56</v>
      </c>
      <c r="I3" s="2" t="s">
        <v>57</v>
      </c>
    </row>
    <row r="4" spans="1:9">
      <c r="A4" s="3">
        <v>1</v>
      </c>
      <c r="B4" s="3">
        <v>1</v>
      </c>
      <c r="C4" s="3">
        <v>2</v>
      </c>
      <c r="D4" s="3">
        <v>1</v>
      </c>
      <c r="E4" s="3">
        <v>1</v>
      </c>
      <c r="F4" s="4" t="str">
        <f>HYPERLINK("http://141.218.60.56/~jnz1568/getInfo.php?workbook=01_01.xlsx&amp;sheet=U0&amp;row=4&amp;col=6&amp;number==LOG10(2500)&amp;sourceID=16","=LOG10(2500)")</f>
        <v>=LOG10(2500)</v>
      </c>
      <c r="G4" s="4" t="str">
        <f>HYPERLINK("http://141.218.60.56/~jnz1568/getInfo.php?workbook=01_01.xlsx&amp;sheet=U0&amp;row=4&amp;col=7&amp;number=0.2667&amp;sourceID=16","0.2667")</f>
        <v>0.2667</v>
      </c>
      <c r="H4" s="4" t="str">
        <f>HYPERLINK("http://141.218.60.56/~jnz1568/getInfo.php?workbook=01_01.xlsx&amp;sheet=U0&amp;row=4&amp;col=8&amp;number=3.764&amp;sourceID=17","3.764")</f>
        <v>3.764</v>
      </c>
      <c r="I4" s="4" t="str">
        <f>HYPERLINK("http://141.218.60.56/~jnz1568/getInfo.php?workbook=01_01.xlsx&amp;sheet=U0&amp;row=4&amp;col=9&amp;number=0.26&amp;sourceID=17","0.26")</f>
        <v>0.26</v>
      </c>
    </row>
    <row r="5" spans="1:9">
      <c r="A5" s="3"/>
      <c r="B5" s="3"/>
      <c r="C5" s="3"/>
      <c r="D5" s="3"/>
      <c r="E5" s="3">
        <v>2</v>
      </c>
      <c r="F5" s="4" t="str">
        <f>HYPERLINK("http://141.218.60.56/~jnz1568/getInfo.php?workbook=01_01.xlsx&amp;sheet=U0&amp;row=5&amp;col=6&amp;number=3.699&amp;sourceID=16","3.699")</f>
        <v>3.699</v>
      </c>
      <c r="G5" s="4" t="str">
        <f>HYPERLINK("http://141.218.60.56/~jnz1568/getInfo.php?workbook=01_01.xlsx&amp;sheet=U0&amp;row=5&amp;col=7&amp;number=0.2781&amp;sourceID=16","0.2781")</f>
        <v>0.2781</v>
      </c>
      <c r="H5" s="4" t="str">
        <f>HYPERLINK("http://141.218.60.56/~jnz1568/getInfo.php?workbook=01_01.xlsx&amp;sheet=U0&amp;row=5&amp;col=8&amp;number=4.064&amp;sourceID=17","4.064")</f>
        <v>4.064</v>
      </c>
      <c r="I5" s="4" t="str">
        <f>HYPERLINK("http://141.218.60.56/~jnz1568/getInfo.php?workbook=01_01.xlsx&amp;sheet=U0&amp;row=5&amp;col=9&amp;number=0.296&amp;sourceID=17","0.296")</f>
        <v>0.296</v>
      </c>
    </row>
    <row r="6" spans="1:9">
      <c r="A6" s="3"/>
      <c r="B6" s="3"/>
      <c r="C6" s="3"/>
      <c r="D6" s="3"/>
      <c r="E6" s="3">
        <v>3</v>
      </c>
      <c r="F6" s="4" t="str">
        <f>HYPERLINK("http://141.218.60.56/~jnz1568/getInfo.php?workbook=01_01.xlsx&amp;sheet=U0&amp;row=6&amp;col=6&amp;number=3.875&amp;sourceID=16","3.875")</f>
        <v>3.875</v>
      </c>
      <c r="G6" s="4" t="str">
        <f>HYPERLINK("http://141.218.60.56/~jnz1568/getInfo.php?workbook=01_01.xlsx&amp;sheet=U0&amp;row=6&amp;col=7&amp;number=0.2939&amp;sourceID=16","0.2939")</f>
        <v>0.2939</v>
      </c>
      <c r="H6" s="4" t="str">
        <f>HYPERLINK("http://141.218.60.56/~jnz1568/getInfo.php?workbook=01_01.xlsx&amp;sheet=U0&amp;row=6&amp;col=8&amp;number=4.542&amp;sourceID=17","4.542")</f>
        <v>4.542</v>
      </c>
      <c r="I6" s="4" t="str">
        <f>HYPERLINK("http://141.218.60.56/~jnz1568/getInfo.php?workbook=01_01.xlsx&amp;sheet=U0&amp;row=6&amp;col=9&amp;number=0.326&amp;sourceID=17","0.326")</f>
        <v>0.326</v>
      </c>
    </row>
    <row r="7" spans="1:9">
      <c r="A7" s="3"/>
      <c r="B7" s="3"/>
      <c r="C7" s="3"/>
      <c r="D7" s="3"/>
      <c r="E7" s="3">
        <v>4</v>
      </c>
      <c r="F7" s="4" t="str">
        <f>HYPERLINK("http://141.218.60.56/~jnz1568/getInfo.php?workbook=01_01.xlsx&amp;sheet=U0&amp;row=7&amp;col=6&amp;number=4&amp;sourceID=16","4")</f>
        <v>4</v>
      </c>
      <c r="G7" s="4" t="str">
        <f>HYPERLINK("http://141.218.60.56/~jnz1568/getInfo.php?workbook=01_01.xlsx&amp;sheet=U0&amp;row=7&amp;col=7&amp;number=0.3054&amp;sourceID=16","0.3054")</f>
        <v>0.3054</v>
      </c>
      <c r="H7" s="4" t="str">
        <f>HYPERLINK("http://141.218.60.56/~jnz1568/getInfo.php?workbook=01_01.xlsx&amp;sheet=U0&amp;row=7&amp;col=8&amp;number=4.764&amp;sourceID=17","4.764")</f>
        <v>4.764</v>
      </c>
      <c r="I7" s="4" t="str">
        <f>HYPERLINK("http://141.218.60.56/~jnz1568/getInfo.php?workbook=01_01.xlsx&amp;sheet=U0&amp;row=7&amp;col=9&amp;number=0.339&amp;sourceID=17","0.339")</f>
        <v>0.339</v>
      </c>
    </row>
    <row r="8" spans="1:9">
      <c r="A8" s="3"/>
      <c r="B8" s="3"/>
      <c r="C8" s="3"/>
      <c r="D8" s="3"/>
      <c r="E8" s="3">
        <v>5</v>
      </c>
      <c r="F8" s="4" t="str">
        <f>HYPERLINK("http://141.218.60.56/~jnz1568/getInfo.php?workbook=01_01.xlsx&amp;sheet=U0&amp;row=8&amp;col=6&amp;number=4.176&amp;sourceID=16","4.176")</f>
        <v>4.176</v>
      </c>
      <c r="G8" s="4" t="str">
        <f>HYPERLINK("http://141.218.60.56/~jnz1568/getInfo.php?workbook=01_01.xlsx&amp;sheet=U0&amp;row=8&amp;col=7&amp;number=0.3195&amp;sourceID=16","0.3195")</f>
        <v>0.3195</v>
      </c>
      <c r="H8" s="4" t="str">
        <f>HYPERLINK("http://141.218.60.56/~jnz1568/getInfo.php?workbook=01_01.xlsx&amp;sheet=U0&amp;row=8&amp;col=8&amp;number=5.064&amp;sourceID=17","5.064")</f>
        <v>5.064</v>
      </c>
      <c r="I8" s="4" t="str">
        <f>HYPERLINK("http://141.218.60.56/~jnz1568/getInfo.php?workbook=01_01.xlsx&amp;sheet=U0&amp;row=8&amp;col=9&amp;number=0.373&amp;sourceID=17","0.373")</f>
        <v>0.373</v>
      </c>
    </row>
    <row r="9" spans="1:9">
      <c r="A9" s="3"/>
      <c r="B9" s="3"/>
      <c r="C9" s="3"/>
      <c r="D9" s="3"/>
      <c r="E9" s="3">
        <v>6</v>
      </c>
      <c r="F9" s="4" t="str">
        <f>HYPERLINK("http://141.218.60.56/~jnz1568/getInfo.php?workbook=01_01.xlsx&amp;sheet=U0&amp;row=9&amp;col=6&amp;number=4.301&amp;sourceID=16","4.301")</f>
        <v>4.301</v>
      </c>
      <c r="G9" s="4" t="str">
        <f>HYPERLINK("http://141.218.60.56/~jnz1568/getInfo.php?workbook=01_01.xlsx&amp;sheet=U0&amp;row=9&amp;col=7&amp;number=0.3284&amp;sourceID=16","0.3284")</f>
        <v>0.3284</v>
      </c>
      <c r="H9" s="4" t="str">
        <f>HYPERLINK("http://141.218.60.56/~jnz1568/getInfo.php?workbook=01_01.xlsx&amp;sheet=U0&amp;row=9&amp;col=8&amp;number=5.241&amp;sourceID=17","5.241")</f>
        <v>5.241</v>
      </c>
      <c r="I9" s="4" t="str">
        <f>HYPERLINK("http://141.218.60.56/~jnz1568/getInfo.php?workbook=01_01.xlsx&amp;sheet=U0&amp;row=9&amp;col=9&amp;number=0.406&amp;sourceID=17","0.406")</f>
        <v>0.406</v>
      </c>
    </row>
    <row r="10" spans="1:9">
      <c r="A10" s="3"/>
      <c r="B10" s="3"/>
      <c r="C10" s="3"/>
      <c r="D10" s="3"/>
      <c r="E10" s="3">
        <v>7</v>
      </c>
      <c r="F10" s="4" t="str">
        <f>HYPERLINK("http://141.218.60.56/~jnz1568/getInfo.php?workbook=01_01.xlsx&amp;sheet=U0&amp;row=10&amp;col=6&amp;number=4.477&amp;sourceID=16","4.477")</f>
        <v>4.477</v>
      </c>
      <c r="G10" s="4" t="str">
        <f>HYPERLINK("http://141.218.60.56/~jnz1568/getInfo.php?workbook=01_01.xlsx&amp;sheet=U0&amp;row=10&amp;col=7&amp;number=0.3439&amp;sourceID=16","0.3439")</f>
        <v>0.3439</v>
      </c>
      <c r="H10" s="4" t="str">
        <f>HYPERLINK("http://141.218.60.56/~jnz1568/getInfo.php?workbook=01_01.xlsx&amp;sheet=U0&amp;row=10&amp;col=8&amp;number=5.366&amp;sourceID=17","5.366")</f>
        <v>5.366</v>
      </c>
      <c r="I10" s="4" t="str">
        <f>HYPERLINK("http://141.218.60.56/~jnz1568/getInfo.php?workbook=01_01.xlsx&amp;sheet=U0&amp;row=10&amp;col=9&amp;number=0.436&amp;sourceID=17","0.436")</f>
        <v>0.436</v>
      </c>
    </row>
    <row r="11" spans="1:9">
      <c r="A11" s="3"/>
      <c r="B11" s="3"/>
      <c r="C11" s="3"/>
      <c r="D11" s="3"/>
      <c r="E11" s="3">
        <v>8</v>
      </c>
      <c r="F11" s="4" t="str">
        <f>HYPERLINK("http://141.218.60.56/~jnz1568/getInfo.php?workbook=01_01.xlsx&amp;sheet=U0&amp;row=11&amp;col=6&amp;number=4.602&amp;sourceID=16","4.602")</f>
        <v>4.602</v>
      </c>
      <c r="G11" s="4" t="str">
        <f>HYPERLINK("http://141.218.60.56/~jnz1568/getInfo.php?workbook=01_01.xlsx&amp;sheet=U0&amp;row=11&amp;col=7&amp;number=0.3597&amp;sourceID=16","0.3597")</f>
        <v>0.3597</v>
      </c>
      <c r="H11" s="4" t="str">
        <f>HYPERLINK("http://141.218.60.56/~jnz1568/getInfo.php?workbook=01_01.xlsx&amp;sheet=U0&amp;row=11&amp;col=8&amp;number=5.463&amp;sourceID=17","5.463")</f>
        <v>5.463</v>
      </c>
      <c r="I11" s="4" t="str">
        <f>HYPERLINK("http://141.218.60.56/~jnz1568/getInfo.php?workbook=01_01.xlsx&amp;sheet=U0&amp;row=11&amp;col=9&amp;number=0.461&amp;sourceID=17","0.461")</f>
        <v>0.461</v>
      </c>
    </row>
    <row r="12" spans="1:9">
      <c r="A12" s="3"/>
      <c r="B12" s="3"/>
      <c r="C12" s="3"/>
      <c r="D12" s="3"/>
      <c r="E12" s="3">
        <v>9</v>
      </c>
      <c r="F12" s="4" t="str">
        <f>HYPERLINK("http://141.218.60.56/~jnz1568/getInfo.php?workbook=01_01.xlsx&amp;sheet=U0&amp;row=12&amp;col=6&amp;number=4.699&amp;sourceID=16","4.699")</f>
        <v>4.699</v>
      </c>
      <c r="G12" s="4" t="str">
        <f>HYPERLINK("http://141.218.60.56/~jnz1568/getInfo.php?workbook=01_01.xlsx&amp;sheet=U0&amp;row=12&amp;col=7&amp;number=0.3749&amp;sourceID=16","0.3749")</f>
        <v>0.3749</v>
      </c>
      <c r="H12" s="4" t="str">
        <f>HYPERLINK("http://141.218.60.56/~jnz1568/getInfo.php?workbook=01_01.xlsx&amp;sheet=U0&amp;row=12&amp;col=8&amp;number=&amp;sourceID=17","")</f>
        <v/>
      </c>
      <c r="I12" s="4" t="str">
        <f>HYPERLINK("http://141.218.60.56/~jnz1568/getInfo.php?workbook=01_01.xlsx&amp;sheet=U0&amp;row=12&amp;col=9&amp;number=&amp;sourceID=17","")</f>
        <v/>
      </c>
    </row>
    <row r="13" spans="1:9">
      <c r="A13" s="3">
        <v>1</v>
      </c>
      <c r="B13" s="3">
        <v>1</v>
      </c>
      <c r="C13" s="3">
        <v>3</v>
      </c>
      <c r="D13" s="3">
        <v>1</v>
      </c>
      <c r="E13" s="3">
        <v>1</v>
      </c>
      <c r="F13" s="4" t="str">
        <f>HYPERLINK("http://141.218.60.56/~jnz1568/getInfo.php?workbook=01_01.xlsx&amp;sheet=U0&amp;row=13&amp;col=6&amp;number==LOG10(2500)&amp;sourceID=16","=LOG10(2500)")</f>
        <v>=LOG10(2500)</v>
      </c>
      <c r="G13" s="4" t="str">
        <f>HYPERLINK("http://141.218.60.56/~jnz1568/getInfo.php?workbook=01_01.xlsx&amp;sheet=U0&amp;row=13&amp;col=7&amp;number=0.4601&amp;sourceID=16","0.4601")</f>
        <v>0.4601</v>
      </c>
      <c r="H13" s="4" t="str">
        <f>HYPERLINK("http://141.218.60.56/~jnz1568/getInfo.php?workbook=01_01.xlsx&amp;sheet=U0&amp;row=13&amp;col=8&amp;number=3.764&amp;sourceID=17","3.764")</f>
        <v>3.764</v>
      </c>
      <c r="I13" s="4" t="str">
        <f>HYPERLINK("http://141.218.60.56/~jnz1568/getInfo.php?workbook=01_01.xlsx&amp;sheet=U0&amp;row=13&amp;col=9&amp;number=0.429&amp;sourceID=17","0.429")</f>
        <v>0.429</v>
      </c>
    </row>
    <row r="14" spans="1:9">
      <c r="A14" s="3"/>
      <c r="B14" s="3"/>
      <c r="C14" s="3"/>
      <c r="D14" s="3"/>
      <c r="E14" s="3">
        <v>2</v>
      </c>
      <c r="F14" s="4" t="str">
        <f>HYPERLINK("http://141.218.60.56/~jnz1568/getInfo.php?workbook=01_01.xlsx&amp;sheet=U0&amp;row=14&amp;col=6&amp;number=3.699&amp;sourceID=16","3.699")</f>
        <v>3.699</v>
      </c>
      <c r="G14" s="4" t="str">
        <f>HYPERLINK("http://141.218.60.56/~jnz1568/getInfo.php?workbook=01_01.xlsx&amp;sheet=U0&amp;row=14&amp;col=7&amp;number=0.4602&amp;sourceID=16","0.4602")</f>
        <v>0.4602</v>
      </c>
      <c r="H14" s="4" t="str">
        <f>HYPERLINK("http://141.218.60.56/~jnz1568/getInfo.php?workbook=01_01.xlsx&amp;sheet=U0&amp;row=14&amp;col=8&amp;number=4.064&amp;sourceID=17","4.064")</f>
        <v>4.064</v>
      </c>
      <c r="I14" s="4" t="str">
        <f>HYPERLINK("http://141.218.60.56/~jnz1568/getInfo.php?workbook=01_01.xlsx&amp;sheet=U0&amp;row=14&amp;col=9&amp;number=0.529&amp;sourceID=17","0.529")</f>
        <v>0.529</v>
      </c>
    </row>
    <row r="15" spans="1:9">
      <c r="A15" s="3"/>
      <c r="B15" s="3"/>
      <c r="C15" s="3"/>
      <c r="D15" s="3"/>
      <c r="E15" s="3">
        <v>3</v>
      </c>
      <c r="F15" s="4" t="str">
        <f>HYPERLINK("http://141.218.60.56/~jnz1568/getInfo.php?workbook=01_01.xlsx&amp;sheet=U0&amp;row=15&amp;col=6&amp;number=3.875&amp;sourceID=16","3.875")</f>
        <v>3.875</v>
      </c>
      <c r="G15" s="4" t="str">
        <f>HYPERLINK("http://141.218.60.56/~jnz1568/getInfo.php?workbook=01_01.xlsx&amp;sheet=U0&amp;row=15&amp;col=7&amp;number=0.4919&amp;sourceID=16","0.4919")</f>
        <v>0.4919</v>
      </c>
      <c r="H15" s="4" t="str">
        <f>HYPERLINK("http://141.218.60.56/~jnz1568/getInfo.php?workbook=01_01.xlsx&amp;sheet=U0&amp;row=15&amp;col=8&amp;number=4.542&amp;sourceID=17","4.542")</f>
        <v>4.542</v>
      </c>
      <c r="I15" s="4" t="str">
        <f>HYPERLINK("http://141.218.60.56/~jnz1568/getInfo.php?workbook=01_01.xlsx&amp;sheet=U0&amp;row=15&amp;col=9&amp;number=0.853&amp;sourceID=17","0.853")</f>
        <v>0.853</v>
      </c>
    </row>
    <row r="16" spans="1:9">
      <c r="A16" s="3"/>
      <c r="B16" s="3"/>
      <c r="C16" s="3"/>
      <c r="D16" s="3"/>
      <c r="E16" s="3">
        <v>4</v>
      </c>
      <c r="F16" s="4" t="str">
        <f>HYPERLINK("http://141.218.60.56/~jnz1568/getInfo.php?workbook=01_01.xlsx&amp;sheet=U0&amp;row=16&amp;col=6&amp;number=4&amp;sourceID=16","4")</f>
        <v>4</v>
      </c>
      <c r="G16" s="4" t="str">
        <f>HYPERLINK("http://141.218.60.56/~jnz1568/getInfo.php?workbook=01_01.xlsx&amp;sheet=U0&amp;row=16&amp;col=7&amp;number=0.5277&amp;sourceID=16","0.5277")</f>
        <v>0.5277</v>
      </c>
      <c r="H16" s="4" t="str">
        <f>HYPERLINK("http://141.218.60.56/~jnz1568/getInfo.php?workbook=01_01.xlsx&amp;sheet=U0&amp;row=16&amp;col=8&amp;number=4.764&amp;sourceID=17","4.764")</f>
        <v>4.764</v>
      </c>
      <c r="I16" s="4" t="str">
        <f>HYPERLINK("http://141.218.60.56/~jnz1568/getInfo.php?workbook=01_01.xlsx&amp;sheet=U0&amp;row=16&amp;col=9&amp;number=1.15&amp;sourceID=17","1.15")</f>
        <v>1.15</v>
      </c>
    </row>
    <row r="17" spans="1:9">
      <c r="A17" s="3"/>
      <c r="B17" s="3"/>
      <c r="C17" s="3"/>
      <c r="D17" s="3"/>
      <c r="E17" s="3">
        <v>5</v>
      </c>
      <c r="F17" s="4" t="str">
        <f>HYPERLINK("http://141.218.60.56/~jnz1568/getInfo.php?workbook=01_01.xlsx&amp;sheet=U0&amp;row=17&amp;col=6&amp;number=4.176&amp;sourceID=16","4.176")</f>
        <v>4.176</v>
      </c>
      <c r="G17" s="4" t="str">
        <f>HYPERLINK("http://141.218.60.56/~jnz1568/getInfo.php?workbook=01_01.xlsx&amp;sheet=U0&amp;row=17&amp;col=7&amp;number=0.5991&amp;sourceID=16","0.5991")</f>
        <v>0.5991</v>
      </c>
      <c r="H17" s="4" t="str">
        <f>HYPERLINK("http://141.218.60.56/~jnz1568/getInfo.php?workbook=01_01.xlsx&amp;sheet=U0&amp;row=17&amp;col=8&amp;number=5.064&amp;sourceID=17","5.064")</f>
        <v>5.064</v>
      </c>
      <c r="I17" s="4" t="str">
        <f>HYPERLINK("http://141.218.60.56/~jnz1568/getInfo.php?workbook=01_01.xlsx&amp;sheet=U0&amp;row=17&amp;col=9&amp;number=1.81&amp;sourceID=17","1.81")</f>
        <v>1.81</v>
      </c>
    </row>
    <row r="18" spans="1:9">
      <c r="A18" s="3"/>
      <c r="B18" s="3"/>
      <c r="C18" s="3"/>
      <c r="D18" s="3"/>
      <c r="E18" s="3">
        <v>6</v>
      </c>
      <c r="F18" s="4" t="str">
        <f>HYPERLINK("http://141.218.60.56/~jnz1568/getInfo.php?workbook=01_01.xlsx&amp;sheet=U0&amp;row=18&amp;col=6&amp;number=4.301&amp;sourceID=16","4.301")</f>
        <v>4.301</v>
      </c>
      <c r="G18" s="4" t="str">
        <f>HYPERLINK("http://141.218.60.56/~jnz1568/getInfo.php?workbook=01_01.xlsx&amp;sheet=U0&amp;row=18&amp;col=7&amp;number=0.6723&amp;sourceID=16","0.6723")</f>
        <v>0.6723</v>
      </c>
      <c r="H18" s="4" t="str">
        <f>HYPERLINK("http://141.218.60.56/~jnz1568/getInfo.php?workbook=01_01.xlsx&amp;sheet=U0&amp;row=18&amp;col=8&amp;number=5.241&amp;sourceID=17","5.241")</f>
        <v>5.241</v>
      </c>
      <c r="I18" s="4" t="str">
        <f>HYPERLINK("http://141.218.60.56/~jnz1568/getInfo.php?workbook=01_01.xlsx&amp;sheet=U0&amp;row=18&amp;col=9&amp;number=2.35&amp;sourceID=17","2.35")</f>
        <v>2.35</v>
      </c>
    </row>
    <row r="19" spans="1:9">
      <c r="A19" s="3"/>
      <c r="B19" s="3"/>
      <c r="C19" s="3"/>
      <c r="D19" s="3"/>
      <c r="E19" s="3">
        <v>7</v>
      </c>
      <c r="F19" s="4" t="str">
        <f>HYPERLINK("http://141.218.60.56/~jnz1568/getInfo.php?workbook=01_01.xlsx&amp;sheet=U0&amp;row=19&amp;col=6&amp;number=4.477&amp;sourceID=16","4.477")</f>
        <v>4.477</v>
      </c>
      <c r="G19" s="4" t="str">
        <f>HYPERLINK("http://141.218.60.56/~jnz1568/getInfo.php?workbook=01_01.xlsx&amp;sheet=U0&amp;row=19&amp;col=7&amp;number=0.833&amp;sourceID=16","0.833")</f>
        <v>0.833</v>
      </c>
      <c r="H19" s="4" t="str">
        <f>HYPERLINK("http://141.218.60.56/~jnz1568/getInfo.php?workbook=01_01.xlsx&amp;sheet=U0&amp;row=19&amp;col=8&amp;number=5.366&amp;sourceID=17","5.366")</f>
        <v>5.366</v>
      </c>
      <c r="I19" s="4" t="str">
        <f>HYPERLINK("http://141.218.60.56/~jnz1568/getInfo.php?workbook=01_01.xlsx&amp;sheet=U0&amp;row=19&amp;col=9&amp;number=2.81&amp;sourceID=17","2.81")</f>
        <v>2.81</v>
      </c>
    </row>
    <row r="20" spans="1:9">
      <c r="A20" s="3"/>
      <c r="B20" s="3"/>
      <c r="C20" s="3"/>
      <c r="D20" s="3"/>
      <c r="E20" s="3">
        <v>8</v>
      </c>
      <c r="F20" s="4" t="str">
        <f>HYPERLINK("http://141.218.60.56/~jnz1568/getInfo.php?workbook=01_01.xlsx&amp;sheet=U0&amp;row=20&amp;col=6&amp;number=4.602&amp;sourceID=16","4.602")</f>
        <v>4.602</v>
      </c>
      <c r="G20" s="4" t="str">
        <f>HYPERLINK("http://141.218.60.56/~jnz1568/getInfo.php?workbook=01_01.xlsx&amp;sheet=U0&amp;row=20&amp;col=7&amp;number=1.008&amp;sourceID=16","1.008")</f>
        <v>1.008</v>
      </c>
      <c r="H20" s="4" t="str">
        <f>HYPERLINK("http://141.218.60.56/~jnz1568/getInfo.php?workbook=01_01.xlsx&amp;sheet=U0&amp;row=20&amp;col=8&amp;number=5.463&amp;sourceID=17","5.463")</f>
        <v>5.463</v>
      </c>
      <c r="I20" s="4" t="str">
        <f>HYPERLINK("http://141.218.60.56/~jnz1568/getInfo.php?workbook=01_01.xlsx&amp;sheet=U0&amp;row=20&amp;col=9&amp;number=3.2&amp;sourceID=17","3.2")</f>
        <v>3.2</v>
      </c>
    </row>
    <row r="21" spans="1:9">
      <c r="A21" s="3"/>
      <c r="B21" s="3"/>
      <c r="C21" s="3"/>
      <c r="D21" s="3"/>
      <c r="E21" s="3">
        <v>9</v>
      </c>
      <c r="F21" s="4" t="str">
        <f>HYPERLINK("http://141.218.60.56/~jnz1568/getInfo.php?workbook=01_01.xlsx&amp;sheet=U0&amp;row=21&amp;col=6&amp;number=4.699&amp;sourceID=16","4.699")</f>
        <v>4.699</v>
      </c>
      <c r="G21" s="4" t="str">
        <f>HYPERLINK("http://141.218.60.56/~jnz1568/getInfo.php?workbook=01_01.xlsx&amp;sheet=U0&amp;row=21&amp;col=7&amp;number=1.187&amp;sourceID=16","1.187")</f>
        <v>1.187</v>
      </c>
      <c r="H21" s="4" t="str">
        <f>HYPERLINK("http://141.218.60.56/~jnz1568/getInfo.php?workbook=01_01.xlsx&amp;sheet=U0&amp;row=21&amp;col=8&amp;number=&amp;sourceID=17","")</f>
        <v/>
      </c>
      <c r="I21" s="4" t="str">
        <f>HYPERLINK("http://141.218.60.56/~jnz1568/getInfo.php?workbook=01_01.xlsx&amp;sheet=U0&amp;row=21&amp;col=9&amp;number=&amp;sourceID=17","")</f>
        <v/>
      </c>
    </row>
    <row r="22" spans="1:9">
      <c r="A22" s="3">
        <v>1</v>
      </c>
      <c r="B22" s="3">
        <v>1</v>
      </c>
      <c r="C22" s="3">
        <v>4</v>
      </c>
      <c r="D22" s="3">
        <v>1</v>
      </c>
      <c r="E22" s="3">
        <v>1</v>
      </c>
      <c r="F22" s="4" t="str">
        <f>HYPERLINK("http://141.218.60.56/~jnz1568/getInfo.php?workbook=01_01.xlsx&amp;sheet=U0&amp;row=22&amp;col=6&amp;number==LOG10(2500)&amp;sourceID=16","=LOG10(2500)")</f>
        <v>=LOG10(2500)</v>
      </c>
      <c r="G22" s="4" t="str">
        <f>HYPERLINK("http://141.218.60.56/~jnz1568/getInfo.php?workbook=01_01.xlsx&amp;sheet=U0&amp;row=22&amp;col=7&amp;number=0.06241&amp;sourceID=16","0.06241")</f>
        <v>0.06241</v>
      </c>
      <c r="H22" s="4" t="str">
        <f>HYPERLINK("http://141.218.60.56/~jnz1568/getInfo.php?workbook=01_01.xlsx&amp;sheet=U0&amp;row=22&amp;col=8&amp;number=3.764&amp;sourceID=17","3.764")</f>
        <v>3.764</v>
      </c>
      <c r="I22" s="4" t="str">
        <f>HYPERLINK("http://141.218.60.56/~jnz1568/getInfo.php?workbook=01_01.xlsx&amp;sheet=U0&amp;row=22&amp;col=9&amp;number=0.0651&amp;sourceID=17","0.0651")</f>
        <v>0.0651</v>
      </c>
    </row>
    <row r="23" spans="1:9">
      <c r="A23" s="3"/>
      <c r="B23" s="3"/>
      <c r="C23" s="3"/>
      <c r="D23" s="3"/>
      <c r="E23" s="3">
        <v>2</v>
      </c>
      <c r="F23" s="4" t="str">
        <f>HYPERLINK("http://141.218.60.56/~jnz1568/getInfo.php?workbook=01_01.xlsx&amp;sheet=U0&amp;row=23&amp;col=6&amp;number=3.699&amp;sourceID=16","3.699")</f>
        <v>3.699</v>
      </c>
      <c r="G23" s="4" t="str">
        <f>HYPERLINK("http://141.218.60.56/~jnz1568/getInfo.php?workbook=01_01.xlsx&amp;sheet=U0&amp;row=23&amp;col=7&amp;number=0.06798&amp;sourceID=16","0.06798")</f>
        <v>0.06798</v>
      </c>
      <c r="H23" s="4" t="str">
        <f>HYPERLINK("http://141.218.60.56/~jnz1568/getInfo.php?workbook=01_01.xlsx&amp;sheet=U0&amp;row=23&amp;col=8&amp;number=4.064&amp;sourceID=17","4.064")</f>
        <v>4.064</v>
      </c>
      <c r="I23" s="4" t="str">
        <f>HYPERLINK("http://141.218.60.56/~jnz1568/getInfo.php?workbook=01_01.xlsx&amp;sheet=U0&amp;row=23&amp;col=9&amp;number=0.0696&amp;sourceID=17","0.0696")</f>
        <v>0.0696</v>
      </c>
    </row>
    <row r="24" spans="1:9">
      <c r="A24" s="3"/>
      <c r="B24" s="3"/>
      <c r="C24" s="3"/>
      <c r="D24" s="3"/>
      <c r="E24" s="3">
        <v>3</v>
      </c>
      <c r="F24" s="4" t="str">
        <f>HYPERLINK("http://141.218.60.56/~jnz1568/getInfo.php?workbook=01_01.xlsx&amp;sheet=U0&amp;row=24&amp;col=6&amp;number=3.875&amp;sourceID=16","3.875")</f>
        <v>3.875</v>
      </c>
      <c r="G24" s="4" t="str">
        <f>HYPERLINK("http://141.218.60.56/~jnz1568/getInfo.php?workbook=01_01.xlsx&amp;sheet=U0&amp;row=24&amp;col=7&amp;number=0.07089&amp;sourceID=16","0.07089")</f>
        <v>0.07089</v>
      </c>
      <c r="H24" s="4" t="str">
        <f>HYPERLINK("http://141.218.60.56/~jnz1568/getInfo.php?workbook=01_01.xlsx&amp;sheet=U0&amp;row=24&amp;col=8&amp;number=4.542&amp;sourceID=17","4.542")</f>
        <v>4.542</v>
      </c>
      <c r="I24" s="4" t="str">
        <f>HYPERLINK("http://141.218.60.56/~jnz1568/getInfo.php?workbook=01_01.xlsx&amp;sheet=U0&amp;row=24&amp;col=9&amp;number=0.0776&amp;sourceID=17","0.0776")</f>
        <v>0.0776</v>
      </c>
    </row>
    <row r="25" spans="1:9">
      <c r="A25" s="3"/>
      <c r="B25" s="3"/>
      <c r="C25" s="3"/>
      <c r="D25" s="3"/>
      <c r="E25" s="3">
        <v>4</v>
      </c>
      <c r="F25" s="4" t="str">
        <f>HYPERLINK("http://141.218.60.56/~jnz1568/getInfo.php?workbook=01_01.xlsx&amp;sheet=U0&amp;row=25&amp;col=6&amp;number=4&amp;sourceID=16","4")</f>
        <v>4</v>
      </c>
      <c r="G25" s="4" t="str">
        <f>HYPERLINK("http://141.218.60.56/~jnz1568/getInfo.php?workbook=01_01.xlsx&amp;sheet=U0&amp;row=25&amp;col=7&amp;number=0.07374&amp;sourceID=16","0.07374")</f>
        <v>0.07374</v>
      </c>
      <c r="H25" s="4" t="str">
        <f>HYPERLINK("http://141.218.60.56/~jnz1568/getInfo.php?workbook=01_01.xlsx&amp;sheet=U0&amp;row=25&amp;col=8&amp;number=4.764&amp;sourceID=17","4.764")</f>
        <v>4.764</v>
      </c>
      <c r="I25" s="4" t="str">
        <f>HYPERLINK("http://141.218.60.56/~jnz1568/getInfo.php?workbook=01_01.xlsx&amp;sheet=U0&amp;row=25&amp;col=9&amp;number=0.0813&amp;sourceID=17","0.0813")</f>
        <v>0.0813</v>
      </c>
    </row>
    <row r="26" spans="1:9">
      <c r="A26" s="3"/>
      <c r="B26" s="3"/>
      <c r="C26" s="3"/>
      <c r="D26" s="3"/>
      <c r="E26" s="3">
        <v>5</v>
      </c>
      <c r="F26" s="4" t="str">
        <f>HYPERLINK("http://141.218.60.56/~jnz1568/getInfo.php?workbook=01_01.xlsx&amp;sheet=U0&amp;row=26&amp;col=6&amp;number=4.176&amp;sourceID=16","4.176")</f>
        <v>4.176</v>
      </c>
      <c r="G26" s="4" t="str">
        <f>HYPERLINK("http://141.218.60.56/~jnz1568/getInfo.php?workbook=01_01.xlsx&amp;sheet=U0&amp;row=26&amp;col=7&amp;number=0.08058&amp;sourceID=16","0.08058")</f>
        <v>0.08058</v>
      </c>
      <c r="H26" s="4" t="str">
        <f>HYPERLINK("http://141.218.60.56/~jnz1568/getInfo.php?workbook=01_01.xlsx&amp;sheet=U0&amp;row=26&amp;col=8&amp;number=5.064&amp;sourceID=17","5.064")</f>
        <v>5.064</v>
      </c>
      <c r="I26" s="4" t="str">
        <f>HYPERLINK("http://141.218.60.56/~jnz1568/getInfo.php?workbook=01_01.xlsx&amp;sheet=U0&amp;row=26&amp;col=9&amp;number=0.087&amp;sourceID=17","0.087")</f>
        <v>0.087</v>
      </c>
    </row>
    <row r="27" spans="1:9">
      <c r="A27" s="3"/>
      <c r="B27" s="3"/>
      <c r="C27" s="3"/>
      <c r="D27" s="3"/>
      <c r="E27" s="3">
        <v>6</v>
      </c>
      <c r="F27" s="4" t="str">
        <f>HYPERLINK("http://141.218.60.56/~jnz1568/getInfo.php?workbook=01_01.xlsx&amp;sheet=U0&amp;row=27&amp;col=6&amp;number=4.301&amp;sourceID=16","4.301")</f>
        <v>4.301</v>
      </c>
      <c r="G27" s="4" t="str">
        <f>HYPERLINK("http://141.218.60.56/~jnz1568/getInfo.php?workbook=01_01.xlsx&amp;sheet=U0&amp;row=27&amp;col=7&amp;number=0.08789&amp;sourceID=16","0.08789")</f>
        <v>0.08789</v>
      </c>
      <c r="H27" s="4" t="str">
        <f>HYPERLINK("http://141.218.60.56/~jnz1568/getInfo.php?workbook=01_01.xlsx&amp;sheet=U0&amp;row=27&amp;col=8&amp;number=5.241&amp;sourceID=17","5.241")</f>
        <v>5.241</v>
      </c>
      <c r="I27" s="4" t="str">
        <f>HYPERLINK("http://141.218.60.56/~jnz1568/getInfo.php?workbook=01_01.xlsx&amp;sheet=U0&amp;row=27&amp;col=9&amp;number=0.0921&amp;sourceID=17","0.0921")</f>
        <v>0.0921</v>
      </c>
    </row>
    <row r="28" spans="1:9">
      <c r="A28" s="3"/>
      <c r="B28" s="3"/>
      <c r="C28" s="3"/>
      <c r="D28" s="3"/>
      <c r="E28" s="3">
        <v>7</v>
      </c>
      <c r="F28" s="4" t="str">
        <f>HYPERLINK("http://141.218.60.56/~jnz1568/getInfo.php?workbook=01_01.xlsx&amp;sheet=U0&amp;row=28&amp;col=6&amp;number=4.477&amp;sourceID=16","4.477")</f>
        <v>4.477</v>
      </c>
      <c r="G28" s="4" t="str">
        <f>HYPERLINK("http://141.218.60.56/~jnz1568/getInfo.php?workbook=01_01.xlsx&amp;sheet=U0&amp;row=28&amp;col=7&amp;number=0.1008&amp;sourceID=16","0.1008")</f>
        <v>0.1008</v>
      </c>
      <c r="H28" s="4" t="str">
        <f>HYPERLINK("http://141.218.60.56/~jnz1568/getInfo.php?workbook=01_01.xlsx&amp;sheet=U0&amp;row=28&amp;col=8&amp;number=5.366&amp;sourceID=17","5.366")</f>
        <v>5.366</v>
      </c>
      <c r="I28" s="4" t="str">
        <f>HYPERLINK("http://141.218.60.56/~jnz1568/getInfo.php?workbook=01_01.xlsx&amp;sheet=U0&amp;row=28&amp;col=9&amp;number=0.0966&amp;sourceID=17","0.0966")</f>
        <v>0.0966</v>
      </c>
    </row>
    <row r="29" spans="1:9">
      <c r="A29" s="3"/>
      <c r="B29" s="3"/>
      <c r="C29" s="3"/>
      <c r="D29" s="3"/>
      <c r="E29" s="3">
        <v>8</v>
      </c>
      <c r="F29" s="4" t="str">
        <f>HYPERLINK("http://141.218.60.56/~jnz1568/getInfo.php?workbook=01_01.xlsx&amp;sheet=U0&amp;row=29&amp;col=6&amp;number=4.602&amp;sourceID=16","4.602")</f>
        <v>4.602</v>
      </c>
      <c r="G29" s="4" t="str">
        <f>HYPERLINK("http://141.218.60.56/~jnz1568/getInfo.php?workbook=01_01.xlsx&amp;sheet=U0&amp;row=29&amp;col=7&amp;number=0.1105&amp;sourceID=16","0.1105")</f>
        <v>0.1105</v>
      </c>
      <c r="H29" s="4" t="str">
        <f>HYPERLINK("http://141.218.60.56/~jnz1568/getInfo.php?workbook=01_01.xlsx&amp;sheet=U0&amp;row=29&amp;col=8&amp;number=5.463&amp;sourceID=17","5.463")</f>
        <v>5.463</v>
      </c>
      <c r="I29" s="4" t="str">
        <f>HYPERLINK("http://141.218.60.56/~jnz1568/getInfo.php?workbook=01_01.xlsx&amp;sheet=U0&amp;row=29&amp;col=9&amp;number=0.101&amp;sourceID=17","0.101")</f>
        <v>0.101</v>
      </c>
    </row>
    <row r="30" spans="1:9">
      <c r="A30" s="3"/>
      <c r="B30" s="3"/>
      <c r="C30" s="3"/>
      <c r="D30" s="3"/>
      <c r="E30" s="3">
        <v>9</v>
      </c>
      <c r="F30" s="4" t="str">
        <f>HYPERLINK("http://141.218.60.56/~jnz1568/getInfo.php?workbook=01_01.xlsx&amp;sheet=U0&amp;row=30&amp;col=6&amp;number=4.699&amp;sourceID=16","4.699")</f>
        <v>4.699</v>
      </c>
      <c r="G30" s="4" t="str">
        <f>HYPERLINK("http://141.218.60.56/~jnz1568/getInfo.php?workbook=01_01.xlsx&amp;sheet=U0&amp;row=30&amp;col=7&amp;number=0.1174&amp;sourceID=16","0.1174")</f>
        <v>0.1174</v>
      </c>
      <c r="H30" s="4" t="str">
        <f>HYPERLINK("http://141.218.60.56/~jnz1568/getInfo.php?workbook=01_01.xlsx&amp;sheet=U0&amp;row=30&amp;col=8&amp;number=&amp;sourceID=17","")</f>
        <v/>
      </c>
      <c r="I30" s="4" t="str">
        <f>HYPERLINK("http://141.218.60.56/~jnz1568/getInfo.php?workbook=01_01.xlsx&amp;sheet=U0&amp;row=30&amp;col=9&amp;number=&amp;sourceID=17","")</f>
        <v/>
      </c>
    </row>
    <row r="31" spans="1:9">
      <c r="A31" s="3">
        <v>1</v>
      </c>
      <c r="B31" s="3">
        <v>1</v>
      </c>
      <c r="C31" s="3">
        <v>4</v>
      </c>
      <c r="D31" s="3">
        <v>2</v>
      </c>
      <c r="E31" s="3">
        <v>1</v>
      </c>
      <c r="F31" s="4" t="str">
        <f>HYPERLINK("http://141.218.60.56/~jnz1568/getInfo.php?workbook=01_01.xlsx&amp;sheet=U0&amp;row=31&amp;col=6&amp;number==LOG10(2500)&amp;sourceID=16","=LOG10(2500)")</f>
        <v>=LOG10(2500)</v>
      </c>
      <c r="G31" s="4" t="str">
        <f>HYPERLINK("http://141.218.60.56/~jnz1568/getInfo.php?workbook=01_01.xlsx&amp;sheet=U0&amp;row=31&amp;col=7&amp;number=1.417&amp;sourceID=16","1.417")</f>
        <v>1.417</v>
      </c>
      <c r="H31" s="4" t="str">
        <f>HYPERLINK("http://141.218.60.56/~jnz1568/getInfo.php?workbook=01_01.xlsx&amp;sheet=U0&amp;row=31&amp;col=8&amp;number=3.764&amp;sourceID=17","3.764")</f>
        <v>3.764</v>
      </c>
      <c r="I31" s="4" t="str">
        <f>HYPERLINK("http://141.218.60.56/~jnz1568/getInfo.php?workbook=01_01.xlsx&amp;sheet=U0&amp;row=31&amp;col=9&amp;number=1.38&amp;sourceID=17","1.38")</f>
        <v>1.38</v>
      </c>
    </row>
    <row r="32" spans="1:9">
      <c r="A32" s="3"/>
      <c r="B32" s="3"/>
      <c r="C32" s="3"/>
      <c r="D32" s="3"/>
      <c r="E32" s="3">
        <v>2</v>
      </c>
      <c r="F32" s="4" t="str">
        <f>HYPERLINK("http://141.218.60.56/~jnz1568/getInfo.php?workbook=01_01.xlsx&amp;sheet=U0&amp;row=32&amp;col=6&amp;number=3.699&amp;sourceID=16","3.699")</f>
        <v>3.699</v>
      </c>
      <c r="G32" s="4" t="str">
        <f>HYPERLINK("http://141.218.60.56/~jnz1568/getInfo.php?workbook=01_01.xlsx&amp;sheet=U0&amp;row=32&amp;col=7&amp;number=1.443&amp;sourceID=16","1.443")</f>
        <v>1.443</v>
      </c>
      <c r="H32" s="4" t="str">
        <f>HYPERLINK("http://141.218.60.56/~jnz1568/getInfo.php?workbook=01_01.xlsx&amp;sheet=U0&amp;row=32&amp;col=8&amp;number=4.064&amp;sourceID=17","4.064")</f>
        <v>4.064</v>
      </c>
      <c r="I32" s="4" t="str">
        <f>HYPERLINK("http://141.218.60.56/~jnz1568/getInfo.php?workbook=01_01.xlsx&amp;sheet=U0&amp;row=32&amp;col=9&amp;number=1.45&amp;sourceID=17","1.45")</f>
        <v>1.45</v>
      </c>
    </row>
    <row r="33" spans="1:9">
      <c r="A33" s="3"/>
      <c r="B33" s="3"/>
      <c r="C33" s="3"/>
      <c r="D33" s="3"/>
      <c r="E33" s="3">
        <v>3</v>
      </c>
      <c r="F33" s="4" t="str">
        <f>HYPERLINK("http://141.218.60.56/~jnz1568/getInfo.php?workbook=01_01.xlsx&amp;sheet=U0&amp;row=33&amp;col=6&amp;number=3.875&amp;sourceID=16","3.875")</f>
        <v>3.875</v>
      </c>
      <c r="G33" s="4" t="str">
        <f>HYPERLINK("http://141.218.60.56/~jnz1568/getInfo.php?workbook=01_01.xlsx&amp;sheet=U0&amp;row=33&amp;col=7&amp;number=1.443&amp;sourceID=16","1.443")</f>
        <v>1.443</v>
      </c>
      <c r="H33" s="4" t="str">
        <f>HYPERLINK("http://141.218.60.56/~jnz1568/getInfo.php?workbook=01_01.xlsx&amp;sheet=U0&amp;row=33&amp;col=8&amp;number=4.542&amp;sourceID=17","4.542")</f>
        <v>4.542</v>
      </c>
      <c r="I33" s="4" t="str">
        <f>HYPERLINK("http://141.218.60.56/~jnz1568/getInfo.php?workbook=01_01.xlsx&amp;sheet=U0&amp;row=33&amp;col=9&amp;number=2.28&amp;sourceID=17","2.28")</f>
        <v>2.28</v>
      </c>
    </row>
    <row r="34" spans="1:9">
      <c r="A34" s="3"/>
      <c r="B34" s="3"/>
      <c r="C34" s="3"/>
      <c r="D34" s="3"/>
      <c r="E34" s="3">
        <v>4</v>
      </c>
      <c r="F34" s="4" t="str">
        <f>HYPERLINK("http://141.218.60.56/~jnz1568/getInfo.php?workbook=01_01.xlsx&amp;sheet=U0&amp;row=34&amp;col=6&amp;number=4&amp;sourceID=16","4")</f>
        <v>4</v>
      </c>
      <c r="G34" s="4" t="str">
        <f>HYPERLINK("http://141.218.60.56/~jnz1568/getInfo.php?workbook=01_01.xlsx&amp;sheet=U0&amp;row=34&amp;col=7&amp;number=1.473&amp;sourceID=16","1.473")</f>
        <v>1.473</v>
      </c>
      <c r="H34" s="4" t="str">
        <f>HYPERLINK("http://141.218.60.56/~jnz1568/getInfo.php?workbook=01_01.xlsx&amp;sheet=U0&amp;row=34&amp;col=8&amp;number=4.764&amp;sourceID=17","4.764")</f>
        <v>4.764</v>
      </c>
      <c r="I34" s="4" t="str">
        <f>HYPERLINK("http://141.218.60.56/~jnz1568/getInfo.php?workbook=01_01.xlsx&amp;sheet=U0&amp;row=34&amp;col=9&amp;number=3.09&amp;sourceID=17","3.09")</f>
        <v>3.09</v>
      </c>
    </row>
    <row r="35" spans="1:9">
      <c r="A35" s="3"/>
      <c r="B35" s="3"/>
      <c r="C35" s="3"/>
      <c r="D35" s="3"/>
      <c r="E35" s="3">
        <v>5</v>
      </c>
      <c r="F35" s="4" t="str">
        <f>HYPERLINK("http://141.218.60.56/~jnz1568/getInfo.php?workbook=01_01.xlsx&amp;sheet=U0&amp;row=35&amp;col=6&amp;number=4.176&amp;sourceID=16","4.176")</f>
        <v>4.176</v>
      </c>
      <c r="G35" s="4" t="str">
        <f>HYPERLINK("http://141.218.60.56/~jnz1568/getInfo.php?workbook=01_01.xlsx&amp;sheet=U0&amp;row=35&amp;col=7&amp;number=1.622&amp;sourceID=16","1.622")</f>
        <v>1.622</v>
      </c>
      <c r="H35" s="4" t="str">
        <f>HYPERLINK("http://141.218.60.56/~jnz1568/getInfo.php?workbook=01_01.xlsx&amp;sheet=U0&amp;row=35&amp;col=8&amp;number=5.064&amp;sourceID=17","5.064")</f>
        <v>5.064</v>
      </c>
      <c r="I35" s="4" t="str">
        <f>HYPERLINK("http://141.218.60.56/~jnz1568/getInfo.php?workbook=01_01.xlsx&amp;sheet=U0&amp;row=35&amp;col=9&amp;number=4.5&amp;sourceID=17","4.5")</f>
        <v>4.5</v>
      </c>
    </row>
    <row r="36" spans="1:9">
      <c r="A36" s="3"/>
      <c r="B36" s="3"/>
      <c r="C36" s="3"/>
      <c r="D36" s="3"/>
      <c r="E36" s="3">
        <v>6</v>
      </c>
      <c r="F36" s="4" t="str">
        <f>HYPERLINK("http://141.218.60.56/~jnz1568/getInfo.php?workbook=01_01.xlsx&amp;sheet=U0&amp;row=36&amp;col=6&amp;number=4.301&amp;sourceID=16","4.301")</f>
        <v>4.301</v>
      </c>
      <c r="G36" s="4" t="str">
        <f>HYPERLINK("http://141.218.60.56/~jnz1568/getInfo.php?workbook=01_01.xlsx&amp;sheet=U0&amp;row=36&amp;col=7&amp;number=1.85&amp;sourceID=16","1.85")</f>
        <v>1.85</v>
      </c>
      <c r="H36" s="4" t="str">
        <f>HYPERLINK("http://141.218.60.56/~jnz1568/getInfo.php?workbook=01_01.xlsx&amp;sheet=U0&amp;row=36&amp;col=8&amp;number=5.241&amp;sourceID=17","5.241")</f>
        <v>5.241</v>
      </c>
      <c r="I36" s="4" t="str">
        <f>HYPERLINK("http://141.218.60.56/~jnz1568/getInfo.php?workbook=01_01.xlsx&amp;sheet=U0&amp;row=36&amp;col=9&amp;number=5.4&amp;sourceID=17","5.4")</f>
        <v>5.4</v>
      </c>
    </row>
    <row r="37" spans="1:9">
      <c r="A37" s="3"/>
      <c r="B37" s="3"/>
      <c r="C37" s="3"/>
      <c r="D37" s="3"/>
      <c r="E37" s="3">
        <v>7</v>
      </c>
      <c r="F37" s="4" t="str">
        <f>HYPERLINK("http://141.218.60.56/~jnz1568/getInfo.php?workbook=01_01.xlsx&amp;sheet=U0&amp;row=37&amp;col=6&amp;number=4.477&amp;sourceID=16","4.477")</f>
        <v>4.477</v>
      </c>
      <c r="G37" s="4" t="str">
        <f>HYPERLINK("http://141.218.60.56/~jnz1568/getInfo.php?workbook=01_01.xlsx&amp;sheet=U0&amp;row=37&amp;col=7&amp;number=2.405&amp;sourceID=16","2.405")</f>
        <v>2.405</v>
      </c>
      <c r="H37" s="4" t="str">
        <f>HYPERLINK("http://141.218.60.56/~jnz1568/getInfo.php?workbook=01_01.xlsx&amp;sheet=U0&amp;row=37&amp;col=8&amp;number=5.366&amp;sourceID=17","5.366")</f>
        <v>5.366</v>
      </c>
      <c r="I37" s="4" t="str">
        <f>HYPERLINK("http://141.218.60.56/~jnz1568/getInfo.php?workbook=01_01.xlsx&amp;sheet=U0&amp;row=37&amp;col=9&amp;number=6.03&amp;sourceID=17","6.03")</f>
        <v>6.03</v>
      </c>
    </row>
    <row r="38" spans="1:9">
      <c r="A38" s="3"/>
      <c r="B38" s="3"/>
      <c r="C38" s="3"/>
      <c r="D38" s="3"/>
      <c r="E38" s="3">
        <v>8</v>
      </c>
      <c r="F38" s="4" t="str">
        <f>HYPERLINK("http://141.218.60.56/~jnz1568/getInfo.php?workbook=01_01.xlsx&amp;sheet=U0&amp;row=38&amp;col=6&amp;number=4.602&amp;sourceID=16","4.602")</f>
        <v>4.602</v>
      </c>
      <c r="G38" s="4" t="str">
        <f>HYPERLINK("http://141.218.60.56/~jnz1568/getInfo.php?workbook=01_01.xlsx&amp;sheet=U0&amp;row=38&amp;col=7&amp;number=2.979&amp;sourceID=16","2.979")</f>
        <v>2.979</v>
      </c>
      <c r="H38" s="4" t="str">
        <f>HYPERLINK("http://141.218.60.56/~jnz1568/getInfo.php?workbook=01_01.xlsx&amp;sheet=U0&amp;row=38&amp;col=8&amp;number=5.463&amp;sourceID=17","5.463")</f>
        <v>5.463</v>
      </c>
      <c r="I38" s="4" t="str">
        <f>HYPERLINK("http://141.218.60.56/~jnz1568/getInfo.php?workbook=01_01.xlsx&amp;sheet=U0&amp;row=38&amp;col=9&amp;number=6.5&amp;sourceID=17","6.5")</f>
        <v>6.5</v>
      </c>
    </row>
    <row r="39" spans="1:9">
      <c r="A39" s="3"/>
      <c r="B39" s="3"/>
      <c r="C39" s="3"/>
      <c r="D39" s="3"/>
      <c r="E39" s="3">
        <v>9</v>
      </c>
      <c r="F39" s="4" t="str">
        <f>HYPERLINK("http://141.218.60.56/~jnz1568/getInfo.php?workbook=01_01.xlsx&amp;sheet=U0&amp;row=39&amp;col=6&amp;number=4.699&amp;sourceID=16","4.699")</f>
        <v>4.699</v>
      </c>
      <c r="G39" s="4" t="str">
        <f>HYPERLINK("http://141.218.60.56/~jnz1568/getInfo.php?workbook=01_01.xlsx&amp;sheet=U0&amp;row=39&amp;col=7&amp;number=3.517&amp;sourceID=16","3.517")</f>
        <v>3.517</v>
      </c>
      <c r="H39" s="4" t="str">
        <f>HYPERLINK("http://141.218.60.56/~jnz1568/getInfo.php?workbook=01_01.xlsx&amp;sheet=U0&amp;row=39&amp;col=8&amp;number=&amp;sourceID=17","")</f>
        <v/>
      </c>
      <c r="I39" s="4" t="str">
        <f>HYPERLINK("http://141.218.60.56/~jnz1568/getInfo.php?workbook=01_01.xlsx&amp;sheet=U0&amp;row=39&amp;col=9&amp;number=&amp;sourceID=17","")</f>
        <v/>
      </c>
    </row>
    <row r="40" spans="1:9">
      <c r="A40" s="3">
        <v>1</v>
      </c>
      <c r="B40" s="3">
        <v>1</v>
      </c>
      <c r="C40" s="3">
        <v>4</v>
      </c>
      <c r="D40" s="3">
        <v>3</v>
      </c>
      <c r="E40" s="3">
        <v>1</v>
      </c>
      <c r="F40" s="4" t="str">
        <f>HYPERLINK("http://141.218.60.56/~jnz1568/getInfo.php?workbook=01_01.xlsx&amp;sheet=U0&amp;row=40&amp;col=6&amp;number==LOG10(2500)&amp;sourceID=16","=LOG10(2500)")</f>
        <v>=LOG10(2500)</v>
      </c>
      <c r="G40" s="4" t="str">
        <f>HYPERLINK("http://141.218.60.56/~jnz1568/getInfo.php?workbook=01_01.xlsx&amp;sheet=U0&amp;row=40&amp;col=7&amp;number=1.919&amp;sourceID=16","1.919")</f>
        <v>1.919</v>
      </c>
      <c r="H40" s="4" t="str">
        <f>HYPERLINK("http://141.218.60.56/~jnz1568/getInfo.php?workbook=01_01.xlsx&amp;sheet=U0&amp;row=40&amp;col=8&amp;number=3.764&amp;sourceID=17","3.764")</f>
        <v>3.764</v>
      </c>
      <c r="I40" s="4" t="str">
        <f>HYPERLINK("http://141.218.60.56/~jnz1568/getInfo.php?workbook=01_01.xlsx&amp;sheet=U0&amp;row=40&amp;col=9&amp;number=2.04&amp;sourceID=17","2.04")</f>
        <v>2.04</v>
      </c>
    </row>
    <row r="41" spans="1:9">
      <c r="A41" s="3"/>
      <c r="B41" s="3"/>
      <c r="C41" s="3"/>
      <c r="D41" s="3"/>
      <c r="E41" s="3">
        <v>2</v>
      </c>
      <c r="F41" s="4" t="str">
        <f>HYPERLINK("http://141.218.60.56/~jnz1568/getInfo.php?workbook=01_01.xlsx&amp;sheet=U0&amp;row=41&amp;col=6&amp;number=3.699&amp;sourceID=16","3.699")</f>
        <v>3.699</v>
      </c>
      <c r="G41" s="4" t="str">
        <f>HYPERLINK("http://141.218.60.56/~jnz1568/getInfo.php?workbook=01_01.xlsx&amp;sheet=U0&amp;row=41&amp;col=7&amp;number=2.138&amp;sourceID=16","2.138")</f>
        <v>2.138</v>
      </c>
      <c r="H41" s="4" t="str">
        <f>HYPERLINK("http://141.218.60.56/~jnz1568/getInfo.php?workbook=01_01.xlsx&amp;sheet=U0&amp;row=41&amp;col=8&amp;number=4.064&amp;sourceID=17","4.064")</f>
        <v>4.064</v>
      </c>
      <c r="I41" s="4" t="str">
        <f>HYPERLINK("http://141.218.60.56/~jnz1568/getInfo.php?workbook=01_01.xlsx&amp;sheet=U0&amp;row=41&amp;col=9&amp;number=2.22&amp;sourceID=17","2.22")</f>
        <v>2.22</v>
      </c>
    </row>
    <row r="42" spans="1:9">
      <c r="A42" s="3"/>
      <c r="B42" s="3"/>
      <c r="C42" s="3"/>
      <c r="D42" s="3"/>
      <c r="E42" s="3">
        <v>3</v>
      </c>
      <c r="F42" s="4" t="str">
        <f>HYPERLINK("http://141.218.60.56/~jnz1568/getInfo.php?workbook=01_01.xlsx&amp;sheet=U0&amp;row=42&amp;col=6&amp;number=3.875&amp;sourceID=16","3.875")</f>
        <v>3.875</v>
      </c>
      <c r="G42" s="4" t="str">
        <f>HYPERLINK("http://141.218.60.56/~jnz1568/getInfo.php?workbook=01_01.xlsx&amp;sheet=U0&amp;row=42&amp;col=7&amp;number=2.244&amp;sourceID=16","2.244")</f>
        <v>2.244</v>
      </c>
      <c r="H42" s="4" t="str">
        <f>HYPERLINK("http://141.218.60.56/~jnz1568/getInfo.php?workbook=01_01.xlsx&amp;sheet=U0&amp;row=42&amp;col=8&amp;number=4.542&amp;sourceID=17","4.542")</f>
        <v>4.542</v>
      </c>
      <c r="I42" s="4" t="str">
        <f>HYPERLINK("http://141.218.60.56/~jnz1568/getInfo.php?workbook=01_01.xlsx&amp;sheet=U0&amp;row=42&amp;col=9&amp;number=2.28&amp;sourceID=17","2.28")</f>
        <v>2.28</v>
      </c>
    </row>
    <row r="43" spans="1:9">
      <c r="A43" s="3"/>
      <c r="B43" s="3"/>
      <c r="C43" s="3"/>
      <c r="D43" s="3"/>
      <c r="E43" s="3">
        <v>4</v>
      </c>
      <c r="F43" s="4" t="str">
        <f>HYPERLINK("http://141.218.60.56/~jnz1568/getInfo.php?workbook=01_01.xlsx&amp;sheet=U0&amp;row=43&amp;col=6&amp;number=4&amp;sourceID=16","4")</f>
        <v>4</v>
      </c>
      <c r="G43" s="4" t="str">
        <f>HYPERLINK("http://141.218.60.56/~jnz1568/getInfo.php?workbook=01_01.xlsx&amp;sheet=U0&amp;row=43&amp;col=7&amp;number=2.299&amp;sourceID=16","2.299")</f>
        <v>2.299</v>
      </c>
      <c r="H43" s="4" t="str">
        <f>HYPERLINK("http://141.218.60.56/~jnz1568/getInfo.php?workbook=01_01.xlsx&amp;sheet=U0&amp;row=43&amp;col=8&amp;number=4.764&amp;sourceID=17","4.764")</f>
        <v>4.764</v>
      </c>
      <c r="I43" s="4" t="str">
        <f>HYPERLINK("http://141.218.60.56/~jnz1568/getInfo.php?workbook=01_01.xlsx&amp;sheet=U0&amp;row=43&amp;col=9&amp;number=2.35&amp;sourceID=17","2.35")</f>
        <v>2.35</v>
      </c>
    </row>
    <row r="44" spans="1:9">
      <c r="A44" s="3"/>
      <c r="B44" s="3"/>
      <c r="C44" s="3"/>
      <c r="D44" s="3"/>
      <c r="E44" s="3">
        <v>5</v>
      </c>
      <c r="F44" s="4" t="str">
        <f>HYPERLINK("http://141.218.60.56/~jnz1568/getInfo.php?workbook=01_01.xlsx&amp;sheet=U0&amp;row=44&amp;col=6&amp;number=4.176&amp;sourceID=16","4.176")</f>
        <v>4.176</v>
      </c>
      <c r="G44" s="4" t="str">
        <f>HYPERLINK("http://141.218.60.56/~jnz1568/getInfo.php?workbook=01_01.xlsx&amp;sheet=U0&amp;row=44&amp;col=7&amp;number=2.369&amp;sourceID=16","2.369")</f>
        <v>2.369</v>
      </c>
      <c r="H44" s="4" t="str">
        <f>HYPERLINK("http://141.218.60.56/~jnz1568/getInfo.php?workbook=01_01.xlsx&amp;sheet=U0&amp;row=44&amp;col=8&amp;number=5.064&amp;sourceID=17","5.064")</f>
        <v>5.064</v>
      </c>
      <c r="I44" s="4" t="str">
        <f>HYPERLINK("http://141.218.60.56/~jnz1568/getInfo.php?workbook=01_01.xlsx&amp;sheet=U0&amp;row=44&amp;col=9&amp;number=2.68&amp;sourceID=17","2.68")</f>
        <v>2.68</v>
      </c>
    </row>
    <row r="45" spans="1:9">
      <c r="A45" s="3"/>
      <c r="B45" s="3"/>
      <c r="C45" s="3"/>
      <c r="D45" s="3"/>
      <c r="E45" s="3">
        <v>6</v>
      </c>
      <c r="F45" s="4" t="str">
        <f>HYPERLINK("http://141.218.60.56/~jnz1568/getInfo.php?workbook=01_01.xlsx&amp;sheet=U0&amp;row=45&amp;col=6&amp;number=4.301&amp;sourceID=16","4.301")</f>
        <v>4.301</v>
      </c>
      <c r="G45" s="4" t="str">
        <f>HYPERLINK("http://141.218.60.56/~jnz1568/getInfo.php?workbook=01_01.xlsx&amp;sheet=U0&amp;row=45&amp;col=7&amp;number=2.427&amp;sourceID=16","2.427")</f>
        <v>2.427</v>
      </c>
      <c r="H45" s="4" t="str">
        <f>HYPERLINK("http://141.218.60.56/~jnz1568/getInfo.php?workbook=01_01.xlsx&amp;sheet=U0&amp;row=45&amp;col=8&amp;number=5.241&amp;sourceID=17","5.241")</f>
        <v>5.241</v>
      </c>
      <c r="I45" s="4" t="str">
        <f>HYPERLINK("http://141.218.60.56/~jnz1568/getInfo.php?workbook=01_01.xlsx&amp;sheet=U0&amp;row=45&amp;col=9&amp;number=3.02&amp;sourceID=17","3.02")</f>
        <v>3.02</v>
      </c>
    </row>
    <row r="46" spans="1:9">
      <c r="A46" s="3"/>
      <c r="B46" s="3"/>
      <c r="C46" s="3"/>
      <c r="D46" s="3"/>
      <c r="E46" s="3">
        <v>7</v>
      </c>
      <c r="F46" s="4" t="str">
        <f>HYPERLINK("http://141.218.60.56/~jnz1568/getInfo.php?workbook=01_01.xlsx&amp;sheet=U0&amp;row=46&amp;col=6&amp;number=4.477&amp;sourceID=16","4.477")</f>
        <v>4.477</v>
      </c>
      <c r="G46" s="4" t="str">
        <f>HYPERLINK("http://141.218.60.56/~jnz1568/getInfo.php?workbook=01_01.xlsx&amp;sheet=U0&amp;row=46&amp;col=7&amp;number=2.539&amp;sourceID=16","2.539")</f>
        <v>2.539</v>
      </c>
      <c r="H46" s="4" t="str">
        <f>HYPERLINK("http://141.218.60.56/~jnz1568/getInfo.php?workbook=01_01.xlsx&amp;sheet=U0&amp;row=46&amp;col=8&amp;number=5.366&amp;sourceID=17","5.366")</f>
        <v>5.366</v>
      </c>
      <c r="I46" s="4" t="str">
        <f>HYPERLINK("http://141.218.60.56/~jnz1568/getInfo.php?workbook=01_01.xlsx&amp;sheet=U0&amp;row=46&amp;col=9&amp;number=3.34&amp;sourceID=17","3.34")</f>
        <v>3.34</v>
      </c>
    </row>
    <row r="47" spans="1:9">
      <c r="A47" s="3"/>
      <c r="B47" s="3"/>
      <c r="C47" s="3"/>
      <c r="D47" s="3"/>
      <c r="E47" s="3">
        <v>8</v>
      </c>
      <c r="F47" s="4" t="str">
        <f>HYPERLINK("http://141.218.60.56/~jnz1568/getInfo.php?workbook=01_01.xlsx&amp;sheet=U0&amp;row=47&amp;col=6&amp;number=4.602&amp;sourceID=16","4.602")</f>
        <v>4.602</v>
      </c>
      <c r="G47" s="4" t="str">
        <f>HYPERLINK("http://141.218.60.56/~jnz1568/getInfo.php?workbook=01_01.xlsx&amp;sheet=U0&amp;row=47&amp;col=7&amp;number=2.646&amp;sourceID=16","2.646")</f>
        <v>2.646</v>
      </c>
      <c r="H47" s="4" t="str">
        <f>HYPERLINK("http://141.218.60.56/~jnz1568/getInfo.php?workbook=01_01.xlsx&amp;sheet=U0&amp;row=47&amp;col=8&amp;number=5.463&amp;sourceID=17","5.463")</f>
        <v>5.463</v>
      </c>
      <c r="I47" s="4" t="str">
        <f>HYPERLINK("http://141.218.60.56/~jnz1568/getInfo.php?workbook=01_01.xlsx&amp;sheet=U0&amp;row=47&amp;col=9&amp;number=3.62&amp;sourceID=17","3.62")</f>
        <v>3.62</v>
      </c>
    </row>
    <row r="48" spans="1:9">
      <c r="A48" s="3"/>
      <c r="B48" s="3"/>
      <c r="C48" s="3"/>
      <c r="D48" s="3"/>
      <c r="E48" s="3">
        <v>9</v>
      </c>
      <c r="F48" s="4" t="str">
        <f>HYPERLINK("http://141.218.60.56/~jnz1568/getInfo.php?workbook=01_01.xlsx&amp;sheet=U0&amp;row=48&amp;col=6&amp;number=4.699&amp;sourceID=16","4.699")</f>
        <v>4.699</v>
      </c>
      <c r="G48" s="4" t="str">
        <f>HYPERLINK("http://141.218.60.56/~jnz1568/getInfo.php?workbook=01_01.xlsx&amp;sheet=U0&amp;row=48&amp;col=7&amp;number=2.746&amp;sourceID=16","2.746")</f>
        <v>2.746</v>
      </c>
      <c r="H48" s="4" t="str">
        <f>HYPERLINK("http://141.218.60.56/~jnz1568/getInfo.php?workbook=01_01.xlsx&amp;sheet=U0&amp;row=48&amp;col=8&amp;number=&amp;sourceID=17","")</f>
        <v/>
      </c>
      <c r="I48" s="4" t="str">
        <f>HYPERLINK("http://141.218.60.56/~jnz1568/getInfo.php?workbook=01_01.xlsx&amp;sheet=U0&amp;row=48&amp;col=9&amp;number=&amp;sourceID=17","")</f>
        <v/>
      </c>
    </row>
    <row r="49" spans="1:9">
      <c r="A49" s="3">
        <v>1</v>
      </c>
      <c r="B49" s="3">
        <v>1</v>
      </c>
      <c r="C49" s="3">
        <v>5</v>
      </c>
      <c r="D49" s="3">
        <v>1</v>
      </c>
      <c r="E49" s="3">
        <v>1</v>
      </c>
      <c r="F49" s="4" t="str">
        <f>HYPERLINK("http://141.218.60.56/~jnz1568/getInfo.php?workbook=01_01.xlsx&amp;sheet=U0&amp;row=49&amp;col=6&amp;number==LOG10(2500)&amp;sourceID=16","=LOG10(2500)")</f>
        <v>=LOG10(2500)</v>
      </c>
      <c r="G49" s="4" t="str">
        <f>HYPERLINK("http://141.218.60.56/~jnz1568/getInfo.php?workbook=01_01.xlsx&amp;sheet=U0&amp;row=49&amp;col=7&amp;number=0.1137&amp;sourceID=16","0.1137")</f>
        <v>0.1137</v>
      </c>
      <c r="H49" s="4" t="str">
        <f>HYPERLINK("http://141.218.60.56/~jnz1568/getInfo.php?workbook=01_01.xlsx&amp;sheet=U0&amp;row=49&amp;col=8&amp;number=3.764&amp;sourceID=17","3.764")</f>
        <v>3.764</v>
      </c>
      <c r="I49" s="4" t="str">
        <f>HYPERLINK("http://141.218.60.56/~jnz1568/getInfo.php?workbook=01_01.xlsx&amp;sheet=U0&amp;row=49&amp;col=9&amp;number=0.112&amp;sourceID=17","0.112")</f>
        <v>0.112</v>
      </c>
    </row>
    <row r="50" spans="1:9">
      <c r="A50" s="3"/>
      <c r="B50" s="3"/>
      <c r="C50" s="3"/>
      <c r="D50" s="3"/>
      <c r="E50" s="3">
        <v>2</v>
      </c>
      <c r="F50" s="4" t="str">
        <f>HYPERLINK("http://141.218.60.56/~jnz1568/getInfo.php?workbook=01_01.xlsx&amp;sheet=U0&amp;row=50&amp;col=6&amp;number=3.699&amp;sourceID=16","3.699")</f>
        <v>3.699</v>
      </c>
      <c r="G50" s="4" t="str">
        <f>HYPERLINK("http://141.218.60.56/~jnz1568/getInfo.php?workbook=01_01.xlsx&amp;sheet=U0&amp;row=50&amp;col=7&amp;number=0.121&amp;sourceID=16","0.121")</f>
        <v>0.121</v>
      </c>
      <c r="H50" s="4" t="str">
        <f>HYPERLINK("http://141.218.60.56/~jnz1568/getInfo.php?workbook=01_01.xlsx&amp;sheet=U0&amp;row=50&amp;col=8&amp;number=4.064&amp;sourceID=17","4.064")</f>
        <v>4.064</v>
      </c>
      <c r="I50" s="4" t="str">
        <f>HYPERLINK("http://141.218.60.56/~jnz1568/getInfo.php?workbook=01_01.xlsx&amp;sheet=U0&amp;row=50&amp;col=9&amp;number=0.126&amp;sourceID=17","0.126")</f>
        <v>0.126</v>
      </c>
    </row>
    <row r="51" spans="1:9">
      <c r="A51" s="3"/>
      <c r="B51" s="3"/>
      <c r="C51" s="3"/>
      <c r="D51" s="3"/>
      <c r="E51" s="3">
        <v>3</v>
      </c>
      <c r="F51" s="4" t="str">
        <f>HYPERLINK("http://141.218.60.56/~jnz1568/getInfo.php?workbook=01_01.xlsx&amp;sheet=U0&amp;row=51&amp;col=6&amp;number=3.875&amp;sourceID=16","3.875")</f>
        <v>3.875</v>
      </c>
      <c r="G51" s="4" t="str">
        <f>HYPERLINK("http://141.218.60.56/~jnz1568/getInfo.php?workbook=01_01.xlsx&amp;sheet=U0&amp;row=51&amp;col=7&amp;number=0.1267&amp;sourceID=16","0.1267")</f>
        <v>0.1267</v>
      </c>
      <c r="H51" s="4" t="str">
        <f>HYPERLINK("http://141.218.60.56/~jnz1568/getInfo.php?workbook=01_01.xlsx&amp;sheet=U0&amp;row=51&amp;col=8&amp;number=4.542&amp;sourceID=17","4.542")</f>
        <v>4.542</v>
      </c>
      <c r="I51" s="4" t="str">
        <f>HYPERLINK("http://141.218.60.56/~jnz1568/getInfo.php?workbook=01_01.xlsx&amp;sheet=U0&amp;row=51&amp;col=9&amp;number=0.186&amp;sourceID=17","0.186")</f>
        <v>0.186</v>
      </c>
    </row>
    <row r="52" spans="1:9">
      <c r="A52" s="3"/>
      <c r="B52" s="3"/>
      <c r="C52" s="3"/>
      <c r="D52" s="3"/>
      <c r="E52" s="3">
        <v>4</v>
      </c>
      <c r="F52" s="4" t="str">
        <f>HYPERLINK("http://141.218.60.56/~jnz1568/getInfo.php?workbook=01_01.xlsx&amp;sheet=U0&amp;row=52&amp;col=6&amp;number=4&amp;sourceID=16","4")</f>
        <v>4</v>
      </c>
      <c r="G52" s="4" t="str">
        <f>HYPERLINK("http://141.218.60.56/~jnz1568/getInfo.php?workbook=01_01.xlsx&amp;sheet=U0&amp;row=52&amp;col=7&amp;number=0.1349&amp;sourceID=16","0.1349")</f>
        <v>0.1349</v>
      </c>
      <c r="H52" s="4" t="str">
        <f>HYPERLINK("http://141.218.60.56/~jnz1568/getInfo.php?workbook=01_01.xlsx&amp;sheet=U0&amp;row=52&amp;col=8&amp;number=4.764&amp;sourceID=17","4.764")</f>
        <v>4.764</v>
      </c>
      <c r="I52" s="4" t="str">
        <f>HYPERLINK("http://141.218.60.56/~jnz1568/getInfo.php?workbook=01_01.xlsx&amp;sheet=U0&amp;row=52&amp;col=9&amp;number=0.243&amp;sourceID=17","0.243")</f>
        <v>0.243</v>
      </c>
    </row>
    <row r="53" spans="1:9">
      <c r="A53" s="3"/>
      <c r="B53" s="3"/>
      <c r="C53" s="3"/>
      <c r="D53" s="3"/>
      <c r="E53" s="3">
        <v>5</v>
      </c>
      <c r="F53" s="4" t="str">
        <f>HYPERLINK("http://141.218.60.56/~jnz1568/getInfo.php?workbook=01_01.xlsx&amp;sheet=U0&amp;row=53&amp;col=6&amp;number=4.176&amp;sourceID=16","4.176")</f>
        <v>4.176</v>
      </c>
      <c r="G53" s="4" t="str">
        <f>HYPERLINK("http://141.218.60.56/~jnz1568/getInfo.php?workbook=01_01.xlsx&amp;sheet=U0&amp;row=53&amp;col=7&amp;number=0.1589&amp;sourceID=16","0.1589")</f>
        <v>0.1589</v>
      </c>
      <c r="H53" s="4" t="str">
        <f>HYPERLINK("http://141.218.60.56/~jnz1568/getInfo.php?workbook=01_01.xlsx&amp;sheet=U0&amp;row=53&amp;col=8&amp;number=5.064&amp;sourceID=17","5.064")</f>
        <v>5.064</v>
      </c>
      <c r="I53" s="4" t="str">
        <f>HYPERLINK("http://141.218.60.56/~jnz1568/getInfo.php?workbook=01_01.xlsx&amp;sheet=U0&amp;row=53&amp;col=9&amp;number=0.354&amp;sourceID=17","0.354")</f>
        <v>0.354</v>
      </c>
    </row>
    <row r="54" spans="1:9">
      <c r="A54" s="3"/>
      <c r="B54" s="3"/>
      <c r="C54" s="3"/>
      <c r="D54" s="3"/>
      <c r="E54" s="3">
        <v>6</v>
      </c>
      <c r="F54" s="4" t="str">
        <f>HYPERLINK("http://141.218.60.56/~jnz1568/getInfo.php?workbook=01_01.xlsx&amp;sheet=U0&amp;row=54&amp;col=6&amp;number=4.301&amp;sourceID=16","4.301")</f>
        <v>4.301</v>
      </c>
      <c r="G54" s="4" t="str">
        <f>HYPERLINK("http://141.218.60.56/~jnz1568/getInfo.php?workbook=01_01.xlsx&amp;sheet=U0&amp;row=54&amp;col=7&amp;number=0.1886&amp;sourceID=16","0.1886")</f>
        <v>0.1886</v>
      </c>
      <c r="H54" s="4" t="str">
        <f>HYPERLINK("http://141.218.60.56/~jnz1568/getInfo.php?workbook=01_01.xlsx&amp;sheet=U0&amp;row=54&amp;col=8&amp;number=5.241&amp;sourceID=17","5.241")</f>
        <v>5.241</v>
      </c>
      <c r="I54" s="4" t="str">
        <f>HYPERLINK("http://141.218.60.56/~jnz1568/getInfo.php?workbook=01_01.xlsx&amp;sheet=U0&amp;row=54&amp;col=9&amp;number=0.438&amp;sourceID=17","0.438")</f>
        <v>0.438</v>
      </c>
    </row>
    <row r="55" spans="1:9">
      <c r="A55" s="3"/>
      <c r="B55" s="3"/>
      <c r="C55" s="3"/>
      <c r="D55" s="3"/>
      <c r="E55" s="3">
        <v>7</v>
      </c>
      <c r="F55" s="4" t="str">
        <f>HYPERLINK("http://141.218.60.56/~jnz1568/getInfo.php?workbook=01_01.xlsx&amp;sheet=U0&amp;row=55&amp;col=6&amp;number=4.477&amp;sourceID=16","4.477")</f>
        <v>4.477</v>
      </c>
      <c r="G55" s="4" t="str">
        <f>HYPERLINK("http://141.218.60.56/~jnz1568/getInfo.php?workbook=01_01.xlsx&amp;sheet=U0&amp;row=55&amp;col=7&amp;number=0.2522&amp;sourceID=16","0.2522")</f>
        <v>0.2522</v>
      </c>
      <c r="H55" s="4" t="str">
        <f>HYPERLINK("http://141.218.60.56/~jnz1568/getInfo.php?workbook=01_01.xlsx&amp;sheet=U0&amp;row=55&amp;col=8&amp;number=5.366&amp;sourceID=17","5.366")</f>
        <v>5.366</v>
      </c>
      <c r="I55" s="4" t="str">
        <f>HYPERLINK("http://141.218.60.56/~jnz1568/getInfo.php?workbook=01_01.xlsx&amp;sheet=U0&amp;row=55&amp;col=9&amp;number=0.507&amp;sourceID=17","0.507")</f>
        <v>0.507</v>
      </c>
    </row>
    <row r="56" spans="1:9">
      <c r="A56" s="3"/>
      <c r="B56" s="3"/>
      <c r="C56" s="3"/>
      <c r="D56" s="3"/>
      <c r="E56" s="3">
        <v>8</v>
      </c>
      <c r="F56" s="4" t="str">
        <f>HYPERLINK("http://141.218.60.56/~jnz1568/getInfo.php?workbook=01_01.xlsx&amp;sheet=U0&amp;row=56&amp;col=6&amp;number=4.602&amp;sourceID=16","4.602")</f>
        <v>4.602</v>
      </c>
      <c r="G56" s="4" t="str">
        <f>HYPERLINK("http://141.218.60.56/~jnz1568/getInfo.php?workbook=01_01.xlsx&amp;sheet=U0&amp;row=56&amp;col=7&amp;number=0.3129&amp;sourceID=16","0.3129")</f>
        <v>0.3129</v>
      </c>
      <c r="H56" s="4" t="str">
        <f>HYPERLINK("http://141.218.60.56/~jnz1568/getInfo.php?workbook=01_01.xlsx&amp;sheet=U0&amp;row=56&amp;col=8&amp;number=5.463&amp;sourceID=17","5.463")</f>
        <v>5.463</v>
      </c>
      <c r="I56" s="4" t="str">
        <f>HYPERLINK("http://141.218.60.56/~jnz1568/getInfo.php?workbook=01_01.xlsx&amp;sheet=U0&amp;row=56&amp;col=9&amp;number=0.566&amp;sourceID=17","0.566")</f>
        <v>0.566</v>
      </c>
    </row>
    <row r="57" spans="1:9">
      <c r="A57" s="3"/>
      <c r="B57" s="3"/>
      <c r="C57" s="3"/>
      <c r="D57" s="3"/>
      <c r="E57" s="3">
        <v>9</v>
      </c>
      <c r="F57" s="4" t="str">
        <f>HYPERLINK("http://141.218.60.56/~jnz1568/getInfo.php?workbook=01_01.xlsx&amp;sheet=U0&amp;row=57&amp;col=6&amp;number=4.699&amp;sourceID=16","4.699")</f>
        <v>4.699</v>
      </c>
      <c r="G57" s="4" t="str">
        <f>HYPERLINK("http://141.218.60.56/~jnz1568/getInfo.php?workbook=01_01.xlsx&amp;sheet=U0&amp;row=57&amp;col=7&amp;number=0.3675&amp;sourceID=16","0.3675")</f>
        <v>0.3675</v>
      </c>
      <c r="H57" s="4" t="str">
        <f>HYPERLINK("http://141.218.60.56/~jnz1568/getInfo.php?workbook=01_01.xlsx&amp;sheet=U0&amp;row=57&amp;col=8&amp;number=&amp;sourceID=17","")</f>
        <v/>
      </c>
      <c r="I57" s="4" t="str">
        <f>HYPERLINK("http://141.218.60.56/~jnz1568/getInfo.php?workbook=01_01.xlsx&amp;sheet=U0&amp;row=57&amp;col=9&amp;number=&amp;sourceID=17","")</f>
        <v/>
      </c>
    </row>
    <row r="58" spans="1:9">
      <c r="A58" s="3">
        <v>1</v>
      </c>
      <c r="B58" s="3">
        <v>1</v>
      </c>
      <c r="C58" s="3">
        <v>5</v>
      </c>
      <c r="D58" s="3">
        <v>2</v>
      </c>
      <c r="E58" s="3">
        <v>1</v>
      </c>
      <c r="F58" s="4" t="str">
        <f>HYPERLINK("http://141.218.60.56/~jnz1568/getInfo.php?workbook=01_01.xlsx&amp;sheet=U0&amp;row=58&amp;col=6&amp;number==LOG10(2500)&amp;sourceID=16","=LOG10(2500)")</f>
        <v>=LOG10(2500)</v>
      </c>
      <c r="G58" s="4" t="str">
        <f>HYPERLINK("http://141.218.60.56/~jnz1568/getInfo.php?workbook=01_01.xlsx&amp;sheet=U0&amp;row=58&amp;col=7&amp;number=2.08&amp;sourceID=16","2.08")</f>
        <v>2.08</v>
      </c>
      <c r="H58" s="4" t="str">
        <f>HYPERLINK("http://141.218.60.56/~jnz1568/getInfo.php?workbook=01_01.xlsx&amp;sheet=U0&amp;row=58&amp;col=8&amp;number=3.764&amp;sourceID=17","3.764")</f>
        <v>3.764</v>
      </c>
      <c r="I58" s="4" t="str">
        <f>HYPERLINK("http://141.218.60.56/~jnz1568/getInfo.php?workbook=01_01.xlsx&amp;sheet=U0&amp;row=58&amp;col=9&amp;number=2.46&amp;sourceID=17","2.46")</f>
        <v>2.46</v>
      </c>
    </row>
    <row r="59" spans="1:9">
      <c r="A59" s="3"/>
      <c r="B59" s="3"/>
      <c r="C59" s="3"/>
      <c r="D59" s="3"/>
      <c r="E59" s="3">
        <v>2</v>
      </c>
      <c r="F59" s="4" t="str">
        <f>HYPERLINK("http://141.218.60.56/~jnz1568/getInfo.php?workbook=01_01.xlsx&amp;sheet=U0&amp;row=59&amp;col=6&amp;number=3.699&amp;sourceID=16","3.699")</f>
        <v>3.699</v>
      </c>
      <c r="G59" s="4" t="str">
        <f>HYPERLINK("http://141.218.60.56/~jnz1568/getInfo.php?workbook=01_01.xlsx&amp;sheet=U0&amp;row=59&amp;col=7&amp;number=2.471&amp;sourceID=16","2.471")</f>
        <v>2.471</v>
      </c>
      <c r="H59" s="4" t="str">
        <f>HYPERLINK("http://141.218.60.56/~jnz1568/getInfo.php?workbook=01_01.xlsx&amp;sheet=U0&amp;row=59&amp;col=8&amp;number=4.064&amp;sourceID=17","4.064")</f>
        <v>4.064</v>
      </c>
      <c r="I59" s="4" t="str">
        <f>HYPERLINK("http://141.218.60.56/~jnz1568/getInfo.php?workbook=01_01.xlsx&amp;sheet=U0&amp;row=59&amp;col=9&amp;number=3.05&amp;sourceID=17","3.05")</f>
        <v>3.05</v>
      </c>
    </row>
    <row r="60" spans="1:9">
      <c r="A60" s="3"/>
      <c r="B60" s="3"/>
      <c r="C60" s="3"/>
      <c r="D60" s="3"/>
      <c r="E60" s="3">
        <v>3</v>
      </c>
      <c r="F60" s="4" t="str">
        <f>HYPERLINK("http://141.218.60.56/~jnz1568/getInfo.php?workbook=01_01.xlsx&amp;sheet=U0&amp;row=60&amp;col=6&amp;number=3.875&amp;sourceID=16","3.875")</f>
        <v>3.875</v>
      </c>
      <c r="G60" s="4" t="str">
        <f>HYPERLINK("http://141.218.60.56/~jnz1568/getInfo.php?workbook=01_01.xlsx&amp;sheet=U0&amp;row=60&amp;col=7&amp;number=2.738&amp;sourceID=16","2.738")</f>
        <v>2.738</v>
      </c>
      <c r="H60" s="4" t="str">
        <f>HYPERLINK("http://141.218.60.56/~jnz1568/getInfo.php?workbook=01_01.xlsx&amp;sheet=U0&amp;row=60&amp;col=8&amp;number=4.542&amp;sourceID=17","4.542")</f>
        <v>4.542</v>
      </c>
      <c r="I60" s="4" t="str">
        <f>HYPERLINK("http://141.218.60.56/~jnz1568/getInfo.php?workbook=01_01.xlsx&amp;sheet=U0&amp;row=60&amp;col=9&amp;number=5.28&amp;sourceID=17","5.28")</f>
        <v>5.28</v>
      </c>
    </row>
    <row r="61" spans="1:9">
      <c r="A61" s="3"/>
      <c r="B61" s="3"/>
      <c r="C61" s="3"/>
      <c r="D61" s="3"/>
      <c r="E61" s="3">
        <v>4</v>
      </c>
      <c r="F61" s="4" t="str">
        <f>HYPERLINK("http://141.218.60.56/~jnz1568/getInfo.php?workbook=01_01.xlsx&amp;sheet=U0&amp;row=61&amp;col=6&amp;number=4&amp;sourceID=16","4")</f>
        <v>4</v>
      </c>
      <c r="G61" s="4" t="str">
        <f>HYPERLINK("http://141.218.60.56/~jnz1568/getInfo.php?workbook=01_01.xlsx&amp;sheet=U0&amp;row=61&amp;col=7&amp;number=2.964&amp;sourceID=16","2.964")</f>
        <v>2.964</v>
      </c>
      <c r="H61" s="4" t="str">
        <f>HYPERLINK("http://141.218.60.56/~jnz1568/getInfo.php?workbook=01_01.xlsx&amp;sheet=U0&amp;row=61&amp;col=8&amp;number=4.764&amp;sourceID=17","4.764")</f>
        <v>4.764</v>
      </c>
      <c r="I61" s="4" t="str">
        <f>HYPERLINK("http://141.218.60.56/~jnz1568/getInfo.php?workbook=01_01.xlsx&amp;sheet=U0&amp;row=61&amp;col=9&amp;number=7.74&amp;sourceID=17","7.74")</f>
        <v>7.74</v>
      </c>
    </row>
    <row r="62" spans="1:9">
      <c r="A62" s="3"/>
      <c r="B62" s="3"/>
      <c r="C62" s="3"/>
      <c r="D62" s="3"/>
      <c r="E62" s="3">
        <v>5</v>
      </c>
      <c r="F62" s="4" t="str">
        <f>HYPERLINK("http://141.218.60.56/~jnz1568/getInfo.php?workbook=01_01.xlsx&amp;sheet=U0&amp;row=62&amp;col=6&amp;number=4.176&amp;sourceID=16","4.176")</f>
        <v>4.176</v>
      </c>
      <c r="G62" s="4" t="str">
        <f>HYPERLINK("http://141.218.60.56/~jnz1568/getInfo.php?workbook=01_01.xlsx&amp;sheet=U0&amp;row=62&amp;col=7&amp;number=3.409&amp;sourceID=16","3.409")</f>
        <v>3.409</v>
      </c>
      <c r="H62" s="4" t="str">
        <f>HYPERLINK("http://141.218.60.56/~jnz1568/getInfo.php?workbook=01_01.xlsx&amp;sheet=U0&amp;row=62&amp;col=8&amp;number=5.064&amp;sourceID=17","5.064")</f>
        <v>5.064</v>
      </c>
      <c r="I62" s="4" t="str">
        <f>HYPERLINK("http://141.218.60.56/~jnz1568/getInfo.php?workbook=01_01.xlsx&amp;sheet=U0&amp;row=62&amp;col=9&amp;number=13.5&amp;sourceID=17","13.5")</f>
        <v>13.5</v>
      </c>
    </row>
    <row r="63" spans="1:9">
      <c r="A63" s="3"/>
      <c r="B63" s="3"/>
      <c r="C63" s="3"/>
      <c r="D63" s="3"/>
      <c r="E63" s="3">
        <v>6</v>
      </c>
      <c r="F63" s="4" t="str">
        <f>HYPERLINK("http://141.218.60.56/~jnz1568/getInfo.php?workbook=01_01.xlsx&amp;sheet=U0&amp;row=63&amp;col=6&amp;number=4.301&amp;sourceID=16","4.301")</f>
        <v>4.301</v>
      </c>
      <c r="G63" s="4" t="str">
        <f>HYPERLINK("http://141.218.60.56/~jnz1568/getInfo.php?workbook=01_01.xlsx&amp;sheet=U0&amp;row=63&amp;col=7&amp;number=3.891&amp;sourceID=16","3.891")</f>
        <v>3.891</v>
      </c>
      <c r="H63" s="4" t="str">
        <f>HYPERLINK("http://141.218.60.56/~jnz1568/getInfo.php?workbook=01_01.xlsx&amp;sheet=U0&amp;row=63&amp;col=8&amp;number=5.241&amp;sourceID=17","5.241")</f>
        <v>5.241</v>
      </c>
      <c r="I63" s="4" t="str">
        <f>HYPERLINK("http://141.218.60.56/~jnz1568/getInfo.php?workbook=01_01.xlsx&amp;sheet=U0&amp;row=63&amp;col=9&amp;number=18.4&amp;sourceID=17","18.4")</f>
        <v>18.4</v>
      </c>
    </row>
    <row r="64" spans="1:9">
      <c r="A64" s="3"/>
      <c r="B64" s="3"/>
      <c r="C64" s="3"/>
      <c r="D64" s="3"/>
      <c r="E64" s="3">
        <v>7</v>
      </c>
      <c r="F64" s="4" t="str">
        <f>HYPERLINK("http://141.218.60.56/~jnz1568/getInfo.php?workbook=01_01.xlsx&amp;sheet=U0&amp;row=64&amp;col=6&amp;number=4.477&amp;sourceID=16","4.477")</f>
        <v>4.477</v>
      </c>
      <c r="G64" s="4" t="str">
        <f>HYPERLINK("http://141.218.60.56/~jnz1568/getInfo.php?workbook=01_01.xlsx&amp;sheet=U0&amp;row=64&amp;col=7&amp;number=4.987&amp;sourceID=16","4.987")</f>
        <v>4.987</v>
      </c>
      <c r="H64" s="4" t="str">
        <f>HYPERLINK("http://141.218.60.56/~jnz1568/getInfo.php?workbook=01_01.xlsx&amp;sheet=U0&amp;row=64&amp;col=8&amp;number=5.366&amp;sourceID=17","5.366")</f>
        <v>5.366</v>
      </c>
      <c r="I64" s="4" t="str">
        <f>HYPERLINK("http://141.218.60.56/~jnz1568/getInfo.php?workbook=01_01.xlsx&amp;sheet=U0&amp;row=64&amp;col=9&amp;number=22.4&amp;sourceID=17","22.4")</f>
        <v>22.4</v>
      </c>
    </row>
    <row r="65" spans="1:9">
      <c r="A65" s="3"/>
      <c r="B65" s="3"/>
      <c r="C65" s="3"/>
      <c r="D65" s="3"/>
      <c r="E65" s="3">
        <v>8</v>
      </c>
      <c r="F65" s="4" t="str">
        <f>HYPERLINK("http://141.218.60.56/~jnz1568/getInfo.php?workbook=01_01.xlsx&amp;sheet=U0&amp;row=65&amp;col=6&amp;number=4.602&amp;sourceID=16","4.602")</f>
        <v>4.602</v>
      </c>
      <c r="G65" s="4" t="str">
        <f>HYPERLINK("http://141.218.60.56/~jnz1568/getInfo.php?workbook=01_01.xlsx&amp;sheet=U0&amp;row=65&amp;col=7&amp;number=6.19&amp;sourceID=16","6.19")</f>
        <v>6.19</v>
      </c>
      <c r="H65" s="4" t="str">
        <f>HYPERLINK("http://141.218.60.56/~jnz1568/getInfo.php?workbook=01_01.xlsx&amp;sheet=U0&amp;row=65&amp;col=8&amp;number=5.463&amp;sourceID=17","5.463")</f>
        <v>5.463</v>
      </c>
      <c r="I65" s="4" t="str">
        <f>HYPERLINK("http://141.218.60.56/~jnz1568/getInfo.php?workbook=01_01.xlsx&amp;sheet=U0&amp;row=65&amp;col=9&amp;number=25.8&amp;sourceID=17","25.8")</f>
        <v>25.8</v>
      </c>
    </row>
    <row r="66" spans="1:9">
      <c r="A66" s="3"/>
      <c r="B66" s="3"/>
      <c r="C66" s="3"/>
      <c r="D66" s="3"/>
      <c r="E66" s="3">
        <v>9</v>
      </c>
      <c r="F66" s="4" t="str">
        <f>HYPERLINK("http://141.218.60.56/~jnz1568/getInfo.php?workbook=01_01.xlsx&amp;sheet=U0&amp;row=66&amp;col=6&amp;number=4.699&amp;sourceID=16","4.699")</f>
        <v>4.699</v>
      </c>
      <c r="G66" s="4" t="str">
        <f>HYPERLINK("http://141.218.60.56/~jnz1568/getInfo.php?workbook=01_01.xlsx&amp;sheet=U0&amp;row=66&amp;col=7&amp;number=7.425&amp;sourceID=16","7.425")</f>
        <v>7.425</v>
      </c>
      <c r="H66" s="4" t="str">
        <f>HYPERLINK("http://141.218.60.56/~jnz1568/getInfo.php?workbook=01_01.xlsx&amp;sheet=U0&amp;row=66&amp;col=8&amp;number=&amp;sourceID=17","")</f>
        <v/>
      </c>
      <c r="I66" s="4" t="str">
        <f>HYPERLINK("http://141.218.60.56/~jnz1568/getInfo.php?workbook=01_01.xlsx&amp;sheet=U0&amp;row=66&amp;col=9&amp;number=&amp;sourceID=17","")</f>
        <v/>
      </c>
    </row>
    <row r="67" spans="1:9">
      <c r="A67" s="3">
        <v>1</v>
      </c>
      <c r="B67" s="3">
        <v>1</v>
      </c>
      <c r="C67" s="3">
        <v>5</v>
      </c>
      <c r="D67" s="3">
        <v>3</v>
      </c>
      <c r="E67" s="3">
        <v>1</v>
      </c>
      <c r="F67" s="4" t="str">
        <f>HYPERLINK("http://141.218.60.56/~jnz1568/getInfo.php?workbook=01_01.xlsx&amp;sheet=U0&amp;row=67&amp;col=6&amp;number==LOG10(2500)&amp;sourceID=16","=LOG10(2500)")</f>
        <v>=LOG10(2500)</v>
      </c>
      <c r="G67" s="4" t="str">
        <f>HYPERLINK("http://141.218.60.56/~jnz1568/getInfo.php?workbook=01_01.xlsx&amp;sheet=U0&amp;row=67&amp;col=7&amp;number=7.094&amp;sourceID=16","7.094")</f>
        <v>7.094</v>
      </c>
      <c r="H67" s="4" t="str">
        <f>HYPERLINK("http://141.218.60.56/~jnz1568/getInfo.php?workbook=01_01.xlsx&amp;sheet=U0&amp;row=67&amp;col=8&amp;number=3.764&amp;sourceID=17","3.764")</f>
        <v>3.764</v>
      </c>
      <c r="I67" s="4" t="str">
        <f>HYPERLINK("http://141.218.60.56/~jnz1568/getInfo.php?workbook=01_01.xlsx&amp;sheet=U0&amp;row=67&amp;col=9&amp;number=7.26&amp;sourceID=17","7.26")</f>
        <v>7.26</v>
      </c>
    </row>
    <row r="68" spans="1:9">
      <c r="A68" s="3"/>
      <c r="B68" s="3"/>
      <c r="C68" s="3"/>
      <c r="D68" s="3"/>
      <c r="E68" s="3">
        <v>2</v>
      </c>
      <c r="F68" s="4" t="str">
        <f>HYPERLINK("http://141.218.60.56/~jnz1568/getInfo.php?workbook=01_01.xlsx&amp;sheet=U0&amp;row=68&amp;col=6&amp;number=3.699&amp;sourceID=16","3.699")</f>
        <v>3.699</v>
      </c>
      <c r="G68" s="4" t="str">
        <f>HYPERLINK("http://141.218.60.56/~jnz1568/getInfo.php?workbook=01_01.xlsx&amp;sheet=U0&amp;row=68&amp;col=7&amp;number=7.561&amp;sourceID=16","7.561")</f>
        <v>7.561</v>
      </c>
      <c r="H68" s="4" t="str">
        <f>HYPERLINK("http://141.218.60.56/~jnz1568/getInfo.php?workbook=01_01.xlsx&amp;sheet=U0&amp;row=68&amp;col=8&amp;number=4.064&amp;sourceID=17","4.064")</f>
        <v>4.064</v>
      </c>
      <c r="I68" s="4" t="str">
        <f>HYPERLINK("http://141.218.60.56/~jnz1568/getInfo.php?workbook=01_01.xlsx&amp;sheet=U0&amp;row=68&amp;col=9&amp;number=7.92&amp;sourceID=17","7.92")</f>
        <v>7.92</v>
      </c>
    </row>
    <row r="69" spans="1:9">
      <c r="A69" s="3"/>
      <c r="B69" s="3"/>
      <c r="C69" s="3"/>
      <c r="D69" s="3"/>
      <c r="E69" s="3">
        <v>3</v>
      </c>
      <c r="F69" s="4" t="str">
        <f>HYPERLINK("http://141.218.60.56/~jnz1568/getInfo.php?workbook=01_01.xlsx&amp;sheet=U0&amp;row=69&amp;col=6&amp;number=3.875&amp;sourceID=16","3.875")</f>
        <v>3.875</v>
      </c>
      <c r="G69" s="4" t="str">
        <f>HYPERLINK("http://141.218.60.56/~jnz1568/getInfo.php?workbook=01_01.xlsx&amp;sheet=U0&amp;row=69&amp;col=7&amp;number=7.807&amp;sourceID=16","7.807")</f>
        <v>7.807</v>
      </c>
      <c r="H69" s="4" t="str">
        <f>HYPERLINK("http://141.218.60.56/~jnz1568/getInfo.php?workbook=01_01.xlsx&amp;sheet=U0&amp;row=69&amp;col=8&amp;number=4.542&amp;sourceID=17","4.542")</f>
        <v>4.542</v>
      </c>
      <c r="I69" s="4" t="str">
        <f>HYPERLINK("http://141.218.60.56/~jnz1568/getInfo.php?workbook=01_01.xlsx&amp;sheet=U0&amp;row=69&amp;col=9&amp;number=10.7&amp;sourceID=17","10.7")</f>
        <v>10.7</v>
      </c>
    </row>
    <row r="70" spans="1:9">
      <c r="A70" s="3"/>
      <c r="B70" s="3"/>
      <c r="C70" s="3"/>
      <c r="D70" s="3"/>
      <c r="E70" s="3">
        <v>4</v>
      </c>
      <c r="F70" s="4" t="str">
        <f>HYPERLINK("http://141.218.60.56/~jnz1568/getInfo.php?workbook=01_01.xlsx&amp;sheet=U0&amp;row=70&amp;col=6&amp;number=4&amp;sourceID=16","4")</f>
        <v>4</v>
      </c>
      <c r="G70" s="4" t="str">
        <f>HYPERLINK("http://141.218.60.56/~jnz1568/getInfo.php?workbook=01_01.xlsx&amp;sheet=U0&amp;row=70&amp;col=7&amp;number=8.07&amp;sourceID=16","8.07")</f>
        <v>8.07</v>
      </c>
      <c r="H70" s="4" t="str">
        <f>HYPERLINK("http://141.218.60.56/~jnz1568/getInfo.php?workbook=01_01.xlsx&amp;sheet=U0&amp;row=70&amp;col=8&amp;number=4.764&amp;sourceID=17","4.764")</f>
        <v>4.764</v>
      </c>
      <c r="I70" s="4" t="str">
        <f>HYPERLINK("http://141.218.60.56/~jnz1568/getInfo.php?workbook=01_01.xlsx&amp;sheet=U0&amp;row=70&amp;col=9&amp;number=13.3&amp;sourceID=17","13.3")</f>
        <v>13.3</v>
      </c>
    </row>
    <row r="71" spans="1:9">
      <c r="A71" s="3"/>
      <c r="B71" s="3"/>
      <c r="C71" s="3"/>
      <c r="D71" s="3"/>
      <c r="E71" s="3">
        <v>5</v>
      </c>
      <c r="F71" s="4" t="str">
        <f>HYPERLINK("http://141.218.60.56/~jnz1568/getInfo.php?workbook=01_01.xlsx&amp;sheet=U0&amp;row=71&amp;col=6&amp;number=4.176&amp;sourceID=16","4.176")</f>
        <v>4.176</v>
      </c>
      <c r="G71" s="4" t="str">
        <f>HYPERLINK("http://141.218.60.56/~jnz1568/getInfo.php?workbook=01_01.xlsx&amp;sheet=U0&amp;row=71&amp;col=7&amp;number=8.801&amp;sourceID=16","8.801")</f>
        <v>8.801</v>
      </c>
      <c r="H71" s="4" t="str">
        <f>HYPERLINK("http://141.218.60.56/~jnz1568/getInfo.php?workbook=01_01.xlsx&amp;sheet=U0&amp;row=71&amp;col=8&amp;number=5.064&amp;sourceID=17","5.064")</f>
        <v>5.064</v>
      </c>
      <c r="I71" s="4" t="str">
        <f>HYPERLINK("http://141.218.60.56/~jnz1568/getInfo.php?workbook=01_01.xlsx&amp;sheet=U0&amp;row=71&amp;col=9&amp;number=17.7&amp;sourceID=17","17.7")</f>
        <v>17.7</v>
      </c>
    </row>
    <row r="72" spans="1:9">
      <c r="A72" s="3"/>
      <c r="B72" s="3"/>
      <c r="C72" s="3"/>
      <c r="D72" s="3"/>
      <c r="E72" s="3">
        <v>6</v>
      </c>
      <c r="F72" s="4" t="str">
        <f>HYPERLINK("http://141.218.60.56/~jnz1568/getInfo.php?workbook=01_01.xlsx&amp;sheet=U0&amp;row=72&amp;col=6&amp;number=4.301&amp;sourceID=16","4.301")</f>
        <v>4.301</v>
      </c>
      <c r="G72" s="4" t="str">
        <f>HYPERLINK("http://141.218.60.56/~jnz1568/getInfo.php?workbook=01_01.xlsx&amp;sheet=U0&amp;row=72&amp;col=7&amp;number=9.739&amp;sourceID=16","9.739")</f>
        <v>9.739</v>
      </c>
      <c r="H72" s="4" t="str">
        <f>HYPERLINK("http://141.218.60.56/~jnz1568/getInfo.php?workbook=01_01.xlsx&amp;sheet=U0&amp;row=72&amp;col=8&amp;number=5.241&amp;sourceID=17","5.241")</f>
        <v>5.241</v>
      </c>
      <c r="I72" s="4" t="str">
        <f>HYPERLINK("http://141.218.60.56/~jnz1568/getInfo.php?workbook=01_01.xlsx&amp;sheet=U0&amp;row=72&amp;col=9&amp;number=20.4&amp;sourceID=17","20.4")</f>
        <v>20.4</v>
      </c>
    </row>
    <row r="73" spans="1:9">
      <c r="A73" s="3"/>
      <c r="B73" s="3"/>
      <c r="C73" s="3"/>
      <c r="D73" s="3"/>
      <c r="E73" s="3">
        <v>7</v>
      </c>
      <c r="F73" s="4" t="str">
        <f>HYPERLINK("http://141.218.60.56/~jnz1568/getInfo.php?workbook=01_01.xlsx&amp;sheet=U0&amp;row=73&amp;col=6&amp;number=4.477&amp;sourceID=16","4.477")</f>
        <v>4.477</v>
      </c>
      <c r="G73" s="4" t="str">
        <f>HYPERLINK("http://141.218.60.56/~jnz1568/getInfo.php?workbook=01_01.xlsx&amp;sheet=U0&amp;row=73&amp;col=7&amp;number=11.86&amp;sourceID=16","11.86")</f>
        <v>11.86</v>
      </c>
      <c r="H73" s="4" t="str">
        <f>HYPERLINK("http://141.218.60.56/~jnz1568/getInfo.php?workbook=01_01.xlsx&amp;sheet=U0&amp;row=73&amp;col=8&amp;number=5.366&amp;sourceID=17","5.366")</f>
        <v>5.366</v>
      </c>
      <c r="I73" s="4" t="str">
        <f>HYPERLINK("http://141.218.60.56/~jnz1568/getInfo.php?workbook=01_01.xlsx&amp;sheet=U0&amp;row=73&amp;col=9&amp;number=22.3&amp;sourceID=17","22.3")</f>
        <v>22.3</v>
      </c>
    </row>
    <row r="74" spans="1:9">
      <c r="A74" s="3"/>
      <c r="B74" s="3"/>
      <c r="C74" s="3"/>
      <c r="D74" s="3"/>
      <c r="E74" s="3">
        <v>8</v>
      </c>
      <c r="F74" s="4" t="str">
        <f>HYPERLINK("http://141.218.60.56/~jnz1568/getInfo.php?workbook=01_01.xlsx&amp;sheet=U0&amp;row=74&amp;col=6&amp;number=4.602&amp;sourceID=16","4.602")</f>
        <v>4.602</v>
      </c>
      <c r="G74" s="4" t="str">
        <f>HYPERLINK("http://141.218.60.56/~jnz1568/getInfo.php?workbook=01_01.xlsx&amp;sheet=U0&amp;row=74&amp;col=7&amp;number=13.95&amp;sourceID=16","13.95")</f>
        <v>13.95</v>
      </c>
      <c r="H74" s="4" t="str">
        <f>HYPERLINK("http://141.218.60.56/~jnz1568/getInfo.php?workbook=01_01.xlsx&amp;sheet=U0&amp;row=74&amp;col=8&amp;number=5.463&amp;sourceID=17","5.463")</f>
        <v>5.463</v>
      </c>
      <c r="I74" s="4" t="str">
        <f>HYPERLINK("http://141.218.60.56/~jnz1568/getInfo.php?workbook=01_01.xlsx&amp;sheet=U0&amp;row=74&amp;col=9&amp;number=23.7&amp;sourceID=17","23.7")</f>
        <v>23.7</v>
      </c>
    </row>
    <row r="75" spans="1:9">
      <c r="A75" s="3"/>
      <c r="B75" s="3"/>
      <c r="C75" s="3"/>
      <c r="D75" s="3"/>
      <c r="E75" s="3">
        <v>9</v>
      </c>
      <c r="F75" s="4" t="str">
        <f>HYPERLINK("http://141.218.60.56/~jnz1568/getInfo.php?workbook=01_01.xlsx&amp;sheet=U0&amp;row=75&amp;col=6&amp;number=4.699&amp;sourceID=16","4.699")</f>
        <v>4.699</v>
      </c>
      <c r="G75" s="4" t="str">
        <f>HYPERLINK("http://141.218.60.56/~jnz1568/getInfo.php?workbook=01_01.xlsx&amp;sheet=U0&amp;row=75&amp;col=7&amp;number=15.87&amp;sourceID=16","15.87")</f>
        <v>15.87</v>
      </c>
      <c r="H75" s="4" t="str">
        <f>HYPERLINK("http://141.218.60.56/~jnz1568/getInfo.php?workbook=01_01.xlsx&amp;sheet=U0&amp;row=75&amp;col=8&amp;number=&amp;sourceID=17","")</f>
        <v/>
      </c>
      <c r="I75" s="4" t="str">
        <f>HYPERLINK("http://141.218.60.56/~jnz1568/getInfo.php?workbook=01_01.xlsx&amp;sheet=U0&amp;row=75&amp;col=9&amp;number=&amp;sourceID=17","")</f>
        <v/>
      </c>
    </row>
    <row r="76" spans="1:9">
      <c r="A76" s="3">
        <v>1</v>
      </c>
      <c r="B76" s="3">
        <v>1</v>
      </c>
      <c r="C76" s="3">
        <v>6</v>
      </c>
      <c r="D76" s="3">
        <v>1</v>
      </c>
      <c r="E76" s="3">
        <v>1</v>
      </c>
      <c r="F76" s="4" t="str">
        <f>HYPERLINK("http://141.218.60.56/~jnz1568/getInfo.php?workbook=01_01.xlsx&amp;sheet=U0&amp;row=76&amp;col=6&amp;number==LOG10(2500)&amp;sourceID=16","=LOG10(2500)")</f>
        <v>=LOG10(2500)</v>
      </c>
      <c r="G76" s="4" t="str">
        <f>HYPERLINK("http://141.218.60.56/~jnz1568/getInfo.php?workbook=01_01.xlsx&amp;sheet=U0&amp;row=76&amp;col=7&amp;number=0.0583&amp;sourceID=16","0.0583")</f>
        <v>0.0583</v>
      </c>
      <c r="H76" s="4" t="str">
        <f>HYPERLINK("http://141.218.60.56/~jnz1568/getInfo.php?workbook=01_01.xlsx&amp;sheet=U0&amp;row=76&amp;col=8&amp;number=3.764&amp;sourceID=17","3.764")</f>
        <v>3.764</v>
      </c>
      <c r="I76" s="4" t="str">
        <f>HYPERLINK("http://141.218.60.56/~jnz1568/getInfo.php?workbook=01_01.xlsx&amp;sheet=U0&amp;row=76&amp;col=9&amp;number=0.0621&amp;sourceID=17","0.0621")</f>
        <v>0.0621</v>
      </c>
    </row>
    <row r="77" spans="1:9">
      <c r="A77" s="3"/>
      <c r="B77" s="3"/>
      <c r="C77" s="3"/>
      <c r="D77" s="3"/>
      <c r="E77" s="3">
        <v>2</v>
      </c>
      <c r="F77" s="4" t="str">
        <f>HYPERLINK("http://141.218.60.56/~jnz1568/getInfo.php?workbook=01_01.xlsx&amp;sheet=U0&amp;row=77&amp;col=6&amp;number=3.699&amp;sourceID=16","3.699")</f>
        <v>3.699</v>
      </c>
      <c r="G77" s="4" t="str">
        <f>HYPERLINK("http://141.218.60.56/~jnz1568/getInfo.php?workbook=01_01.xlsx&amp;sheet=U0&amp;row=77&amp;col=7&amp;number=0.06382&amp;sourceID=16","0.06382")</f>
        <v>0.06382</v>
      </c>
      <c r="H77" s="4" t="str">
        <f>HYPERLINK("http://141.218.60.56/~jnz1568/getInfo.php?workbook=01_01.xlsx&amp;sheet=U0&amp;row=77&amp;col=8&amp;number=4.064&amp;sourceID=17","4.064")</f>
        <v>4.064</v>
      </c>
      <c r="I77" s="4" t="str">
        <f>HYPERLINK("http://141.218.60.56/~jnz1568/getInfo.php?workbook=01_01.xlsx&amp;sheet=U0&amp;row=77&amp;col=9&amp;number=0.0658&amp;sourceID=17","0.0658")</f>
        <v>0.0658</v>
      </c>
    </row>
    <row r="78" spans="1:9">
      <c r="A78" s="3"/>
      <c r="B78" s="3"/>
      <c r="C78" s="3"/>
      <c r="D78" s="3"/>
      <c r="E78" s="3">
        <v>3</v>
      </c>
      <c r="F78" s="4" t="str">
        <f>HYPERLINK("http://141.218.60.56/~jnz1568/getInfo.php?workbook=01_01.xlsx&amp;sheet=U0&amp;row=78&amp;col=6&amp;number=3.875&amp;sourceID=16","3.875")</f>
        <v>3.875</v>
      </c>
      <c r="G78" s="4" t="str">
        <f>HYPERLINK("http://141.218.60.56/~jnz1568/getInfo.php?workbook=01_01.xlsx&amp;sheet=U0&amp;row=78&amp;col=7&amp;number=0.06648&amp;sourceID=16","0.06648")</f>
        <v>0.06648</v>
      </c>
      <c r="H78" s="4" t="str">
        <f>HYPERLINK("http://141.218.60.56/~jnz1568/getInfo.php?workbook=01_01.xlsx&amp;sheet=U0&amp;row=78&amp;col=8&amp;number=4.542&amp;sourceID=17","4.542")</f>
        <v>4.542</v>
      </c>
      <c r="I78" s="4" t="str">
        <f>HYPERLINK("http://141.218.60.56/~jnz1568/getInfo.php?workbook=01_01.xlsx&amp;sheet=U0&amp;row=78&amp;col=9&amp;number=0.0782&amp;sourceID=17","0.0782")</f>
        <v>0.0782</v>
      </c>
    </row>
    <row r="79" spans="1:9">
      <c r="A79" s="3"/>
      <c r="B79" s="3"/>
      <c r="C79" s="3"/>
      <c r="D79" s="3"/>
      <c r="E79" s="3">
        <v>4</v>
      </c>
      <c r="F79" s="4" t="str">
        <f>HYPERLINK("http://141.218.60.56/~jnz1568/getInfo.php?workbook=01_01.xlsx&amp;sheet=U0&amp;row=79&amp;col=6&amp;number=4&amp;sourceID=16","4")</f>
        <v>4</v>
      </c>
      <c r="G79" s="4" t="str">
        <f>HYPERLINK("http://141.218.60.56/~jnz1568/getInfo.php?workbook=01_01.xlsx&amp;sheet=U0&amp;row=79&amp;col=7&amp;number=0.06906&amp;sourceID=16","0.06906")</f>
        <v>0.06906</v>
      </c>
      <c r="H79" s="4" t="str">
        <f>HYPERLINK("http://141.218.60.56/~jnz1568/getInfo.php?workbook=01_01.xlsx&amp;sheet=U0&amp;row=79&amp;col=8&amp;number=4.764&amp;sourceID=17","4.764")</f>
        <v>4.764</v>
      </c>
      <c r="I79" s="4" t="str">
        <f>HYPERLINK("http://141.218.60.56/~jnz1568/getInfo.php?workbook=01_01.xlsx&amp;sheet=U0&amp;row=79&amp;col=9&amp;number=0.0897&amp;sourceID=17","0.0897")</f>
        <v>0.0897</v>
      </c>
    </row>
    <row r="80" spans="1:9">
      <c r="A80" s="3"/>
      <c r="B80" s="3"/>
      <c r="C80" s="3"/>
      <c r="D80" s="3"/>
      <c r="E80" s="3">
        <v>5</v>
      </c>
      <c r="F80" s="4" t="str">
        <f>HYPERLINK("http://141.218.60.56/~jnz1568/getInfo.php?workbook=01_01.xlsx&amp;sheet=U0&amp;row=80&amp;col=6&amp;number=4.176&amp;sourceID=16","4.176")</f>
        <v>4.176</v>
      </c>
      <c r="G80" s="4" t="str">
        <f>HYPERLINK("http://141.218.60.56/~jnz1568/getInfo.php?workbook=01_01.xlsx&amp;sheet=U0&amp;row=80&amp;col=7&amp;number=0.0749&amp;sourceID=16","0.0749")</f>
        <v>0.0749</v>
      </c>
      <c r="H80" s="4" t="str">
        <f>HYPERLINK("http://141.218.60.56/~jnz1568/getInfo.php?workbook=01_01.xlsx&amp;sheet=U0&amp;row=80&amp;col=8&amp;number=5.064&amp;sourceID=17","5.064")</f>
        <v>5.064</v>
      </c>
      <c r="I80" s="4" t="str">
        <f>HYPERLINK("http://141.218.60.56/~jnz1568/getInfo.php?workbook=01_01.xlsx&amp;sheet=U0&amp;row=80&amp;col=9&amp;number=0.109&amp;sourceID=17","0.109")</f>
        <v>0.109</v>
      </c>
    </row>
    <row r="81" spans="1:9">
      <c r="A81" s="3"/>
      <c r="B81" s="3"/>
      <c r="C81" s="3"/>
      <c r="D81" s="3"/>
      <c r="E81" s="3">
        <v>6</v>
      </c>
      <c r="F81" s="4" t="str">
        <f>HYPERLINK("http://141.218.60.56/~jnz1568/getInfo.php?workbook=01_01.xlsx&amp;sheet=U0&amp;row=81&amp;col=6&amp;number=4.301&amp;sourceID=16","4.301")</f>
        <v>4.301</v>
      </c>
      <c r="G81" s="4" t="str">
        <f>HYPERLINK("http://141.218.60.56/~jnz1568/getInfo.php?workbook=01_01.xlsx&amp;sheet=U0&amp;row=81&amp;col=7&amp;number=0.08079&amp;sourceID=16","0.08079")</f>
        <v>0.08079</v>
      </c>
      <c r="H81" s="4" t="str">
        <f>HYPERLINK("http://141.218.60.56/~jnz1568/getInfo.php?workbook=01_01.xlsx&amp;sheet=U0&amp;row=81&amp;col=8&amp;number=5.241&amp;sourceID=17","5.241")</f>
        <v>5.241</v>
      </c>
      <c r="I81" s="4" t="str">
        <f>HYPERLINK("http://141.218.60.56/~jnz1568/getInfo.php?workbook=01_01.xlsx&amp;sheet=U0&amp;row=81&amp;col=9&amp;number=0.12&amp;sourceID=17","0.12")</f>
        <v>0.12</v>
      </c>
    </row>
    <row r="82" spans="1:9">
      <c r="A82" s="3"/>
      <c r="B82" s="3"/>
      <c r="C82" s="3"/>
      <c r="D82" s="3"/>
      <c r="E82" s="3">
        <v>7</v>
      </c>
      <c r="F82" s="4" t="str">
        <f>HYPERLINK("http://141.218.60.56/~jnz1568/getInfo.php?workbook=01_01.xlsx&amp;sheet=U0&amp;row=82&amp;col=6&amp;number=4.477&amp;sourceID=16","4.477")</f>
        <v>4.477</v>
      </c>
      <c r="G82" s="4" t="str">
        <f>HYPERLINK("http://141.218.60.56/~jnz1568/getInfo.php?workbook=01_01.xlsx&amp;sheet=U0&amp;row=82&amp;col=7&amp;number=0.09089&amp;sourceID=16","0.09089")</f>
        <v>0.09089</v>
      </c>
      <c r="H82" s="4" t="str">
        <f>HYPERLINK("http://141.218.60.56/~jnz1568/getInfo.php?workbook=01_01.xlsx&amp;sheet=U0&amp;row=82&amp;col=8&amp;number=5.366&amp;sourceID=17","5.366")</f>
        <v>5.366</v>
      </c>
      <c r="I82" s="4" t="str">
        <f>HYPERLINK("http://141.218.60.56/~jnz1568/getInfo.php?workbook=01_01.xlsx&amp;sheet=U0&amp;row=82&amp;col=9&amp;number=0.126&amp;sourceID=17","0.126")</f>
        <v>0.126</v>
      </c>
    </row>
    <row r="83" spans="1:9">
      <c r="A83" s="3"/>
      <c r="B83" s="3"/>
      <c r="C83" s="3"/>
      <c r="D83" s="3"/>
      <c r="E83" s="3">
        <v>8</v>
      </c>
      <c r="F83" s="4" t="str">
        <f>HYPERLINK("http://141.218.60.56/~jnz1568/getInfo.php?workbook=01_01.xlsx&amp;sheet=U0&amp;row=83&amp;col=6&amp;number=4.602&amp;sourceID=16","4.602")</f>
        <v>4.602</v>
      </c>
      <c r="G83" s="4" t="str">
        <f>HYPERLINK("http://141.218.60.56/~jnz1568/getInfo.php?workbook=01_01.xlsx&amp;sheet=U0&amp;row=83&amp;col=7&amp;number=0.09858&amp;sourceID=16","0.09858")</f>
        <v>0.09858</v>
      </c>
      <c r="H83" s="4" t="str">
        <f>HYPERLINK("http://141.218.60.56/~jnz1568/getInfo.php?workbook=01_01.xlsx&amp;sheet=U0&amp;row=83&amp;col=8&amp;number=5.463&amp;sourceID=17","5.463")</f>
        <v>5.463</v>
      </c>
      <c r="I83" s="4" t="str">
        <f>HYPERLINK("http://141.218.60.56/~jnz1568/getInfo.php?workbook=01_01.xlsx&amp;sheet=U0&amp;row=83&amp;col=9&amp;number=0.13&amp;sourceID=17","0.13")</f>
        <v>0.13</v>
      </c>
    </row>
    <row r="84" spans="1:9">
      <c r="A84" s="3"/>
      <c r="B84" s="3"/>
      <c r="C84" s="3"/>
      <c r="D84" s="3"/>
      <c r="E84" s="3">
        <v>9</v>
      </c>
      <c r="F84" s="4" t="str">
        <f>HYPERLINK("http://141.218.60.56/~jnz1568/getInfo.php?workbook=01_01.xlsx&amp;sheet=U0&amp;row=84&amp;col=6&amp;number=4.699&amp;sourceID=16","4.699")</f>
        <v>4.699</v>
      </c>
      <c r="G84" s="4" t="str">
        <f>HYPERLINK("http://141.218.60.56/~jnz1568/getInfo.php?workbook=01_01.xlsx&amp;sheet=U0&amp;row=84&amp;col=7&amp;number=0.1043&amp;sourceID=16","0.1043")</f>
        <v>0.1043</v>
      </c>
      <c r="H84" s="4" t="str">
        <f>HYPERLINK("http://141.218.60.56/~jnz1568/getInfo.php?workbook=01_01.xlsx&amp;sheet=U0&amp;row=84&amp;col=8&amp;number=&amp;sourceID=17","")</f>
        <v/>
      </c>
      <c r="I84" s="4" t="str">
        <f>HYPERLINK("http://141.218.60.56/~jnz1568/getInfo.php?workbook=01_01.xlsx&amp;sheet=U0&amp;row=84&amp;col=9&amp;number=&amp;sourceID=17","")</f>
        <v/>
      </c>
    </row>
    <row r="85" spans="1:9">
      <c r="A85" s="3">
        <v>1</v>
      </c>
      <c r="B85" s="3">
        <v>1</v>
      </c>
      <c r="C85" s="3">
        <v>6</v>
      </c>
      <c r="D85" s="3">
        <v>2</v>
      </c>
      <c r="E85" s="3">
        <v>1</v>
      </c>
      <c r="F85" s="4" t="str">
        <f>HYPERLINK("http://141.218.60.56/~jnz1568/getInfo.php?workbook=01_01.xlsx&amp;sheet=U0&amp;row=85&amp;col=6&amp;number==LOG10(2500)&amp;sourceID=16","=LOG10(2500)")</f>
        <v>=LOG10(2500)</v>
      </c>
      <c r="G85" s="4" t="str">
        <f>HYPERLINK("http://141.218.60.56/~jnz1568/getInfo.php?workbook=01_01.xlsx&amp;sheet=U0&amp;row=85&amp;col=7&amp;number=1.567&amp;sourceID=16","1.567")</f>
        <v>1.567</v>
      </c>
      <c r="H85" s="4" t="str">
        <f>HYPERLINK("http://141.218.60.56/~jnz1568/getInfo.php?workbook=01_01.xlsx&amp;sheet=U0&amp;row=85&amp;col=8&amp;number=3.764&amp;sourceID=17","3.764")</f>
        <v>3.764</v>
      </c>
      <c r="I85" s="4" t="str">
        <f>HYPERLINK("http://141.218.60.56/~jnz1568/getInfo.php?workbook=01_01.xlsx&amp;sheet=U0&amp;row=85&amp;col=9&amp;number=2.09&amp;sourceID=17","2.09")</f>
        <v>2.09</v>
      </c>
    </row>
    <row r="86" spans="1:9">
      <c r="A86" s="3"/>
      <c r="B86" s="3"/>
      <c r="C86" s="3"/>
      <c r="D86" s="3"/>
      <c r="E86" s="3">
        <v>2</v>
      </c>
      <c r="F86" s="4" t="str">
        <f>HYPERLINK("http://141.218.60.56/~jnz1568/getInfo.php?workbook=01_01.xlsx&amp;sheet=U0&amp;row=86&amp;col=6&amp;number=3.699&amp;sourceID=16","3.699")</f>
        <v>3.699</v>
      </c>
      <c r="G86" s="4" t="str">
        <f>HYPERLINK("http://141.218.60.56/~jnz1568/getInfo.php?workbook=01_01.xlsx&amp;sheet=U0&amp;row=86&amp;col=7&amp;number=2.007&amp;sourceID=16","2.007")</f>
        <v>2.007</v>
      </c>
      <c r="H86" s="4" t="str">
        <f>HYPERLINK("http://141.218.60.56/~jnz1568/getInfo.php?workbook=01_01.xlsx&amp;sheet=U0&amp;row=86&amp;col=8&amp;number=4.064&amp;sourceID=17","4.064")</f>
        <v>4.064</v>
      </c>
      <c r="I86" s="4" t="str">
        <f>HYPERLINK("http://141.218.60.56/~jnz1568/getInfo.php?workbook=01_01.xlsx&amp;sheet=U0&amp;row=86&amp;col=9&amp;number=3.08&amp;sourceID=17","3.08")</f>
        <v>3.08</v>
      </c>
    </row>
    <row r="87" spans="1:9">
      <c r="A87" s="3"/>
      <c r="B87" s="3"/>
      <c r="C87" s="3"/>
      <c r="D87" s="3"/>
      <c r="E87" s="3">
        <v>3</v>
      </c>
      <c r="F87" s="4" t="str">
        <f>HYPERLINK("http://141.218.60.56/~jnz1568/getInfo.php?workbook=01_01.xlsx&amp;sheet=U0&amp;row=87&amp;col=6&amp;number=3.875&amp;sourceID=16","3.875")</f>
        <v>3.875</v>
      </c>
      <c r="G87" s="4" t="str">
        <f>HYPERLINK("http://141.218.60.56/~jnz1568/getInfo.php?workbook=01_01.xlsx&amp;sheet=U0&amp;row=87&amp;col=7&amp;number=2.444&amp;sourceID=16","2.444")</f>
        <v>2.444</v>
      </c>
      <c r="H87" s="4" t="str">
        <f>HYPERLINK("http://141.218.60.56/~jnz1568/getInfo.php?workbook=01_01.xlsx&amp;sheet=U0&amp;row=87&amp;col=8&amp;number=4.542&amp;sourceID=17","4.542")</f>
        <v>4.542</v>
      </c>
      <c r="I87" s="4" t="str">
        <f>HYPERLINK("http://141.218.60.56/~jnz1568/getInfo.php?workbook=01_01.xlsx&amp;sheet=U0&amp;row=87&amp;col=9&amp;number=6.56&amp;sourceID=17","6.56")</f>
        <v>6.56</v>
      </c>
    </row>
    <row r="88" spans="1:9">
      <c r="A88" s="3"/>
      <c r="B88" s="3"/>
      <c r="C88" s="3"/>
      <c r="D88" s="3"/>
      <c r="E88" s="3">
        <v>4</v>
      </c>
      <c r="F88" s="4" t="str">
        <f>HYPERLINK("http://141.218.60.56/~jnz1568/getInfo.php?workbook=01_01.xlsx&amp;sheet=U0&amp;row=88&amp;col=6&amp;number=4&amp;sourceID=16","4")</f>
        <v>4</v>
      </c>
      <c r="G88" s="4" t="str">
        <f>HYPERLINK("http://141.218.60.56/~jnz1568/getInfo.php?workbook=01_01.xlsx&amp;sheet=U0&amp;row=88&amp;col=7&amp;number=2.892&amp;sourceID=16","2.892")</f>
        <v>2.892</v>
      </c>
      <c r="H88" s="4" t="str">
        <f>HYPERLINK("http://141.218.60.56/~jnz1568/getInfo.php?workbook=01_01.xlsx&amp;sheet=U0&amp;row=88&amp;col=8&amp;number=4.764&amp;sourceID=17","4.764")</f>
        <v>4.764</v>
      </c>
      <c r="I88" s="4" t="str">
        <f>HYPERLINK("http://141.218.60.56/~jnz1568/getInfo.php?workbook=01_01.xlsx&amp;sheet=U0&amp;row=88&amp;col=9&amp;number=9.38&amp;sourceID=17","9.38")</f>
        <v>9.38</v>
      </c>
    </row>
    <row r="89" spans="1:9">
      <c r="A89" s="3"/>
      <c r="B89" s="3"/>
      <c r="C89" s="3"/>
      <c r="D89" s="3"/>
      <c r="E89" s="3">
        <v>5</v>
      </c>
      <c r="F89" s="4" t="str">
        <f>HYPERLINK("http://141.218.60.56/~jnz1568/getInfo.php?workbook=01_01.xlsx&amp;sheet=U0&amp;row=89&amp;col=6&amp;number=4.176&amp;sourceID=16","4.176")</f>
        <v>4.176</v>
      </c>
      <c r="G89" s="4" t="str">
        <f>HYPERLINK("http://141.218.60.56/~jnz1568/getInfo.php?workbook=01_01.xlsx&amp;sheet=U0&amp;row=89&amp;col=7&amp;number=3.845&amp;sourceID=16","3.845")</f>
        <v>3.845</v>
      </c>
      <c r="H89" s="4" t="str">
        <f>HYPERLINK("http://141.218.60.56/~jnz1568/getInfo.php?workbook=01_01.xlsx&amp;sheet=U0&amp;row=89&amp;col=8&amp;number=5.064&amp;sourceID=17","5.064")</f>
        <v>5.064</v>
      </c>
      <c r="I89" s="4" t="str">
        <f>HYPERLINK("http://141.218.60.56/~jnz1568/getInfo.php?workbook=01_01.xlsx&amp;sheet=U0&amp;row=89&amp;col=9&amp;number=14.2&amp;sourceID=17","14.2")</f>
        <v>14.2</v>
      </c>
    </row>
    <row r="90" spans="1:9">
      <c r="A90" s="3"/>
      <c r="B90" s="3"/>
      <c r="C90" s="3"/>
      <c r="D90" s="3"/>
      <c r="E90" s="3">
        <v>6</v>
      </c>
      <c r="F90" s="4" t="str">
        <f>HYPERLINK("http://141.218.60.56/~jnz1568/getInfo.php?workbook=01_01.xlsx&amp;sheet=U0&amp;row=90&amp;col=6&amp;number=4.301&amp;sourceID=16","4.301")</f>
        <v>4.301</v>
      </c>
      <c r="G90" s="4" t="str">
        <f>HYPERLINK("http://141.218.60.56/~jnz1568/getInfo.php?workbook=01_01.xlsx&amp;sheet=U0&amp;row=90&amp;col=7&amp;number=4.846&amp;sourceID=16","4.846")</f>
        <v>4.846</v>
      </c>
      <c r="H90" s="4" t="str">
        <f>HYPERLINK("http://141.218.60.56/~jnz1568/getInfo.php?workbook=01_01.xlsx&amp;sheet=U0&amp;row=90&amp;col=8&amp;number=5.241&amp;sourceID=17","5.241")</f>
        <v>5.241</v>
      </c>
      <c r="I90" s="4" t="str">
        <f>HYPERLINK("http://141.218.60.56/~jnz1568/getInfo.php?workbook=01_01.xlsx&amp;sheet=U0&amp;row=90&amp;col=9&amp;number=17.2&amp;sourceID=17","17.2")</f>
        <v>17.2</v>
      </c>
    </row>
    <row r="91" spans="1:9">
      <c r="A91" s="3"/>
      <c r="B91" s="3"/>
      <c r="C91" s="3"/>
      <c r="D91" s="3"/>
      <c r="E91" s="3">
        <v>7</v>
      </c>
      <c r="F91" s="4" t="str">
        <f>HYPERLINK("http://141.218.60.56/~jnz1568/getInfo.php?workbook=01_01.xlsx&amp;sheet=U0&amp;row=91&amp;col=6&amp;number=4.477&amp;sourceID=16","4.477")</f>
        <v>4.477</v>
      </c>
      <c r="G91" s="4" t="str">
        <f>HYPERLINK("http://141.218.60.56/~jnz1568/getInfo.php?workbook=01_01.xlsx&amp;sheet=U0&amp;row=91&amp;col=7&amp;number=6.859&amp;sourceID=16","6.859")</f>
        <v>6.859</v>
      </c>
      <c r="H91" s="4" t="str">
        <f>HYPERLINK("http://141.218.60.56/~jnz1568/getInfo.php?workbook=01_01.xlsx&amp;sheet=U0&amp;row=91&amp;col=8&amp;number=5.366&amp;sourceID=17","5.366")</f>
        <v>5.366</v>
      </c>
      <c r="I91" s="4" t="str">
        <f>HYPERLINK("http://141.218.60.56/~jnz1568/getInfo.php?workbook=01_01.xlsx&amp;sheet=U0&amp;row=91&amp;col=9&amp;number=19.3&amp;sourceID=17","19.3")</f>
        <v>19.3</v>
      </c>
    </row>
    <row r="92" spans="1:9">
      <c r="A92" s="3"/>
      <c r="B92" s="3"/>
      <c r="C92" s="3"/>
      <c r="D92" s="3"/>
      <c r="E92" s="3">
        <v>8</v>
      </c>
      <c r="F92" s="4" t="str">
        <f>HYPERLINK("http://141.218.60.56/~jnz1568/getInfo.php?workbook=01_01.xlsx&amp;sheet=U0&amp;row=92&amp;col=6&amp;number=4.602&amp;sourceID=16","4.602")</f>
        <v>4.602</v>
      </c>
      <c r="G92" s="4" t="str">
        <f>HYPERLINK("http://141.218.60.56/~jnz1568/getInfo.php?workbook=01_01.xlsx&amp;sheet=U0&amp;row=92&amp;col=7&amp;number=8.749&amp;sourceID=16","8.749")</f>
        <v>8.749</v>
      </c>
      <c r="H92" s="4" t="str">
        <f>HYPERLINK("http://141.218.60.56/~jnz1568/getInfo.php?workbook=01_01.xlsx&amp;sheet=U0&amp;row=92&amp;col=8&amp;number=5.463&amp;sourceID=17","5.463")</f>
        <v>5.463</v>
      </c>
      <c r="I92" s="4" t="str">
        <f>HYPERLINK("http://141.218.60.56/~jnz1568/getInfo.php?workbook=01_01.xlsx&amp;sheet=U0&amp;row=92&amp;col=9&amp;number=20.8&amp;sourceID=17","20.8")</f>
        <v>20.8</v>
      </c>
    </row>
    <row r="93" spans="1:9">
      <c r="A93" s="3"/>
      <c r="B93" s="3"/>
      <c r="C93" s="3"/>
      <c r="D93" s="3"/>
      <c r="E93" s="3">
        <v>9</v>
      </c>
      <c r="F93" s="4" t="str">
        <f>HYPERLINK("http://141.218.60.56/~jnz1568/getInfo.php?workbook=01_01.xlsx&amp;sheet=U0&amp;row=93&amp;col=6&amp;number=4.699&amp;sourceID=16","4.699")</f>
        <v>4.699</v>
      </c>
      <c r="G93" s="4" t="str">
        <f>HYPERLINK("http://141.218.60.56/~jnz1568/getInfo.php?workbook=01_01.xlsx&amp;sheet=U0&amp;row=93&amp;col=7&amp;number=10.45&amp;sourceID=16","10.45")</f>
        <v>10.45</v>
      </c>
      <c r="H93" s="4" t="str">
        <f>HYPERLINK("http://141.218.60.56/~jnz1568/getInfo.php?workbook=01_01.xlsx&amp;sheet=U0&amp;row=93&amp;col=8&amp;number=&amp;sourceID=17","")</f>
        <v/>
      </c>
      <c r="I93" s="4" t="str">
        <f>HYPERLINK("http://141.218.60.56/~jnz1568/getInfo.php?workbook=01_01.xlsx&amp;sheet=U0&amp;row=93&amp;col=9&amp;number=&amp;sourceID=17","")</f>
        <v/>
      </c>
    </row>
    <row r="94" spans="1:9">
      <c r="A94" s="3">
        <v>1</v>
      </c>
      <c r="B94" s="3">
        <v>1</v>
      </c>
      <c r="C94" s="3">
        <v>6</v>
      </c>
      <c r="D94" s="3">
        <v>3</v>
      </c>
      <c r="E94" s="3">
        <v>1</v>
      </c>
      <c r="F94" s="4" t="str">
        <f>HYPERLINK("http://141.218.60.56/~jnz1568/getInfo.php?workbook=01_01.xlsx&amp;sheet=U0&amp;row=94&amp;col=6&amp;number==LOG10(2500)&amp;sourceID=16","=LOG10(2500)")</f>
        <v>=LOG10(2500)</v>
      </c>
      <c r="G94" s="4" t="str">
        <f>HYPERLINK("http://141.218.60.56/~jnz1568/getInfo.php?workbook=01_01.xlsx&amp;sheet=U0&amp;row=94&amp;col=7&amp;number=10.69&amp;sourceID=16","10.69")</f>
        <v>10.69</v>
      </c>
      <c r="H94" s="4" t="str">
        <f>HYPERLINK("http://141.218.60.56/~jnz1568/getInfo.php?workbook=01_01.xlsx&amp;sheet=U0&amp;row=94&amp;col=8&amp;number=3.764&amp;sourceID=17","3.764")</f>
        <v>3.764</v>
      </c>
      <c r="I94" s="4" t="str">
        <f>HYPERLINK("http://141.218.60.56/~jnz1568/getInfo.php?workbook=01_01.xlsx&amp;sheet=U0&amp;row=94&amp;col=9&amp;number=13.2&amp;sourceID=17","13.2")</f>
        <v>13.2</v>
      </c>
    </row>
    <row r="95" spans="1:9">
      <c r="A95" s="3"/>
      <c r="B95" s="3"/>
      <c r="C95" s="3"/>
      <c r="D95" s="3"/>
      <c r="E95" s="3">
        <v>2</v>
      </c>
      <c r="F95" s="4" t="str">
        <f>HYPERLINK("http://141.218.60.56/~jnz1568/getInfo.php?workbook=01_01.xlsx&amp;sheet=U0&amp;row=95&amp;col=6&amp;number=3.699&amp;sourceID=16","3.699")</f>
        <v>3.699</v>
      </c>
      <c r="G95" s="4" t="str">
        <f>HYPERLINK("http://141.218.60.56/~jnz1568/getInfo.php?workbook=01_01.xlsx&amp;sheet=U0&amp;row=95&amp;col=7&amp;number=12.97&amp;sourceID=16","12.97")</f>
        <v>12.97</v>
      </c>
      <c r="H95" s="4" t="str">
        <f>HYPERLINK("http://141.218.60.56/~jnz1568/getInfo.php?workbook=01_01.xlsx&amp;sheet=U0&amp;row=95&amp;col=8&amp;number=4.064&amp;sourceID=17","4.064")</f>
        <v>4.064</v>
      </c>
      <c r="I95" s="4" t="str">
        <f>HYPERLINK("http://141.218.60.56/~jnz1568/getInfo.php?workbook=01_01.xlsx&amp;sheet=U0&amp;row=95&amp;col=9&amp;number=17.8&amp;sourceID=17","17.8")</f>
        <v>17.8</v>
      </c>
    </row>
    <row r="96" spans="1:9">
      <c r="A96" s="3"/>
      <c r="B96" s="3"/>
      <c r="C96" s="3"/>
      <c r="D96" s="3"/>
      <c r="E96" s="3">
        <v>3</v>
      </c>
      <c r="F96" s="4" t="str">
        <f>HYPERLINK("http://141.218.60.56/~jnz1568/getInfo.php?workbook=01_01.xlsx&amp;sheet=U0&amp;row=96&amp;col=6&amp;number=3.875&amp;sourceID=16","3.875")</f>
        <v>3.875</v>
      </c>
      <c r="G96" s="4" t="str">
        <f>HYPERLINK("http://141.218.60.56/~jnz1568/getInfo.php?workbook=01_01.xlsx&amp;sheet=U0&amp;row=96&amp;col=7&amp;number=14.98&amp;sourceID=16","14.98")</f>
        <v>14.98</v>
      </c>
      <c r="H96" s="4" t="str">
        <f>HYPERLINK("http://141.218.60.56/~jnz1568/getInfo.php?workbook=01_01.xlsx&amp;sheet=U0&amp;row=96&amp;col=8&amp;number=4.542&amp;sourceID=17","4.542")</f>
        <v>4.542</v>
      </c>
      <c r="I96" s="4" t="str">
        <f>HYPERLINK("http://141.218.60.56/~jnz1568/getInfo.php?workbook=01_01.xlsx&amp;sheet=U0&amp;row=96&amp;col=9&amp;number=36.9&amp;sourceID=17","36.9")</f>
        <v>36.9</v>
      </c>
    </row>
    <row r="97" spans="1:9">
      <c r="A97" s="3"/>
      <c r="B97" s="3"/>
      <c r="C97" s="3"/>
      <c r="D97" s="3"/>
      <c r="E97" s="3">
        <v>4</v>
      </c>
      <c r="F97" s="4" t="str">
        <f>HYPERLINK("http://141.218.60.56/~jnz1568/getInfo.php?workbook=01_01.xlsx&amp;sheet=U0&amp;row=97&amp;col=6&amp;number=4&amp;sourceID=16","4")</f>
        <v>4</v>
      </c>
      <c r="G97" s="4" t="str">
        <f>HYPERLINK("http://141.218.60.56/~jnz1568/getInfo.php?workbook=01_01.xlsx&amp;sheet=U0&amp;row=97&amp;col=7&amp;number=17.06&amp;sourceID=16","17.06")</f>
        <v>17.06</v>
      </c>
      <c r="H97" s="4" t="str">
        <f>HYPERLINK("http://141.218.60.56/~jnz1568/getInfo.php?workbook=01_01.xlsx&amp;sheet=U0&amp;row=97&amp;col=8&amp;number=4.764&amp;sourceID=17","4.764")</f>
        <v>4.764</v>
      </c>
      <c r="I97" s="4" t="str">
        <f>HYPERLINK("http://141.218.60.56/~jnz1568/getInfo.php?workbook=01_01.xlsx&amp;sheet=U0&amp;row=97&amp;col=9&amp;number=55.8&amp;sourceID=17","55.8")</f>
        <v>55.8</v>
      </c>
    </row>
    <row r="98" spans="1:9">
      <c r="A98" s="3"/>
      <c r="B98" s="3"/>
      <c r="C98" s="3"/>
      <c r="D98" s="3"/>
      <c r="E98" s="3">
        <v>5</v>
      </c>
      <c r="F98" s="4" t="str">
        <f>HYPERLINK("http://141.218.60.56/~jnz1568/getInfo.php?workbook=01_01.xlsx&amp;sheet=U0&amp;row=98&amp;col=6&amp;number=4.176&amp;sourceID=16","4.176")</f>
        <v>4.176</v>
      </c>
      <c r="G98" s="4" t="str">
        <f>HYPERLINK("http://141.218.60.56/~jnz1568/getInfo.php?workbook=01_01.xlsx&amp;sheet=U0&amp;row=98&amp;col=7&amp;number=21.66&amp;sourceID=16","21.66")</f>
        <v>21.66</v>
      </c>
      <c r="H98" s="4" t="str">
        <f>HYPERLINK("http://141.218.60.56/~jnz1568/getInfo.php?workbook=01_01.xlsx&amp;sheet=U0&amp;row=98&amp;col=8&amp;number=5.064&amp;sourceID=17","5.064")</f>
        <v>5.064</v>
      </c>
      <c r="I98" s="4" t="str">
        <f>HYPERLINK("http://141.218.60.56/~jnz1568/getInfo.php?workbook=01_01.xlsx&amp;sheet=U0&amp;row=98&amp;col=9&amp;number=94.4&amp;sourceID=17","94.4")</f>
        <v>94.4</v>
      </c>
    </row>
    <row r="99" spans="1:9">
      <c r="A99" s="3"/>
      <c r="B99" s="3"/>
      <c r="C99" s="3"/>
      <c r="D99" s="3"/>
      <c r="E99" s="3">
        <v>6</v>
      </c>
      <c r="F99" s="4" t="str">
        <f>HYPERLINK("http://141.218.60.56/~jnz1568/getInfo.php?workbook=01_01.xlsx&amp;sheet=U0&amp;row=99&amp;col=6&amp;number=4.301&amp;sourceID=16","4.301")</f>
        <v>4.301</v>
      </c>
      <c r="G99" s="4" t="str">
        <f>HYPERLINK("http://141.218.60.56/~jnz1568/getInfo.php?workbook=01_01.xlsx&amp;sheet=U0&amp;row=99&amp;col=7&amp;number=26.74&amp;sourceID=16","26.74")</f>
        <v>26.74</v>
      </c>
      <c r="H99" s="4" t="str">
        <f>HYPERLINK("http://141.218.60.56/~jnz1568/getInfo.php?workbook=01_01.xlsx&amp;sheet=U0&amp;row=99&amp;col=8&amp;number=5.241&amp;sourceID=17","5.241")</f>
        <v>5.241</v>
      </c>
      <c r="I99" s="4" t="str">
        <f>HYPERLINK("http://141.218.60.56/~jnz1568/getInfo.php?workbook=01_01.xlsx&amp;sheet=U0&amp;row=99&amp;col=9&amp;number=123&amp;sourceID=17","123")</f>
        <v>123</v>
      </c>
    </row>
    <row r="100" spans="1:9">
      <c r="A100" s="3"/>
      <c r="B100" s="3"/>
      <c r="C100" s="3"/>
      <c r="D100" s="3"/>
      <c r="E100" s="3">
        <v>7</v>
      </c>
      <c r="F100" s="4" t="str">
        <f>HYPERLINK("http://141.218.60.56/~jnz1568/getInfo.php?workbook=01_01.xlsx&amp;sheet=U0&amp;row=100&amp;col=6&amp;number=4.477&amp;sourceID=16","4.477")</f>
        <v>4.477</v>
      </c>
      <c r="G100" s="4" t="str">
        <f>HYPERLINK("http://141.218.60.56/~jnz1568/getInfo.php?workbook=01_01.xlsx&amp;sheet=U0&amp;row=100&amp;col=7&amp;number=37.57&amp;sourceID=16","37.57")</f>
        <v>37.57</v>
      </c>
      <c r="H100" s="4" t="str">
        <f>HYPERLINK("http://141.218.60.56/~jnz1568/getInfo.php?workbook=01_01.xlsx&amp;sheet=U0&amp;row=100&amp;col=8&amp;number=5.366&amp;sourceID=17","5.366")</f>
        <v>5.366</v>
      </c>
      <c r="I100" s="4" t="str">
        <f>HYPERLINK("http://141.218.60.56/~jnz1568/getInfo.php?workbook=01_01.xlsx&amp;sheet=U0&amp;row=100&amp;col=9&amp;number=146&amp;sourceID=17","146")</f>
        <v>146</v>
      </c>
    </row>
    <row r="101" spans="1:9">
      <c r="A101" s="3"/>
      <c r="B101" s="3"/>
      <c r="C101" s="3"/>
      <c r="D101" s="3"/>
      <c r="E101" s="3">
        <v>8</v>
      </c>
      <c r="F101" s="4" t="str">
        <f>HYPERLINK("http://141.218.60.56/~jnz1568/getInfo.php?workbook=01_01.xlsx&amp;sheet=U0&amp;row=101&amp;col=6&amp;number=4.602&amp;sourceID=16","4.602")</f>
        <v>4.602</v>
      </c>
      <c r="G101" s="4" t="str">
        <f>HYPERLINK("http://141.218.60.56/~jnz1568/getInfo.php?workbook=01_01.xlsx&amp;sheet=U0&amp;row=101&amp;col=7&amp;number=48.48&amp;sourceID=16","48.48")</f>
        <v>48.48</v>
      </c>
      <c r="H101" s="4" t="str">
        <f>HYPERLINK("http://141.218.60.56/~jnz1568/getInfo.php?workbook=01_01.xlsx&amp;sheet=U0&amp;row=101&amp;col=8&amp;number=5.463&amp;sourceID=17","5.463")</f>
        <v>5.463</v>
      </c>
      <c r="I101" s="4" t="str">
        <f>HYPERLINK("http://141.218.60.56/~jnz1568/getInfo.php?workbook=01_01.xlsx&amp;sheet=U0&amp;row=101&amp;col=9&amp;number=165&amp;sourceID=17","165")</f>
        <v>165</v>
      </c>
    </row>
    <row r="102" spans="1:9">
      <c r="A102" s="3"/>
      <c r="B102" s="3"/>
      <c r="C102" s="3"/>
      <c r="D102" s="3"/>
      <c r="E102" s="3">
        <v>9</v>
      </c>
      <c r="F102" s="4" t="str">
        <f>HYPERLINK("http://141.218.60.56/~jnz1568/getInfo.php?workbook=01_01.xlsx&amp;sheet=U0&amp;row=102&amp;col=6&amp;number=4.699&amp;sourceID=16","4.699")</f>
        <v>4.699</v>
      </c>
      <c r="G102" s="4" t="str">
        <f>HYPERLINK("http://141.218.60.56/~jnz1568/getInfo.php?workbook=01_01.xlsx&amp;sheet=U0&amp;row=102&amp;col=7&amp;number=58.95&amp;sourceID=16","58.95")</f>
        <v>58.95</v>
      </c>
      <c r="H102" s="4" t="str">
        <f>HYPERLINK("http://141.218.60.56/~jnz1568/getInfo.php?workbook=01_01.xlsx&amp;sheet=U0&amp;row=102&amp;col=8&amp;number=&amp;sourceID=17","")</f>
        <v/>
      </c>
      <c r="I102" s="4" t="str">
        <f>HYPERLINK("http://141.218.60.56/~jnz1568/getInfo.php?workbook=01_01.xlsx&amp;sheet=U0&amp;row=102&amp;col=9&amp;number=&amp;sourceID=17","")</f>
        <v/>
      </c>
    </row>
    <row r="103" spans="1:9">
      <c r="A103" s="3">
        <v>1</v>
      </c>
      <c r="B103" s="3">
        <v>1</v>
      </c>
      <c r="C103" s="3">
        <v>6</v>
      </c>
      <c r="D103" s="3">
        <v>4</v>
      </c>
      <c r="E103" s="3">
        <v>1</v>
      </c>
      <c r="F103" s="4" t="str">
        <f>HYPERLINK("http://141.218.60.56/~jnz1568/getInfo.php?workbook=01_01.xlsx&amp;sheet=U0&amp;row=103&amp;col=6&amp;number==LOG10(2500)&amp;sourceID=16","=LOG10(2500)")</f>
        <v>=LOG10(2500)</v>
      </c>
      <c r="G103" s="4" t="str">
        <f>HYPERLINK("http://141.218.60.56/~jnz1568/getInfo.php?workbook=01_01.xlsx&amp;sheet=U0&amp;row=103&amp;col=7&amp;number=170.7&amp;sourceID=16","170.7")</f>
        <v>170.7</v>
      </c>
      <c r="H103" s="4" t="str">
        <f>HYPERLINK("http://141.218.60.56/~jnz1568/getInfo.php?workbook=01_01.xlsx&amp;sheet=U0&amp;row=103&amp;col=8&amp;number=&amp;sourceID=17","")</f>
        <v/>
      </c>
      <c r="I103" s="4" t="str">
        <f>HYPERLINK("http://141.218.60.56/~jnz1568/getInfo.php?workbook=01_01.xlsx&amp;sheet=U0&amp;row=103&amp;col=9&amp;number=&amp;sourceID=17","")</f>
        <v/>
      </c>
    </row>
    <row r="104" spans="1:9">
      <c r="A104" s="3"/>
      <c r="B104" s="3"/>
      <c r="C104" s="3"/>
      <c r="D104" s="3"/>
      <c r="E104" s="3">
        <v>2</v>
      </c>
      <c r="F104" s="4" t="str">
        <f>HYPERLINK("http://141.218.60.56/~jnz1568/getInfo.php?workbook=01_01.xlsx&amp;sheet=U0&amp;row=104&amp;col=6&amp;number=3.699&amp;sourceID=16","3.699")</f>
        <v>3.699</v>
      </c>
      <c r="G104" s="4" t="str">
        <f>HYPERLINK("http://141.218.60.56/~jnz1568/getInfo.php?workbook=01_01.xlsx&amp;sheet=U0&amp;row=104&amp;col=7&amp;number=166&amp;sourceID=16","166")</f>
        <v>166</v>
      </c>
      <c r="H104" s="4" t="str">
        <f>HYPERLINK("http://141.218.60.56/~jnz1568/getInfo.php?workbook=01_01.xlsx&amp;sheet=U0&amp;row=104&amp;col=8&amp;number=&amp;sourceID=17","")</f>
        <v/>
      </c>
      <c r="I104" s="4" t="str">
        <f>HYPERLINK("http://141.218.60.56/~jnz1568/getInfo.php?workbook=01_01.xlsx&amp;sheet=U0&amp;row=104&amp;col=9&amp;number=&amp;sourceID=17","")</f>
        <v/>
      </c>
    </row>
    <row r="105" spans="1:9">
      <c r="A105" s="3"/>
      <c r="B105" s="3"/>
      <c r="C105" s="3"/>
      <c r="D105" s="3"/>
      <c r="E105" s="3">
        <v>3</v>
      </c>
      <c r="F105" s="4" t="str">
        <f>HYPERLINK("http://141.218.60.56/~jnz1568/getInfo.php?workbook=01_01.xlsx&amp;sheet=U0&amp;row=105&amp;col=6&amp;number=3.875&amp;sourceID=16","3.875")</f>
        <v>3.875</v>
      </c>
      <c r="G105" s="4" t="str">
        <f>HYPERLINK("http://141.218.60.56/~jnz1568/getInfo.php?workbook=01_01.xlsx&amp;sheet=U0&amp;row=105&amp;col=7&amp;number=161&amp;sourceID=16","161")</f>
        <v>161</v>
      </c>
      <c r="H105" s="4" t="str">
        <f>HYPERLINK("http://141.218.60.56/~jnz1568/getInfo.php?workbook=01_01.xlsx&amp;sheet=U0&amp;row=105&amp;col=8&amp;number=&amp;sourceID=17","")</f>
        <v/>
      </c>
      <c r="I105" s="4" t="str">
        <f>HYPERLINK("http://141.218.60.56/~jnz1568/getInfo.php?workbook=01_01.xlsx&amp;sheet=U0&amp;row=105&amp;col=9&amp;number=&amp;sourceID=17","")</f>
        <v/>
      </c>
    </row>
    <row r="106" spans="1:9">
      <c r="A106" s="3"/>
      <c r="B106" s="3"/>
      <c r="C106" s="3"/>
      <c r="D106" s="3"/>
      <c r="E106" s="3">
        <v>4</v>
      </c>
      <c r="F106" s="4" t="str">
        <f>HYPERLINK("http://141.218.60.56/~jnz1568/getInfo.php?workbook=01_01.xlsx&amp;sheet=U0&amp;row=106&amp;col=6&amp;number=4&amp;sourceID=16","4")</f>
        <v>4</v>
      </c>
      <c r="G106" s="4" t="str">
        <f>HYPERLINK("http://141.218.60.56/~jnz1568/getInfo.php?workbook=01_01.xlsx&amp;sheet=U0&amp;row=106&amp;col=7&amp;number=155.9&amp;sourceID=16","155.9")</f>
        <v>155.9</v>
      </c>
      <c r="H106" s="4" t="str">
        <f>HYPERLINK("http://141.218.60.56/~jnz1568/getInfo.php?workbook=01_01.xlsx&amp;sheet=U0&amp;row=106&amp;col=8&amp;number=&amp;sourceID=17","")</f>
        <v/>
      </c>
      <c r="I106" s="4" t="str">
        <f>HYPERLINK("http://141.218.60.56/~jnz1568/getInfo.php?workbook=01_01.xlsx&amp;sheet=U0&amp;row=106&amp;col=9&amp;number=&amp;sourceID=17","")</f>
        <v/>
      </c>
    </row>
    <row r="107" spans="1:9">
      <c r="A107" s="3"/>
      <c r="B107" s="3"/>
      <c r="C107" s="3"/>
      <c r="D107" s="3"/>
      <c r="E107" s="3">
        <v>5</v>
      </c>
      <c r="F107" s="4" t="str">
        <f>HYPERLINK("http://141.218.60.56/~jnz1568/getInfo.php?workbook=01_01.xlsx&amp;sheet=U0&amp;row=107&amp;col=6&amp;number=4.176&amp;sourceID=16","4.176")</f>
        <v>4.176</v>
      </c>
      <c r="G107" s="4" t="str">
        <f>HYPERLINK("http://141.218.60.56/~jnz1568/getInfo.php?workbook=01_01.xlsx&amp;sheet=U0&amp;row=107&amp;col=7&amp;number=147.2&amp;sourceID=16","147.2")</f>
        <v>147.2</v>
      </c>
      <c r="H107" s="4" t="str">
        <f>HYPERLINK("http://141.218.60.56/~jnz1568/getInfo.php?workbook=01_01.xlsx&amp;sheet=U0&amp;row=107&amp;col=8&amp;number=&amp;sourceID=17","")</f>
        <v/>
      </c>
      <c r="I107" s="4" t="str">
        <f>HYPERLINK("http://141.218.60.56/~jnz1568/getInfo.php?workbook=01_01.xlsx&amp;sheet=U0&amp;row=107&amp;col=9&amp;number=&amp;sourceID=17","")</f>
        <v/>
      </c>
    </row>
    <row r="108" spans="1:9">
      <c r="A108" s="3"/>
      <c r="B108" s="3"/>
      <c r="C108" s="3"/>
      <c r="D108" s="3"/>
      <c r="E108" s="3">
        <v>6</v>
      </c>
      <c r="F108" s="4" t="str">
        <f>HYPERLINK("http://141.218.60.56/~jnz1568/getInfo.php?workbook=01_01.xlsx&amp;sheet=U0&amp;row=108&amp;col=6&amp;number=4.301&amp;sourceID=16","4.301")</f>
        <v>4.301</v>
      </c>
      <c r="G108" s="4" t="str">
        <f>HYPERLINK("http://141.218.60.56/~jnz1568/getInfo.php?workbook=01_01.xlsx&amp;sheet=U0&amp;row=108&amp;col=7&amp;number=140.7&amp;sourceID=16","140.7")</f>
        <v>140.7</v>
      </c>
      <c r="H108" s="4" t="str">
        <f>HYPERLINK("http://141.218.60.56/~jnz1568/getInfo.php?workbook=01_01.xlsx&amp;sheet=U0&amp;row=108&amp;col=8&amp;number=&amp;sourceID=17","")</f>
        <v/>
      </c>
      <c r="I108" s="4" t="str">
        <f>HYPERLINK("http://141.218.60.56/~jnz1568/getInfo.php?workbook=01_01.xlsx&amp;sheet=U0&amp;row=108&amp;col=9&amp;number=&amp;sourceID=17","")</f>
        <v/>
      </c>
    </row>
    <row r="109" spans="1:9">
      <c r="A109" s="3"/>
      <c r="B109" s="3"/>
      <c r="C109" s="3"/>
      <c r="D109" s="3"/>
      <c r="E109" s="3">
        <v>7</v>
      </c>
      <c r="F109" s="4" t="str">
        <f>HYPERLINK("http://141.218.60.56/~jnz1568/getInfo.php?workbook=01_01.xlsx&amp;sheet=U0&amp;row=109&amp;col=6&amp;number=4.477&amp;sourceID=16","4.477")</f>
        <v>4.477</v>
      </c>
      <c r="G109" s="4" t="str">
        <f>HYPERLINK("http://141.218.60.56/~jnz1568/getInfo.php?workbook=01_01.xlsx&amp;sheet=U0&amp;row=109&amp;col=7&amp;number=132.1&amp;sourceID=16","132.1")</f>
        <v>132.1</v>
      </c>
      <c r="H109" s="4" t="str">
        <f>HYPERLINK("http://141.218.60.56/~jnz1568/getInfo.php?workbook=01_01.xlsx&amp;sheet=U0&amp;row=109&amp;col=8&amp;number=&amp;sourceID=17","")</f>
        <v/>
      </c>
      <c r="I109" s="4" t="str">
        <f>HYPERLINK("http://141.218.60.56/~jnz1568/getInfo.php?workbook=01_01.xlsx&amp;sheet=U0&amp;row=109&amp;col=9&amp;number=&amp;sourceID=17","")</f>
        <v/>
      </c>
    </row>
    <row r="110" spans="1:9">
      <c r="A110" s="3"/>
      <c r="B110" s="3"/>
      <c r="C110" s="3"/>
      <c r="D110" s="3"/>
      <c r="E110" s="3">
        <v>8</v>
      </c>
      <c r="F110" s="4" t="str">
        <f>HYPERLINK("http://141.218.60.56/~jnz1568/getInfo.php?workbook=01_01.xlsx&amp;sheet=U0&amp;row=110&amp;col=6&amp;number=4.602&amp;sourceID=16","4.602")</f>
        <v>4.602</v>
      </c>
      <c r="G110" s="4" t="str">
        <f>HYPERLINK("http://141.218.60.56/~jnz1568/getInfo.php?workbook=01_01.xlsx&amp;sheet=U0&amp;row=110&amp;col=7&amp;number=127.1&amp;sourceID=16","127.1")</f>
        <v>127.1</v>
      </c>
      <c r="H110" s="4" t="str">
        <f>HYPERLINK("http://141.218.60.56/~jnz1568/getInfo.php?workbook=01_01.xlsx&amp;sheet=U0&amp;row=110&amp;col=8&amp;number=&amp;sourceID=17","")</f>
        <v/>
      </c>
      <c r="I110" s="4" t="str">
        <f>HYPERLINK("http://141.218.60.56/~jnz1568/getInfo.php?workbook=01_01.xlsx&amp;sheet=U0&amp;row=110&amp;col=9&amp;number=&amp;sourceID=17","")</f>
        <v/>
      </c>
    </row>
    <row r="111" spans="1:9">
      <c r="A111" s="3"/>
      <c r="B111" s="3"/>
      <c r="C111" s="3"/>
      <c r="D111" s="3"/>
      <c r="E111" s="3">
        <v>9</v>
      </c>
      <c r="F111" s="4" t="str">
        <f>HYPERLINK("http://141.218.60.56/~jnz1568/getInfo.php?workbook=01_01.xlsx&amp;sheet=U0&amp;row=111&amp;col=6&amp;number=4.699&amp;sourceID=16","4.699")</f>
        <v>4.699</v>
      </c>
      <c r="G111" s="4" t="str">
        <f>HYPERLINK("http://141.218.60.56/~jnz1568/getInfo.php?workbook=01_01.xlsx&amp;sheet=U0&amp;row=111&amp;col=7&amp;number=123.9&amp;sourceID=16","123.9")</f>
        <v>123.9</v>
      </c>
      <c r="H111" s="4" t="str">
        <f>HYPERLINK("http://141.218.60.56/~jnz1568/getInfo.php?workbook=01_01.xlsx&amp;sheet=U0&amp;row=111&amp;col=8&amp;number=&amp;sourceID=17","")</f>
        <v/>
      </c>
      <c r="I111" s="4" t="str">
        <f>HYPERLINK("http://141.218.60.56/~jnz1568/getInfo.php?workbook=01_01.xlsx&amp;sheet=U0&amp;row=111&amp;col=9&amp;number=&amp;sourceID=17","")</f>
        <v/>
      </c>
    </row>
    <row r="112" spans="1:9">
      <c r="A112" s="3">
        <v>1</v>
      </c>
      <c r="B112" s="3">
        <v>1</v>
      </c>
      <c r="C112" s="3">
        <v>7</v>
      </c>
      <c r="D112" s="3">
        <v>1</v>
      </c>
      <c r="E112" s="3">
        <v>1</v>
      </c>
      <c r="F112" s="4" t="str">
        <f>HYPERLINK("http://141.218.60.56/~jnz1568/getInfo.php?workbook=01_01.xlsx&amp;sheet=U0&amp;row=112&amp;col=6&amp;number==LOG10(2500)&amp;sourceID=16","=LOG10(2500)")</f>
        <v>=LOG10(2500)</v>
      </c>
      <c r="G112" s="4" t="str">
        <f>HYPERLINK("http://141.218.60.56/~jnz1568/getInfo.php?workbook=01_01.xlsx&amp;sheet=U0&amp;row=112&amp;col=7&amp;number=0.02099&amp;sourceID=16","0.02099")</f>
        <v>0.02099</v>
      </c>
      <c r="H112" s="4" t="str">
        <f>HYPERLINK("http://141.218.60.56/~jnz1568/getInfo.php?workbook=01_01.xlsx&amp;sheet=U0&amp;row=112&amp;col=8&amp;number=3.764&amp;sourceID=17","3.764")</f>
        <v>3.764</v>
      </c>
      <c r="I112" s="4" t="str">
        <f>HYPERLINK("http://141.218.60.56/~jnz1568/getInfo.php?workbook=01_01.xlsx&amp;sheet=U0&amp;row=112&amp;col=9&amp;number=0.0223&amp;sourceID=17","0.0223")</f>
        <v>0.0223</v>
      </c>
    </row>
    <row r="113" spans="1:9">
      <c r="A113" s="3"/>
      <c r="B113" s="3"/>
      <c r="C113" s="3"/>
      <c r="D113" s="3"/>
      <c r="E113" s="3">
        <v>2</v>
      </c>
      <c r="F113" s="4" t="str">
        <f>HYPERLINK("http://141.218.60.56/~jnz1568/getInfo.php?workbook=01_01.xlsx&amp;sheet=U0&amp;row=113&amp;col=6&amp;number=3.699&amp;sourceID=16","3.699")</f>
        <v>3.699</v>
      </c>
      <c r="G113" s="4" t="str">
        <f>HYPERLINK("http://141.218.60.56/~jnz1568/getInfo.php?workbook=01_01.xlsx&amp;sheet=U0&amp;row=113&amp;col=7&amp;number=0.02418&amp;sourceID=16","0.02418")</f>
        <v>0.02418</v>
      </c>
      <c r="H113" s="4" t="str">
        <f>HYPERLINK("http://141.218.60.56/~jnz1568/getInfo.php?workbook=01_01.xlsx&amp;sheet=U0&amp;row=113&amp;col=8&amp;number=4.064&amp;sourceID=17","4.064")</f>
        <v>4.064</v>
      </c>
      <c r="I113" s="4" t="str">
        <f>HYPERLINK("http://141.218.60.56/~jnz1568/getInfo.php?workbook=01_01.xlsx&amp;sheet=U0&amp;row=113&amp;col=9&amp;number=0.0255&amp;sourceID=17","0.0255")</f>
        <v>0.0255</v>
      </c>
    </row>
    <row r="114" spans="1:9">
      <c r="A114" s="3"/>
      <c r="B114" s="3"/>
      <c r="C114" s="3"/>
      <c r="D114" s="3"/>
      <c r="E114" s="3">
        <v>3</v>
      </c>
      <c r="F114" s="4" t="str">
        <f>HYPERLINK("http://141.218.60.56/~jnz1568/getInfo.php?workbook=01_01.xlsx&amp;sheet=U0&amp;row=114&amp;col=6&amp;number=3.875&amp;sourceID=16","3.875")</f>
        <v>3.875</v>
      </c>
      <c r="G114" s="4" t="str">
        <f>HYPERLINK("http://141.218.60.56/~jnz1568/getInfo.php?workbook=01_01.xlsx&amp;sheet=U0&amp;row=114&amp;col=7&amp;number=0.02905&amp;sourceID=16","0.02905")</f>
        <v>0.02905</v>
      </c>
      <c r="H114" s="4" t="str">
        <f>HYPERLINK("http://141.218.60.56/~jnz1568/getInfo.php?workbook=01_01.xlsx&amp;sheet=U0&amp;row=114&amp;col=8&amp;number=4.542&amp;sourceID=17","4.542")</f>
        <v>4.542</v>
      </c>
      <c r="I114" s="4" t="str">
        <f>HYPERLINK("http://141.218.60.56/~jnz1568/getInfo.php?workbook=01_01.xlsx&amp;sheet=U0&amp;row=114&amp;col=9&amp;number=0.0319&amp;sourceID=17","0.0319")</f>
        <v>0.0319</v>
      </c>
    </row>
    <row r="115" spans="1:9">
      <c r="A115" s="3"/>
      <c r="B115" s="3"/>
      <c r="C115" s="3"/>
      <c r="D115" s="3"/>
      <c r="E115" s="3">
        <v>4</v>
      </c>
      <c r="F115" s="4" t="str">
        <f>HYPERLINK("http://141.218.60.56/~jnz1568/getInfo.php?workbook=01_01.xlsx&amp;sheet=U0&amp;row=115&amp;col=6&amp;number=4&amp;sourceID=16","4")</f>
        <v>4</v>
      </c>
      <c r="G115" s="4" t="str">
        <f>HYPERLINK("http://141.218.60.56/~jnz1568/getInfo.php?workbook=01_01.xlsx&amp;sheet=U0&amp;row=115&amp;col=7&amp;number=0.03465&amp;sourceID=16","0.03465")</f>
        <v>0.03465</v>
      </c>
      <c r="H115" s="4" t="str">
        <f>HYPERLINK("http://141.218.60.56/~jnz1568/getInfo.php?workbook=01_01.xlsx&amp;sheet=U0&amp;row=115&amp;col=8&amp;number=4.764&amp;sourceID=17","4.764")</f>
        <v>4.764</v>
      </c>
      <c r="I115" s="4" t="str">
        <f>HYPERLINK("http://141.218.60.56/~jnz1568/getInfo.php?workbook=01_01.xlsx&amp;sheet=U0&amp;row=115&amp;col=9&amp;number=0.034&amp;sourceID=17","0.034")</f>
        <v>0.034</v>
      </c>
    </row>
    <row r="116" spans="1:9">
      <c r="A116" s="3"/>
      <c r="B116" s="3"/>
      <c r="C116" s="3"/>
      <c r="D116" s="3"/>
      <c r="E116" s="3">
        <v>5</v>
      </c>
      <c r="F116" s="4" t="str">
        <f>HYPERLINK("http://141.218.60.56/~jnz1568/getInfo.php?workbook=01_01.xlsx&amp;sheet=U0&amp;row=116&amp;col=6&amp;number=4.176&amp;sourceID=16","4.176")</f>
        <v>4.176</v>
      </c>
      <c r="G116" s="4" t="str">
        <f>HYPERLINK("http://141.218.60.56/~jnz1568/getInfo.php?workbook=01_01.xlsx&amp;sheet=U0&amp;row=116&amp;col=7&amp;number=0.04517&amp;sourceID=16","0.04517")</f>
        <v>0.04517</v>
      </c>
      <c r="H116" s="4" t="str">
        <f>HYPERLINK("http://141.218.60.56/~jnz1568/getInfo.php?workbook=01_01.xlsx&amp;sheet=U0&amp;row=116&amp;col=8&amp;number=5.064&amp;sourceID=17","5.064")</f>
        <v>5.064</v>
      </c>
      <c r="I116" s="4" t="str">
        <f>HYPERLINK("http://141.218.60.56/~jnz1568/getInfo.php?workbook=01_01.xlsx&amp;sheet=U0&amp;row=116&amp;col=9&amp;number=0.0361&amp;sourceID=17","0.0361")</f>
        <v>0.0361</v>
      </c>
    </row>
    <row r="117" spans="1:9">
      <c r="A117" s="3"/>
      <c r="B117" s="3"/>
      <c r="C117" s="3"/>
      <c r="D117" s="3"/>
      <c r="E117" s="3">
        <v>6</v>
      </c>
      <c r="F117" s="4" t="str">
        <f>HYPERLINK("http://141.218.60.56/~jnz1568/getInfo.php?workbook=01_01.xlsx&amp;sheet=U0&amp;row=117&amp;col=6&amp;number=4.301&amp;sourceID=16","4.301")</f>
        <v>4.301</v>
      </c>
      <c r="G117" s="4" t="str">
        <f>HYPERLINK("http://141.218.60.56/~jnz1568/getInfo.php?workbook=01_01.xlsx&amp;sheet=U0&amp;row=117&amp;col=7&amp;number=0.0535&amp;sourceID=16","0.0535")</f>
        <v>0.0535</v>
      </c>
      <c r="H117" s="4" t="str">
        <f>HYPERLINK("http://141.218.60.56/~jnz1568/getInfo.php?workbook=01_01.xlsx&amp;sheet=U0&amp;row=117&amp;col=8&amp;number=5.241&amp;sourceID=17","5.241")</f>
        <v>5.241</v>
      </c>
      <c r="I117" s="4" t="str">
        <f>HYPERLINK("http://141.218.60.56/~jnz1568/getInfo.php?workbook=01_01.xlsx&amp;sheet=U0&amp;row=117&amp;col=9&amp;number=0.0376&amp;sourceID=17","0.0376")</f>
        <v>0.0376</v>
      </c>
    </row>
    <row r="118" spans="1:9">
      <c r="A118" s="3"/>
      <c r="B118" s="3"/>
      <c r="C118" s="3"/>
      <c r="D118" s="3"/>
      <c r="E118" s="3">
        <v>7</v>
      </c>
      <c r="F118" s="4" t="str">
        <f>HYPERLINK("http://141.218.60.56/~jnz1568/getInfo.php?workbook=01_01.xlsx&amp;sheet=U0&amp;row=118&amp;col=6&amp;number=4.477&amp;sourceID=16","4.477")</f>
        <v>4.477</v>
      </c>
      <c r="G118" s="4" t="str">
        <f>HYPERLINK("http://141.218.60.56/~jnz1568/getInfo.php?workbook=01_01.xlsx&amp;sheet=U0&amp;row=118&amp;col=7&amp;number=0.06452&amp;sourceID=16","0.06452")</f>
        <v>0.06452</v>
      </c>
      <c r="H118" s="4" t="str">
        <f>HYPERLINK("http://141.218.60.56/~jnz1568/getInfo.php?workbook=01_01.xlsx&amp;sheet=U0&amp;row=118&amp;col=8&amp;number=5.366&amp;sourceID=17","5.366")</f>
        <v>5.366</v>
      </c>
      <c r="I118" s="4" t="str">
        <f>HYPERLINK("http://141.218.60.56/~jnz1568/getInfo.php?workbook=01_01.xlsx&amp;sheet=U0&amp;row=118&amp;col=9&amp;number=0.039&amp;sourceID=17","0.039")</f>
        <v>0.039</v>
      </c>
    </row>
    <row r="119" spans="1:9">
      <c r="A119" s="3"/>
      <c r="B119" s="3"/>
      <c r="C119" s="3"/>
      <c r="D119" s="3"/>
      <c r="E119" s="3">
        <v>8</v>
      </c>
      <c r="F119" s="4" t="str">
        <f>HYPERLINK("http://141.218.60.56/~jnz1568/getInfo.php?workbook=01_01.xlsx&amp;sheet=U0&amp;row=119&amp;col=6&amp;number=4.602&amp;sourceID=16","4.602")</f>
        <v>4.602</v>
      </c>
      <c r="G119" s="4" t="str">
        <f>HYPERLINK("http://141.218.60.56/~jnz1568/getInfo.php?workbook=01_01.xlsx&amp;sheet=U0&amp;row=119&amp;col=7&amp;number=0.07081&amp;sourceID=16","0.07081")</f>
        <v>0.07081</v>
      </c>
      <c r="H119" s="4" t="str">
        <f>HYPERLINK("http://141.218.60.56/~jnz1568/getInfo.php?workbook=01_01.xlsx&amp;sheet=U0&amp;row=119&amp;col=8&amp;number=5.463&amp;sourceID=17","5.463")</f>
        <v>5.463</v>
      </c>
      <c r="I119" s="4" t="str">
        <f>HYPERLINK("http://141.218.60.56/~jnz1568/getInfo.php?workbook=01_01.xlsx&amp;sheet=U0&amp;row=119&amp;col=9&amp;number=0.0402&amp;sourceID=17","0.0402")</f>
        <v>0.0402</v>
      </c>
    </row>
    <row r="120" spans="1:9">
      <c r="A120" s="3"/>
      <c r="B120" s="3"/>
      <c r="C120" s="3"/>
      <c r="D120" s="3"/>
      <c r="E120" s="3">
        <v>9</v>
      </c>
      <c r="F120" s="4" t="str">
        <f>HYPERLINK("http://141.218.60.56/~jnz1568/getInfo.php?workbook=01_01.xlsx&amp;sheet=U0&amp;row=120&amp;col=6&amp;number=4.699&amp;sourceID=16","4.699")</f>
        <v>4.699</v>
      </c>
      <c r="G120" s="4" t="str">
        <f>HYPERLINK("http://141.218.60.56/~jnz1568/getInfo.php?workbook=01_01.xlsx&amp;sheet=U0&amp;row=120&amp;col=7&amp;number=0.07414&amp;sourceID=16","0.07414")</f>
        <v>0.07414</v>
      </c>
      <c r="H120" s="4" t="str">
        <f>HYPERLINK("http://141.218.60.56/~jnz1568/getInfo.php?workbook=01_01.xlsx&amp;sheet=U0&amp;row=120&amp;col=8&amp;number=&amp;sourceID=17","")</f>
        <v/>
      </c>
      <c r="I120" s="4" t="str">
        <f>HYPERLINK("http://141.218.60.56/~jnz1568/getInfo.php?workbook=01_01.xlsx&amp;sheet=U0&amp;row=120&amp;col=9&amp;number=&amp;sourceID=17","")</f>
        <v/>
      </c>
    </row>
    <row r="121" spans="1:9">
      <c r="A121" s="3">
        <v>1</v>
      </c>
      <c r="B121" s="3">
        <v>1</v>
      </c>
      <c r="C121" s="3">
        <v>7</v>
      </c>
      <c r="D121" s="3">
        <v>2</v>
      </c>
      <c r="E121" s="3">
        <v>1</v>
      </c>
      <c r="F121" s="4" t="str">
        <f>HYPERLINK("http://141.218.60.56/~jnz1568/getInfo.php?workbook=01_01.xlsx&amp;sheet=U0&amp;row=121&amp;col=6&amp;number==LOG10(2500)&amp;sourceID=16","=LOG10(2500)")</f>
        <v>=LOG10(2500)</v>
      </c>
      <c r="G121" s="4" t="str">
        <f>HYPERLINK("http://141.218.60.56/~jnz1568/getInfo.php?workbook=01_01.xlsx&amp;sheet=U0&amp;row=121&amp;col=7&amp;number=0.4223&amp;sourceID=16","0.4223")</f>
        <v>0.4223</v>
      </c>
      <c r="H121" s="4" t="str">
        <f>HYPERLINK("http://141.218.60.56/~jnz1568/getInfo.php?workbook=01_01.xlsx&amp;sheet=U0&amp;row=121&amp;col=8&amp;number=3.764&amp;sourceID=17","3.764")</f>
        <v>3.764</v>
      </c>
      <c r="I121" s="4" t="str">
        <f>HYPERLINK("http://141.218.60.56/~jnz1568/getInfo.php?workbook=01_01.xlsx&amp;sheet=U0&amp;row=121&amp;col=9&amp;number=0.392&amp;sourceID=17","0.392")</f>
        <v>0.392</v>
      </c>
    </row>
    <row r="122" spans="1:9">
      <c r="A122" s="3"/>
      <c r="B122" s="3"/>
      <c r="C122" s="3"/>
      <c r="D122" s="3"/>
      <c r="E122" s="3">
        <v>2</v>
      </c>
      <c r="F122" s="4" t="str">
        <f>HYPERLINK("http://141.218.60.56/~jnz1568/getInfo.php?workbook=01_01.xlsx&amp;sheet=U0&amp;row=122&amp;col=6&amp;number=3.699&amp;sourceID=16","3.699")</f>
        <v>3.699</v>
      </c>
      <c r="G122" s="4" t="str">
        <f>HYPERLINK("http://141.218.60.56/~jnz1568/getInfo.php?workbook=01_01.xlsx&amp;sheet=U0&amp;row=122&amp;col=7&amp;number=0.4101&amp;sourceID=16","0.4101")</f>
        <v>0.4101</v>
      </c>
      <c r="H122" s="4" t="str">
        <f>HYPERLINK("http://141.218.60.56/~jnz1568/getInfo.php?workbook=01_01.xlsx&amp;sheet=U0&amp;row=122&amp;col=8&amp;number=4.064&amp;sourceID=17","4.064")</f>
        <v>4.064</v>
      </c>
      <c r="I122" s="4" t="str">
        <f>HYPERLINK("http://141.218.60.56/~jnz1568/getInfo.php?workbook=01_01.xlsx&amp;sheet=U0&amp;row=122&amp;col=9&amp;number=0.388&amp;sourceID=17","0.388")</f>
        <v>0.388</v>
      </c>
    </row>
    <row r="123" spans="1:9">
      <c r="A123" s="3"/>
      <c r="B123" s="3"/>
      <c r="C123" s="3"/>
      <c r="D123" s="3"/>
      <c r="E123" s="3">
        <v>3</v>
      </c>
      <c r="F123" s="4" t="str">
        <f>HYPERLINK("http://141.218.60.56/~jnz1568/getInfo.php?workbook=01_01.xlsx&amp;sheet=U0&amp;row=123&amp;col=6&amp;number=3.875&amp;sourceID=16","3.875")</f>
        <v>3.875</v>
      </c>
      <c r="G123" s="4" t="str">
        <f>HYPERLINK("http://141.218.60.56/~jnz1568/getInfo.php?workbook=01_01.xlsx&amp;sheet=U0&amp;row=123&amp;col=7&amp;number=0.4189&amp;sourceID=16","0.4189")</f>
        <v>0.4189</v>
      </c>
      <c r="H123" s="4" t="str">
        <f>HYPERLINK("http://141.218.60.56/~jnz1568/getInfo.php?workbook=01_01.xlsx&amp;sheet=U0&amp;row=123&amp;col=8&amp;number=4.542&amp;sourceID=17","4.542")</f>
        <v>4.542</v>
      </c>
      <c r="I123" s="4" t="str">
        <f>HYPERLINK("http://141.218.60.56/~jnz1568/getInfo.php?workbook=01_01.xlsx&amp;sheet=U0&amp;row=123&amp;col=9&amp;number=0.508&amp;sourceID=17","0.508")</f>
        <v>0.508</v>
      </c>
    </row>
    <row r="124" spans="1:9">
      <c r="A124" s="3"/>
      <c r="B124" s="3"/>
      <c r="C124" s="3"/>
      <c r="D124" s="3"/>
      <c r="E124" s="3">
        <v>4</v>
      </c>
      <c r="F124" s="4" t="str">
        <f>HYPERLINK("http://141.218.60.56/~jnz1568/getInfo.php?workbook=01_01.xlsx&amp;sheet=U0&amp;row=124&amp;col=6&amp;number=4&amp;sourceID=16","4")</f>
        <v>4</v>
      </c>
      <c r="G124" s="4" t="str">
        <f>HYPERLINK("http://141.218.60.56/~jnz1568/getInfo.php?workbook=01_01.xlsx&amp;sheet=U0&amp;row=124&amp;col=7&amp;number=0.4449&amp;sourceID=16","0.4449")</f>
        <v>0.4449</v>
      </c>
      <c r="H124" s="4" t="str">
        <f>HYPERLINK("http://141.218.60.56/~jnz1568/getInfo.php?workbook=01_01.xlsx&amp;sheet=U0&amp;row=124&amp;col=8&amp;number=4.764&amp;sourceID=17","4.764")</f>
        <v>4.764</v>
      </c>
      <c r="I124" s="4" t="str">
        <f>HYPERLINK("http://141.218.60.56/~jnz1568/getInfo.php?workbook=01_01.xlsx&amp;sheet=U0&amp;row=124&amp;col=9&amp;number=0.638&amp;sourceID=17","0.638")</f>
        <v>0.638</v>
      </c>
    </row>
    <row r="125" spans="1:9">
      <c r="A125" s="3"/>
      <c r="B125" s="3"/>
      <c r="C125" s="3"/>
      <c r="D125" s="3"/>
      <c r="E125" s="3">
        <v>5</v>
      </c>
      <c r="F125" s="4" t="str">
        <f>HYPERLINK("http://141.218.60.56/~jnz1568/getInfo.php?workbook=01_01.xlsx&amp;sheet=U0&amp;row=125&amp;col=6&amp;number=4.176&amp;sourceID=16","4.176")</f>
        <v>4.176</v>
      </c>
      <c r="G125" s="4" t="str">
        <f>HYPERLINK("http://141.218.60.56/~jnz1568/getInfo.php?workbook=01_01.xlsx&amp;sheet=U0&amp;row=125&amp;col=7&amp;number=0.5191&amp;sourceID=16","0.5191")</f>
        <v>0.5191</v>
      </c>
      <c r="H125" s="4" t="str">
        <f>HYPERLINK("http://141.218.60.56/~jnz1568/getInfo.php?workbook=01_01.xlsx&amp;sheet=U0&amp;row=125&amp;col=8&amp;number=5.064&amp;sourceID=17","5.064")</f>
        <v>5.064</v>
      </c>
      <c r="I125" s="4" t="str">
        <f>HYPERLINK("http://141.218.60.56/~jnz1568/getInfo.php?workbook=01_01.xlsx&amp;sheet=U0&amp;row=125&amp;col=9&amp;number=0.88&amp;sourceID=17","0.88")</f>
        <v>0.88</v>
      </c>
    </row>
    <row r="126" spans="1:9">
      <c r="A126" s="3"/>
      <c r="B126" s="3"/>
      <c r="C126" s="3"/>
      <c r="D126" s="3"/>
      <c r="E126" s="3">
        <v>6</v>
      </c>
      <c r="F126" s="4" t="str">
        <f>HYPERLINK("http://141.218.60.56/~jnz1568/getInfo.php?workbook=01_01.xlsx&amp;sheet=U0&amp;row=126&amp;col=6&amp;number=4.301&amp;sourceID=16","4.301")</f>
        <v>4.301</v>
      </c>
      <c r="G126" s="4" t="str">
        <f>HYPERLINK("http://141.218.60.56/~jnz1568/getInfo.php?workbook=01_01.xlsx&amp;sheet=U0&amp;row=126&amp;col=7&amp;number=0.6035&amp;sourceID=16","0.6035")</f>
        <v>0.6035</v>
      </c>
      <c r="H126" s="4" t="str">
        <f>HYPERLINK("http://141.218.60.56/~jnz1568/getInfo.php?workbook=01_01.xlsx&amp;sheet=U0&amp;row=126&amp;col=8&amp;number=5.241&amp;sourceID=17","5.241")</f>
        <v>5.241</v>
      </c>
      <c r="I126" s="4" t="str">
        <f>HYPERLINK("http://141.218.60.56/~jnz1568/getInfo.php?workbook=01_01.xlsx&amp;sheet=U0&amp;row=126&amp;col=9&amp;number=1.04&amp;sourceID=17","1.04")</f>
        <v>1.04</v>
      </c>
    </row>
    <row r="127" spans="1:9">
      <c r="A127" s="3"/>
      <c r="B127" s="3"/>
      <c r="C127" s="3"/>
      <c r="D127" s="3"/>
      <c r="E127" s="3">
        <v>7</v>
      </c>
      <c r="F127" s="4" t="str">
        <f>HYPERLINK("http://141.218.60.56/~jnz1568/getInfo.php?workbook=01_01.xlsx&amp;sheet=U0&amp;row=127&amp;col=6&amp;number=4.477&amp;sourceID=16","4.477")</f>
        <v>4.477</v>
      </c>
      <c r="G127" s="4" t="str">
        <f>HYPERLINK("http://141.218.60.56/~jnz1568/getInfo.php?workbook=01_01.xlsx&amp;sheet=U0&amp;row=127&amp;col=7&amp;number=0.7741&amp;sourceID=16","0.7741")</f>
        <v>0.7741</v>
      </c>
      <c r="H127" s="4" t="str">
        <f>HYPERLINK("http://141.218.60.56/~jnz1568/getInfo.php?workbook=01_01.xlsx&amp;sheet=U0&amp;row=127&amp;col=8&amp;number=5.366&amp;sourceID=17","5.366")</f>
        <v>5.366</v>
      </c>
      <c r="I127" s="4" t="str">
        <f>HYPERLINK("http://141.218.60.56/~jnz1568/getInfo.php?workbook=01_01.xlsx&amp;sheet=U0&amp;row=127&amp;col=9&amp;number=1.16&amp;sourceID=17","1.16")</f>
        <v>1.16</v>
      </c>
    </row>
    <row r="128" spans="1:9">
      <c r="A128" s="3"/>
      <c r="B128" s="3"/>
      <c r="C128" s="3"/>
      <c r="D128" s="3"/>
      <c r="E128" s="3">
        <v>8</v>
      </c>
      <c r="F128" s="4" t="str">
        <f>HYPERLINK("http://141.218.60.56/~jnz1568/getInfo.php?workbook=01_01.xlsx&amp;sheet=U0&amp;row=128&amp;col=6&amp;number=4.602&amp;sourceID=16","4.602")</f>
        <v>4.602</v>
      </c>
      <c r="G128" s="4" t="str">
        <f>HYPERLINK("http://141.218.60.56/~jnz1568/getInfo.php?workbook=01_01.xlsx&amp;sheet=U0&amp;row=128&amp;col=7&amp;number=0.9308&amp;sourceID=16","0.9308")</f>
        <v>0.9308</v>
      </c>
      <c r="H128" s="4" t="str">
        <f>HYPERLINK("http://141.218.60.56/~jnz1568/getInfo.php?workbook=01_01.xlsx&amp;sheet=U0&amp;row=128&amp;col=8&amp;number=5.463&amp;sourceID=17","5.463")</f>
        <v>5.463</v>
      </c>
      <c r="I128" s="4" t="str">
        <f>HYPERLINK("http://141.218.60.56/~jnz1568/getInfo.php?workbook=01_01.xlsx&amp;sheet=U0&amp;row=128&amp;col=9&amp;number=1.25&amp;sourceID=17","1.25")</f>
        <v>1.25</v>
      </c>
    </row>
    <row r="129" spans="1:9">
      <c r="A129" s="3"/>
      <c r="B129" s="3"/>
      <c r="C129" s="3"/>
      <c r="D129" s="3"/>
      <c r="E129" s="3">
        <v>9</v>
      </c>
      <c r="F129" s="4" t="str">
        <f>HYPERLINK("http://141.218.60.56/~jnz1568/getInfo.php?workbook=01_01.xlsx&amp;sheet=U0&amp;row=129&amp;col=6&amp;number=4.699&amp;sourceID=16","4.699")</f>
        <v>4.699</v>
      </c>
      <c r="G129" s="4" t="str">
        <f>HYPERLINK("http://141.218.60.56/~jnz1568/getInfo.php?workbook=01_01.xlsx&amp;sheet=U0&amp;row=129&amp;col=7&amp;number=1.068&amp;sourceID=16","1.068")</f>
        <v>1.068</v>
      </c>
      <c r="H129" s="4" t="str">
        <f>HYPERLINK("http://141.218.60.56/~jnz1568/getInfo.php?workbook=01_01.xlsx&amp;sheet=U0&amp;row=129&amp;col=8&amp;number=&amp;sourceID=17","")</f>
        <v/>
      </c>
      <c r="I129" s="4" t="str">
        <f>HYPERLINK("http://141.218.60.56/~jnz1568/getInfo.php?workbook=01_01.xlsx&amp;sheet=U0&amp;row=129&amp;col=9&amp;number=&amp;sourceID=17","")</f>
        <v/>
      </c>
    </row>
    <row r="130" spans="1:9">
      <c r="A130" s="3">
        <v>1</v>
      </c>
      <c r="B130" s="3">
        <v>1</v>
      </c>
      <c r="C130" s="3">
        <v>7</v>
      </c>
      <c r="D130" s="3">
        <v>3</v>
      </c>
      <c r="E130" s="3">
        <v>1</v>
      </c>
      <c r="F130" s="4" t="str">
        <f>HYPERLINK("http://141.218.60.56/~jnz1568/getInfo.php?workbook=01_01.xlsx&amp;sheet=U0&amp;row=130&amp;col=6&amp;number==LOG10(2500)&amp;sourceID=16","=LOG10(2500)")</f>
        <v>=LOG10(2500)</v>
      </c>
      <c r="G130" s="4" t="str">
        <f>HYPERLINK("http://141.218.60.56/~jnz1568/getInfo.php?workbook=01_01.xlsx&amp;sheet=U0&amp;row=130&amp;col=7&amp;number=0.6631&amp;sourceID=16","0.6631")</f>
        <v>0.6631</v>
      </c>
      <c r="H130" s="4" t="str">
        <f>HYPERLINK("http://141.218.60.56/~jnz1568/getInfo.php?workbook=01_01.xlsx&amp;sheet=U0&amp;row=130&amp;col=8&amp;number=3.764&amp;sourceID=17","3.764")</f>
        <v>3.764</v>
      </c>
      <c r="I130" s="4" t="str">
        <f>HYPERLINK("http://141.218.60.56/~jnz1568/getInfo.php?workbook=01_01.xlsx&amp;sheet=U0&amp;row=130&amp;col=9&amp;number=0.736&amp;sourceID=17","0.736")</f>
        <v>0.736</v>
      </c>
    </row>
    <row r="131" spans="1:9">
      <c r="A131" s="3"/>
      <c r="B131" s="3"/>
      <c r="C131" s="3"/>
      <c r="D131" s="3"/>
      <c r="E131" s="3">
        <v>2</v>
      </c>
      <c r="F131" s="4" t="str">
        <f>HYPERLINK("http://141.218.60.56/~jnz1568/getInfo.php?workbook=01_01.xlsx&amp;sheet=U0&amp;row=131&amp;col=6&amp;number=3.699&amp;sourceID=16","3.699")</f>
        <v>3.699</v>
      </c>
      <c r="G131" s="4" t="str">
        <f>HYPERLINK("http://141.218.60.56/~jnz1568/getInfo.php?workbook=01_01.xlsx&amp;sheet=U0&amp;row=131&amp;col=7&amp;number=0.7196&amp;sourceID=16","0.7196")</f>
        <v>0.7196</v>
      </c>
      <c r="H131" s="4" t="str">
        <f>HYPERLINK("http://141.218.60.56/~jnz1568/getInfo.php?workbook=01_01.xlsx&amp;sheet=U0&amp;row=131&amp;col=8&amp;number=4.064&amp;sourceID=17","4.064")</f>
        <v>4.064</v>
      </c>
      <c r="I131" s="4" t="str">
        <f>HYPERLINK("http://141.218.60.56/~jnz1568/getInfo.php?workbook=01_01.xlsx&amp;sheet=U0&amp;row=131&amp;col=9&amp;number=0.771&amp;sourceID=17","0.771")</f>
        <v>0.771</v>
      </c>
    </row>
    <row r="132" spans="1:9">
      <c r="A132" s="3"/>
      <c r="B132" s="3"/>
      <c r="C132" s="3"/>
      <c r="D132" s="3"/>
      <c r="E132" s="3">
        <v>3</v>
      </c>
      <c r="F132" s="4" t="str">
        <f>HYPERLINK("http://141.218.60.56/~jnz1568/getInfo.php?workbook=01_01.xlsx&amp;sheet=U0&amp;row=132&amp;col=6&amp;number=3.875&amp;sourceID=16","3.875")</f>
        <v>3.875</v>
      </c>
      <c r="G132" s="4" t="str">
        <f>HYPERLINK("http://141.218.60.56/~jnz1568/getInfo.php?workbook=01_01.xlsx&amp;sheet=U0&amp;row=132&amp;col=7&amp;number=0.7786&amp;sourceID=16","0.7786")</f>
        <v>0.7786</v>
      </c>
      <c r="H132" s="4" t="str">
        <f>HYPERLINK("http://141.218.60.56/~jnz1568/getInfo.php?workbook=01_01.xlsx&amp;sheet=U0&amp;row=132&amp;col=8&amp;number=4.542&amp;sourceID=17","4.542")</f>
        <v>4.542</v>
      </c>
      <c r="I132" s="4" t="str">
        <f>HYPERLINK("http://141.218.60.56/~jnz1568/getInfo.php?workbook=01_01.xlsx&amp;sheet=U0&amp;row=132&amp;col=9&amp;number=0.758&amp;sourceID=17","0.758")</f>
        <v>0.758</v>
      </c>
    </row>
    <row r="133" spans="1:9">
      <c r="A133" s="3"/>
      <c r="B133" s="3"/>
      <c r="C133" s="3"/>
      <c r="D133" s="3"/>
      <c r="E133" s="3">
        <v>4</v>
      </c>
      <c r="F133" s="4" t="str">
        <f>HYPERLINK("http://141.218.60.56/~jnz1568/getInfo.php?workbook=01_01.xlsx&amp;sheet=U0&amp;row=133&amp;col=6&amp;number=4&amp;sourceID=16","4")</f>
        <v>4</v>
      </c>
      <c r="G133" s="4" t="str">
        <f>HYPERLINK("http://141.218.60.56/~jnz1568/getInfo.php?workbook=01_01.xlsx&amp;sheet=U0&amp;row=133&amp;col=7&amp;number=0.8432&amp;sourceID=16","0.8432")</f>
        <v>0.8432</v>
      </c>
      <c r="H133" s="4" t="str">
        <f>HYPERLINK("http://141.218.60.56/~jnz1568/getInfo.php?workbook=01_01.xlsx&amp;sheet=U0&amp;row=133&amp;col=8&amp;number=4.764&amp;sourceID=17","4.764")</f>
        <v>4.764</v>
      </c>
      <c r="I133" s="4" t="str">
        <f>HYPERLINK("http://141.218.60.56/~jnz1568/getInfo.php?workbook=01_01.xlsx&amp;sheet=U0&amp;row=133&amp;col=9&amp;number=0.742&amp;sourceID=17","0.742")</f>
        <v>0.742</v>
      </c>
    </row>
    <row r="134" spans="1:9">
      <c r="A134" s="3"/>
      <c r="B134" s="3"/>
      <c r="C134" s="3"/>
      <c r="D134" s="3"/>
      <c r="E134" s="3">
        <v>5</v>
      </c>
      <c r="F134" s="4" t="str">
        <f>HYPERLINK("http://141.218.60.56/~jnz1568/getInfo.php?workbook=01_01.xlsx&amp;sheet=U0&amp;row=134&amp;col=6&amp;number=4.176&amp;sourceID=16","4.176")</f>
        <v>4.176</v>
      </c>
      <c r="G134" s="4" t="str">
        <f>HYPERLINK("http://141.218.60.56/~jnz1568/getInfo.php?workbook=01_01.xlsx&amp;sheet=U0&amp;row=134&amp;col=7&amp;number=0.9583&amp;sourceID=16","0.9583")</f>
        <v>0.9583</v>
      </c>
      <c r="H134" s="4" t="str">
        <f>HYPERLINK("http://141.218.60.56/~jnz1568/getInfo.php?workbook=01_01.xlsx&amp;sheet=U0&amp;row=134&amp;col=8&amp;number=5.064&amp;sourceID=17","5.064")</f>
        <v>5.064</v>
      </c>
      <c r="I134" s="4" t="str">
        <f>HYPERLINK("http://141.218.60.56/~jnz1568/getInfo.php?workbook=01_01.xlsx&amp;sheet=U0&amp;row=134&amp;col=9&amp;number=0.751&amp;sourceID=17","0.751")</f>
        <v>0.751</v>
      </c>
    </row>
    <row r="135" spans="1:9">
      <c r="A135" s="3"/>
      <c r="B135" s="3"/>
      <c r="C135" s="3"/>
      <c r="D135" s="3"/>
      <c r="E135" s="3">
        <v>6</v>
      </c>
      <c r="F135" s="4" t="str">
        <f>HYPERLINK("http://141.218.60.56/~jnz1568/getInfo.php?workbook=01_01.xlsx&amp;sheet=U0&amp;row=135&amp;col=6&amp;number=4.301&amp;sourceID=16","4.301")</f>
        <v>4.301</v>
      </c>
      <c r="G135" s="4" t="str">
        <f>HYPERLINK("http://141.218.60.56/~jnz1568/getInfo.php?workbook=01_01.xlsx&amp;sheet=U0&amp;row=135&amp;col=7&amp;number=1.043&amp;sourceID=16","1.043")</f>
        <v>1.043</v>
      </c>
      <c r="H135" s="4" t="str">
        <f>HYPERLINK("http://141.218.60.56/~jnz1568/getInfo.php?workbook=01_01.xlsx&amp;sheet=U0&amp;row=135&amp;col=8&amp;number=5.241&amp;sourceID=17","5.241")</f>
        <v>5.241</v>
      </c>
      <c r="I135" s="4" t="str">
        <f>HYPERLINK("http://141.218.60.56/~jnz1568/getInfo.php?workbook=01_01.xlsx&amp;sheet=U0&amp;row=135&amp;col=9&amp;number=0.784&amp;sourceID=17","0.784")</f>
        <v>0.784</v>
      </c>
    </row>
    <row r="136" spans="1:9">
      <c r="A136" s="3"/>
      <c r="B136" s="3"/>
      <c r="C136" s="3"/>
      <c r="D136" s="3"/>
      <c r="E136" s="3">
        <v>7</v>
      </c>
      <c r="F136" s="4" t="str">
        <f>HYPERLINK("http://141.218.60.56/~jnz1568/getInfo.php?workbook=01_01.xlsx&amp;sheet=U0&amp;row=136&amp;col=6&amp;number=4.477&amp;sourceID=16","4.477")</f>
        <v>4.477</v>
      </c>
      <c r="G136" s="4" t="str">
        <f>HYPERLINK("http://141.218.60.56/~jnz1568/getInfo.php?workbook=01_01.xlsx&amp;sheet=U0&amp;row=136&amp;col=7&amp;number=1.144&amp;sourceID=16","1.144")</f>
        <v>1.144</v>
      </c>
      <c r="H136" s="4" t="str">
        <f>HYPERLINK("http://141.218.60.56/~jnz1568/getInfo.php?workbook=01_01.xlsx&amp;sheet=U0&amp;row=136&amp;col=8&amp;number=5.366&amp;sourceID=17","5.366")</f>
        <v>5.366</v>
      </c>
      <c r="I136" s="4" t="str">
        <f>HYPERLINK("http://141.218.60.56/~jnz1568/getInfo.php?workbook=01_01.xlsx&amp;sheet=U0&amp;row=136&amp;col=9&amp;number=0.821&amp;sourceID=17","0.821")</f>
        <v>0.821</v>
      </c>
    </row>
    <row r="137" spans="1:9">
      <c r="A137" s="3"/>
      <c r="B137" s="3"/>
      <c r="C137" s="3"/>
      <c r="D137" s="3"/>
      <c r="E137" s="3">
        <v>8</v>
      </c>
      <c r="F137" s="4" t="str">
        <f>HYPERLINK("http://141.218.60.56/~jnz1568/getInfo.php?workbook=01_01.xlsx&amp;sheet=U0&amp;row=137&amp;col=6&amp;number=4.602&amp;sourceID=16","4.602")</f>
        <v>4.602</v>
      </c>
      <c r="G137" s="4" t="str">
        <f>HYPERLINK("http://141.218.60.56/~jnz1568/getInfo.php?workbook=01_01.xlsx&amp;sheet=U0&amp;row=137&amp;col=7&amp;number=1.195&amp;sourceID=16","1.195")</f>
        <v>1.195</v>
      </c>
      <c r="H137" s="4" t="str">
        <f>HYPERLINK("http://141.218.60.56/~jnz1568/getInfo.php?workbook=01_01.xlsx&amp;sheet=U0&amp;row=137&amp;col=8&amp;number=5.463&amp;sourceID=17","5.463")</f>
        <v>5.463</v>
      </c>
      <c r="I137" s="4" t="str">
        <f>HYPERLINK("http://141.218.60.56/~jnz1568/getInfo.php?workbook=01_01.xlsx&amp;sheet=U0&amp;row=137&amp;col=9&amp;number=0.857&amp;sourceID=17","0.857")</f>
        <v>0.857</v>
      </c>
    </row>
    <row r="138" spans="1:9">
      <c r="A138" s="3"/>
      <c r="B138" s="3"/>
      <c r="C138" s="3"/>
      <c r="D138" s="3"/>
      <c r="E138" s="3">
        <v>9</v>
      </c>
      <c r="F138" s="4" t="str">
        <f>HYPERLINK("http://141.218.60.56/~jnz1568/getInfo.php?workbook=01_01.xlsx&amp;sheet=U0&amp;row=138&amp;col=6&amp;number=4.699&amp;sourceID=16","4.699")</f>
        <v>4.699</v>
      </c>
      <c r="G138" s="4" t="str">
        <f>HYPERLINK("http://141.218.60.56/~jnz1568/getInfo.php?workbook=01_01.xlsx&amp;sheet=U0&amp;row=138&amp;col=7&amp;number=1.22&amp;sourceID=16","1.22")</f>
        <v>1.22</v>
      </c>
      <c r="H138" s="4" t="str">
        <f>HYPERLINK("http://141.218.60.56/~jnz1568/getInfo.php?workbook=01_01.xlsx&amp;sheet=U0&amp;row=138&amp;col=8&amp;number=&amp;sourceID=17","")</f>
        <v/>
      </c>
      <c r="I138" s="4" t="str">
        <f>HYPERLINK("http://141.218.60.56/~jnz1568/getInfo.php?workbook=01_01.xlsx&amp;sheet=U0&amp;row=138&amp;col=9&amp;number=&amp;sourceID=17","")</f>
        <v/>
      </c>
    </row>
    <row r="139" spans="1:9">
      <c r="A139" s="3">
        <v>1</v>
      </c>
      <c r="B139" s="3">
        <v>1</v>
      </c>
      <c r="C139" s="3">
        <v>7</v>
      </c>
      <c r="D139" s="3">
        <v>4</v>
      </c>
      <c r="E139" s="3">
        <v>1</v>
      </c>
      <c r="F139" s="4" t="str">
        <f>HYPERLINK("http://141.218.60.56/~jnz1568/getInfo.php?workbook=01_01.xlsx&amp;sheet=U0&amp;row=139&amp;col=6&amp;number==LOG10(2500)&amp;sourceID=16","=LOG10(2500)")</f>
        <v>=LOG10(2500)</v>
      </c>
      <c r="G139" s="4" t="str">
        <f>HYPERLINK("http://141.218.60.56/~jnz1568/getInfo.php?workbook=01_01.xlsx&amp;sheet=U0&amp;row=139&amp;col=7&amp;number=2.268&amp;sourceID=16","2.268")</f>
        <v>2.268</v>
      </c>
      <c r="H139" s="4" t="str">
        <f>HYPERLINK("http://141.218.60.56/~jnz1568/getInfo.php?workbook=01_01.xlsx&amp;sheet=U0&amp;row=139&amp;col=8&amp;number=3.764&amp;sourceID=17","3.764")</f>
        <v>3.764</v>
      </c>
      <c r="I139" s="4" t="str">
        <f>HYPERLINK("http://141.218.60.56/~jnz1568/getInfo.php?workbook=01_01.xlsx&amp;sheet=U0&amp;row=139&amp;col=9&amp;number=2.62&amp;sourceID=17","2.62")</f>
        <v>2.62</v>
      </c>
    </row>
    <row r="140" spans="1:9">
      <c r="A140" s="3"/>
      <c r="B140" s="3"/>
      <c r="C140" s="3"/>
      <c r="D140" s="3"/>
      <c r="E140" s="3">
        <v>2</v>
      </c>
      <c r="F140" s="4" t="str">
        <f>HYPERLINK("http://141.218.60.56/~jnz1568/getInfo.php?workbook=01_01.xlsx&amp;sheet=U0&amp;row=140&amp;col=6&amp;number=3.699&amp;sourceID=16","3.699")</f>
        <v>3.699</v>
      </c>
      <c r="G140" s="4" t="str">
        <f>HYPERLINK("http://141.218.60.56/~jnz1568/getInfo.php?workbook=01_01.xlsx&amp;sheet=U0&amp;row=140&amp;col=7&amp;number=2.539&amp;sourceID=16","2.539")</f>
        <v>2.539</v>
      </c>
      <c r="H140" s="4" t="str">
        <f>HYPERLINK("http://141.218.60.56/~jnz1568/getInfo.php?workbook=01_01.xlsx&amp;sheet=U0&amp;row=140&amp;col=8&amp;number=4.064&amp;sourceID=17","4.064")</f>
        <v>4.064</v>
      </c>
      <c r="I140" s="4" t="str">
        <f>HYPERLINK("http://141.218.60.56/~jnz1568/getInfo.php?workbook=01_01.xlsx&amp;sheet=U0&amp;row=140&amp;col=9&amp;number=4.31&amp;sourceID=17","4.31")</f>
        <v>4.31</v>
      </c>
    </row>
    <row r="141" spans="1:9">
      <c r="A141" s="3"/>
      <c r="B141" s="3"/>
      <c r="C141" s="3"/>
      <c r="D141" s="3"/>
      <c r="E141" s="3">
        <v>3</v>
      </c>
      <c r="F141" s="4" t="str">
        <f>HYPERLINK("http://141.218.60.56/~jnz1568/getInfo.php?workbook=01_01.xlsx&amp;sheet=U0&amp;row=141&amp;col=6&amp;number=3.875&amp;sourceID=16","3.875")</f>
        <v>3.875</v>
      </c>
      <c r="G141" s="4" t="str">
        <f>HYPERLINK("http://141.218.60.56/~jnz1568/getInfo.php?workbook=01_01.xlsx&amp;sheet=U0&amp;row=141&amp;col=7&amp;number=3.092&amp;sourceID=16","3.092")</f>
        <v>3.092</v>
      </c>
      <c r="H141" s="4" t="str">
        <f>HYPERLINK("http://141.218.60.56/~jnz1568/getInfo.php?workbook=01_01.xlsx&amp;sheet=U0&amp;row=141&amp;col=8&amp;number=4.542&amp;sourceID=17","4.542")</f>
        <v>4.542</v>
      </c>
      <c r="I141" s="4" t="str">
        <f>HYPERLINK("http://141.218.60.56/~jnz1568/getInfo.php?workbook=01_01.xlsx&amp;sheet=U0&amp;row=141&amp;col=9&amp;number=10.8&amp;sourceID=17","10.8")</f>
        <v>10.8</v>
      </c>
    </row>
    <row r="142" spans="1:9">
      <c r="A142" s="3"/>
      <c r="B142" s="3"/>
      <c r="C142" s="3"/>
      <c r="D142" s="3"/>
      <c r="E142" s="3">
        <v>4</v>
      </c>
      <c r="F142" s="4" t="str">
        <f>HYPERLINK("http://141.218.60.56/~jnz1568/getInfo.php?workbook=01_01.xlsx&amp;sheet=U0&amp;row=142&amp;col=6&amp;number=4&amp;sourceID=16","4")</f>
        <v>4</v>
      </c>
      <c r="G142" s="4" t="str">
        <f>HYPERLINK("http://141.218.60.56/~jnz1568/getInfo.php?workbook=01_01.xlsx&amp;sheet=U0&amp;row=142&amp;col=7&amp;number=3.861&amp;sourceID=16","3.861")</f>
        <v>3.861</v>
      </c>
      <c r="H142" s="4" t="str">
        <f>HYPERLINK("http://141.218.60.56/~jnz1568/getInfo.php?workbook=01_01.xlsx&amp;sheet=U0&amp;row=142&amp;col=8&amp;number=4.764&amp;sourceID=17","4.764")</f>
        <v>4.764</v>
      </c>
      <c r="I142" s="4" t="str">
        <f>HYPERLINK("http://141.218.60.56/~jnz1568/getInfo.php?workbook=01_01.xlsx&amp;sheet=U0&amp;row=142&amp;col=9&amp;number=15.4&amp;sourceID=17","15.4")</f>
        <v>15.4</v>
      </c>
    </row>
    <row r="143" spans="1:9">
      <c r="A143" s="3"/>
      <c r="B143" s="3"/>
      <c r="C143" s="3"/>
      <c r="D143" s="3"/>
      <c r="E143" s="3">
        <v>5</v>
      </c>
      <c r="F143" s="4" t="str">
        <f>HYPERLINK("http://141.218.60.56/~jnz1568/getInfo.php?workbook=01_01.xlsx&amp;sheet=U0&amp;row=143&amp;col=6&amp;number=4.176&amp;sourceID=16","4.176")</f>
        <v>4.176</v>
      </c>
      <c r="G143" s="4" t="str">
        <f>HYPERLINK("http://141.218.60.56/~jnz1568/getInfo.php?workbook=01_01.xlsx&amp;sheet=U0&amp;row=143&amp;col=7&amp;number=5.693&amp;sourceID=16","5.693")</f>
        <v>5.693</v>
      </c>
      <c r="H143" s="4" t="str">
        <f>HYPERLINK("http://141.218.60.56/~jnz1568/getInfo.php?workbook=01_01.xlsx&amp;sheet=U0&amp;row=143&amp;col=8&amp;number=5.064&amp;sourceID=17","5.064")</f>
        <v>5.064</v>
      </c>
      <c r="I143" s="4" t="str">
        <f>HYPERLINK("http://141.218.60.56/~jnz1568/getInfo.php?workbook=01_01.xlsx&amp;sheet=U0&amp;row=143&amp;col=9&amp;number=22.2&amp;sourceID=17","22.2")</f>
        <v>22.2</v>
      </c>
    </row>
    <row r="144" spans="1:9">
      <c r="A144" s="3"/>
      <c r="B144" s="3"/>
      <c r="C144" s="3"/>
      <c r="D144" s="3"/>
      <c r="E144" s="3">
        <v>6</v>
      </c>
      <c r="F144" s="4" t="str">
        <f>HYPERLINK("http://141.218.60.56/~jnz1568/getInfo.php?workbook=01_01.xlsx&amp;sheet=U0&amp;row=144&amp;col=6&amp;number=4.301&amp;sourceID=16","4.301")</f>
        <v>4.301</v>
      </c>
      <c r="G144" s="4" t="str">
        <f>HYPERLINK("http://141.218.60.56/~jnz1568/getInfo.php?workbook=01_01.xlsx&amp;sheet=U0&amp;row=144&amp;col=7&amp;number=7.647&amp;sourceID=16","7.647")</f>
        <v>7.647</v>
      </c>
      <c r="H144" s="4" t="str">
        <f>HYPERLINK("http://141.218.60.56/~jnz1568/getInfo.php?workbook=01_01.xlsx&amp;sheet=U0&amp;row=144&amp;col=8&amp;number=5.241&amp;sourceID=17","5.241")</f>
        <v>5.241</v>
      </c>
      <c r="I144" s="4" t="str">
        <f>HYPERLINK("http://141.218.60.56/~jnz1568/getInfo.php?workbook=01_01.xlsx&amp;sheet=U0&amp;row=144&amp;col=9&amp;number=26.2&amp;sourceID=17","26.2")</f>
        <v>26.2</v>
      </c>
    </row>
    <row r="145" spans="1:9">
      <c r="A145" s="3"/>
      <c r="B145" s="3"/>
      <c r="C145" s="3"/>
      <c r="D145" s="3"/>
      <c r="E145" s="3">
        <v>7</v>
      </c>
      <c r="F145" s="4" t="str">
        <f>HYPERLINK("http://141.218.60.56/~jnz1568/getInfo.php?workbook=01_01.xlsx&amp;sheet=U0&amp;row=145&amp;col=6&amp;number=4.477&amp;sourceID=16","4.477")</f>
        <v>4.477</v>
      </c>
      <c r="G145" s="4" t="str">
        <f>HYPERLINK("http://141.218.60.56/~jnz1568/getInfo.php?workbook=01_01.xlsx&amp;sheet=U0&amp;row=145&amp;col=7&amp;number=11.46&amp;sourceID=16","11.46")</f>
        <v>11.46</v>
      </c>
      <c r="H145" s="4" t="str">
        <f>HYPERLINK("http://141.218.60.56/~jnz1568/getInfo.php?workbook=01_01.xlsx&amp;sheet=U0&amp;row=145&amp;col=8&amp;number=5.366&amp;sourceID=17","5.366")</f>
        <v>5.366</v>
      </c>
      <c r="I145" s="4" t="str">
        <f>HYPERLINK("http://141.218.60.56/~jnz1568/getInfo.php?workbook=01_01.xlsx&amp;sheet=U0&amp;row=145&amp;col=9&amp;number=28.8&amp;sourceID=17","28.8")</f>
        <v>28.8</v>
      </c>
    </row>
    <row r="146" spans="1:9">
      <c r="A146" s="3"/>
      <c r="B146" s="3"/>
      <c r="C146" s="3"/>
      <c r="D146" s="3"/>
      <c r="E146" s="3">
        <v>8</v>
      </c>
      <c r="F146" s="4" t="str">
        <f>HYPERLINK("http://141.218.60.56/~jnz1568/getInfo.php?workbook=01_01.xlsx&amp;sheet=U0&amp;row=146&amp;col=6&amp;number=4.602&amp;sourceID=16","4.602")</f>
        <v>4.602</v>
      </c>
      <c r="G146" s="4" t="str">
        <f>HYPERLINK("http://141.218.60.56/~jnz1568/getInfo.php?workbook=01_01.xlsx&amp;sheet=U0&amp;row=146&amp;col=7&amp;number=14.9&amp;sourceID=16","14.9")</f>
        <v>14.9</v>
      </c>
      <c r="H146" s="4" t="str">
        <f>HYPERLINK("http://141.218.60.56/~jnz1568/getInfo.php?workbook=01_01.xlsx&amp;sheet=U0&amp;row=146&amp;col=8&amp;number=5.463&amp;sourceID=17","5.463")</f>
        <v>5.463</v>
      </c>
      <c r="I146" s="4" t="str">
        <f>HYPERLINK("http://141.218.60.56/~jnz1568/getInfo.php?workbook=01_01.xlsx&amp;sheet=U0&amp;row=146&amp;col=9&amp;number=30.7&amp;sourceID=17","30.7")</f>
        <v>30.7</v>
      </c>
    </row>
    <row r="147" spans="1:9">
      <c r="A147" s="3"/>
      <c r="B147" s="3"/>
      <c r="C147" s="3"/>
      <c r="D147" s="3"/>
      <c r="E147" s="3">
        <v>9</v>
      </c>
      <c r="F147" s="4" t="str">
        <f>HYPERLINK("http://141.218.60.56/~jnz1568/getInfo.php?workbook=01_01.xlsx&amp;sheet=U0&amp;row=147&amp;col=6&amp;number=4.699&amp;sourceID=16","4.699")</f>
        <v>4.699</v>
      </c>
      <c r="G147" s="4" t="str">
        <f>HYPERLINK("http://141.218.60.56/~jnz1568/getInfo.php?workbook=01_01.xlsx&amp;sheet=U0&amp;row=147&amp;col=7&amp;number=17.87&amp;sourceID=16","17.87")</f>
        <v>17.87</v>
      </c>
      <c r="H147" s="4" t="str">
        <f>HYPERLINK("http://141.218.60.56/~jnz1568/getInfo.php?workbook=01_01.xlsx&amp;sheet=U0&amp;row=147&amp;col=8&amp;number=&amp;sourceID=17","")</f>
        <v/>
      </c>
      <c r="I147" s="4" t="str">
        <f>HYPERLINK("http://141.218.60.56/~jnz1568/getInfo.php?workbook=01_01.xlsx&amp;sheet=U0&amp;row=147&amp;col=9&amp;number=&amp;sourceID=17","")</f>
        <v/>
      </c>
    </row>
    <row r="148" spans="1:9">
      <c r="A148" s="3">
        <v>1</v>
      </c>
      <c r="B148" s="3">
        <v>1</v>
      </c>
      <c r="C148" s="3">
        <v>7</v>
      </c>
      <c r="D148" s="3">
        <v>5</v>
      </c>
      <c r="E148" s="3">
        <v>1</v>
      </c>
      <c r="F148" s="4" t="str">
        <f>HYPERLINK("http://141.218.60.56/~jnz1568/getInfo.php?workbook=01_01.xlsx&amp;sheet=U0&amp;row=148&amp;col=6&amp;number==LOG10(2500)&amp;sourceID=16","=LOG10(2500)")</f>
        <v>=LOG10(2500)</v>
      </c>
      <c r="G148" s="4" t="str">
        <f>HYPERLINK("http://141.218.60.56/~jnz1568/getInfo.php?workbook=01_01.xlsx&amp;sheet=U0&amp;row=148&amp;col=7&amp;number=3.983&amp;sourceID=16","3.983")</f>
        <v>3.983</v>
      </c>
      <c r="H148" s="4" t="str">
        <f>HYPERLINK("http://141.218.60.56/~jnz1568/getInfo.php?workbook=01_01.xlsx&amp;sheet=U0&amp;row=148&amp;col=8&amp;number=3.764&amp;sourceID=17","3.764")</f>
        <v>3.764</v>
      </c>
      <c r="I148" s="4" t="str">
        <f>HYPERLINK("http://141.218.60.56/~jnz1568/getInfo.php?workbook=01_01.xlsx&amp;sheet=U0&amp;row=148&amp;col=9&amp;number=4.07&amp;sourceID=17","4.07")</f>
        <v>4.07</v>
      </c>
    </row>
    <row r="149" spans="1:9">
      <c r="A149" s="3"/>
      <c r="B149" s="3"/>
      <c r="C149" s="3"/>
      <c r="D149" s="3"/>
      <c r="E149" s="3">
        <v>2</v>
      </c>
      <c r="F149" s="4" t="str">
        <f>HYPERLINK("http://141.218.60.56/~jnz1568/getInfo.php?workbook=01_01.xlsx&amp;sheet=U0&amp;row=149&amp;col=6&amp;number=3.699&amp;sourceID=16","3.699")</f>
        <v>3.699</v>
      </c>
      <c r="G149" s="4" t="str">
        <f>HYPERLINK("http://141.218.60.56/~jnz1568/getInfo.php?workbook=01_01.xlsx&amp;sheet=U0&amp;row=149&amp;col=7&amp;number=4.345&amp;sourceID=16","4.345")</f>
        <v>4.345</v>
      </c>
      <c r="H149" s="4" t="str">
        <f>HYPERLINK("http://141.218.60.56/~jnz1568/getInfo.php?workbook=01_01.xlsx&amp;sheet=U0&amp;row=149&amp;col=8&amp;number=4.064&amp;sourceID=17","4.064")</f>
        <v>4.064</v>
      </c>
      <c r="I149" s="4" t="str">
        <f>HYPERLINK("http://141.218.60.56/~jnz1568/getInfo.php?workbook=01_01.xlsx&amp;sheet=U0&amp;row=149&amp;col=9&amp;number=4.88&amp;sourceID=17","4.88")</f>
        <v>4.88</v>
      </c>
    </row>
    <row r="150" spans="1:9">
      <c r="A150" s="3"/>
      <c r="B150" s="3"/>
      <c r="C150" s="3"/>
      <c r="D150" s="3"/>
      <c r="E150" s="3">
        <v>3</v>
      </c>
      <c r="F150" s="4" t="str">
        <f>HYPERLINK("http://141.218.60.56/~jnz1568/getInfo.php?workbook=01_01.xlsx&amp;sheet=U0&amp;row=150&amp;col=6&amp;number=3.875&amp;sourceID=16","3.875")</f>
        <v>3.875</v>
      </c>
      <c r="G150" s="4" t="str">
        <f>HYPERLINK("http://141.218.60.56/~jnz1568/getInfo.php?workbook=01_01.xlsx&amp;sheet=U0&amp;row=150&amp;col=7&amp;number=4.701&amp;sourceID=16","4.701")</f>
        <v>4.701</v>
      </c>
      <c r="H150" s="4" t="str">
        <f>HYPERLINK("http://141.218.60.56/~jnz1568/getInfo.php?workbook=01_01.xlsx&amp;sheet=U0&amp;row=150&amp;col=8&amp;number=4.542&amp;sourceID=17","4.542")</f>
        <v>4.542</v>
      </c>
      <c r="I150" s="4" t="str">
        <f>HYPERLINK("http://141.218.60.56/~jnz1568/getInfo.php?workbook=01_01.xlsx&amp;sheet=U0&amp;row=150&amp;col=9&amp;number=7.63&amp;sourceID=17","7.63")</f>
        <v>7.63</v>
      </c>
    </row>
    <row r="151" spans="1:9">
      <c r="A151" s="3"/>
      <c r="B151" s="3"/>
      <c r="C151" s="3"/>
      <c r="D151" s="3"/>
      <c r="E151" s="3">
        <v>4</v>
      </c>
      <c r="F151" s="4" t="str">
        <f>HYPERLINK("http://141.218.60.56/~jnz1568/getInfo.php?workbook=01_01.xlsx&amp;sheet=U0&amp;row=151&amp;col=6&amp;number=4&amp;sourceID=16","4")</f>
        <v>4</v>
      </c>
      <c r="G151" s="4" t="str">
        <f>HYPERLINK("http://141.218.60.56/~jnz1568/getInfo.php?workbook=01_01.xlsx&amp;sheet=U0&amp;row=151&amp;col=7&amp;number=5.153&amp;sourceID=16","5.153")</f>
        <v>5.153</v>
      </c>
      <c r="H151" s="4" t="str">
        <f>HYPERLINK("http://141.218.60.56/~jnz1568/getInfo.php?workbook=01_01.xlsx&amp;sheet=U0&amp;row=151&amp;col=8&amp;number=4.764&amp;sourceID=17","4.764")</f>
        <v>4.764</v>
      </c>
      <c r="I151" s="4" t="str">
        <f>HYPERLINK("http://141.218.60.56/~jnz1568/getInfo.php?workbook=01_01.xlsx&amp;sheet=U0&amp;row=151&amp;col=9&amp;number=9.79&amp;sourceID=17","9.79")</f>
        <v>9.79</v>
      </c>
    </row>
    <row r="152" spans="1:9">
      <c r="A152" s="3"/>
      <c r="B152" s="3"/>
      <c r="C152" s="3"/>
      <c r="D152" s="3"/>
      <c r="E152" s="3">
        <v>5</v>
      </c>
      <c r="F152" s="4" t="str">
        <f>HYPERLINK("http://141.218.60.56/~jnz1568/getInfo.php?workbook=01_01.xlsx&amp;sheet=U0&amp;row=152&amp;col=6&amp;number=4.176&amp;sourceID=16","4.176")</f>
        <v>4.176</v>
      </c>
      <c r="G152" s="4" t="str">
        <f>HYPERLINK("http://141.218.60.56/~jnz1568/getInfo.php?workbook=01_01.xlsx&amp;sheet=U0&amp;row=152&amp;col=7&amp;number=6.169&amp;sourceID=16","6.169")</f>
        <v>6.169</v>
      </c>
      <c r="H152" s="4" t="str">
        <f>HYPERLINK("http://141.218.60.56/~jnz1568/getInfo.php?workbook=01_01.xlsx&amp;sheet=U0&amp;row=152&amp;col=8&amp;number=5.064&amp;sourceID=17","5.064")</f>
        <v>5.064</v>
      </c>
      <c r="I152" s="4" t="str">
        <f>HYPERLINK("http://141.218.60.56/~jnz1568/getInfo.php?workbook=01_01.xlsx&amp;sheet=U0&amp;row=152&amp;col=9&amp;number=14.1&amp;sourceID=17","14.1")</f>
        <v>14.1</v>
      </c>
    </row>
    <row r="153" spans="1:9">
      <c r="A153" s="3"/>
      <c r="B153" s="3"/>
      <c r="C153" s="3"/>
      <c r="D153" s="3"/>
      <c r="E153" s="3">
        <v>6</v>
      </c>
      <c r="F153" s="4" t="str">
        <f>HYPERLINK("http://141.218.60.56/~jnz1568/getInfo.php?workbook=01_01.xlsx&amp;sheet=U0&amp;row=153&amp;col=6&amp;number=4.301&amp;sourceID=16","4.301")</f>
        <v>4.301</v>
      </c>
      <c r="G153" s="4" t="str">
        <f>HYPERLINK("http://141.218.60.56/~jnz1568/getInfo.php?workbook=01_01.xlsx&amp;sheet=U0&amp;row=153&amp;col=7&amp;number=7.18&amp;sourceID=16","7.18")</f>
        <v>7.18</v>
      </c>
      <c r="H153" s="4" t="str">
        <f>HYPERLINK("http://141.218.60.56/~jnz1568/getInfo.php?workbook=01_01.xlsx&amp;sheet=U0&amp;row=153&amp;col=8&amp;number=5.241&amp;sourceID=17","5.241")</f>
        <v>5.241</v>
      </c>
      <c r="I153" s="4" t="str">
        <f>HYPERLINK("http://141.218.60.56/~jnz1568/getInfo.php?workbook=01_01.xlsx&amp;sheet=U0&amp;row=153&amp;col=9&amp;number=17.5&amp;sourceID=17","17.5")</f>
        <v>17.5</v>
      </c>
    </row>
    <row r="154" spans="1:9">
      <c r="A154" s="3"/>
      <c r="B154" s="3"/>
      <c r="C154" s="3"/>
      <c r="D154" s="3"/>
      <c r="E154" s="3">
        <v>7</v>
      </c>
      <c r="F154" s="4" t="str">
        <f>HYPERLINK("http://141.218.60.56/~jnz1568/getInfo.php?workbook=01_01.xlsx&amp;sheet=U0&amp;row=154&amp;col=6&amp;number=4.477&amp;sourceID=16","4.477")</f>
        <v>4.477</v>
      </c>
      <c r="G154" s="4" t="str">
        <f>HYPERLINK("http://141.218.60.56/~jnz1568/getInfo.php?workbook=01_01.xlsx&amp;sheet=U0&amp;row=154&amp;col=7&amp;number=9.024&amp;sourceID=16","9.024")</f>
        <v>9.024</v>
      </c>
      <c r="H154" s="4" t="str">
        <f>HYPERLINK("http://141.218.60.56/~jnz1568/getInfo.php?workbook=01_01.xlsx&amp;sheet=U0&amp;row=154&amp;col=8&amp;number=5.366&amp;sourceID=17","5.366")</f>
        <v>5.366</v>
      </c>
      <c r="I154" s="4" t="str">
        <f>HYPERLINK("http://141.218.60.56/~jnz1568/getInfo.php?workbook=01_01.xlsx&amp;sheet=U0&amp;row=154&amp;col=9&amp;number=20.3&amp;sourceID=17","20.3")</f>
        <v>20.3</v>
      </c>
    </row>
    <row r="155" spans="1:9">
      <c r="A155" s="3"/>
      <c r="B155" s="3"/>
      <c r="C155" s="3"/>
      <c r="D155" s="3"/>
      <c r="E155" s="3">
        <v>8</v>
      </c>
      <c r="F155" s="4" t="str">
        <f>HYPERLINK("http://141.218.60.56/~jnz1568/getInfo.php?workbook=01_01.xlsx&amp;sheet=U0&amp;row=155&amp;col=6&amp;number=4.602&amp;sourceID=16","4.602")</f>
        <v>4.602</v>
      </c>
      <c r="G155" s="4" t="str">
        <f>HYPERLINK("http://141.218.60.56/~jnz1568/getInfo.php?workbook=01_01.xlsx&amp;sheet=U0&amp;row=155&amp;col=7&amp;number=10.62&amp;sourceID=16","10.62")</f>
        <v>10.62</v>
      </c>
      <c r="H155" s="4" t="str">
        <f>HYPERLINK("http://141.218.60.56/~jnz1568/getInfo.php?workbook=01_01.xlsx&amp;sheet=U0&amp;row=155&amp;col=8&amp;number=5.463&amp;sourceID=17","5.463")</f>
        <v>5.463</v>
      </c>
      <c r="I155" s="4" t="str">
        <f>HYPERLINK("http://141.218.60.56/~jnz1568/getInfo.php?workbook=01_01.xlsx&amp;sheet=U0&amp;row=155&amp;col=9&amp;number=22.7&amp;sourceID=17","22.7")</f>
        <v>22.7</v>
      </c>
    </row>
    <row r="156" spans="1:9">
      <c r="A156" s="3"/>
      <c r="B156" s="3"/>
      <c r="C156" s="3"/>
      <c r="D156" s="3"/>
      <c r="E156" s="3">
        <v>9</v>
      </c>
      <c r="F156" s="4" t="str">
        <f>HYPERLINK("http://141.218.60.56/~jnz1568/getInfo.php?workbook=01_01.xlsx&amp;sheet=U0&amp;row=156&amp;col=6&amp;number=4.699&amp;sourceID=16","4.699")</f>
        <v>4.699</v>
      </c>
      <c r="G156" s="4" t="str">
        <f>HYPERLINK("http://141.218.60.56/~jnz1568/getInfo.php?workbook=01_01.xlsx&amp;sheet=U0&amp;row=156&amp;col=7&amp;number=11.99&amp;sourceID=16","11.99")</f>
        <v>11.99</v>
      </c>
      <c r="H156" s="4" t="str">
        <f>HYPERLINK("http://141.218.60.56/~jnz1568/getInfo.php?workbook=01_01.xlsx&amp;sheet=U0&amp;row=156&amp;col=8&amp;number=&amp;sourceID=17","")</f>
        <v/>
      </c>
      <c r="I156" s="4" t="str">
        <f>HYPERLINK("http://141.218.60.56/~jnz1568/getInfo.php?workbook=01_01.xlsx&amp;sheet=U0&amp;row=156&amp;col=9&amp;number=&amp;sourceID=17","")</f>
        <v/>
      </c>
    </row>
    <row r="157" spans="1:9">
      <c r="A157" s="3">
        <v>1</v>
      </c>
      <c r="B157" s="3">
        <v>1</v>
      </c>
      <c r="C157" s="3">
        <v>7</v>
      </c>
      <c r="D157" s="3">
        <v>6</v>
      </c>
      <c r="E157" s="3">
        <v>1</v>
      </c>
      <c r="F157" s="4" t="str">
        <f>HYPERLINK("http://141.218.60.56/~jnz1568/getInfo.php?workbook=01_01.xlsx&amp;sheet=U0&amp;row=157&amp;col=6&amp;number==LOG10(2500)&amp;sourceID=16","=LOG10(2500)")</f>
        <v>=LOG10(2500)</v>
      </c>
      <c r="G157" s="4" t="str">
        <f>HYPERLINK("http://141.218.60.56/~jnz1568/getInfo.php?workbook=01_01.xlsx&amp;sheet=U0&amp;row=157&amp;col=7&amp;number=3.957&amp;sourceID=16","3.957")</f>
        <v>3.957</v>
      </c>
      <c r="H157" s="4" t="str">
        <f>HYPERLINK("http://141.218.60.56/~jnz1568/getInfo.php?workbook=01_01.xlsx&amp;sheet=U0&amp;row=157&amp;col=8&amp;number=3.764&amp;sourceID=17","3.764")</f>
        <v>3.764</v>
      </c>
      <c r="I157" s="4" t="str">
        <f>HYPERLINK("http://141.218.60.56/~jnz1568/getInfo.php?workbook=01_01.xlsx&amp;sheet=U0&amp;row=157&amp;col=9&amp;number=4.21&amp;sourceID=17","4.21")</f>
        <v>4.21</v>
      </c>
    </row>
    <row r="158" spans="1:9">
      <c r="A158" s="3"/>
      <c r="B158" s="3"/>
      <c r="C158" s="3"/>
      <c r="D158" s="3"/>
      <c r="E158" s="3">
        <v>2</v>
      </c>
      <c r="F158" s="4" t="str">
        <f>HYPERLINK("http://141.218.60.56/~jnz1568/getInfo.php?workbook=01_01.xlsx&amp;sheet=U0&amp;row=158&amp;col=6&amp;number=3.699&amp;sourceID=16","3.699")</f>
        <v>3.699</v>
      </c>
      <c r="G158" s="4" t="str">
        <f>HYPERLINK("http://141.218.60.56/~jnz1568/getInfo.php?workbook=01_01.xlsx&amp;sheet=U0&amp;row=158&amp;col=7&amp;number=4.346&amp;sourceID=16","4.346")</f>
        <v>4.346</v>
      </c>
      <c r="H158" s="4" t="str">
        <f>HYPERLINK("http://141.218.60.56/~jnz1568/getInfo.php?workbook=01_01.xlsx&amp;sheet=U0&amp;row=158&amp;col=8&amp;number=4.064&amp;sourceID=17","4.064")</f>
        <v>4.064</v>
      </c>
      <c r="I158" s="4" t="str">
        <f>HYPERLINK("http://141.218.60.56/~jnz1568/getInfo.php?workbook=01_01.xlsx&amp;sheet=U0&amp;row=158&amp;col=9&amp;number=4.27&amp;sourceID=17","4.27")</f>
        <v>4.27</v>
      </c>
    </row>
    <row r="159" spans="1:9">
      <c r="A159" s="3"/>
      <c r="B159" s="3"/>
      <c r="C159" s="3"/>
      <c r="D159" s="3"/>
      <c r="E159" s="3">
        <v>3</v>
      </c>
      <c r="F159" s="4" t="str">
        <f>HYPERLINK("http://141.218.60.56/~jnz1568/getInfo.php?workbook=01_01.xlsx&amp;sheet=U0&amp;row=159&amp;col=6&amp;number=3.875&amp;sourceID=16","3.875")</f>
        <v>3.875</v>
      </c>
      <c r="G159" s="4" t="str">
        <f>HYPERLINK("http://141.218.60.56/~jnz1568/getInfo.php?workbook=01_01.xlsx&amp;sheet=U0&amp;row=159&amp;col=7&amp;number=4.498&amp;sourceID=16","4.498")</f>
        <v>4.498</v>
      </c>
      <c r="H159" s="4" t="str">
        <f>HYPERLINK("http://141.218.60.56/~jnz1568/getInfo.php?workbook=01_01.xlsx&amp;sheet=U0&amp;row=159&amp;col=8&amp;number=4.542&amp;sourceID=17","4.542")</f>
        <v>4.542</v>
      </c>
      <c r="I159" s="4" t="str">
        <f>HYPERLINK("http://141.218.60.56/~jnz1568/getInfo.php?workbook=01_01.xlsx&amp;sheet=U0&amp;row=159&amp;col=9&amp;number=4.35&amp;sourceID=17","4.35")</f>
        <v>4.35</v>
      </c>
    </row>
    <row r="160" spans="1:9">
      <c r="A160" s="3"/>
      <c r="B160" s="3"/>
      <c r="C160" s="3"/>
      <c r="D160" s="3"/>
      <c r="E160" s="3">
        <v>4</v>
      </c>
      <c r="F160" s="4" t="str">
        <f>HYPERLINK("http://141.218.60.56/~jnz1568/getInfo.php?workbook=01_01.xlsx&amp;sheet=U0&amp;row=160&amp;col=6&amp;number=4&amp;sourceID=16","4")</f>
        <v>4</v>
      </c>
      <c r="G160" s="4" t="str">
        <f>HYPERLINK("http://141.218.60.56/~jnz1568/getInfo.php?workbook=01_01.xlsx&amp;sheet=U0&amp;row=160&amp;col=7&amp;number=4.628&amp;sourceID=16","4.628")</f>
        <v>4.628</v>
      </c>
      <c r="H160" s="4" t="str">
        <f>HYPERLINK("http://141.218.60.56/~jnz1568/getInfo.php?workbook=01_01.xlsx&amp;sheet=U0&amp;row=160&amp;col=8&amp;number=4.764&amp;sourceID=17","4.764")</f>
        <v>4.764</v>
      </c>
      <c r="I160" s="4" t="str">
        <f>HYPERLINK("http://141.218.60.56/~jnz1568/getInfo.php?workbook=01_01.xlsx&amp;sheet=U0&amp;row=160&amp;col=9&amp;number=4.56&amp;sourceID=17","4.56")</f>
        <v>4.56</v>
      </c>
    </row>
    <row r="161" spans="1:9">
      <c r="A161" s="3"/>
      <c r="B161" s="3"/>
      <c r="C161" s="3"/>
      <c r="D161" s="3"/>
      <c r="E161" s="3">
        <v>5</v>
      </c>
      <c r="F161" s="4" t="str">
        <f>HYPERLINK("http://141.218.60.56/~jnz1568/getInfo.php?workbook=01_01.xlsx&amp;sheet=U0&amp;row=161&amp;col=6&amp;number=4.176&amp;sourceID=16","4.176")</f>
        <v>4.176</v>
      </c>
      <c r="G161" s="4" t="str">
        <f>HYPERLINK("http://141.218.60.56/~jnz1568/getInfo.php?workbook=01_01.xlsx&amp;sheet=U0&amp;row=161&amp;col=7&amp;number=4.889&amp;sourceID=16","4.889")</f>
        <v>4.889</v>
      </c>
      <c r="H161" s="4" t="str">
        <f>HYPERLINK("http://141.218.60.56/~jnz1568/getInfo.php?workbook=01_01.xlsx&amp;sheet=U0&amp;row=161&amp;col=8&amp;number=5.064&amp;sourceID=17","5.064")</f>
        <v>5.064</v>
      </c>
      <c r="I161" s="4" t="str">
        <f>HYPERLINK("http://141.218.60.56/~jnz1568/getInfo.php?workbook=01_01.xlsx&amp;sheet=U0&amp;row=161&amp;col=9&amp;number=4.93&amp;sourceID=17","4.93")</f>
        <v>4.93</v>
      </c>
    </row>
    <row r="162" spans="1:9">
      <c r="A162" s="3"/>
      <c r="B162" s="3"/>
      <c r="C162" s="3"/>
      <c r="D162" s="3"/>
      <c r="E162" s="3">
        <v>6</v>
      </c>
      <c r="F162" s="4" t="str">
        <f>HYPERLINK("http://141.218.60.56/~jnz1568/getInfo.php?workbook=01_01.xlsx&amp;sheet=U0&amp;row=162&amp;col=6&amp;number=4.301&amp;sourceID=16","4.301")</f>
        <v>4.301</v>
      </c>
      <c r="G162" s="4" t="str">
        <f>HYPERLINK("http://141.218.60.56/~jnz1568/getInfo.php?workbook=01_01.xlsx&amp;sheet=U0&amp;row=162&amp;col=7&amp;number=5.135&amp;sourceID=16","5.135")</f>
        <v>5.135</v>
      </c>
      <c r="H162" s="4" t="str">
        <f>HYPERLINK("http://141.218.60.56/~jnz1568/getInfo.php?workbook=01_01.xlsx&amp;sheet=U0&amp;row=162&amp;col=8&amp;number=5.241&amp;sourceID=17","5.241")</f>
        <v>5.241</v>
      </c>
      <c r="I162" s="4" t="str">
        <f>HYPERLINK("http://141.218.60.56/~jnz1568/getInfo.php?workbook=01_01.xlsx&amp;sheet=U0&amp;row=162&amp;col=9&amp;number=5.12&amp;sourceID=17","5.12")</f>
        <v>5.12</v>
      </c>
    </row>
    <row r="163" spans="1:9">
      <c r="A163" s="3"/>
      <c r="B163" s="3"/>
      <c r="C163" s="3"/>
      <c r="D163" s="3"/>
      <c r="E163" s="3">
        <v>7</v>
      </c>
      <c r="F163" s="4" t="str">
        <f>HYPERLINK("http://141.218.60.56/~jnz1568/getInfo.php?workbook=01_01.xlsx&amp;sheet=U0&amp;row=163&amp;col=6&amp;number=4.477&amp;sourceID=16","4.477")</f>
        <v>4.477</v>
      </c>
      <c r="G163" s="4" t="str">
        <f>HYPERLINK("http://141.218.60.56/~jnz1568/getInfo.php?workbook=01_01.xlsx&amp;sheet=U0&amp;row=163&amp;col=7&amp;number=5.555&amp;sourceID=16","5.555")</f>
        <v>5.555</v>
      </c>
      <c r="H163" s="4" t="str">
        <f>HYPERLINK("http://141.218.60.56/~jnz1568/getInfo.php?workbook=01_01.xlsx&amp;sheet=U0&amp;row=163&amp;col=8&amp;number=5.366&amp;sourceID=17","5.366")</f>
        <v>5.366</v>
      </c>
      <c r="I163" s="4" t="str">
        <f>HYPERLINK("http://141.218.60.56/~jnz1568/getInfo.php?workbook=01_01.xlsx&amp;sheet=U0&amp;row=163&amp;col=9&amp;number=5.23&amp;sourceID=17","5.23")</f>
        <v>5.23</v>
      </c>
    </row>
    <row r="164" spans="1:9">
      <c r="A164" s="3"/>
      <c r="B164" s="3"/>
      <c r="C164" s="3"/>
      <c r="D164" s="3"/>
      <c r="E164" s="3">
        <v>8</v>
      </c>
      <c r="F164" s="4" t="str">
        <f>HYPERLINK("http://141.218.60.56/~jnz1568/getInfo.php?workbook=01_01.xlsx&amp;sheet=U0&amp;row=164&amp;col=6&amp;number=4.602&amp;sourceID=16","4.602")</f>
        <v>4.602</v>
      </c>
      <c r="G164" s="4" t="str">
        <f>HYPERLINK("http://141.218.60.56/~jnz1568/getInfo.php?workbook=01_01.xlsx&amp;sheet=U0&amp;row=164&amp;col=7&amp;number=5.884&amp;sourceID=16","5.884")</f>
        <v>5.884</v>
      </c>
      <c r="H164" s="4" t="str">
        <f>HYPERLINK("http://141.218.60.56/~jnz1568/getInfo.php?workbook=01_01.xlsx&amp;sheet=U0&amp;row=164&amp;col=8&amp;number=5.463&amp;sourceID=17","5.463")</f>
        <v>5.463</v>
      </c>
      <c r="I164" s="4" t="str">
        <f>HYPERLINK("http://141.218.60.56/~jnz1568/getInfo.php?workbook=01_01.xlsx&amp;sheet=U0&amp;row=164&amp;col=9&amp;number=5.29&amp;sourceID=17","5.29")</f>
        <v>5.29</v>
      </c>
    </row>
    <row r="165" spans="1:9">
      <c r="A165" s="3"/>
      <c r="B165" s="3"/>
      <c r="C165" s="3"/>
      <c r="D165" s="3"/>
      <c r="E165" s="3">
        <v>9</v>
      </c>
      <c r="F165" s="4" t="str">
        <f>HYPERLINK("http://141.218.60.56/~jnz1568/getInfo.php?workbook=01_01.xlsx&amp;sheet=U0&amp;row=165&amp;col=6&amp;number=4.699&amp;sourceID=16","4.699")</f>
        <v>4.699</v>
      </c>
      <c r="G165" s="4" t="str">
        <f>HYPERLINK("http://141.218.60.56/~jnz1568/getInfo.php?workbook=01_01.xlsx&amp;sheet=U0&amp;row=165&amp;col=7&amp;number=6.14&amp;sourceID=16","6.14")</f>
        <v>6.14</v>
      </c>
      <c r="H165" s="4" t="str">
        <f>HYPERLINK("http://141.218.60.56/~jnz1568/getInfo.php?workbook=01_01.xlsx&amp;sheet=U0&amp;row=165&amp;col=8&amp;number=&amp;sourceID=17","")</f>
        <v/>
      </c>
      <c r="I165" s="4" t="str">
        <f>HYPERLINK("http://141.218.60.56/~jnz1568/getInfo.php?workbook=01_01.xlsx&amp;sheet=U0&amp;row=165&amp;col=9&amp;number=&amp;sourceID=17","")</f>
        <v/>
      </c>
    </row>
    <row r="166" spans="1:9">
      <c r="A166" s="3">
        <v>1</v>
      </c>
      <c r="B166" s="3">
        <v>1</v>
      </c>
      <c r="C166" s="3">
        <v>8</v>
      </c>
      <c r="D166" s="3">
        <v>1</v>
      </c>
      <c r="E166" s="3">
        <v>1</v>
      </c>
      <c r="F166" s="4" t="str">
        <f>HYPERLINK("http://141.218.60.56/~jnz1568/getInfo.php?workbook=01_01.xlsx&amp;sheet=U0&amp;row=166&amp;col=6&amp;number==LOG10(2500)&amp;sourceID=16","=LOG10(2500)")</f>
        <v>=LOG10(2500)</v>
      </c>
      <c r="G166" s="4" t="str">
        <f>HYPERLINK("http://141.218.60.56/~jnz1568/getInfo.php?workbook=01_01.xlsx&amp;sheet=U0&amp;row=166&amp;col=7&amp;number=0.04195&amp;sourceID=16","0.04195")</f>
        <v>0.04195</v>
      </c>
      <c r="H166" s="4" t="str">
        <f>HYPERLINK("http://141.218.60.56/~jnz1568/getInfo.php?workbook=01_01.xlsx&amp;sheet=U0&amp;row=166&amp;col=8&amp;number=3.764&amp;sourceID=17","3.764")</f>
        <v>3.764</v>
      </c>
      <c r="I166" s="4" t="str">
        <f>HYPERLINK("http://141.218.60.56/~jnz1568/getInfo.php?workbook=01_01.xlsx&amp;sheet=U0&amp;row=166&amp;col=9&amp;number=0.0403&amp;sourceID=17","0.0403")</f>
        <v>0.0403</v>
      </c>
    </row>
    <row r="167" spans="1:9">
      <c r="A167" s="3"/>
      <c r="B167" s="3"/>
      <c r="C167" s="3"/>
      <c r="D167" s="3"/>
      <c r="E167" s="3">
        <v>2</v>
      </c>
      <c r="F167" s="4" t="str">
        <f>HYPERLINK("http://141.218.60.56/~jnz1568/getInfo.php?workbook=01_01.xlsx&amp;sheet=U0&amp;row=167&amp;col=6&amp;number=3.699&amp;sourceID=16","3.699")</f>
        <v>3.699</v>
      </c>
      <c r="G167" s="4" t="str">
        <f>HYPERLINK("http://141.218.60.56/~jnz1568/getInfo.php?workbook=01_01.xlsx&amp;sheet=U0&amp;row=167&amp;col=7&amp;number=0.04683&amp;sourceID=16","0.04683")</f>
        <v>0.04683</v>
      </c>
      <c r="H167" s="4" t="str">
        <f>HYPERLINK("http://141.218.60.56/~jnz1568/getInfo.php?workbook=01_01.xlsx&amp;sheet=U0&amp;row=167&amp;col=8&amp;number=4.064&amp;sourceID=17","4.064")</f>
        <v>4.064</v>
      </c>
      <c r="I167" s="4" t="str">
        <f>HYPERLINK("http://141.218.60.56/~jnz1568/getInfo.php?workbook=01_01.xlsx&amp;sheet=U0&amp;row=167&amp;col=9&amp;number=0.0479&amp;sourceID=17","0.0479")</f>
        <v>0.0479</v>
      </c>
    </row>
    <row r="168" spans="1:9">
      <c r="A168" s="3"/>
      <c r="B168" s="3"/>
      <c r="C168" s="3"/>
      <c r="D168" s="3"/>
      <c r="E168" s="3">
        <v>3</v>
      </c>
      <c r="F168" s="4" t="str">
        <f>HYPERLINK("http://141.218.60.56/~jnz1568/getInfo.php?workbook=01_01.xlsx&amp;sheet=U0&amp;row=168&amp;col=6&amp;number=3.875&amp;sourceID=16","3.875")</f>
        <v>3.875</v>
      </c>
      <c r="G168" s="4" t="str">
        <f>HYPERLINK("http://141.218.60.56/~jnz1568/getInfo.php?workbook=01_01.xlsx&amp;sheet=U0&amp;row=168&amp;col=7&amp;number=0.05652&amp;sourceID=16","0.05652")</f>
        <v>0.05652</v>
      </c>
      <c r="H168" s="4" t="str">
        <f>HYPERLINK("http://141.218.60.56/~jnz1568/getInfo.php?workbook=01_01.xlsx&amp;sheet=U0&amp;row=168&amp;col=8&amp;number=4.542&amp;sourceID=17","4.542")</f>
        <v>4.542</v>
      </c>
      <c r="I168" s="4" t="str">
        <f>HYPERLINK("http://141.218.60.56/~jnz1568/getInfo.php?workbook=01_01.xlsx&amp;sheet=U0&amp;row=168&amp;col=9&amp;number=0.074&amp;sourceID=17","0.074")</f>
        <v>0.074</v>
      </c>
    </row>
    <row r="169" spans="1:9">
      <c r="A169" s="3"/>
      <c r="B169" s="3"/>
      <c r="C169" s="3"/>
      <c r="D169" s="3"/>
      <c r="E169" s="3">
        <v>4</v>
      </c>
      <c r="F169" s="4" t="str">
        <f>HYPERLINK("http://141.218.60.56/~jnz1568/getInfo.php?workbook=01_01.xlsx&amp;sheet=U0&amp;row=169&amp;col=6&amp;number=4&amp;sourceID=16","4")</f>
        <v>4</v>
      </c>
      <c r="G169" s="4" t="str">
        <f>HYPERLINK("http://141.218.60.56/~jnz1568/getInfo.php?workbook=01_01.xlsx&amp;sheet=U0&amp;row=169&amp;col=7&amp;number=0.06851&amp;sourceID=16","0.06851")</f>
        <v>0.06851</v>
      </c>
      <c r="H169" s="4" t="str">
        <f>HYPERLINK("http://141.218.60.56/~jnz1568/getInfo.php?workbook=01_01.xlsx&amp;sheet=U0&amp;row=169&amp;col=8&amp;number=4.764&amp;sourceID=17","4.764")</f>
        <v>4.764</v>
      </c>
      <c r="I169" s="4" t="str">
        <f>HYPERLINK("http://141.218.60.56/~jnz1568/getInfo.php?workbook=01_01.xlsx&amp;sheet=U0&amp;row=169&amp;col=9&amp;number=0.0946&amp;sourceID=17","0.0946")</f>
        <v>0.0946</v>
      </c>
    </row>
    <row r="170" spans="1:9">
      <c r="A170" s="3"/>
      <c r="B170" s="3"/>
      <c r="C170" s="3"/>
      <c r="D170" s="3"/>
      <c r="E170" s="3">
        <v>5</v>
      </c>
      <c r="F170" s="4" t="str">
        <f>HYPERLINK("http://141.218.60.56/~jnz1568/getInfo.php?workbook=01_01.xlsx&amp;sheet=U0&amp;row=170&amp;col=6&amp;number=4.176&amp;sourceID=16","4.176")</f>
        <v>4.176</v>
      </c>
      <c r="G170" s="4" t="str">
        <f>HYPERLINK("http://141.218.60.56/~jnz1568/getInfo.php?workbook=01_01.xlsx&amp;sheet=U0&amp;row=170&amp;col=7&amp;number=0.09326&amp;sourceID=16","0.09326")</f>
        <v>0.09326</v>
      </c>
      <c r="H170" s="4" t="str">
        <f>HYPERLINK("http://141.218.60.56/~jnz1568/getInfo.php?workbook=01_01.xlsx&amp;sheet=U0&amp;row=170&amp;col=8&amp;number=5.064&amp;sourceID=17","5.064")</f>
        <v>5.064</v>
      </c>
      <c r="I170" s="4" t="str">
        <f>HYPERLINK("http://141.218.60.56/~jnz1568/getInfo.php?workbook=01_01.xlsx&amp;sheet=U0&amp;row=170&amp;col=9&amp;number=0.133&amp;sourceID=17","0.133")</f>
        <v>0.133</v>
      </c>
    </row>
    <row r="171" spans="1:9">
      <c r="A171" s="3"/>
      <c r="B171" s="3"/>
      <c r="C171" s="3"/>
      <c r="D171" s="3"/>
      <c r="E171" s="3">
        <v>6</v>
      </c>
      <c r="F171" s="4" t="str">
        <f>HYPERLINK("http://141.218.60.56/~jnz1568/getInfo.php?workbook=01_01.xlsx&amp;sheet=U0&amp;row=171&amp;col=6&amp;number=4.301&amp;sourceID=16","4.301")</f>
        <v>4.301</v>
      </c>
      <c r="G171" s="4" t="str">
        <f>HYPERLINK("http://141.218.60.56/~jnz1568/getInfo.php?workbook=01_01.xlsx&amp;sheet=U0&amp;row=171&amp;col=7&amp;number=0.1161&amp;sourceID=16","0.1161")</f>
        <v>0.1161</v>
      </c>
      <c r="H171" s="4" t="str">
        <f>HYPERLINK("http://141.218.60.56/~jnz1568/getInfo.php?workbook=01_01.xlsx&amp;sheet=U0&amp;row=171&amp;col=8&amp;number=5.241&amp;sourceID=17","5.241")</f>
        <v>5.241</v>
      </c>
      <c r="I171" s="4" t="str">
        <f>HYPERLINK("http://141.218.60.56/~jnz1568/getInfo.php?workbook=01_01.xlsx&amp;sheet=U0&amp;row=171&amp;col=9&amp;number=0.161&amp;sourceID=17","0.161")</f>
        <v>0.161</v>
      </c>
    </row>
    <row r="172" spans="1:9">
      <c r="A172" s="3"/>
      <c r="B172" s="3"/>
      <c r="C172" s="3"/>
      <c r="D172" s="3"/>
      <c r="E172" s="3">
        <v>7</v>
      </c>
      <c r="F172" s="4" t="str">
        <f>HYPERLINK("http://141.218.60.56/~jnz1568/getInfo.php?workbook=01_01.xlsx&amp;sheet=U0&amp;row=172&amp;col=6&amp;number=4.477&amp;sourceID=16","4.477")</f>
        <v>4.477</v>
      </c>
      <c r="G172" s="4" t="str">
        <f>HYPERLINK("http://141.218.60.56/~jnz1568/getInfo.php?workbook=01_01.xlsx&amp;sheet=U0&amp;row=172&amp;col=7&amp;number=0.1546&amp;sourceID=16","0.1546")</f>
        <v>0.1546</v>
      </c>
      <c r="H172" s="4" t="str">
        <f>HYPERLINK("http://141.218.60.56/~jnz1568/getInfo.php?workbook=01_01.xlsx&amp;sheet=U0&amp;row=172&amp;col=8&amp;number=5.366&amp;sourceID=17","5.366")</f>
        <v>5.366</v>
      </c>
      <c r="I172" s="4" t="str">
        <f>HYPERLINK("http://141.218.60.56/~jnz1568/getInfo.php?workbook=01_01.xlsx&amp;sheet=U0&amp;row=172&amp;col=9&amp;number=0.184&amp;sourceID=17","0.184")</f>
        <v>0.184</v>
      </c>
    </row>
    <row r="173" spans="1:9">
      <c r="A173" s="3"/>
      <c r="B173" s="3"/>
      <c r="C173" s="3"/>
      <c r="D173" s="3"/>
      <c r="E173" s="3">
        <v>8</v>
      </c>
      <c r="F173" s="4" t="str">
        <f>HYPERLINK("http://141.218.60.56/~jnz1568/getInfo.php?workbook=01_01.xlsx&amp;sheet=U0&amp;row=173&amp;col=6&amp;number=4.602&amp;sourceID=16","4.602")</f>
        <v>4.602</v>
      </c>
      <c r="G173" s="4" t="str">
        <f>HYPERLINK("http://141.218.60.56/~jnz1568/getInfo.php?workbook=01_01.xlsx&amp;sheet=U0&amp;row=173&amp;col=7&amp;number=0.1854&amp;sourceID=16","0.1854")</f>
        <v>0.1854</v>
      </c>
      <c r="H173" s="4" t="str">
        <f>HYPERLINK("http://141.218.60.56/~jnz1568/getInfo.php?workbook=01_01.xlsx&amp;sheet=U0&amp;row=173&amp;col=8&amp;number=5.463&amp;sourceID=17","5.463")</f>
        <v>5.463</v>
      </c>
      <c r="I173" s="4" t="str">
        <f>HYPERLINK("http://141.218.60.56/~jnz1568/getInfo.php?workbook=01_01.xlsx&amp;sheet=U0&amp;row=173&amp;col=9&amp;number=0.204&amp;sourceID=17","0.204")</f>
        <v>0.204</v>
      </c>
    </row>
    <row r="174" spans="1:9">
      <c r="A174" s="3"/>
      <c r="B174" s="3"/>
      <c r="C174" s="3"/>
      <c r="D174" s="3"/>
      <c r="E174" s="3">
        <v>9</v>
      </c>
      <c r="F174" s="4" t="str">
        <f>HYPERLINK("http://141.218.60.56/~jnz1568/getInfo.php?workbook=01_01.xlsx&amp;sheet=U0&amp;row=174&amp;col=6&amp;number=4.699&amp;sourceID=16","4.699")</f>
        <v>4.699</v>
      </c>
      <c r="G174" s="4" t="str">
        <f>HYPERLINK("http://141.218.60.56/~jnz1568/getInfo.php?workbook=01_01.xlsx&amp;sheet=U0&amp;row=174&amp;col=7&amp;number=0.2104&amp;sourceID=16","0.2104")</f>
        <v>0.2104</v>
      </c>
      <c r="H174" s="4" t="str">
        <f>HYPERLINK("http://141.218.60.56/~jnz1568/getInfo.php?workbook=01_01.xlsx&amp;sheet=U0&amp;row=174&amp;col=8&amp;number=&amp;sourceID=17","")</f>
        <v/>
      </c>
      <c r="I174" s="4" t="str">
        <f>HYPERLINK("http://141.218.60.56/~jnz1568/getInfo.php?workbook=01_01.xlsx&amp;sheet=U0&amp;row=174&amp;col=9&amp;number=&amp;sourceID=17","")</f>
        <v/>
      </c>
    </row>
    <row r="175" spans="1:9">
      <c r="A175" s="3">
        <v>1</v>
      </c>
      <c r="B175" s="3">
        <v>1</v>
      </c>
      <c r="C175" s="3">
        <v>8</v>
      </c>
      <c r="D175" s="3">
        <v>2</v>
      </c>
      <c r="E175" s="3">
        <v>1</v>
      </c>
      <c r="F175" s="4" t="str">
        <f>HYPERLINK("http://141.218.60.56/~jnz1568/getInfo.php?workbook=01_01.xlsx&amp;sheet=U0&amp;row=175&amp;col=6&amp;number==LOG10(2500)&amp;sourceID=16","=LOG10(2500)")</f>
        <v>=LOG10(2500)</v>
      </c>
      <c r="G175" s="4" t="str">
        <f>HYPERLINK("http://141.218.60.56/~jnz1568/getInfo.php?workbook=01_01.xlsx&amp;sheet=U0&amp;row=175&amp;col=7&amp;number=0.7883&amp;sourceID=16","0.7883")</f>
        <v>0.7883</v>
      </c>
      <c r="H175" s="4" t="str">
        <f>HYPERLINK("http://141.218.60.56/~jnz1568/getInfo.php?workbook=01_01.xlsx&amp;sheet=U0&amp;row=175&amp;col=8&amp;number=3.764&amp;sourceID=17","3.764")</f>
        <v>3.764</v>
      </c>
      <c r="I175" s="4" t="str">
        <f>HYPERLINK("http://141.218.60.56/~jnz1568/getInfo.php?workbook=01_01.xlsx&amp;sheet=U0&amp;row=175&amp;col=9&amp;number=0.77&amp;sourceID=17","0.77")</f>
        <v>0.77</v>
      </c>
    </row>
    <row r="176" spans="1:9">
      <c r="A176" s="3"/>
      <c r="B176" s="3"/>
      <c r="C176" s="3"/>
      <c r="D176" s="3"/>
      <c r="E176" s="3">
        <v>2</v>
      </c>
      <c r="F176" s="4" t="str">
        <f>HYPERLINK("http://141.218.60.56/~jnz1568/getInfo.php?workbook=01_01.xlsx&amp;sheet=U0&amp;row=176&amp;col=6&amp;number=3.699&amp;sourceID=16","3.699")</f>
        <v>3.699</v>
      </c>
      <c r="G176" s="4" t="str">
        <f>HYPERLINK("http://141.218.60.56/~jnz1568/getInfo.php?workbook=01_01.xlsx&amp;sheet=U0&amp;row=176&amp;col=7&amp;number=0.8319&amp;sourceID=16","0.8319")</f>
        <v>0.8319</v>
      </c>
      <c r="H176" s="4" t="str">
        <f>HYPERLINK("http://141.218.60.56/~jnz1568/getInfo.php?workbook=01_01.xlsx&amp;sheet=U0&amp;row=176&amp;col=8&amp;number=4.064&amp;sourceID=17","4.064")</f>
        <v>4.064</v>
      </c>
      <c r="I176" s="4" t="str">
        <f>HYPERLINK("http://141.218.60.56/~jnz1568/getInfo.php?workbook=01_01.xlsx&amp;sheet=U0&amp;row=176&amp;col=9&amp;number=0.903&amp;sourceID=17","0.903")</f>
        <v>0.903</v>
      </c>
    </row>
    <row r="177" spans="1:9">
      <c r="A177" s="3"/>
      <c r="B177" s="3"/>
      <c r="C177" s="3"/>
      <c r="D177" s="3"/>
      <c r="E177" s="3">
        <v>3</v>
      </c>
      <c r="F177" s="4" t="str">
        <f>HYPERLINK("http://141.218.60.56/~jnz1568/getInfo.php?workbook=01_01.xlsx&amp;sheet=U0&amp;row=177&amp;col=6&amp;number=3.875&amp;sourceID=16","3.875")</f>
        <v>3.875</v>
      </c>
      <c r="G177" s="4" t="str">
        <f>HYPERLINK("http://141.218.60.56/~jnz1568/getInfo.php?workbook=01_01.xlsx&amp;sheet=U0&amp;row=177&amp;col=7&amp;number=0.9338&amp;sourceID=16","0.9338")</f>
        <v>0.9338</v>
      </c>
      <c r="H177" s="4" t="str">
        <f>HYPERLINK("http://141.218.60.56/~jnz1568/getInfo.php?workbook=01_01.xlsx&amp;sheet=U0&amp;row=177&amp;col=8&amp;number=4.542&amp;sourceID=17","4.542")</f>
        <v>4.542</v>
      </c>
      <c r="I177" s="4" t="str">
        <f>HYPERLINK("http://141.218.60.56/~jnz1568/getInfo.php?workbook=01_01.xlsx&amp;sheet=U0&amp;row=177&amp;col=9&amp;number=1.45&amp;sourceID=17","1.45")</f>
        <v>1.45</v>
      </c>
    </row>
    <row r="178" spans="1:9">
      <c r="A178" s="3"/>
      <c r="B178" s="3"/>
      <c r="C178" s="3"/>
      <c r="D178" s="3"/>
      <c r="E178" s="3">
        <v>4</v>
      </c>
      <c r="F178" s="4" t="str">
        <f>HYPERLINK("http://141.218.60.56/~jnz1568/getInfo.php?workbook=01_01.xlsx&amp;sheet=U0&amp;row=178&amp;col=6&amp;number=4&amp;sourceID=16","4")</f>
        <v>4</v>
      </c>
      <c r="G178" s="4" t="str">
        <f>HYPERLINK("http://141.218.60.56/~jnz1568/getInfo.php?workbook=01_01.xlsx&amp;sheet=U0&amp;row=178&amp;col=7&amp;number=1.07&amp;sourceID=16","1.07")</f>
        <v>1.07</v>
      </c>
      <c r="H178" s="4" t="str">
        <f>HYPERLINK("http://141.218.60.56/~jnz1568/getInfo.php?workbook=01_01.xlsx&amp;sheet=U0&amp;row=178&amp;col=8&amp;number=4.764&amp;sourceID=17","4.764")</f>
        <v>4.764</v>
      </c>
      <c r="I178" s="4" t="str">
        <f>HYPERLINK("http://141.218.60.56/~jnz1568/getInfo.php?workbook=01_01.xlsx&amp;sheet=U0&amp;row=178&amp;col=9&amp;number=1.95&amp;sourceID=17","1.95")</f>
        <v>1.95</v>
      </c>
    </row>
    <row r="179" spans="1:9">
      <c r="A179" s="3"/>
      <c r="B179" s="3"/>
      <c r="C179" s="3"/>
      <c r="D179" s="3"/>
      <c r="E179" s="3">
        <v>5</v>
      </c>
      <c r="F179" s="4" t="str">
        <f>HYPERLINK("http://141.218.60.56/~jnz1568/getInfo.php?workbook=01_01.xlsx&amp;sheet=U0&amp;row=179&amp;col=6&amp;number=4.176&amp;sourceID=16","4.176")</f>
        <v>4.176</v>
      </c>
      <c r="G179" s="4" t="str">
        <f>HYPERLINK("http://141.218.60.56/~jnz1568/getInfo.php?workbook=01_01.xlsx&amp;sheet=U0&amp;row=179&amp;col=7&amp;number=1.36&amp;sourceID=16","1.36")</f>
        <v>1.36</v>
      </c>
      <c r="H179" s="4" t="str">
        <f>HYPERLINK("http://141.218.60.56/~jnz1568/getInfo.php?workbook=01_01.xlsx&amp;sheet=U0&amp;row=179&amp;col=8&amp;number=5.064&amp;sourceID=17","5.064")</f>
        <v>5.064</v>
      </c>
      <c r="I179" s="4" t="str">
        <f>HYPERLINK("http://141.218.60.56/~jnz1568/getInfo.php?workbook=01_01.xlsx&amp;sheet=U0&amp;row=179&amp;col=9&amp;number=3.01&amp;sourceID=17","3.01")</f>
        <v>3.01</v>
      </c>
    </row>
    <row r="180" spans="1:9">
      <c r="A180" s="3"/>
      <c r="B180" s="3"/>
      <c r="C180" s="3"/>
      <c r="D180" s="3"/>
      <c r="E180" s="3">
        <v>6</v>
      </c>
      <c r="F180" s="4" t="str">
        <f>HYPERLINK("http://141.218.60.56/~jnz1568/getInfo.php?workbook=01_01.xlsx&amp;sheet=U0&amp;row=180&amp;col=6&amp;number=4.301&amp;sourceID=16","4.301")</f>
        <v>4.301</v>
      </c>
      <c r="G180" s="4" t="str">
        <f>HYPERLINK("http://141.218.60.56/~jnz1568/getInfo.php?workbook=01_01.xlsx&amp;sheet=U0&amp;row=180&amp;col=7&amp;number=1.634&amp;sourceID=16","1.634")</f>
        <v>1.634</v>
      </c>
      <c r="H180" s="4" t="str">
        <f>HYPERLINK("http://141.218.60.56/~jnz1568/getInfo.php?workbook=01_01.xlsx&amp;sheet=U0&amp;row=180&amp;col=8&amp;number=5.241&amp;sourceID=17","5.241")</f>
        <v>5.241</v>
      </c>
      <c r="I180" s="4" t="str">
        <f>HYPERLINK("http://141.218.60.56/~jnz1568/getInfo.php?workbook=01_01.xlsx&amp;sheet=U0&amp;row=180&amp;col=9&amp;number=3.85&amp;sourceID=17","3.85")</f>
        <v>3.85</v>
      </c>
    </row>
    <row r="181" spans="1:9">
      <c r="A181" s="3"/>
      <c r="B181" s="3"/>
      <c r="C181" s="3"/>
      <c r="D181" s="3"/>
      <c r="E181" s="3">
        <v>7</v>
      </c>
      <c r="F181" s="4" t="str">
        <f>HYPERLINK("http://141.218.60.56/~jnz1568/getInfo.php?workbook=01_01.xlsx&amp;sheet=U0&amp;row=181&amp;col=6&amp;number=4.477&amp;sourceID=16","4.477")</f>
        <v>4.477</v>
      </c>
      <c r="G181" s="4" t="str">
        <f>HYPERLINK("http://141.218.60.56/~jnz1568/getInfo.php?workbook=01_01.xlsx&amp;sheet=U0&amp;row=181&amp;col=7&amp;number=2.118&amp;sourceID=16","2.118")</f>
        <v>2.118</v>
      </c>
      <c r="H181" s="4" t="str">
        <f>HYPERLINK("http://141.218.60.56/~jnz1568/getInfo.php?workbook=01_01.xlsx&amp;sheet=U0&amp;row=181&amp;col=8&amp;number=5.366&amp;sourceID=17","5.366")</f>
        <v>5.366</v>
      </c>
      <c r="I181" s="4" t="str">
        <f>HYPERLINK("http://141.218.60.56/~jnz1568/getInfo.php?workbook=01_01.xlsx&amp;sheet=U0&amp;row=181&amp;col=9&amp;number=4.54&amp;sourceID=17","4.54")</f>
        <v>4.54</v>
      </c>
    </row>
    <row r="182" spans="1:9">
      <c r="A182" s="3"/>
      <c r="B182" s="3"/>
      <c r="C182" s="3"/>
      <c r="D182" s="3"/>
      <c r="E182" s="3">
        <v>8</v>
      </c>
      <c r="F182" s="4" t="str">
        <f>HYPERLINK("http://141.218.60.56/~jnz1568/getInfo.php?workbook=01_01.xlsx&amp;sheet=U0&amp;row=182&amp;col=6&amp;number=4.602&amp;sourceID=16","4.602")</f>
        <v>4.602</v>
      </c>
      <c r="G182" s="4" t="str">
        <f>HYPERLINK("http://141.218.60.56/~jnz1568/getInfo.php?workbook=01_01.xlsx&amp;sheet=U0&amp;row=182&amp;col=7&amp;number=2.53&amp;sourceID=16","2.53")</f>
        <v>2.53</v>
      </c>
      <c r="H182" s="4" t="str">
        <f>HYPERLINK("http://141.218.60.56/~jnz1568/getInfo.php?workbook=01_01.xlsx&amp;sheet=U0&amp;row=182&amp;col=8&amp;number=5.463&amp;sourceID=17","5.463")</f>
        <v>5.463</v>
      </c>
      <c r="I182" s="4" t="str">
        <f>HYPERLINK("http://141.218.60.56/~jnz1568/getInfo.php?workbook=01_01.xlsx&amp;sheet=U0&amp;row=182&amp;col=9&amp;number=5.13&amp;sourceID=17","5.13")</f>
        <v>5.13</v>
      </c>
    </row>
    <row r="183" spans="1:9">
      <c r="A183" s="3"/>
      <c r="B183" s="3"/>
      <c r="C183" s="3"/>
      <c r="D183" s="3"/>
      <c r="E183" s="3">
        <v>9</v>
      </c>
      <c r="F183" s="4" t="str">
        <f>HYPERLINK("http://141.218.60.56/~jnz1568/getInfo.php?workbook=01_01.xlsx&amp;sheet=U0&amp;row=183&amp;col=6&amp;number=4.699&amp;sourceID=16","4.699")</f>
        <v>4.699</v>
      </c>
      <c r="G183" s="4" t="str">
        <f>HYPERLINK("http://141.218.60.56/~jnz1568/getInfo.php?workbook=01_01.xlsx&amp;sheet=U0&amp;row=183&amp;col=7&amp;number=2.884&amp;sourceID=16","2.884")</f>
        <v>2.884</v>
      </c>
      <c r="H183" s="4" t="str">
        <f>HYPERLINK("http://141.218.60.56/~jnz1568/getInfo.php?workbook=01_01.xlsx&amp;sheet=U0&amp;row=183&amp;col=8&amp;number=&amp;sourceID=17","")</f>
        <v/>
      </c>
      <c r="I183" s="4" t="str">
        <f>HYPERLINK("http://141.218.60.56/~jnz1568/getInfo.php?workbook=01_01.xlsx&amp;sheet=U0&amp;row=183&amp;col=9&amp;number=&amp;sourceID=17","")</f>
        <v/>
      </c>
    </row>
    <row r="184" spans="1:9">
      <c r="A184" s="3">
        <v>1</v>
      </c>
      <c r="B184" s="3">
        <v>1</v>
      </c>
      <c r="C184" s="3">
        <v>8</v>
      </c>
      <c r="D184" s="3">
        <v>3</v>
      </c>
      <c r="E184" s="3">
        <v>1</v>
      </c>
      <c r="F184" s="4" t="str">
        <f>HYPERLINK("http://141.218.60.56/~jnz1568/getInfo.php?workbook=01_01.xlsx&amp;sheet=U0&amp;row=184&amp;col=6&amp;number==LOG10(2500)&amp;sourceID=16","=LOG10(2500)")</f>
        <v>=LOG10(2500)</v>
      </c>
      <c r="G184" s="4" t="str">
        <f>HYPERLINK("http://141.218.60.56/~jnz1568/getInfo.php?workbook=01_01.xlsx&amp;sheet=U0&amp;row=184&amp;col=7&amp;number=2.17&amp;sourceID=16","2.17")</f>
        <v>2.17</v>
      </c>
      <c r="H184" s="4" t="str">
        <f>HYPERLINK("http://141.218.60.56/~jnz1568/getInfo.php?workbook=01_01.xlsx&amp;sheet=U0&amp;row=184&amp;col=8&amp;number=3.764&amp;sourceID=17","3.764")</f>
        <v>3.764</v>
      </c>
      <c r="I184" s="4" t="str">
        <f>HYPERLINK("http://141.218.60.56/~jnz1568/getInfo.php?workbook=01_01.xlsx&amp;sheet=U0&amp;row=184&amp;col=9&amp;number=2.16&amp;sourceID=17","2.16")</f>
        <v>2.16</v>
      </c>
    </row>
    <row r="185" spans="1:9">
      <c r="A185" s="3"/>
      <c r="B185" s="3"/>
      <c r="C185" s="3"/>
      <c r="D185" s="3"/>
      <c r="E185" s="3">
        <v>2</v>
      </c>
      <c r="F185" s="4" t="str">
        <f>HYPERLINK("http://141.218.60.56/~jnz1568/getInfo.php?workbook=01_01.xlsx&amp;sheet=U0&amp;row=185&amp;col=6&amp;number=3.699&amp;sourceID=16","3.699")</f>
        <v>3.699</v>
      </c>
      <c r="G185" s="4" t="str">
        <f>HYPERLINK("http://141.218.60.56/~jnz1568/getInfo.php?workbook=01_01.xlsx&amp;sheet=U0&amp;row=185&amp;col=7&amp;number=2.263&amp;sourceID=16","2.263")</f>
        <v>2.263</v>
      </c>
      <c r="H185" s="4" t="str">
        <f>HYPERLINK("http://141.218.60.56/~jnz1568/getInfo.php?workbook=01_01.xlsx&amp;sheet=U0&amp;row=185&amp;col=8&amp;number=4.064&amp;sourceID=17","4.064")</f>
        <v>4.064</v>
      </c>
      <c r="I185" s="4" t="str">
        <f>HYPERLINK("http://141.218.60.56/~jnz1568/getInfo.php?workbook=01_01.xlsx&amp;sheet=U0&amp;row=185&amp;col=9&amp;number=2.26&amp;sourceID=17","2.26")</f>
        <v>2.26</v>
      </c>
    </row>
    <row r="186" spans="1:9">
      <c r="A186" s="3"/>
      <c r="B186" s="3"/>
      <c r="C186" s="3"/>
      <c r="D186" s="3"/>
      <c r="E186" s="3">
        <v>3</v>
      </c>
      <c r="F186" s="4" t="str">
        <f>HYPERLINK("http://141.218.60.56/~jnz1568/getInfo.php?workbook=01_01.xlsx&amp;sheet=U0&amp;row=186&amp;col=6&amp;number=3.875&amp;sourceID=16","3.875")</f>
        <v>3.875</v>
      </c>
      <c r="G186" s="4" t="str">
        <f>HYPERLINK("http://141.218.60.56/~jnz1568/getInfo.php?workbook=01_01.xlsx&amp;sheet=U0&amp;row=186&amp;col=7&amp;number=2.474&amp;sourceID=16","2.474")</f>
        <v>2.474</v>
      </c>
      <c r="H186" s="4" t="str">
        <f>HYPERLINK("http://141.218.60.56/~jnz1568/getInfo.php?workbook=01_01.xlsx&amp;sheet=U0&amp;row=186&amp;col=8&amp;number=4.542&amp;sourceID=17","4.542")</f>
        <v>4.542</v>
      </c>
      <c r="I186" s="4" t="str">
        <f>HYPERLINK("http://141.218.60.56/~jnz1568/getInfo.php?workbook=01_01.xlsx&amp;sheet=U0&amp;row=186&amp;col=9&amp;number=2.69&amp;sourceID=17","2.69")</f>
        <v>2.69</v>
      </c>
    </row>
    <row r="187" spans="1:9">
      <c r="A187" s="3"/>
      <c r="B187" s="3"/>
      <c r="C187" s="3"/>
      <c r="D187" s="3"/>
      <c r="E187" s="3">
        <v>4</v>
      </c>
      <c r="F187" s="4" t="str">
        <f>HYPERLINK("http://141.218.60.56/~jnz1568/getInfo.php?workbook=01_01.xlsx&amp;sheet=U0&amp;row=187&amp;col=6&amp;number=4&amp;sourceID=16","4")</f>
        <v>4</v>
      </c>
      <c r="G187" s="4" t="str">
        <f>HYPERLINK("http://141.218.60.56/~jnz1568/getInfo.php?workbook=01_01.xlsx&amp;sheet=U0&amp;row=187&amp;col=7&amp;number=2.746&amp;sourceID=16","2.746")</f>
        <v>2.746</v>
      </c>
      <c r="H187" s="4" t="str">
        <f>HYPERLINK("http://141.218.60.56/~jnz1568/getInfo.php?workbook=01_01.xlsx&amp;sheet=U0&amp;row=187&amp;col=8&amp;number=4.764&amp;sourceID=17","4.764")</f>
        <v>4.764</v>
      </c>
      <c r="I187" s="4" t="str">
        <f>HYPERLINK("http://141.218.60.56/~jnz1568/getInfo.php?workbook=01_01.xlsx&amp;sheet=U0&amp;row=187&amp;col=9&amp;number=3.08&amp;sourceID=17","3.08")</f>
        <v>3.08</v>
      </c>
    </row>
    <row r="188" spans="1:9">
      <c r="A188" s="3"/>
      <c r="B188" s="3"/>
      <c r="C188" s="3"/>
      <c r="D188" s="3"/>
      <c r="E188" s="3">
        <v>5</v>
      </c>
      <c r="F188" s="4" t="str">
        <f>HYPERLINK("http://141.218.60.56/~jnz1568/getInfo.php?workbook=01_01.xlsx&amp;sheet=U0&amp;row=188&amp;col=6&amp;number=4.176&amp;sourceID=16","4.176")</f>
        <v>4.176</v>
      </c>
      <c r="G188" s="4" t="str">
        <f>HYPERLINK("http://141.218.60.56/~jnz1568/getInfo.php?workbook=01_01.xlsx&amp;sheet=U0&amp;row=188&amp;col=7&amp;number=3.299&amp;sourceID=16","3.299")</f>
        <v>3.299</v>
      </c>
      <c r="H188" s="4" t="str">
        <f>HYPERLINK("http://141.218.60.56/~jnz1568/getInfo.php?workbook=01_01.xlsx&amp;sheet=U0&amp;row=188&amp;col=8&amp;number=5.064&amp;sourceID=17","5.064")</f>
        <v>5.064</v>
      </c>
      <c r="I188" s="4" t="str">
        <f>HYPERLINK("http://141.218.60.56/~jnz1568/getInfo.php?workbook=01_01.xlsx&amp;sheet=U0&amp;row=188&amp;col=9&amp;number=3.77&amp;sourceID=17","3.77")</f>
        <v>3.77</v>
      </c>
    </row>
    <row r="189" spans="1:9">
      <c r="A189" s="3"/>
      <c r="B189" s="3"/>
      <c r="C189" s="3"/>
      <c r="D189" s="3"/>
      <c r="E189" s="3">
        <v>6</v>
      </c>
      <c r="F189" s="4" t="str">
        <f>HYPERLINK("http://141.218.60.56/~jnz1568/getInfo.php?workbook=01_01.xlsx&amp;sheet=U0&amp;row=189&amp;col=6&amp;number=4.301&amp;sourceID=16","4.301")</f>
        <v>4.301</v>
      </c>
      <c r="G189" s="4" t="str">
        <f>HYPERLINK("http://141.218.60.56/~jnz1568/getInfo.php?workbook=01_01.xlsx&amp;sheet=U0&amp;row=189&amp;col=7&amp;number=3.788&amp;sourceID=16","3.788")</f>
        <v>3.788</v>
      </c>
      <c r="H189" s="4" t="str">
        <f>HYPERLINK("http://141.218.60.56/~jnz1568/getInfo.php?workbook=01_01.xlsx&amp;sheet=U0&amp;row=189&amp;col=8&amp;number=5.241&amp;sourceID=17","5.241")</f>
        <v>5.241</v>
      </c>
      <c r="I189" s="4" t="str">
        <f>HYPERLINK("http://141.218.60.56/~jnz1568/getInfo.php?workbook=01_01.xlsx&amp;sheet=U0&amp;row=189&amp;col=9&amp;number=4.21&amp;sourceID=17","4.21")</f>
        <v>4.21</v>
      </c>
    </row>
    <row r="190" spans="1:9">
      <c r="A190" s="3"/>
      <c r="B190" s="3"/>
      <c r="C190" s="3"/>
      <c r="D190" s="3"/>
      <c r="E190" s="3">
        <v>7</v>
      </c>
      <c r="F190" s="4" t="str">
        <f>HYPERLINK("http://141.218.60.56/~jnz1568/getInfo.php?workbook=01_01.xlsx&amp;sheet=U0&amp;row=190&amp;col=6&amp;number=4.477&amp;sourceID=16","4.477")</f>
        <v>4.477</v>
      </c>
      <c r="G190" s="4" t="str">
        <f>HYPERLINK("http://141.218.60.56/~jnz1568/getInfo.php?workbook=01_01.xlsx&amp;sheet=U0&amp;row=190&amp;col=7&amp;number=4.579&amp;sourceID=16","4.579")</f>
        <v>4.579</v>
      </c>
      <c r="H190" s="4" t="str">
        <f>HYPERLINK("http://141.218.60.56/~jnz1568/getInfo.php?workbook=01_01.xlsx&amp;sheet=U0&amp;row=190&amp;col=8&amp;number=5.366&amp;sourceID=17","5.366")</f>
        <v>5.366</v>
      </c>
      <c r="I190" s="4" t="str">
        <f>HYPERLINK("http://141.218.60.56/~jnz1568/getInfo.php?workbook=01_01.xlsx&amp;sheet=U0&amp;row=190&amp;col=9&amp;number=4.53&amp;sourceID=17","4.53")</f>
        <v>4.53</v>
      </c>
    </row>
    <row r="191" spans="1:9">
      <c r="A191" s="3"/>
      <c r="B191" s="3"/>
      <c r="C191" s="3"/>
      <c r="D191" s="3"/>
      <c r="E191" s="3">
        <v>8</v>
      </c>
      <c r="F191" s="4" t="str">
        <f>HYPERLINK("http://141.218.60.56/~jnz1568/getInfo.php?workbook=01_01.xlsx&amp;sheet=U0&amp;row=191&amp;col=6&amp;number=4.602&amp;sourceID=16","4.602")</f>
        <v>4.602</v>
      </c>
      <c r="G191" s="4" t="str">
        <f>HYPERLINK("http://141.218.60.56/~jnz1568/getInfo.php?workbook=01_01.xlsx&amp;sheet=U0&amp;row=191&amp;col=7&amp;number=5.184&amp;sourceID=16","5.184")</f>
        <v>5.184</v>
      </c>
      <c r="H191" s="4" t="str">
        <f>HYPERLINK("http://141.218.60.56/~jnz1568/getInfo.php?workbook=01_01.xlsx&amp;sheet=U0&amp;row=191&amp;col=8&amp;number=5.463&amp;sourceID=17","5.463")</f>
        <v>5.463</v>
      </c>
      <c r="I191" s="4" t="str">
        <f>HYPERLINK("http://141.218.60.56/~jnz1568/getInfo.php?workbook=01_01.xlsx&amp;sheet=U0&amp;row=191&amp;col=9&amp;number=4.76&amp;sourceID=17","4.76")</f>
        <v>4.76</v>
      </c>
    </row>
    <row r="192" spans="1:9">
      <c r="A192" s="3"/>
      <c r="B192" s="3"/>
      <c r="C192" s="3"/>
      <c r="D192" s="3"/>
      <c r="E192" s="3">
        <v>9</v>
      </c>
      <c r="F192" s="4" t="str">
        <f>HYPERLINK("http://141.218.60.56/~jnz1568/getInfo.php?workbook=01_01.xlsx&amp;sheet=U0&amp;row=192&amp;col=6&amp;number=4.699&amp;sourceID=16","4.699")</f>
        <v>4.699</v>
      </c>
      <c r="G192" s="4" t="str">
        <f>HYPERLINK("http://141.218.60.56/~jnz1568/getInfo.php?workbook=01_01.xlsx&amp;sheet=U0&amp;row=192&amp;col=7&amp;number=5.657&amp;sourceID=16","5.657")</f>
        <v>5.657</v>
      </c>
      <c r="H192" s="4" t="str">
        <f>HYPERLINK("http://141.218.60.56/~jnz1568/getInfo.php?workbook=01_01.xlsx&amp;sheet=U0&amp;row=192&amp;col=8&amp;number=&amp;sourceID=17","")</f>
        <v/>
      </c>
      <c r="I192" s="4" t="str">
        <f>HYPERLINK("http://141.218.60.56/~jnz1568/getInfo.php?workbook=01_01.xlsx&amp;sheet=U0&amp;row=192&amp;col=9&amp;number=&amp;sourceID=17","")</f>
        <v/>
      </c>
    </row>
    <row r="193" spans="1:9">
      <c r="A193" s="3">
        <v>1</v>
      </c>
      <c r="B193" s="3">
        <v>1</v>
      </c>
      <c r="C193" s="3">
        <v>8</v>
      </c>
      <c r="D193" s="3">
        <v>4</v>
      </c>
      <c r="E193" s="3">
        <v>1</v>
      </c>
      <c r="F193" s="4" t="str">
        <f>HYPERLINK("http://141.218.60.56/~jnz1568/getInfo.php?workbook=01_01.xlsx&amp;sheet=U0&amp;row=193&amp;col=6&amp;number==LOG10(2500)&amp;sourceID=16","=LOG10(2500)")</f>
        <v>=LOG10(2500)</v>
      </c>
      <c r="G193" s="4" t="str">
        <f>HYPERLINK("http://141.218.60.56/~jnz1568/getInfo.php?workbook=01_01.xlsx&amp;sheet=U0&amp;row=193&amp;col=7&amp;number=4.511&amp;sourceID=16","4.511")</f>
        <v>4.511</v>
      </c>
      <c r="H193" s="4" t="str">
        <f>HYPERLINK("http://141.218.60.56/~jnz1568/getInfo.php?workbook=01_01.xlsx&amp;sheet=U0&amp;row=193&amp;col=8&amp;number=3.764&amp;sourceID=17","3.764")</f>
        <v>3.764</v>
      </c>
      <c r="I193" s="4" t="str">
        <f>HYPERLINK("http://141.218.60.56/~jnz1568/getInfo.php?workbook=01_01.xlsx&amp;sheet=U0&amp;row=193&amp;col=9&amp;number=4.5&amp;sourceID=17","4.5")</f>
        <v>4.5</v>
      </c>
    </row>
    <row r="194" spans="1:9">
      <c r="A194" s="3"/>
      <c r="B194" s="3"/>
      <c r="C194" s="3"/>
      <c r="D194" s="3"/>
      <c r="E194" s="3">
        <v>2</v>
      </c>
      <c r="F194" s="4" t="str">
        <f>HYPERLINK("http://141.218.60.56/~jnz1568/getInfo.php?workbook=01_01.xlsx&amp;sheet=U0&amp;row=194&amp;col=6&amp;number=3.699&amp;sourceID=16","3.699")</f>
        <v>3.699</v>
      </c>
      <c r="G194" s="4" t="str">
        <f>HYPERLINK("http://141.218.60.56/~jnz1568/getInfo.php?workbook=01_01.xlsx&amp;sheet=U0&amp;row=194&amp;col=7&amp;number=4.851&amp;sourceID=16","4.851")</f>
        <v>4.851</v>
      </c>
      <c r="H194" s="4" t="str">
        <f>HYPERLINK("http://141.218.60.56/~jnz1568/getInfo.php?workbook=01_01.xlsx&amp;sheet=U0&amp;row=194&amp;col=8&amp;number=4.064&amp;sourceID=17","4.064")</f>
        <v>4.064</v>
      </c>
      <c r="I194" s="4" t="str">
        <f>HYPERLINK("http://141.218.60.56/~jnz1568/getInfo.php?workbook=01_01.xlsx&amp;sheet=U0&amp;row=194&amp;col=9&amp;number=5.95&amp;sourceID=17","5.95")</f>
        <v>5.95</v>
      </c>
    </row>
    <row r="195" spans="1:9">
      <c r="A195" s="3"/>
      <c r="B195" s="3"/>
      <c r="C195" s="3"/>
      <c r="D195" s="3"/>
      <c r="E195" s="3">
        <v>3</v>
      </c>
      <c r="F195" s="4" t="str">
        <f>HYPERLINK("http://141.218.60.56/~jnz1568/getInfo.php?workbook=01_01.xlsx&amp;sheet=U0&amp;row=195&amp;col=6&amp;number=3.875&amp;sourceID=16","3.875")</f>
        <v>3.875</v>
      </c>
      <c r="G195" s="4" t="str">
        <f>HYPERLINK("http://141.218.60.56/~jnz1568/getInfo.php?workbook=01_01.xlsx&amp;sheet=U0&amp;row=195&amp;col=7&amp;number=4.156&amp;sourceID=16","4.156")</f>
        <v>4.156</v>
      </c>
      <c r="H195" s="4" t="str">
        <f>HYPERLINK("http://141.218.60.56/~jnz1568/getInfo.php?workbook=01_01.xlsx&amp;sheet=U0&amp;row=195&amp;col=8&amp;number=4.542&amp;sourceID=17","4.542")</f>
        <v>4.542</v>
      </c>
      <c r="I195" s="4" t="str">
        <f>HYPERLINK("http://141.218.60.56/~jnz1568/getInfo.php?workbook=01_01.xlsx&amp;sheet=U0&amp;row=195&amp;col=9&amp;number=15.2&amp;sourceID=17","15.2")</f>
        <v>15.2</v>
      </c>
    </row>
    <row r="196" spans="1:9">
      <c r="A196" s="3"/>
      <c r="B196" s="3"/>
      <c r="C196" s="3"/>
      <c r="D196" s="3"/>
      <c r="E196" s="3">
        <v>4</v>
      </c>
      <c r="F196" s="4" t="str">
        <f>HYPERLINK("http://141.218.60.56/~jnz1568/getInfo.php?workbook=01_01.xlsx&amp;sheet=U0&amp;row=196&amp;col=6&amp;number=4&amp;sourceID=16","4")</f>
        <v>4</v>
      </c>
      <c r="G196" s="4" t="str">
        <f>HYPERLINK("http://141.218.60.56/~jnz1568/getInfo.php?workbook=01_01.xlsx&amp;sheet=U0&amp;row=196&amp;col=7&amp;number=5.644&amp;sourceID=16","5.644")</f>
        <v>5.644</v>
      </c>
      <c r="H196" s="4" t="str">
        <f>HYPERLINK("http://141.218.60.56/~jnz1568/getInfo.php?workbook=01_01.xlsx&amp;sheet=U0&amp;row=196&amp;col=8&amp;number=4.764&amp;sourceID=17","4.764")</f>
        <v>4.764</v>
      </c>
      <c r="I196" s="4" t="str">
        <f>HYPERLINK("http://141.218.60.56/~jnz1568/getInfo.php?workbook=01_01.xlsx&amp;sheet=U0&amp;row=196&amp;col=9&amp;number=25.7&amp;sourceID=17","25.7")</f>
        <v>25.7</v>
      </c>
    </row>
    <row r="197" spans="1:9">
      <c r="A197" s="3"/>
      <c r="B197" s="3"/>
      <c r="C197" s="3"/>
      <c r="D197" s="3"/>
      <c r="E197" s="3">
        <v>5</v>
      </c>
      <c r="F197" s="4" t="str">
        <f>HYPERLINK("http://141.218.60.56/~jnz1568/getInfo.php?workbook=01_01.xlsx&amp;sheet=U0&amp;row=197&amp;col=6&amp;number=4.176&amp;sourceID=16","4.176")</f>
        <v>4.176</v>
      </c>
      <c r="G197" s="4" t="str">
        <f>HYPERLINK("http://141.218.60.56/~jnz1568/getInfo.php?workbook=01_01.xlsx&amp;sheet=U0&amp;row=197&amp;col=7&amp;number=7.121&amp;sourceID=16","7.121")</f>
        <v>7.121</v>
      </c>
      <c r="H197" s="4" t="str">
        <f>HYPERLINK("http://141.218.60.56/~jnz1568/getInfo.php?workbook=01_01.xlsx&amp;sheet=U0&amp;row=197&amp;col=8&amp;number=5.064&amp;sourceID=17","5.064")</f>
        <v>5.064</v>
      </c>
      <c r="I197" s="4" t="str">
        <f>HYPERLINK("http://141.218.60.56/~jnz1568/getInfo.php?workbook=01_01.xlsx&amp;sheet=U0&amp;row=197&amp;col=9&amp;number=48.8&amp;sourceID=17","48.8")</f>
        <v>48.8</v>
      </c>
    </row>
    <row r="198" spans="1:9">
      <c r="A198" s="3"/>
      <c r="B198" s="3"/>
      <c r="C198" s="3"/>
      <c r="D198" s="3"/>
      <c r="E198" s="3">
        <v>6</v>
      </c>
      <c r="F198" s="4" t="str">
        <f>HYPERLINK("http://141.218.60.56/~jnz1568/getInfo.php?workbook=01_01.xlsx&amp;sheet=U0&amp;row=198&amp;col=6&amp;number=4.301&amp;sourceID=16","4.301")</f>
        <v>4.301</v>
      </c>
      <c r="G198" s="4" t="str">
        <f>HYPERLINK("http://141.218.60.56/~jnz1568/getInfo.php?workbook=01_01.xlsx&amp;sheet=U0&amp;row=198&amp;col=7&amp;number=9.092&amp;sourceID=16","9.092")</f>
        <v>9.092</v>
      </c>
      <c r="H198" s="4" t="str">
        <f>HYPERLINK("http://141.218.60.56/~jnz1568/getInfo.php?workbook=01_01.xlsx&amp;sheet=U0&amp;row=198&amp;col=8&amp;number=5.241&amp;sourceID=17","5.241")</f>
        <v>5.241</v>
      </c>
      <c r="I198" s="4" t="str">
        <f>HYPERLINK("http://141.218.60.56/~jnz1568/getInfo.php?workbook=01_01.xlsx&amp;sheet=U0&amp;row=198&amp;col=9&amp;number=67.1&amp;sourceID=17","67.1")</f>
        <v>67.1</v>
      </c>
    </row>
    <row r="199" spans="1:9">
      <c r="A199" s="3"/>
      <c r="B199" s="3"/>
      <c r="C199" s="3"/>
      <c r="D199" s="3"/>
      <c r="E199" s="3">
        <v>7</v>
      </c>
      <c r="F199" s="4" t="str">
        <f>HYPERLINK("http://141.218.60.56/~jnz1568/getInfo.php?workbook=01_01.xlsx&amp;sheet=U0&amp;row=199&amp;col=6&amp;number=4.477&amp;sourceID=16","4.477")</f>
        <v>4.477</v>
      </c>
      <c r="G199" s="4" t="str">
        <f>HYPERLINK("http://141.218.60.56/~jnz1568/getInfo.php?workbook=01_01.xlsx&amp;sheet=U0&amp;row=199&amp;col=7&amp;number=13.94&amp;sourceID=16","13.94")</f>
        <v>13.94</v>
      </c>
      <c r="H199" s="4" t="str">
        <f>HYPERLINK("http://141.218.60.56/~jnz1568/getInfo.php?workbook=01_01.xlsx&amp;sheet=U0&amp;row=199&amp;col=8&amp;number=5.366&amp;sourceID=17","5.366")</f>
        <v>5.366</v>
      </c>
      <c r="I199" s="4" t="str">
        <f>HYPERLINK("http://141.218.60.56/~jnz1568/getInfo.php?workbook=01_01.xlsx&amp;sheet=U0&amp;row=199&amp;col=9&amp;number=82.1&amp;sourceID=17","82.1")</f>
        <v>82.1</v>
      </c>
    </row>
    <row r="200" spans="1:9">
      <c r="A200" s="3"/>
      <c r="B200" s="3"/>
      <c r="C200" s="3"/>
      <c r="D200" s="3"/>
      <c r="E200" s="3">
        <v>8</v>
      </c>
      <c r="F200" s="4" t="str">
        <f>HYPERLINK("http://141.218.60.56/~jnz1568/getInfo.php?workbook=01_01.xlsx&amp;sheet=U0&amp;row=200&amp;col=6&amp;number=4.602&amp;sourceID=16","4.602")</f>
        <v>4.602</v>
      </c>
      <c r="G200" s="4" t="str">
        <f>HYPERLINK("http://141.218.60.56/~jnz1568/getInfo.php?workbook=01_01.xlsx&amp;sheet=U0&amp;row=200&amp;col=7&amp;number=19.33&amp;sourceID=16","19.33")</f>
        <v>19.33</v>
      </c>
      <c r="H200" s="4" t="str">
        <f>HYPERLINK("http://141.218.60.56/~jnz1568/getInfo.php?workbook=01_01.xlsx&amp;sheet=U0&amp;row=200&amp;col=8&amp;number=5.463&amp;sourceID=17","5.463")</f>
        <v>5.463</v>
      </c>
      <c r="I200" s="4" t="str">
        <f>HYPERLINK("http://141.218.60.56/~jnz1568/getInfo.php?workbook=01_01.xlsx&amp;sheet=U0&amp;row=200&amp;col=9&amp;number=94.6&amp;sourceID=17","94.6")</f>
        <v>94.6</v>
      </c>
    </row>
    <row r="201" spans="1:9">
      <c r="A201" s="3"/>
      <c r="B201" s="3"/>
      <c r="C201" s="3"/>
      <c r="D201" s="3"/>
      <c r="E201" s="3">
        <v>9</v>
      </c>
      <c r="F201" s="4" t="str">
        <f>HYPERLINK("http://141.218.60.56/~jnz1568/getInfo.php?workbook=01_01.xlsx&amp;sheet=U0&amp;row=201&amp;col=6&amp;number=4.699&amp;sourceID=16","4.699")</f>
        <v>4.699</v>
      </c>
      <c r="G201" s="4" t="str">
        <f>HYPERLINK("http://141.218.60.56/~jnz1568/getInfo.php?workbook=01_01.xlsx&amp;sheet=U0&amp;row=201&amp;col=7&amp;number=24.78&amp;sourceID=16","24.78")</f>
        <v>24.78</v>
      </c>
      <c r="H201" s="4" t="str">
        <f>HYPERLINK("http://141.218.60.56/~jnz1568/getInfo.php?workbook=01_01.xlsx&amp;sheet=U0&amp;row=201&amp;col=8&amp;number=&amp;sourceID=17","")</f>
        <v/>
      </c>
      <c r="I201" s="4" t="str">
        <f>HYPERLINK("http://141.218.60.56/~jnz1568/getInfo.php?workbook=01_01.xlsx&amp;sheet=U0&amp;row=201&amp;col=9&amp;number=&amp;sourceID=17","")</f>
        <v/>
      </c>
    </row>
    <row r="202" spans="1:9">
      <c r="A202" s="3">
        <v>1</v>
      </c>
      <c r="B202" s="3">
        <v>1</v>
      </c>
      <c r="C202" s="3">
        <v>8</v>
      </c>
      <c r="D202" s="3">
        <v>5</v>
      </c>
      <c r="E202" s="3">
        <v>1</v>
      </c>
      <c r="F202" s="4" t="str">
        <f>HYPERLINK("http://141.218.60.56/~jnz1568/getInfo.php?workbook=01_01.xlsx&amp;sheet=U0&amp;row=202&amp;col=6&amp;number==LOG10(2500)&amp;sourceID=16","=LOG10(2500)")</f>
        <v>=LOG10(2500)</v>
      </c>
      <c r="G202" s="4" t="str">
        <f>HYPERLINK("http://141.218.60.56/~jnz1568/getInfo.php?workbook=01_01.xlsx&amp;sheet=U0&amp;row=202&amp;col=7&amp;number=12.59&amp;sourceID=16","12.59")</f>
        <v>12.59</v>
      </c>
      <c r="H202" s="4" t="str">
        <f>HYPERLINK("http://141.218.60.56/~jnz1568/getInfo.php?workbook=01_01.xlsx&amp;sheet=U0&amp;row=202&amp;col=8&amp;number=3.764&amp;sourceID=17","3.764")</f>
        <v>3.764</v>
      </c>
      <c r="I202" s="4" t="str">
        <f>HYPERLINK("http://141.218.60.56/~jnz1568/getInfo.php?workbook=01_01.xlsx&amp;sheet=U0&amp;row=202&amp;col=9&amp;number=14.1&amp;sourceID=17","14.1")</f>
        <v>14.1</v>
      </c>
    </row>
    <row r="203" spans="1:9">
      <c r="A203" s="3"/>
      <c r="B203" s="3"/>
      <c r="C203" s="3"/>
      <c r="D203" s="3"/>
      <c r="E203" s="3">
        <v>2</v>
      </c>
      <c r="F203" s="4" t="str">
        <f>HYPERLINK("http://141.218.60.56/~jnz1568/getInfo.php?workbook=01_01.xlsx&amp;sheet=U0&amp;row=203&amp;col=6&amp;number=3.699&amp;sourceID=16","3.699")</f>
        <v>3.699</v>
      </c>
      <c r="G203" s="4" t="str">
        <f>HYPERLINK("http://141.218.60.56/~jnz1568/getInfo.php?workbook=01_01.xlsx&amp;sheet=U0&amp;row=203&amp;col=7&amp;number=14.31&amp;sourceID=16","14.31")</f>
        <v>14.31</v>
      </c>
      <c r="H203" s="4" t="str">
        <f>HYPERLINK("http://141.218.60.56/~jnz1568/getInfo.php?workbook=01_01.xlsx&amp;sheet=U0&amp;row=203&amp;col=8&amp;number=4.064&amp;sourceID=17","4.064")</f>
        <v>4.064</v>
      </c>
      <c r="I203" s="4" t="str">
        <f>HYPERLINK("http://141.218.60.56/~jnz1568/getInfo.php?workbook=01_01.xlsx&amp;sheet=U0&amp;row=203&amp;col=9&amp;number=20.7&amp;sourceID=17","20.7")</f>
        <v>20.7</v>
      </c>
    </row>
    <row r="204" spans="1:9">
      <c r="A204" s="3"/>
      <c r="B204" s="3"/>
      <c r="C204" s="3"/>
      <c r="D204" s="3"/>
      <c r="E204" s="3">
        <v>3</v>
      </c>
      <c r="F204" s="4" t="str">
        <f>HYPERLINK("http://141.218.60.56/~jnz1568/getInfo.php?workbook=01_01.xlsx&amp;sheet=U0&amp;row=204&amp;col=6&amp;number=3.875&amp;sourceID=16","3.875")</f>
        <v>3.875</v>
      </c>
      <c r="G204" s="4" t="str">
        <f>HYPERLINK("http://141.218.60.56/~jnz1568/getInfo.php?workbook=01_01.xlsx&amp;sheet=U0&amp;row=204&amp;col=7&amp;number=16.61&amp;sourceID=16","16.61")</f>
        <v>16.61</v>
      </c>
      <c r="H204" s="4" t="str">
        <f>HYPERLINK("http://141.218.60.56/~jnz1568/getInfo.php?workbook=01_01.xlsx&amp;sheet=U0&amp;row=204&amp;col=8&amp;number=4.542&amp;sourceID=17","4.542")</f>
        <v>4.542</v>
      </c>
      <c r="I204" s="4" t="str">
        <f>HYPERLINK("http://141.218.60.56/~jnz1568/getInfo.php?workbook=01_01.xlsx&amp;sheet=U0&amp;row=204&amp;col=9&amp;number=44.9&amp;sourceID=17","44.9")</f>
        <v>44.9</v>
      </c>
    </row>
    <row r="205" spans="1:9">
      <c r="A205" s="3"/>
      <c r="B205" s="3"/>
      <c r="C205" s="3"/>
      <c r="D205" s="3"/>
      <c r="E205" s="3">
        <v>4</v>
      </c>
      <c r="F205" s="4" t="str">
        <f>HYPERLINK("http://141.218.60.56/~jnz1568/getInfo.php?workbook=01_01.xlsx&amp;sheet=U0&amp;row=205&amp;col=6&amp;number=4&amp;sourceID=16","4")</f>
        <v>4</v>
      </c>
      <c r="G205" s="4" t="str">
        <f>HYPERLINK("http://141.218.60.56/~jnz1568/getInfo.php?workbook=01_01.xlsx&amp;sheet=U0&amp;row=205&amp;col=7&amp;number=19.7&amp;sourceID=16","19.7")</f>
        <v>19.7</v>
      </c>
      <c r="H205" s="4" t="str">
        <f>HYPERLINK("http://141.218.60.56/~jnz1568/getInfo.php?workbook=01_01.xlsx&amp;sheet=U0&amp;row=205&amp;col=8&amp;number=4.764&amp;sourceID=17","4.764")</f>
        <v>4.764</v>
      </c>
      <c r="I205" s="4" t="str">
        <f>HYPERLINK("http://141.218.60.56/~jnz1568/getInfo.php?workbook=01_01.xlsx&amp;sheet=U0&amp;row=205&amp;col=9&amp;number=61.9&amp;sourceID=17","61.9")</f>
        <v>61.9</v>
      </c>
    </row>
    <row r="206" spans="1:9">
      <c r="A206" s="3"/>
      <c r="B206" s="3"/>
      <c r="C206" s="3"/>
      <c r="D206" s="3"/>
      <c r="E206" s="3">
        <v>5</v>
      </c>
      <c r="F206" s="4" t="str">
        <f>HYPERLINK("http://141.218.60.56/~jnz1568/getInfo.php?workbook=01_01.xlsx&amp;sheet=U0&amp;row=206&amp;col=6&amp;number=4.176&amp;sourceID=16","4.176")</f>
        <v>4.176</v>
      </c>
      <c r="G206" s="4" t="str">
        <f>HYPERLINK("http://141.218.60.56/~jnz1568/getInfo.php?workbook=01_01.xlsx&amp;sheet=U0&amp;row=206&amp;col=7&amp;number=27.08&amp;sourceID=16","27.08")</f>
        <v>27.08</v>
      </c>
      <c r="H206" s="4" t="str">
        <f>HYPERLINK("http://141.218.60.56/~jnz1568/getInfo.php?workbook=01_01.xlsx&amp;sheet=U0&amp;row=206&amp;col=8&amp;number=5.064&amp;sourceID=17","5.064")</f>
        <v>5.064</v>
      </c>
      <c r="I206" s="4" t="str">
        <f>HYPERLINK("http://141.218.60.56/~jnz1568/getInfo.php?workbook=01_01.xlsx&amp;sheet=U0&amp;row=206&amp;col=9&amp;number=87&amp;sourceID=17","87")</f>
        <v>87</v>
      </c>
    </row>
    <row r="207" spans="1:9">
      <c r="A207" s="3"/>
      <c r="B207" s="3"/>
      <c r="C207" s="3"/>
      <c r="D207" s="3"/>
      <c r="E207" s="3">
        <v>6</v>
      </c>
      <c r="F207" s="4" t="str">
        <f>HYPERLINK("http://141.218.60.56/~jnz1568/getInfo.php?workbook=01_01.xlsx&amp;sheet=U0&amp;row=207&amp;col=6&amp;number=4.301&amp;sourceID=16","4.301")</f>
        <v>4.301</v>
      </c>
      <c r="G207" s="4" t="str">
        <f>HYPERLINK("http://141.218.60.56/~jnz1568/getInfo.php?workbook=01_01.xlsx&amp;sheet=U0&amp;row=207&amp;col=7&amp;number=34.92&amp;sourceID=16","34.92")</f>
        <v>34.92</v>
      </c>
      <c r="H207" s="4" t="str">
        <f>HYPERLINK("http://141.218.60.56/~jnz1568/getInfo.php?workbook=01_01.xlsx&amp;sheet=U0&amp;row=207&amp;col=8&amp;number=5.241&amp;sourceID=17","5.241")</f>
        <v>5.241</v>
      </c>
      <c r="I207" s="4" t="str">
        <f>HYPERLINK("http://141.218.60.56/~jnz1568/getInfo.php?workbook=01_01.xlsx&amp;sheet=U0&amp;row=207&amp;col=9&amp;number=101&amp;sourceID=17","101")</f>
        <v>101</v>
      </c>
    </row>
    <row r="208" spans="1:9">
      <c r="A208" s="3"/>
      <c r="B208" s="3"/>
      <c r="C208" s="3"/>
      <c r="D208" s="3"/>
      <c r="E208" s="3">
        <v>7</v>
      </c>
      <c r="F208" s="4" t="str">
        <f>HYPERLINK("http://141.218.60.56/~jnz1568/getInfo.php?workbook=01_01.xlsx&amp;sheet=U0&amp;row=208&amp;col=6&amp;number=4.477&amp;sourceID=16","4.477")</f>
        <v>4.477</v>
      </c>
      <c r="G208" s="4" t="str">
        <f>HYPERLINK("http://141.218.60.56/~jnz1568/getInfo.php?workbook=01_01.xlsx&amp;sheet=U0&amp;row=208&amp;col=7&amp;number=50.02&amp;sourceID=16","50.02")</f>
        <v>50.02</v>
      </c>
      <c r="H208" s="4" t="str">
        <f>HYPERLINK("http://141.218.60.56/~jnz1568/getInfo.php?workbook=01_01.xlsx&amp;sheet=U0&amp;row=208&amp;col=8&amp;number=5.366&amp;sourceID=17","5.366")</f>
        <v>5.366</v>
      </c>
      <c r="I208" s="4" t="str">
        <f>HYPERLINK("http://141.218.60.56/~jnz1568/getInfo.php?workbook=01_01.xlsx&amp;sheet=U0&amp;row=208&amp;col=9&amp;number=110&amp;sourceID=17","110")</f>
        <v>110</v>
      </c>
    </row>
    <row r="209" spans="1:9">
      <c r="A209" s="3"/>
      <c r="B209" s="3"/>
      <c r="C209" s="3"/>
      <c r="D209" s="3"/>
      <c r="E209" s="3">
        <v>8</v>
      </c>
      <c r="F209" s="4" t="str">
        <f>HYPERLINK("http://141.218.60.56/~jnz1568/getInfo.php?workbook=01_01.xlsx&amp;sheet=U0&amp;row=209&amp;col=6&amp;number=4.602&amp;sourceID=16","4.602")</f>
        <v>4.602</v>
      </c>
      <c r="G209" s="4" t="str">
        <f>HYPERLINK("http://141.218.60.56/~jnz1568/getInfo.php?workbook=01_01.xlsx&amp;sheet=U0&amp;row=209&amp;col=7&amp;number=63.41&amp;sourceID=16","63.41")</f>
        <v>63.41</v>
      </c>
      <c r="H209" s="4" t="str">
        <f>HYPERLINK("http://141.218.60.56/~jnz1568/getInfo.php?workbook=01_01.xlsx&amp;sheet=U0&amp;row=209&amp;col=8&amp;number=5.463&amp;sourceID=17","5.463")</f>
        <v>5.463</v>
      </c>
      <c r="I209" s="4" t="str">
        <f>HYPERLINK("http://141.218.60.56/~jnz1568/getInfo.php?workbook=01_01.xlsx&amp;sheet=U0&amp;row=209&amp;col=9&amp;number=116&amp;sourceID=17","116")</f>
        <v>116</v>
      </c>
    </row>
    <row r="210" spans="1:9">
      <c r="A210" s="3"/>
      <c r="B210" s="3"/>
      <c r="C210" s="3"/>
      <c r="D210" s="3"/>
      <c r="E210" s="3">
        <v>9</v>
      </c>
      <c r="F210" s="4" t="str">
        <f>HYPERLINK("http://141.218.60.56/~jnz1568/getInfo.php?workbook=01_01.xlsx&amp;sheet=U0&amp;row=210&amp;col=6&amp;number=4.699&amp;sourceID=16","4.699")</f>
        <v>4.699</v>
      </c>
      <c r="G210" s="4" t="str">
        <f>HYPERLINK("http://141.218.60.56/~jnz1568/getInfo.php?workbook=01_01.xlsx&amp;sheet=U0&amp;row=210&amp;col=7&amp;number=74.88&amp;sourceID=16","74.88")</f>
        <v>74.88</v>
      </c>
      <c r="H210" s="4" t="str">
        <f>HYPERLINK("http://141.218.60.56/~jnz1568/getInfo.php?workbook=01_01.xlsx&amp;sheet=U0&amp;row=210&amp;col=8&amp;number=&amp;sourceID=17","")</f>
        <v/>
      </c>
      <c r="I210" s="4" t="str">
        <f>HYPERLINK("http://141.218.60.56/~jnz1568/getInfo.php?workbook=01_01.xlsx&amp;sheet=U0&amp;row=210&amp;col=9&amp;number=&amp;sourceID=17","")</f>
        <v/>
      </c>
    </row>
    <row r="211" spans="1:9">
      <c r="A211" s="3">
        <v>1</v>
      </c>
      <c r="B211" s="3">
        <v>1</v>
      </c>
      <c r="C211" s="3">
        <v>8</v>
      </c>
      <c r="D211" s="3">
        <v>6</v>
      </c>
      <c r="E211" s="3">
        <v>1</v>
      </c>
      <c r="F211" s="4" t="str">
        <f>HYPERLINK("http://141.218.60.56/~jnz1568/getInfo.php?workbook=01_01.xlsx&amp;sheet=U0&amp;row=211&amp;col=6&amp;number==LOG10(2500)&amp;sourceID=16","=LOG10(2500)")</f>
        <v>=LOG10(2500)</v>
      </c>
      <c r="G211" s="4" t="str">
        <f>HYPERLINK("http://141.218.60.56/~jnz1568/getInfo.php?workbook=01_01.xlsx&amp;sheet=U0&amp;row=211&amp;col=7&amp;number=13.55&amp;sourceID=16","13.55")</f>
        <v>13.55</v>
      </c>
      <c r="H211" s="4" t="str">
        <f>HYPERLINK("http://141.218.60.56/~jnz1568/getInfo.php?workbook=01_01.xlsx&amp;sheet=U0&amp;row=211&amp;col=8&amp;number=3.764&amp;sourceID=17","3.764")</f>
        <v>3.764</v>
      </c>
      <c r="I211" s="4" t="str">
        <f>HYPERLINK("http://141.218.60.56/~jnz1568/getInfo.php?workbook=01_01.xlsx&amp;sheet=U0&amp;row=211&amp;col=9&amp;number=13.7&amp;sourceID=17","13.7")</f>
        <v>13.7</v>
      </c>
    </row>
    <row r="212" spans="1:9">
      <c r="A212" s="3"/>
      <c r="B212" s="3"/>
      <c r="C212" s="3"/>
      <c r="D212" s="3"/>
      <c r="E212" s="3">
        <v>2</v>
      </c>
      <c r="F212" s="4" t="str">
        <f>HYPERLINK("http://141.218.60.56/~jnz1568/getInfo.php?workbook=01_01.xlsx&amp;sheet=U0&amp;row=212&amp;col=6&amp;number=3.699&amp;sourceID=16","3.699")</f>
        <v>3.699</v>
      </c>
      <c r="G212" s="4" t="str">
        <f>HYPERLINK("http://141.218.60.56/~jnz1568/getInfo.php?workbook=01_01.xlsx&amp;sheet=U0&amp;row=212&amp;col=7&amp;number=14.55&amp;sourceID=16","14.55")</f>
        <v>14.55</v>
      </c>
      <c r="H212" s="4" t="str">
        <f>HYPERLINK("http://141.218.60.56/~jnz1568/getInfo.php?workbook=01_01.xlsx&amp;sheet=U0&amp;row=212&amp;col=8&amp;number=4.064&amp;sourceID=17","4.064")</f>
        <v>4.064</v>
      </c>
      <c r="I212" s="4" t="str">
        <f>HYPERLINK("http://141.218.60.56/~jnz1568/getInfo.php?workbook=01_01.xlsx&amp;sheet=U0&amp;row=212&amp;col=9&amp;number=15.5&amp;sourceID=17","15.5")</f>
        <v>15.5</v>
      </c>
    </row>
    <row r="213" spans="1:9">
      <c r="A213" s="3"/>
      <c r="B213" s="3"/>
      <c r="C213" s="3"/>
      <c r="D213" s="3"/>
      <c r="E213" s="3">
        <v>3</v>
      </c>
      <c r="F213" s="4" t="str">
        <f>HYPERLINK("http://141.218.60.56/~jnz1568/getInfo.php?workbook=01_01.xlsx&amp;sheet=U0&amp;row=213&amp;col=6&amp;number=3.875&amp;sourceID=16","3.875")</f>
        <v>3.875</v>
      </c>
      <c r="G213" s="4" t="str">
        <f>HYPERLINK("http://141.218.60.56/~jnz1568/getInfo.php?workbook=01_01.xlsx&amp;sheet=U0&amp;row=213&amp;col=7&amp;number=15.7&amp;sourceID=16","15.7")</f>
        <v>15.7</v>
      </c>
      <c r="H213" s="4" t="str">
        <f>HYPERLINK("http://141.218.60.56/~jnz1568/getInfo.php?workbook=01_01.xlsx&amp;sheet=U0&amp;row=213&amp;col=8&amp;number=4.542&amp;sourceID=17","4.542")</f>
        <v>4.542</v>
      </c>
      <c r="I213" s="4" t="str">
        <f>HYPERLINK("http://141.218.60.56/~jnz1568/getInfo.php?workbook=01_01.xlsx&amp;sheet=U0&amp;row=213&amp;col=9&amp;number=19.7&amp;sourceID=17","19.7")</f>
        <v>19.7</v>
      </c>
    </row>
    <row r="214" spans="1:9">
      <c r="A214" s="3"/>
      <c r="B214" s="3"/>
      <c r="C214" s="3"/>
      <c r="D214" s="3"/>
      <c r="E214" s="3">
        <v>4</v>
      </c>
      <c r="F214" s="4" t="str">
        <f>HYPERLINK("http://141.218.60.56/~jnz1568/getInfo.php?workbook=01_01.xlsx&amp;sheet=U0&amp;row=214&amp;col=6&amp;number=4&amp;sourceID=16","4")</f>
        <v>4</v>
      </c>
      <c r="G214" s="4" t="str">
        <f>HYPERLINK("http://141.218.60.56/~jnz1568/getInfo.php?workbook=01_01.xlsx&amp;sheet=U0&amp;row=214&amp;col=7&amp;number=17.06&amp;sourceID=16","17.06")</f>
        <v>17.06</v>
      </c>
      <c r="H214" s="4" t="str">
        <f>HYPERLINK("http://141.218.60.56/~jnz1568/getInfo.php?workbook=01_01.xlsx&amp;sheet=U0&amp;row=214&amp;col=8&amp;number=4.764&amp;sourceID=17","4.764")</f>
        <v>4.764</v>
      </c>
      <c r="I214" s="4" t="str">
        <f>HYPERLINK("http://141.218.60.56/~jnz1568/getInfo.php?workbook=01_01.xlsx&amp;sheet=U0&amp;row=214&amp;col=9&amp;number=21.9&amp;sourceID=17","21.9")</f>
        <v>21.9</v>
      </c>
    </row>
    <row r="215" spans="1:9">
      <c r="A215" s="3"/>
      <c r="B215" s="3"/>
      <c r="C215" s="3"/>
      <c r="D215" s="3"/>
      <c r="E215" s="3">
        <v>5</v>
      </c>
      <c r="F215" s="4" t="str">
        <f>HYPERLINK("http://141.218.60.56/~jnz1568/getInfo.php?workbook=01_01.xlsx&amp;sheet=U0&amp;row=215&amp;col=6&amp;number=4.176&amp;sourceID=16","4.176")</f>
        <v>4.176</v>
      </c>
      <c r="G215" s="4" t="str">
        <f>HYPERLINK("http://141.218.60.56/~jnz1568/getInfo.php?workbook=01_01.xlsx&amp;sheet=U0&amp;row=215&amp;col=7&amp;number=19.77&amp;sourceID=16","19.77")</f>
        <v>19.77</v>
      </c>
      <c r="H215" s="4" t="str">
        <f>HYPERLINK("http://141.218.60.56/~jnz1568/getInfo.php?workbook=01_01.xlsx&amp;sheet=U0&amp;row=215&amp;col=8&amp;number=5.064&amp;sourceID=17","5.064")</f>
        <v>5.064</v>
      </c>
      <c r="I215" s="4" t="str">
        <f>HYPERLINK("http://141.218.60.56/~jnz1568/getInfo.php?workbook=01_01.xlsx&amp;sheet=U0&amp;row=215&amp;col=9&amp;number=25.2&amp;sourceID=17","25.2")</f>
        <v>25.2</v>
      </c>
    </row>
    <row r="216" spans="1:9">
      <c r="A216" s="3"/>
      <c r="B216" s="3"/>
      <c r="C216" s="3"/>
      <c r="D216" s="3"/>
      <c r="E216" s="3">
        <v>6</v>
      </c>
      <c r="F216" s="4" t="str">
        <f>HYPERLINK("http://141.218.60.56/~jnz1568/getInfo.php?workbook=01_01.xlsx&amp;sheet=U0&amp;row=216&amp;col=6&amp;number=4.301&amp;sourceID=16","4.301")</f>
        <v>4.301</v>
      </c>
      <c r="G216" s="4" t="str">
        <f>HYPERLINK("http://141.218.60.56/~jnz1568/getInfo.php?workbook=01_01.xlsx&amp;sheet=U0&amp;row=216&amp;col=7&amp;number=22.12&amp;sourceID=16","22.12")</f>
        <v>22.12</v>
      </c>
      <c r="H216" s="4" t="str">
        <f>HYPERLINK("http://141.218.60.56/~jnz1568/getInfo.php?workbook=01_01.xlsx&amp;sheet=U0&amp;row=216&amp;col=8&amp;number=5.241&amp;sourceID=17","5.241")</f>
        <v>5.241</v>
      </c>
      <c r="I216" s="4" t="str">
        <f>HYPERLINK("http://141.218.60.56/~jnz1568/getInfo.php?workbook=01_01.xlsx&amp;sheet=U0&amp;row=216&amp;col=9&amp;number=27.4&amp;sourceID=17","27.4")</f>
        <v>27.4</v>
      </c>
    </row>
    <row r="217" spans="1:9">
      <c r="A217" s="3"/>
      <c r="B217" s="3"/>
      <c r="C217" s="3"/>
      <c r="D217" s="3"/>
      <c r="E217" s="3">
        <v>7</v>
      </c>
      <c r="F217" s="4" t="str">
        <f>HYPERLINK("http://141.218.60.56/~jnz1568/getInfo.php?workbook=01_01.xlsx&amp;sheet=U0&amp;row=217&amp;col=6&amp;number=4.477&amp;sourceID=16","4.477")</f>
        <v>4.477</v>
      </c>
      <c r="G217" s="4" t="str">
        <f>HYPERLINK("http://141.218.60.56/~jnz1568/getInfo.php?workbook=01_01.xlsx&amp;sheet=U0&amp;row=217&amp;col=7&amp;number=25.74&amp;sourceID=16","25.74")</f>
        <v>25.74</v>
      </c>
      <c r="H217" s="4" t="str">
        <f>HYPERLINK("http://141.218.60.56/~jnz1568/getInfo.php?workbook=01_01.xlsx&amp;sheet=U0&amp;row=217&amp;col=8&amp;number=5.366&amp;sourceID=17","5.366")</f>
        <v>5.366</v>
      </c>
      <c r="I217" s="4" t="str">
        <f>HYPERLINK("http://141.218.60.56/~jnz1568/getInfo.php?workbook=01_01.xlsx&amp;sheet=U0&amp;row=217&amp;col=9&amp;number=29.1&amp;sourceID=17","29.1")</f>
        <v>29.1</v>
      </c>
    </row>
    <row r="218" spans="1:9">
      <c r="A218" s="3"/>
      <c r="B218" s="3"/>
      <c r="C218" s="3"/>
      <c r="D218" s="3"/>
      <c r="E218" s="3">
        <v>8</v>
      </c>
      <c r="F218" s="4" t="str">
        <f>HYPERLINK("http://141.218.60.56/~jnz1568/getInfo.php?workbook=01_01.xlsx&amp;sheet=U0&amp;row=218&amp;col=6&amp;number=4.602&amp;sourceID=16","4.602")</f>
        <v>4.602</v>
      </c>
      <c r="G218" s="4" t="str">
        <f>HYPERLINK("http://141.218.60.56/~jnz1568/getInfo.php?workbook=01_01.xlsx&amp;sheet=U0&amp;row=218&amp;col=7&amp;number=28.28&amp;sourceID=16","28.28")</f>
        <v>28.28</v>
      </c>
      <c r="H218" s="4" t="str">
        <f>HYPERLINK("http://141.218.60.56/~jnz1568/getInfo.php?workbook=01_01.xlsx&amp;sheet=U0&amp;row=218&amp;col=8&amp;number=5.463&amp;sourceID=17","5.463")</f>
        <v>5.463</v>
      </c>
      <c r="I218" s="4" t="str">
        <f>HYPERLINK("http://141.218.60.56/~jnz1568/getInfo.php?workbook=01_01.xlsx&amp;sheet=U0&amp;row=218&amp;col=9&amp;number=30.5&amp;sourceID=17","30.5")</f>
        <v>30.5</v>
      </c>
    </row>
    <row r="219" spans="1:9">
      <c r="A219" s="3"/>
      <c r="B219" s="3"/>
      <c r="C219" s="3"/>
      <c r="D219" s="3"/>
      <c r="E219" s="3">
        <v>9</v>
      </c>
      <c r="F219" s="4" t="str">
        <f>HYPERLINK("http://141.218.60.56/~jnz1568/getInfo.php?workbook=01_01.xlsx&amp;sheet=U0&amp;row=219&amp;col=6&amp;number=4.699&amp;sourceID=16","4.699")</f>
        <v>4.699</v>
      </c>
      <c r="G219" s="4" t="str">
        <f>HYPERLINK("http://141.218.60.56/~jnz1568/getInfo.php?workbook=01_01.xlsx&amp;sheet=U0&amp;row=219&amp;col=7&amp;number=30.09&amp;sourceID=16","30.09")</f>
        <v>30.09</v>
      </c>
      <c r="H219" s="4" t="str">
        <f>HYPERLINK("http://141.218.60.56/~jnz1568/getInfo.php?workbook=01_01.xlsx&amp;sheet=U0&amp;row=219&amp;col=8&amp;number=&amp;sourceID=17","")</f>
        <v/>
      </c>
      <c r="I219" s="4" t="str">
        <f>HYPERLINK("http://141.218.60.56/~jnz1568/getInfo.php?workbook=01_01.xlsx&amp;sheet=U0&amp;row=219&amp;col=9&amp;number=&amp;sourceID=17","")</f>
        <v/>
      </c>
    </row>
    <row r="220" spans="1:9">
      <c r="A220" s="3">
        <v>1</v>
      </c>
      <c r="B220" s="3">
        <v>1</v>
      </c>
      <c r="C220" s="3">
        <v>9</v>
      </c>
      <c r="D220" s="3">
        <v>1</v>
      </c>
      <c r="E220" s="3">
        <v>1</v>
      </c>
      <c r="F220" s="4" t="str">
        <f>HYPERLINK("http://141.218.60.56/~jnz1568/getInfo.php?workbook=01_01.xlsx&amp;sheet=U0&amp;row=220&amp;col=6&amp;number==LOG10(2500)&amp;sourceID=16","=LOG10(2500)")</f>
        <v>=LOG10(2500)</v>
      </c>
      <c r="G220" s="4" t="str">
        <f>HYPERLINK("http://141.218.60.56/~jnz1568/getInfo.php?workbook=01_01.xlsx&amp;sheet=U0&amp;row=220&amp;col=7&amp;number=0.03106&amp;sourceID=16","0.03106")</f>
        <v>0.03106</v>
      </c>
      <c r="H220" s="4" t="str">
        <f>HYPERLINK("http://141.218.60.56/~jnz1568/getInfo.php?workbook=01_01.xlsx&amp;sheet=U0&amp;row=220&amp;col=8&amp;number=3.764&amp;sourceID=17","3.764")</f>
        <v>3.764</v>
      </c>
      <c r="I220" s="4" t="str">
        <f>HYPERLINK("http://141.218.60.56/~jnz1568/getInfo.php?workbook=01_01.xlsx&amp;sheet=U0&amp;row=220&amp;col=9&amp;number=0.03&amp;sourceID=17","0.03")</f>
        <v>0.03</v>
      </c>
    </row>
    <row r="221" spans="1:9">
      <c r="A221" s="3"/>
      <c r="B221" s="3"/>
      <c r="C221" s="3"/>
      <c r="D221" s="3"/>
      <c r="E221" s="3">
        <v>2</v>
      </c>
      <c r="F221" s="4" t="str">
        <f>HYPERLINK("http://141.218.60.56/~jnz1568/getInfo.php?workbook=01_01.xlsx&amp;sheet=U0&amp;row=221&amp;col=6&amp;number=3.699&amp;sourceID=16","3.699")</f>
        <v>3.699</v>
      </c>
      <c r="G221" s="4" t="str">
        <f>HYPERLINK("http://141.218.60.56/~jnz1568/getInfo.php?workbook=01_01.xlsx&amp;sheet=U0&amp;row=221&amp;col=7&amp;number=0.03349&amp;sourceID=16","0.03349")</f>
        <v>0.03349</v>
      </c>
      <c r="H221" s="4" t="str">
        <f>HYPERLINK("http://141.218.60.56/~jnz1568/getInfo.php?workbook=01_01.xlsx&amp;sheet=U0&amp;row=221&amp;col=8&amp;number=4.064&amp;sourceID=17","4.064")</f>
        <v>4.064</v>
      </c>
      <c r="I221" s="4" t="str">
        <f>HYPERLINK("http://141.218.60.56/~jnz1568/getInfo.php?workbook=01_01.xlsx&amp;sheet=U0&amp;row=221&amp;col=9&amp;number=0.0319&amp;sourceID=17","0.0319")</f>
        <v>0.0319</v>
      </c>
    </row>
    <row r="222" spans="1:9">
      <c r="A222" s="3"/>
      <c r="B222" s="3"/>
      <c r="C222" s="3"/>
      <c r="D222" s="3"/>
      <c r="E222" s="3">
        <v>3</v>
      </c>
      <c r="F222" s="4" t="str">
        <f>HYPERLINK("http://141.218.60.56/~jnz1568/getInfo.php?workbook=01_01.xlsx&amp;sheet=U0&amp;row=222&amp;col=6&amp;number=3.875&amp;sourceID=16","3.875")</f>
        <v>3.875</v>
      </c>
      <c r="G222" s="4" t="str">
        <f>HYPERLINK("http://141.218.60.56/~jnz1568/getInfo.php?workbook=01_01.xlsx&amp;sheet=U0&amp;row=222&amp;col=7&amp;number=0.03834&amp;sourceID=16","0.03834")</f>
        <v>0.03834</v>
      </c>
      <c r="H222" s="4" t="str">
        <f>HYPERLINK("http://141.218.60.56/~jnz1568/getInfo.php?workbook=01_01.xlsx&amp;sheet=U0&amp;row=222&amp;col=8&amp;number=4.542&amp;sourceID=17","4.542")</f>
        <v>4.542</v>
      </c>
      <c r="I222" s="4" t="str">
        <f>HYPERLINK("http://141.218.60.56/~jnz1568/getInfo.php?workbook=01_01.xlsx&amp;sheet=U0&amp;row=222&amp;col=9&amp;number=0.0404&amp;sourceID=17","0.0404")</f>
        <v>0.0404</v>
      </c>
    </row>
    <row r="223" spans="1:9">
      <c r="A223" s="3"/>
      <c r="B223" s="3"/>
      <c r="C223" s="3"/>
      <c r="D223" s="3"/>
      <c r="E223" s="3">
        <v>4</v>
      </c>
      <c r="F223" s="4" t="str">
        <f>HYPERLINK("http://141.218.60.56/~jnz1568/getInfo.php?workbook=01_01.xlsx&amp;sheet=U0&amp;row=223&amp;col=6&amp;number=4&amp;sourceID=16","4")</f>
        <v>4</v>
      </c>
      <c r="G223" s="4" t="str">
        <f>HYPERLINK("http://141.218.60.56/~jnz1568/getInfo.php?workbook=01_01.xlsx&amp;sheet=U0&amp;row=223&amp;col=7&amp;number=0.04365&amp;sourceID=16","0.04365")</f>
        <v>0.04365</v>
      </c>
      <c r="H223" s="4" t="str">
        <f>HYPERLINK("http://141.218.60.56/~jnz1568/getInfo.php?workbook=01_01.xlsx&amp;sheet=U0&amp;row=223&amp;col=8&amp;number=4.764&amp;sourceID=17","4.764")</f>
        <v>4.764</v>
      </c>
      <c r="I223" s="4" t="str">
        <f>HYPERLINK("http://141.218.60.56/~jnz1568/getInfo.php?workbook=01_01.xlsx&amp;sheet=U0&amp;row=223&amp;col=9&amp;number=0.0472&amp;sourceID=17","0.0472")</f>
        <v>0.0472</v>
      </c>
    </row>
    <row r="224" spans="1:9">
      <c r="A224" s="3"/>
      <c r="B224" s="3"/>
      <c r="C224" s="3"/>
      <c r="D224" s="3"/>
      <c r="E224" s="3">
        <v>5</v>
      </c>
      <c r="F224" s="4" t="str">
        <f>HYPERLINK("http://141.218.60.56/~jnz1568/getInfo.php?workbook=01_01.xlsx&amp;sheet=U0&amp;row=224&amp;col=6&amp;number=4.176&amp;sourceID=16","4.176")</f>
        <v>4.176</v>
      </c>
      <c r="G224" s="4" t="str">
        <f>HYPERLINK("http://141.218.60.56/~jnz1568/getInfo.php?workbook=01_01.xlsx&amp;sheet=U0&amp;row=224&amp;col=7&amp;number=0.05272&amp;sourceID=16","0.05272")</f>
        <v>0.05272</v>
      </c>
      <c r="H224" s="4" t="str">
        <f>HYPERLINK("http://141.218.60.56/~jnz1568/getInfo.php?workbook=01_01.xlsx&amp;sheet=U0&amp;row=224&amp;col=8&amp;number=5.064&amp;sourceID=17","5.064")</f>
        <v>5.064</v>
      </c>
      <c r="I224" s="4" t="str">
        <f>HYPERLINK("http://141.218.60.56/~jnz1568/getInfo.php?workbook=01_01.xlsx&amp;sheet=U0&amp;row=224&amp;col=9&amp;number=0.0569&amp;sourceID=17","0.0569")</f>
        <v>0.0569</v>
      </c>
    </row>
    <row r="225" spans="1:9">
      <c r="A225" s="3"/>
      <c r="B225" s="3"/>
      <c r="C225" s="3"/>
      <c r="D225" s="3"/>
      <c r="E225" s="3">
        <v>6</v>
      </c>
      <c r="F225" s="4" t="str">
        <f>HYPERLINK("http://141.218.60.56/~jnz1568/getInfo.php?workbook=01_01.xlsx&amp;sheet=U0&amp;row=225&amp;col=6&amp;number=4.301&amp;sourceID=16","4.301")</f>
        <v>4.301</v>
      </c>
      <c r="G225" s="4" t="str">
        <f>HYPERLINK("http://141.218.60.56/~jnz1568/getInfo.php?workbook=01_01.xlsx&amp;sheet=U0&amp;row=225&amp;col=7&amp;number=0.05923&amp;sourceID=16","0.05923")</f>
        <v>0.05923</v>
      </c>
      <c r="H225" s="4" t="str">
        <f>HYPERLINK("http://141.218.60.56/~jnz1568/getInfo.php?workbook=01_01.xlsx&amp;sheet=U0&amp;row=225&amp;col=8&amp;number=5.241&amp;sourceID=17","5.241")</f>
        <v>5.241</v>
      </c>
      <c r="I225" s="4" t="str">
        <f>HYPERLINK("http://141.218.60.56/~jnz1568/getInfo.php?workbook=01_01.xlsx&amp;sheet=U0&amp;row=225&amp;col=9&amp;number=0.0615&amp;sourceID=17","0.0615")</f>
        <v>0.0615</v>
      </c>
    </row>
    <row r="226" spans="1:9">
      <c r="A226" s="3"/>
      <c r="B226" s="3"/>
      <c r="C226" s="3"/>
      <c r="D226" s="3"/>
      <c r="E226" s="3">
        <v>7</v>
      </c>
      <c r="F226" s="4" t="str">
        <f>HYPERLINK("http://141.218.60.56/~jnz1568/getInfo.php?workbook=01_01.xlsx&amp;sheet=U0&amp;row=226&amp;col=6&amp;number=4.477&amp;sourceID=16","4.477")</f>
        <v>4.477</v>
      </c>
      <c r="G226" s="4" t="str">
        <f>HYPERLINK("http://141.218.60.56/~jnz1568/getInfo.php?workbook=01_01.xlsx&amp;sheet=U0&amp;row=226&amp;col=7&amp;number=0.06712&amp;sourceID=16","0.06712")</f>
        <v>0.06712</v>
      </c>
      <c r="H226" s="4" t="str">
        <f>HYPERLINK("http://141.218.60.56/~jnz1568/getInfo.php?workbook=01_01.xlsx&amp;sheet=U0&amp;row=226&amp;col=8&amp;number=5.366&amp;sourceID=17","5.366")</f>
        <v>5.366</v>
      </c>
      <c r="I226" s="4" t="str">
        <f>HYPERLINK("http://141.218.60.56/~jnz1568/getInfo.php?workbook=01_01.xlsx&amp;sheet=U0&amp;row=226&amp;col=9&amp;number=0.0641&amp;sourceID=17","0.0641")</f>
        <v>0.0641</v>
      </c>
    </row>
    <row r="227" spans="1:9">
      <c r="A227" s="3"/>
      <c r="B227" s="3"/>
      <c r="C227" s="3"/>
      <c r="D227" s="3"/>
      <c r="E227" s="3">
        <v>8</v>
      </c>
      <c r="F227" s="4" t="str">
        <f>HYPERLINK("http://141.218.60.56/~jnz1568/getInfo.php?workbook=01_01.xlsx&amp;sheet=U0&amp;row=227&amp;col=6&amp;number=4.602&amp;sourceID=16","4.602")</f>
        <v>4.602</v>
      </c>
      <c r="G227" s="4" t="str">
        <f>HYPERLINK("http://141.218.60.56/~jnz1568/getInfo.php?workbook=01_01.xlsx&amp;sheet=U0&amp;row=227&amp;col=7&amp;number=0.0713&amp;sourceID=16","0.0713")</f>
        <v>0.0713</v>
      </c>
      <c r="H227" s="4" t="str">
        <f>HYPERLINK("http://141.218.60.56/~jnz1568/getInfo.php?workbook=01_01.xlsx&amp;sheet=U0&amp;row=227&amp;col=8&amp;number=5.463&amp;sourceID=17","5.463")</f>
        <v>5.463</v>
      </c>
      <c r="I227" s="4" t="str">
        <f>HYPERLINK("http://141.218.60.56/~jnz1568/getInfo.php?workbook=01_01.xlsx&amp;sheet=U0&amp;row=227&amp;col=9&amp;number=0.0656&amp;sourceID=17","0.0656")</f>
        <v>0.0656</v>
      </c>
    </row>
    <row r="228" spans="1:9">
      <c r="A228" s="3"/>
      <c r="B228" s="3"/>
      <c r="C228" s="3"/>
      <c r="D228" s="3"/>
      <c r="E228" s="3">
        <v>9</v>
      </c>
      <c r="F228" s="4" t="str">
        <f>HYPERLINK("http://141.218.60.56/~jnz1568/getInfo.php?workbook=01_01.xlsx&amp;sheet=U0&amp;row=228&amp;col=6&amp;number=4.699&amp;sourceID=16","4.699")</f>
        <v>4.699</v>
      </c>
      <c r="G228" s="4" t="str">
        <f>HYPERLINK("http://141.218.60.56/~jnz1568/getInfo.php?workbook=01_01.xlsx&amp;sheet=U0&amp;row=228&amp;col=7&amp;number=0.0736&amp;sourceID=16","0.0736")</f>
        <v>0.0736</v>
      </c>
      <c r="H228" s="4" t="str">
        <f>HYPERLINK("http://141.218.60.56/~jnz1568/getInfo.php?workbook=01_01.xlsx&amp;sheet=U0&amp;row=228&amp;col=8&amp;number=&amp;sourceID=17","")</f>
        <v/>
      </c>
      <c r="I228" s="4" t="str">
        <f>HYPERLINK("http://141.218.60.56/~jnz1568/getInfo.php?workbook=01_01.xlsx&amp;sheet=U0&amp;row=228&amp;col=9&amp;number=&amp;sourceID=17","")</f>
        <v/>
      </c>
    </row>
    <row r="229" spans="1:9">
      <c r="A229" s="3">
        <v>1</v>
      </c>
      <c r="B229" s="3">
        <v>1</v>
      </c>
      <c r="C229" s="3">
        <v>9</v>
      </c>
      <c r="D229" s="3">
        <v>2</v>
      </c>
      <c r="E229" s="3">
        <v>1</v>
      </c>
      <c r="F229" s="4" t="str">
        <f>HYPERLINK("http://141.218.60.56/~jnz1568/getInfo.php?workbook=01_01.xlsx&amp;sheet=U0&amp;row=229&amp;col=6&amp;number==LOG10(2500)&amp;sourceID=16","=LOG10(2500)")</f>
        <v>=LOG10(2500)</v>
      </c>
      <c r="G229" s="4" t="str">
        <f>HYPERLINK("http://141.218.60.56/~jnz1568/getInfo.php?workbook=01_01.xlsx&amp;sheet=U0&amp;row=229&amp;col=7&amp;number=0.6375&amp;sourceID=16","0.6375")</f>
        <v>0.6375</v>
      </c>
      <c r="H229" s="4" t="str">
        <f>HYPERLINK("http://141.218.60.56/~jnz1568/getInfo.php?workbook=01_01.xlsx&amp;sheet=U0&amp;row=229&amp;col=8&amp;number=3.764&amp;sourceID=17","3.764")</f>
        <v>3.764</v>
      </c>
      <c r="I229" s="4" t="str">
        <f>HYPERLINK("http://141.218.60.56/~jnz1568/getInfo.php?workbook=01_01.xlsx&amp;sheet=U0&amp;row=229&amp;col=9&amp;number=0.654&amp;sourceID=17","0.654")</f>
        <v>0.654</v>
      </c>
    </row>
    <row r="230" spans="1:9">
      <c r="A230" s="3"/>
      <c r="B230" s="3"/>
      <c r="C230" s="3"/>
      <c r="D230" s="3"/>
      <c r="E230" s="3">
        <v>2</v>
      </c>
      <c r="F230" s="4" t="str">
        <f>HYPERLINK("http://141.218.60.56/~jnz1568/getInfo.php?workbook=01_01.xlsx&amp;sheet=U0&amp;row=230&amp;col=6&amp;number=3.699&amp;sourceID=16","3.699")</f>
        <v>3.699</v>
      </c>
      <c r="G230" s="4" t="str">
        <f>HYPERLINK("http://141.218.60.56/~jnz1568/getInfo.php?workbook=01_01.xlsx&amp;sheet=U0&amp;row=230&amp;col=7&amp;number=0.7009&amp;sourceID=16","0.7009")</f>
        <v>0.7009</v>
      </c>
      <c r="H230" s="4" t="str">
        <f>HYPERLINK("http://141.218.60.56/~jnz1568/getInfo.php?workbook=01_01.xlsx&amp;sheet=U0&amp;row=230&amp;col=8&amp;number=4.064&amp;sourceID=17","4.064")</f>
        <v>4.064</v>
      </c>
      <c r="I230" s="4" t="str">
        <f>HYPERLINK("http://141.218.60.56/~jnz1568/getInfo.php?workbook=01_01.xlsx&amp;sheet=U0&amp;row=230&amp;col=9&amp;number=0.754&amp;sourceID=17","0.754")</f>
        <v>0.754</v>
      </c>
    </row>
    <row r="231" spans="1:9">
      <c r="A231" s="3"/>
      <c r="B231" s="3"/>
      <c r="C231" s="3"/>
      <c r="D231" s="3"/>
      <c r="E231" s="3">
        <v>3</v>
      </c>
      <c r="F231" s="4" t="str">
        <f>HYPERLINK("http://141.218.60.56/~jnz1568/getInfo.php?workbook=01_01.xlsx&amp;sheet=U0&amp;row=231&amp;col=6&amp;number=3.875&amp;sourceID=16","3.875")</f>
        <v>3.875</v>
      </c>
      <c r="G231" s="4" t="str">
        <f>HYPERLINK("http://141.218.60.56/~jnz1568/getInfo.php?workbook=01_01.xlsx&amp;sheet=U0&amp;row=231&amp;col=7&amp;number=0.8344&amp;sourceID=16","0.8344")</f>
        <v>0.8344</v>
      </c>
      <c r="H231" s="4" t="str">
        <f>HYPERLINK("http://141.218.60.56/~jnz1568/getInfo.php?workbook=01_01.xlsx&amp;sheet=U0&amp;row=231&amp;col=8&amp;number=4.542&amp;sourceID=17","4.542")</f>
        <v>4.542</v>
      </c>
      <c r="I231" s="4" t="str">
        <f>HYPERLINK("http://141.218.60.56/~jnz1568/getInfo.php?workbook=01_01.xlsx&amp;sheet=U0&amp;row=231&amp;col=9&amp;number=1.12&amp;sourceID=17","1.12")</f>
        <v>1.12</v>
      </c>
    </row>
    <row r="232" spans="1:9">
      <c r="A232" s="3"/>
      <c r="B232" s="3"/>
      <c r="C232" s="3"/>
      <c r="D232" s="3"/>
      <c r="E232" s="3">
        <v>4</v>
      </c>
      <c r="F232" s="4" t="str">
        <f>HYPERLINK("http://141.218.60.56/~jnz1568/getInfo.php?workbook=01_01.xlsx&amp;sheet=U0&amp;row=232&amp;col=6&amp;number=4&amp;sourceID=16","4")</f>
        <v>4</v>
      </c>
      <c r="G232" s="4" t="str">
        <f>HYPERLINK("http://141.218.60.56/~jnz1568/getInfo.php?workbook=01_01.xlsx&amp;sheet=U0&amp;row=232&amp;col=7&amp;number=1.001&amp;sourceID=16","1.001")</f>
        <v>1.001</v>
      </c>
      <c r="H232" s="4" t="str">
        <f>HYPERLINK("http://141.218.60.56/~jnz1568/getInfo.php?workbook=01_01.xlsx&amp;sheet=U0&amp;row=232&amp;col=8&amp;number=4.764&amp;sourceID=17","4.764")</f>
        <v>4.764</v>
      </c>
      <c r="I232" s="4" t="str">
        <f>HYPERLINK("http://141.218.60.56/~jnz1568/getInfo.php?workbook=01_01.xlsx&amp;sheet=U0&amp;row=232&amp;col=9&amp;number=1.41&amp;sourceID=17","1.41")</f>
        <v>1.41</v>
      </c>
    </row>
    <row r="233" spans="1:9">
      <c r="A233" s="3"/>
      <c r="B233" s="3"/>
      <c r="C233" s="3"/>
      <c r="D233" s="3"/>
      <c r="E233" s="3">
        <v>5</v>
      </c>
      <c r="F233" s="4" t="str">
        <f>HYPERLINK("http://141.218.60.56/~jnz1568/getInfo.php?workbook=01_01.xlsx&amp;sheet=U0&amp;row=233&amp;col=6&amp;number=4.176&amp;sourceID=16","4.176")</f>
        <v>4.176</v>
      </c>
      <c r="G233" s="4" t="str">
        <f>HYPERLINK("http://141.218.60.56/~jnz1568/getInfo.php?workbook=01_01.xlsx&amp;sheet=U0&amp;row=233&amp;col=7&amp;number=1.335&amp;sourceID=16","1.335")</f>
        <v>1.335</v>
      </c>
      <c r="H233" s="4" t="str">
        <f>HYPERLINK("http://141.218.60.56/~jnz1568/getInfo.php?workbook=01_01.xlsx&amp;sheet=U0&amp;row=233&amp;col=8&amp;number=5.064&amp;sourceID=17","5.064")</f>
        <v>5.064</v>
      </c>
      <c r="I233" s="4" t="str">
        <f>HYPERLINK("http://141.218.60.56/~jnz1568/getInfo.php?workbook=01_01.xlsx&amp;sheet=U0&amp;row=233&amp;col=9&amp;number=1.93&amp;sourceID=17","1.93")</f>
        <v>1.93</v>
      </c>
    </row>
    <row r="234" spans="1:9">
      <c r="A234" s="3"/>
      <c r="B234" s="3"/>
      <c r="C234" s="3"/>
      <c r="D234" s="3"/>
      <c r="E234" s="3">
        <v>6</v>
      </c>
      <c r="F234" s="4" t="str">
        <f>HYPERLINK("http://141.218.60.56/~jnz1568/getInfo.php?workbook=01_01.xlsx&amp;sheet=U0&amp;row=234&amp;col=6&amp;number=4.301&amp;sourceID=16","4.301")</f>
        <v>4.301</v>
      </c>
      <c r="G234" s="4" t="str">
        <f>HYPERLINK("http://141.218.60.56/~jnz1568/getInfo.php?workbook=01_01.xlsx&amp;sheet=U0&amp;row=234&amp;col=7&amp;number=1.63&amp;sourceID=16","1.63")</f>
        <v>1.63</v>
      </c>
      <c r="H234" s="4" t="str">
        <f>HYPERLINK("http://141.218.60.56/~jnz1568/getInfo.php?workbook=01_01.xlsx&amp;sheet=U0&amp;row=234&amp;col=8&amp;number=5.241&amp;sourceID=17","5.241")</f>
        <v>5.241</v>
      </c>
      <c r="I234" s="4" t="str">
        <f>HYPERLINK("http://141.218.60.56/~jnz1568/getInfo.php?workbook=01_01.xlsx&amp;sheet=U0&amp;row=234&amp;col=9&amp;number=2.25&amp;sourceID=17","2.25")</f>
        <v>2.25</v>
      </c>
    </row>
    <row r="235" spans="1:9">
      <c r="A235" s="3"/>
      <c r="B235" s="3"/>
      <c r="C235" s="3"/>
      <c r="D235" s="3"/>
      <c r="E235" s="3">
        <v>7</v>
      </c>
      <c r="F235" s="4" t="str">
        <f>HYPERLINK("http://141.218.60.56/~jnz1568/getInfo.php?workbook=01_01.xlsx&amp;sheet=U0&amp;row=235&amp;col=6&amp;number=4.477&amp;sourceID=16","4.477")</f>
        <v>4.477</v>
      </c>
      <c r="G235" s="4" t="str">
        <f>HYPERLINK("http://141.218.60.56/~jnz1568/getInfo.php?workbook=01_01.xlsx&amp;sheet=U0&amp;row=235&amp;col=7&amp;number=2.097&amp;sourceID=16","2.097")</f>
        <v>2.097</v>
      </c>
      <c r="H235" s="4" t="str">
        <f>HYPERLINK("http://141.218.60.56/~jnz1568/getInfo.php?workbook=01_01.xlsx&amp;sheet=U0&amp;row=235&amp;col=8&amp;number=5.366&amp;sourceID=17","5.366")</f>
        <v>5.366</v>
      </c>
      <c r="I235" s="4" t="str">
        <f>HYPERLINK("http://141.218.60.56/~jnz1568/getInfo.php?workbook=01_01.xlsx&amp;sheet=U0&amp;row=235&amp;col=9&amp;number=2.48&amp;sourceID=17","2.48")</f>
        <v>2.48</v>
      </c>
    </row>
    <row r="236" spans="1:9">
      <c r="A236" s="3"/>
      <c r="B236" s="3"/>
      <c r="C236" s="3"/>
      <c r="D236" s="3"/>
      <c r="E236" s="3">
        <v>8</v>
      </c>
      <c r="F236" s="4" t="str">
        <f>HYPERLINK("http://141.218.60.56/~jnz1568/getInfo.php?workbook=01_01.xlsx&amp;sheet=U0&amp;row=236&amp;col=6&amp;number=4.602&amp;sourceID=16","4.602")</f>
        <v>4.602</v>
      </c>
      <c r="G236" s="4" t="str">
        <f>HYPERLINK("http://141.218.60.56/~jnz1568/getInfo.php?workbook=01_01.xlsx&amp;sheet=U0&amp;row=236&amp;col=7&amp;number=2.443&amp;sourceID=16","2.443")</f>
        <v>2.443</v>
      </c>
      <c r="H236" s="4" t="str">
        <f>HYPERLINK("http://141.218.60.56/~jnz1568/getInfo.php?workbook=01_01.xlsx&amp;sheet=U0&amp;row=236&amp;col=8&amp;number=5.463&amp;sourceID=17","5.463")</f>
        <v>5.463</v>
      </c>
      <c r="I236" s="4" t="str">
        <f>HYPERLINK("http://141.218.60.56/~jnz1568/getInfo.php?workbook=01_01.xlsx&amp;sheet=U0&amp;row=236&amp;col=9&amp;number=2.65&amp;sourceID=17","2.65")</f>
        <v>2.65</v>
      </c>
    </row>
    <row r="237" spans="1:9">
      <c r="A237" s="3"/>
      <c r="B237" s="3"/>
      <c r="C237" s="3"/>
      <c r="D237" s="3"/>
      <c r="E237" s="3">
        <v>9</v>
      </c>
      <c r="F237" s="4" t="str">
        <f>HYPERLINK("http://141.218.60.56/~jnz1568/getInfo.php?workbook=01_01.xlsx&amp;sheet=U0&amp;row=237&amp;col=6&amp;number=4.699&amp;sourceID=16","4.699")</f>
        <v>4.699</v>
      </c>
      <c r="G237" s="4" t="str">
        <f>HYPERLINK("http://141.218.60.56/~jnz1568/getInfo.php?workbook=01_01.xlsx&amp;sheet=U0&amp;row=237&amp;col=7&amp;number=2.706&amp;sourceID=16","2.706")</f>
        <v>2.706</v>
      </c>
      <c r="H237" s="4" t="str">
        <f>HYPERLINK("http://141.218.60.56/~jnz1568/getInfo.php?workbook=01_01.xlsx&amp;sheet=U0&amp;row=237&amp;col=8&amp;number=&amp;sourceID=17","")</f>
        <v/>
      </c>
      <c r="I237" s="4" t="str">
        <f>HYPERLINK("http://141.218.60.56/~jnz1568/getInfo.php?workbook=01_01.xlsx&amp;sheet=U0&amp;row=237&amp;col=9&amp;number=&amp;sourceID=17","")</f>
        <v/>
      </c>
    </row>
    <row r="238" spans="1:9">
      <c r="A238" s="3">
        <v>1</v>
      </c>
      <c r="B238" s="3">
        <v>1</v>
      </c>
      <c r="C238" s="3">
        <v>9</v>
      </c>
      <c r="D238" s="3">
        <v>3</v>
      </c>
      <c r="E238" s="3">
        <v>1</v>
      </c>
      <c r="F238" s="4" t="str">
        <f>HYPERLINK("http://141.218.60.56/~jnz1568/getInfo.php?workbook=01_01.xlsx&amp;sheet=U0&amp;row=238&amp;col=6&amp;number==LOG10(2500)&amp;sourceID=16","=LOG10(2500)")</f>
        <v>=LOG10(2500)</v>
      </c>
      <c r="G238" s="4" t="str">
        <f>HYPERLINK("http://141.218.60.56/~jnz1568/getInfo.php?workbook=01_01.xlsx&amp;sheet=U0&amp;row=238&amp;col=7&amp;number=3.347&amp;sourceID=16","3.347")</f>
        <v>3.347</v>
      </c>
      <c r="H238" s="4" t="str">
        <f>HYPERLINK("http://141.218.60.56/~jnz1568/getInfo.php?workbook=01_01.xlsx&amp;sheet=U0&amp;row=238&amp;col=8&amp;number=3.764&amp;sourceID=17","3.764")</f>
        <v>3.764</v>
      </c>
      <c r="I238" s="4" t="str">
        <f>HYPERLINK("http://141.218.60.56/~jnz1568/getInfo.php?workbook=01_01.xlsx&amp;sheet=U0&amp;row=238&amp;col=9&amp;number=3.54&amp;sourceID=17","3.54")</f>
        <v>3.54</v>
      </c>
    </row>
    <row r="239" spans="1:9">
      <c r="A239" s="3"/>
      <c r="B239" s="3"/>
      <c r="C239" s="3"/>
      <c r="D239" s="3"/>
      <c r="E239" s="3">
        <v>2</v>
      </c>
      <c r="F239" s="4" t="str">
        <f>HYPERLINK("http://141.218.60.56/~jnz1568/getInfo.php?workbook=01_01.xlsx&amp;sheet=U0&amp;row=239&amp;col=6&amp;number=3.699&amp;sourceID=16","3.699")</f>
        <v>3.699</v>
      </c>
      <c r="G239" s="4" t="str">
        <f>HYPERLINK("http://141.218.60.56/~jnz1568/getInfo.php?workbook=01_01.xlsx&amp;sheet=U0&amp;row=239&amp;col=7&amp;number=3.73&amp;sourceID=16","3.73")</f>
        <v>3.73</v>
      </c>
      <c r="H239" s="4" t="str">
        <f>HYPERLINK("http://141.218.60.56/~jnz1568/getInfo.php?workbook=01_01.xlsx&amp;sheet=U0&amp;row=239&amp;col=8&amp;number=4.064&amp;sourceID=17","4.064")</f>
        <v>4.064</v>
      </c>
      <c r="I239" s="4" t="str">
        <f>HYPERLINK("http://141.218.60.56/~jnz1568/getInfo.php?workbook=01_01.xlsx&amp;sheet=U0&amp;row=239&amp;col=9&amp;number=4.31&amp;sourceID=17","4.31")</f>
        <v>4.31</v>
      </c>
    </row>
    <row r="240" spans="1:9">
      <c r="A240" s="3"/>
      <c r="B240" s="3"/>
      <c r="C240" s="3"/>
      <c r="D240" s="3"/>
      <c r="E240" s="3">
        <v>3</v>
      </c>
      <c r="F240" s="4" t="str">
        <f>HYPERLINK("http://141.218.60.56/~jnz1568/getInfo.php?workbook=01_01.xlsx&amp;sheet=U0&amp;row=240&amp;col=6&amp;number=3.875&amp;sourceID=16","3.875")</f>
        <v>3.875</v>
      </c>
      <c r="G240" s="4" t="str">
        <f>HYPERLINK("http://141.218.60.56/~jnz1568/getInfo.php?workbook=01_01.xlsx&amp;sheet=U0&amp;row=240&amp;col=7&amp;number=4.492&amp;sourceID=16","4.492")</f>
        <v>4.492</v>
      </c>
      <c r="H240" s="4" t="str">
        <f>HYPERLINK("http://141.218.60.56/~jnz1568/getInfo.php?workbook=01_01.xlsx&amp;sheet=U0&amp;row=240&amp;col=8&amp;number=4.542&amp;sourceID=17","4.542")</f>
        <v>4.542</v>
      </c>
      <c r="I240" s="4" t="str">
        <f>HYPERLINK("http://141.218.60.56/~jnz1568/getInfo.php?workbook=01_01.xlsx&amp;sheet=U0&amp;row=240&amp;col=9&amp;number=7.62&amp;sourceID=17","7.62")</f>
        <v>7.62</v>
      </c>
    </row>
    <row r="241" spans="1:9">
      <c r="A241" s="3"/>
      <c r="B241" s="3"/>
      <c r="C241" s="3"/>
      <c r="D241" s="3"/>
      <c r="E241" s="3">
        <v>4</v>
      </c>
      <c r="F241" s="4" t="str">
        <f>HYPERLINK("http://141.218.60.56/~jnz1568/getInfo.php?workbook=01_01.xlsx&amp;sheet=U0&amp;row=241&amp;col=6&amp;number=4&amp;sourceID=16","4")</f>
        <v>4</v>
      </c>
      <c r="G241" s="4" t="str">
        <f>HYPERLINK("http://141.218.60.56/~jnz1568/getInfo.php?workbook=01_01.xlsx&amp;sheet=U0&amp;row=241&amp;col=7&amp;number=5.449&amp;sourceID=16","5.449")</f>
        <v>5.449</v>
      </c>
      <c r="H241" s="4" t="str">
        <f>HYPERLINK("http://141.218.60.56/~jnz1568/getInfo.php?workbook=01_01.xlsx&amp;sheet=U0&amp;row=241&amp;col=8&amp;number=4.764&amp;sourceID=17","4.764")</f>
        <v>4.764</v>
      </c>
      <c r="I241" s="4" t="str">
        <f>HYPERLINK("http://141.218.60.56/~jnz1568/getInfo.php?workbook=01_01.xlsx&amp;sheet=U0&amp;row=241&amp;col=9&amp;number=10.6&amp;sourceID=17","10.6")</f>
        <v>10.6</v>
      </c>
    </row>
    <row r="242" spans="1:9">
      <c r="A242" s="3"/>
      <c r="B242" s="3"/>
      <c r="C242" s="3"/>
      <c r="D242" s="3"/>
      <c r="E242" s="3">
        <v>5</v>
      </c>
      <c r="F242" s="4" t="str">
        <f>HYPERLINK("http://141.218.60.56/~jnz1568/getInfo.php?workbook=01_01.xlsx&amp;sheet=U0&amp;row=242&amp;col=6&amp;number=4.176&amp;sourceID=16","4.176")</f>
        <v>4.176</v>
      </c>
      <c r="G242" s="4" t="str">
        <f>HYPERLINK("http://141.218.60.56/~jnz1568/getInfo.php?workbook=01_01.xlsx&amp;sheet=U0&amp;row=242&amp;col=7&amp;number=7.442&amp;sourceID=16","7.442")</f>
        <v>7.442</v>
      </c>
      <c r="H242" s="4" t="str">
        <f>HYPERLINK("http://141.218.60.56/~jnz1568/getInfo.php?workbook=01_01.xlsx&amp;sheet=U0&amp;row=242&amp;col=8&amp;number=5.064&amp;sourceID=17","5.064")</f>
        <v>5.064</v>
      </c>
      <c r="I242" s="4" t="str">
        <f>HYPERLINK("http://141.218.60.56/~jnz1568/getInfo.php?workbook=01_01.xlsx&amp;sheet=U0&amp;row=242&amp;col=9&amp;number=16.3&amp;sourceID=17","16.3")</f>
        <v>16.3</v>
      </c>
    </row>
    <row r="243" spans="1:9">
      <c r="A243" s="3"/>
      <c r="B243" s="3"/>
      <c r="C243" s="3"/>
      <c r="D243" s="3"/>
      <c r="E243" s="3">
        <v>6</v>
      </c>
      <c r="F243" s="4" t="str">
        <f>HYPERLINK("http://141.218.60.56/~jnz1568/getInfo.php?workbook=01_01.xlsx&amp;sheet=U0&amp;row=243&amp;col=6&amp;number=4.301&amp;sourceID=16","4.301")</f>
        <v>4.301</v>
      </c>
      <c r="G243" s="4" t="str">
        <f>HYPERLINK("http://141.218.60.56/~jnz1568/getInfo.php?workbook=01_01.xlsx&amp;sheet=U0&amp;row=243&amp;col=7&amp;number=9.293&amp;sourceID=16","9.293")</f>
        <v>9.293</v>
      </c>
      <c r="H243" s="4" t="str">
        <f>HYPERLINK("http://141.218.60.56/~jnz1568/getInfo.php?workbook=01_01.xlsx&amp;sheet=U0&amp;row=243&amp;col=8&amp;number=5.241&amp;sourceID=17","5.241")</f>
        <v>5.241</v>
      </c>
      <c r="I243" s="4" t="str">
        <f>HYPERLINK("http://141.218.60.56/~jnz1568/getInfo.php?workbook=01_01.xlsx&amp;sheet=U0&amp;row=243&amp;col=9&amp;number=20.4&amp;sourceID=17","20.4")</f>
        <v>20.4</v>
      </c>
    </row>
    <row r="244" spans="1:9">
      <c r="A244" s="3"/>
      <c r="B244" s="3"/>
      <c r="C244" s="3"/>
      <c r="D244" s="3"/>
      <c r="E244" s="3">
        <v>7</v>
      </c>
      <c r="F244" s="4" t="str">
        <f>HYPERLINK("http://141.218.60.56/~jnz1568/getInfo.php?workbook=01_01.xlsx&amp;sheet=U0&amp;row=244&amp;col=6&amp;number=4.477&amp;sourceID=16","4.477")</f>
        <v>4.477</v>
      </c>
      <c r="G244" s="4" t="str">
        <f>HYPERLINK("http://141.218.60.56/~jnz1568/getInfo.php?workbook=01_01.xlsx&amp;sheet=U0&amp;row=244&amp;col=7&amp;number=12.48&amp;sourceID=16","12.48")</f>
        <v>12.48</v>
      </c>
      <c r="H244" s="4" t="str">
        <f>HYPERLINK("http://141.218.60.56/~jnz1568/getInfo.php?workbook=01_01.xlsx&amp;sheet=U0&amp;row=244&amp;col=8&amp;number=5.366&amp;sourceID=17","5.366")</f>
        <v>5.366</v>
      </c>
      <c r="I244" s="4" t="str">
        <f>HYPERLINK("http://141.218.60.56/~jnz1568/getInfo.php?workbook=01_01.xlsx&amp;sheet=U0&amp;row=244&amp;col=9&amp;number=23.4&amp;sourceID=17","23.4")</f>
        <v>23.4</v>
      </c>
    </row>
    <row r="245" spans="1:9">
      <c r="A245" s="3"/>
      <c r="B245" s="3"/>
      <c r="C245" s="3"/>
      <c r="D245" s="3"/>
      <c r="E245" s="3">
        <v>8</v>
      </c>
      <c r="F245" s="4" t="str">
        <f>HYPERLINK("http://141.218.60.56/~jnz1568/getInfo.php?workbook=01_01.xlsx&amp;sheet=U0&amp;row=245&amp;col=6&amp;number=4.602&amp;sourceID=16","4.602")</f>
        <v>4.602</v>
      </c>
      <c r="G245" s="4" t="str">
        <f>HYPERLINK("http://141.218.60.56/~jnz1568/getInfo.php?workbook=01_01.xlsx&amp;sheet=U0&amp;row=245&amp;col=7&amp;number=15.11&amp;sourceID=16","15.11")</f>
        <v>15.11</v>
      </c>
      <c r="H245" s="4" t="str">
        <f>HYPERLINK("http://141.218.60.56/~jnz1568/getInfo.php?workbook=01_01.xlsx&amp;sheet=U0&amp;row=245&amp;col=8&amp;number=5.463&amp;sourceID=17","5.463")</f>
        <v>5.463</v>
      </c>
      <c r="I245" s="4" t="str">
        <f>HYPERLINK("http://141.218.60.56/~jnz1568/getInfo.php?workbook=01_01.xlsx&amp;sheet=U0&amp;row=245&amp;col=9&amp;number=26&amp;sourceID=17","26")</f>
        <v>26</v>
      </c>
    </row>
    <row r="246" spans="1:9">
      <c r="A246" s="3"/>
      <c r="B246" s="3"/>
      <c r="C246" s="3"/>
      <c r="D246" s="3"/>
      <c r="E246" s="3">
        <v>9</v>
      </c>
      <c r="F246" s="4" t="str">
        <f>HYPERLINK("http://141.218.60.56/~jnz1568/getInfo.php?workbook=01_01.xlsx&amp;sheet=U0&amp;row=246&amp;col=6&amp;number=4.699&amp;sourceID=16","4.699")</f>
        <v>4.699</v>
      </c>
      <c r="G246" s="4" t="str">
        <f>HYPERLINK("http://141.218.60.56/~jnz1568/getInfo.php?workbook=01_01.xlsx&amp;sheet=U0&amp;row=246&amp;col=7&amp;number=17.3&amp;sourceID=16","17.3")</f>
        <v>17.3</v>
      </c>
      <c r="H246" s="4" t="str">
        <f>HYPERLINK("http://141.218.60.56/~jnz1568/getInfo.php?workbook=01_01.xlsx&amp;sheet=U0&amp;row=246&amp;col=8&amp;number=&amp;sourceID=17","")</f>
        <v/>
      </c>
      <c r="I246" s="4" t="str">
        <f>HYPERLINK("http://141.218.60.56/~jnz1568/getInfo.php?workbook=01_01.xlsx&amp;sheet=U0&amp;row=246&amp;col=9&amp;number=&amp;sourceID=17","")</f>
        <v/>
      </c>
    </row>
    <row r="247" spans="1:9">
      <c r="A247" s="3">
        <v>1</v>
      </c>
      <c r="B247" s="3">
        <v>1</v>
      </c>
      <c r="C247" s="3">
        <v>9</v>
      </c>
      <c r="D247" s="3">
        <v>4</v>
      </c>
      <c r="E247" s="3">
        <v>1</v>
      </c>
      <c r="F247" s="4" t="str">
        <f>HYPERLINK("http://141.218.60.56/~jnz1568/getInfo.php?workbook=01_01.xlsx&amp;sheet=U0&amp;row=247&amp;col=6&amp;number==LOG10(2500)&amp;sourceID=16","=LOG10(2500)")</f>
        <v>=LOG10(2500)</v>
      </c>
      <c r="G247" s="4" t="str">
        <f>HYPERLINK("http://141.218.60.56/~jnz1568/getInfo.php?workbook=01_01.xlsx&amp;sheet=U0&amp;row=247&amp;col=7&amp;number=4.557&amp;sourceID=16","4.557")</f>
        <v>4.557</v>
      </c>
      <c r="H247" s="4" t="str">
        <f>HYPERLINK("http://141.218.60.56/~jnz1568/getInfo.php?workbook=01_01.xlsx&amp;sheet=U0&amp;row=247&amp;col=8&amp;number=3.764&amp;sourceID=17","3.764")</f>
        <v>3.764</v>
      </c>
      <c r="I247" s="4" t="str">
        <f>HYPERLINK("http://141.218.60.56/~jnz1568/getInfo.php?workbook=01_01.xlsx&amp;sheet=U0&amp;row=247&amp;col=9&amp;number=6.41&amp;sourceID=17","6.41")</f>
        <v>6.41</v>
      </c>
    </row>
    <row r="248" spans="1:9">
      <c r="A248" s="3"/>
      <c r="B248" s="3"/>
      <c r="C248" s="3"/>
      <c r="D248" s="3"/>
      <c r="E248" s="3">
        <v>2</v>
      </c>
      <c r="F248" s="4" t="str">
        <f>HYPERLINK("http://141.218.60.56/~jnz1568/getInfo.php?workbook=01_01.xlsx&amp;sheet=U0&amp;row=248&amp;col=6&amp;number=3.699&amp;sourceID=16","3.699")</f>
        <v>3.699</v>
      </c>
      <c r="G248" s="4" t="str">
        <f>HYPERLINK("http://141.218.60.56/~jnz1568/getInfo.php?workbook=01_01.xlsx&amp;sheet=U0&amp;row=248&amp;col=7&amp;number=5.8&amp;sourceID=16","5.8")</f>
        <v>5.8</v>
      </c>
      <c r="H248" s="4" t="str">
        <f>HYPERLINK("http://141.218.60.56/~jnz1568/getInfo.php?workbook=01_01.xlsx&amp;sheet=U0&amp;row=248&amp;col=8&amp;number=4.064&amp;sourceID=17","4.064")</f>
        <v>4.064</v>
      </c>
      <c r="I248" s="4" t="str">
        <f>HYPERLINK("http://141.218.60.56/~jnz1568/getInfo.php?workbook=01_01.xlsx&amp;sheet=U0&amp;row=248&amp;col=9&amp;number=10.1&amp;sourceID=17","10.1")</f>
        <v>10.1</v>
      </c>
    </row>
    <row r="249" spans="1:9">
      <c r="A249" s="3"/>
      <c r="B249" s="3"/>
      <c r="C249" s="3"/>
      <c r="D249" s="3"/>
      <c r="E249" s="3">
        <v>3</v>
      </c>
      <c r="F249" s="4" t="str">
        <f>HYPERLINK("http://141.218.60.56/~jnz1568/getInfo.php?workbook=01_01.xlsx&amp;sheet=U0&amp;row=249&amp;col=6&amp;number=3.875&amp;sourceID=16","3.875")</f>
        <v>3.875</v>
      </c>
      <c r="G249" s="4" t="str">
        <f>HYPERLINK("http://141.218.60.56/~jnz1568/getInfo.php?workbook=01_01.xlsx&amp;sheet=U0&amp;row=249&amp;col=7&amp;number=7.214&amp;sourceID=16","7.214")</f>
        <v>7.214</v>
      </c>
      <c r="H249" s="4" t="str">
        <f>HYPERLINK("http://141.218.60.56/~jnz1568/getInfo.php?workbook=01_01.xlsx&amp;sheet=U0&amp;row=249&amp;col=8&amp;number=4.542&amp;sourceID=17","4.542")</f>
        <v>4.542</v>
      </c>
      <c r="I249" s="4" t="str">
        <f>HYPERLINK("http://141.218.60.56/~jnz1568/getInfo.php?workbook=01_01.xlsx&amp;sheet=U0&amp;row=249&amp;col=9&amp;number=22.9&amp;sourceID=17","22.9")</f>
        <v>22.9</v>
      </c>
    </row>
    <row r="250" spans="1:9">
      <c r="A250" s="3"/>
      <c r="B250" s="3"/>
      <c r="C250" s="3"/>
      <c r="D250" s="3"/>
      <c r="E250" s="3">
        <v>4</v>
      </c>
      <c r="F250" s="4" t="str">
        <f>HYPERLINK("http://141.218.60.56/~jnz1568/getInfo.php?workbook=01_01.xlsx&amp;sheet=U0&amp;row=250&amp;col=6&amp;number=4&amp;sourceID=16","4")</f>
        <v>4</v>
      </c>
      <c r="G250" s="4" t="str">
        <f>HYPERLINK("http://141.218.60.56/~jnz1568/getInfo.php?workbook=01_01.xlsx&amp;sheet=U0&amp;row=250&amp;col=7&amp;number=8.876&amp;sourceID=16","8.876")</f>
        <v>8.876</v>
      </c>
      <c r="H250" s="4" t="str">
        <f>HYPERLINK("http://141.218.60.56/~jnz1568/getInfo.php?workbook=01_01.xlsx&amp;sheet=U0&amp;row=250&amp;col=8&amp;number=4.764&amp;sourceID=17","4.764")</f>
        <v>4.764</v>
      </c>
      <c r="I250" s="4" t="str">
        <f>HYPERLINK("http://141.218.60.56/~jnz1568/getInfo.php?workbook=01_01.xlsx&amp;sheet=U0&amp;row=250&amp;col=9&amp;number=32.4&amp;sourceID=17","32.4")</f>
        <v>32.4</v>
      </c>
    </row>
    <row r="251" spans="1:9">
      <c r="A251" s="3"/>
      <c r="B251" s="3"/>
      <c r="C251" s="3"/>
      <c r="D251" s="3"/>
      <c r="E251" s="3">
        <v>5</v>
      </c>
      <c r="F251" s="4" t="str">
        <f>HYPERLINK("http://141.218.60.56/~jnz1568/getInfo.php?workbook=01_01.xlsx&amp;sheet=U0&amp;row=251&amp;col=6&amp;number=4.176&amp;sourceID=16","4.176")</f>
        <v>4.176</v>
      </c>
      <c r="G251" s="4" t="str">
        <f>HYPERLINK("http://141.218.60.56/~jnz1568/getInfo.php?workbook=01_01.xlsx&amp;sheet=U0&amp;row=251&amp;col=7&amp;number=12.55&amp;sourceID=16","12.55")</f>
        <v>12.55</v>
      </c>
      <c r="H251" s="4" t="str">
        <f>HYPERLINK("http://141.218.60.56/~jnz1568/getInfo.php?workbook=01_01.xlsx&amp;sheet=U0&amp;row=251&amp;col=8&amp;number=5.064&amp;sourceID=17","5.064")</f>
        <v>5.064</v>
      </c>
      <c r="I251" s="4" t="str">
        <f>HYPERLINK("http://141.218.60.56/~jnz1568/getInfo.php?workbook=01_01.xlsx&amp;sheet=U0&amp;row=251&amp;col=9&amp;number=47.2&amp;sourceID=17","47.2")</f>
        <v>47.2</v>
      </c>
    </row>
    <row r="252" spans="1:9">
      <c r="A252" s="3"/>
      <c r="B252" s="3"/>
      <c r="C252" s="3"/>
      <c r="D252" s="3"/>
      <c r="E252" s="3">
        <v>6</v>
      </c>
      <c r="F252" s="4" t="str">
        <f>HYPERLINK("http://141.218.60.56/~jnz1568/getInfo.php?workbook=01_01.xlsx&amp;sheet=U0&amp;row=252&amp;col=6&amp;number=4.301&amp;sourceID=16","4.301")</f>
        <v>4.301</v>
      </c>
      <c r="G252" s="4" t="str">
        <f>HYPERLINK("http://141.218.60.56/~jnz1568/getInfo.php?workbook=01_01.xlsx&amp;sheet=U0&amp;row=252&amp;col=7&amp;number=16.32&amp;sourceID=16","16.32")</f>
        <v>16.32</v>
      </c>
      <c r="H252" s="4" t="str">
        <f>HYPERLINK("http://141.218.60.56/~jnz1568/getInfo.php?workbook=01_01.xlsx&amp;sheet=U0&amp;row=252&amp;col=8&amp;number=5.241&amp;sourceID=17","5.241")</f>
        <v>5.241</v>
      </c>
      <c r="I252" s="4" t="str">
        <f>HYPERLINK("http://141.218.60.56/~jnz1568/getInfo.php?workbook=01_01.xlsx&amp;sheet=U0&amp;row=252&amp;col=9&amp;number=55.6&amp;sourceID=17","55.6")</f>
        <v>55.6</v>
      </c>
    </row>
    <row r="253" spans="1:9">
      <c r="A253" s="3"/>
      <c r="B253" s="3"/>
      <c r="C253" s="3"/>
      <c r="D253" s="3"/>
      <c r="E253" s="3">
        <v>7</v>
      </c>
      <c r="F253" s="4" t="str">
        <f>HYPERLINK("http://141.218.60.56/~jnz1568/getInfo.php?workbook=01_01.xlsx&amp;sheet=U0&amp;row=253&amp;col=6&amp;number=4.477&amp;sourceID=16","4.477")</f>
        <v>4.477</v>
      </c>
      <c r="G253" s="4" t="str">
        <f>HYPERLINK("http://141.218.60.56/~jnz1568/getInfo.php?workbook=01_01.xlsx&amp;sheet=U0&amp;row=253&amp;col=7&amp;number=23.54&amp;sourceID=16","23.54")</f>
        <v>23.54</v>
      </c>
      <c r="H253" s="4" t="str">
        <f>HYPERLINK("http://141.218.60.56/~jnz1568/getInfo.php?workbook=01_01.xlsx&amp;sheet=U0&amp;row=253&amp;col=8&amp;number=5.366&amp;sourceID=17","5.366")</f>
        <v>5.366</v>
      </c>
      <c r="I253" s="4" t="str">
        <f>HYPERLINK("http://141.218.60.56/~jnz1568/getInfo.php?workbook=01_01.xlsx&amp;sheet=U0&amp;row=253&amp;col=9&amp;number=61.2&amp;sourceID=17","61.2")</f>
        <v>61.2</v>
      </c>
    </row>
    <row r="254" spans="1:9">
      <c r="A254" s="3"/>
      <c r="B254" s="3"/>
      <c r="C254" s="3"/>
      <c r="D254" s="3"/>
      <c r="E254" s="3">
        <v>8</v>
      </c>
      <c r="F254" s="4" t="str">
        <f>HYPERLINK("http://141.218.60.56/~jnz1568/getInfo.php?workbook=01_01.xlsx&amp;sheet=U0&amp;row=254&amp;col=6&amp;number=4.602&amp;sourceID=16","4.602")</f>
        <v>4.602</v>
      </c>
      <c r="G254" s="4" t="str">
        <f>HYPERLINK("http://141.218.60.56/~jnz1568/getInfo.php?workbook=01_01.xlsx&amp;sheet=U0&amp;row=254&amp;col=7&amp;number=29.93&amp;sourceID=16","29.93")</f>
        <v>29.93</v>
      </c>
      <c r="H254" s="4" t="str">
        <f>HYPERLINK("http://141.218.60.56/~jnz1568/getInfo.php?workbook=01_01.xlsx&amp;sheet=U0&amp;row=254&amp;col=8&amp;number=5.463&amp;sourceID=17","5.463")</f>
        <v>5.463</v>
      </c>
      <c r="I254" s="4" t="str">
        <f>HYPERLINK("http://141.218.60.56/~jnz1568/getInfo.php?workbook=01_01.xlsx&amp;sheet=U0&amp;row=254&amp;col=9&amp;number=65.1&amp;sourceID=17","65.1")</f>
        <v>65.1</v>
      </c>
    </row>
    <row r="255" spans="1:9">
      <c r="A255" s="3"/>
      <c r="B255" s="3"/>
      <c r="C255" s="3"/>
      <c r="D255" s="3"/>
      <c r="E255" s="3">
        <v>9</v>
      </c>
      <c r="F255" s="4" t="str">
        <f>HYPERLINK("http://141.218.60.56/~jnz1568/getInfo.php?workbook=01_01.xlsx&amp;sheet=U0&amp;row=255&amp;col=6&amp;number=4.699&amp;sourceID=16","4.699")</f>
        <v>4.699</v>
      </c>
      <c r="G255" s="4" t="str">
        <f>HYPERLINK("http://141.218.60.56/~jnz1568/getInfo.php?workbook=01_01.xlsx&amp;sheet=U0&amp;row=255&amp;col=7&amp;number=35.42&amp;sourceID=16","35.42")</f>
        <v>35.42</v>
      </c>
      <c r="H255" s="4" t="str">
        <f>HYPERLINK("http://141.218.60.56/~jnz1568/getInfo.php?workbook=01_01.xlsx&amp;sheet=U0&amp;row=255&amp;col=8&amp;number=&amp;sourceID=17","")</f>
        <v/>
      </c>
      <c r="I255" s="4" t="str">
        <f>HYPERLINK("http://141.218.60.56/~jnz1568/getInfo.php?workbook=01_01.xlsx&amp;sheet=U0&amp;row=255&amp;col=9&amp;number=&amp;sourceID=17","")</f>
        <v/>
      </c>
    </row>
    <row r="256" spans="1:9">
      <c r="A256" s="3">
        <v>1</v>
      </c>
      <c r="B256" s="3">
        <v>1</v>
      </c>
      <c r="C256" s="3">
        <v>9</v>
      </c>
      <c r="D256" s="3">
        <v>5</v>
      </c>
      <c r="E256" s="3">
        <v>1</v>
      </c>
      <c r="F256" s="4" t="str">
        <f>HYPERLINK("http://141.218.60.56/~jnz1568/getInfo.php?workbook=01_01.xlsx&amp;sheet=U0&amp;row=256&amp;col=6&amp;number==LOG10(2500)&amp;sourceID=16","=LOG10(2500)")</f>
        <v>=LOG10(2500)</v>
      </c>
      <c r="G256" s="4" t="str">
        <f>HYPERLINK("http://141.218.60.56/~jnz1568/getInfo.php?workbook=01_01.xlsx&amp;sheet=U0&amp;row=256&amp;col=7&amp;number=16.93&amp;sourceID=16","16.93")</f>
        <v>16.93</v>
      </c>
      <c r="H256" s="4" t="str">
        <f>HYPERLINK("http://141.218.60.56/~jnz1568/getInfo.php?workbook=01_01.xlsx&amp;sheet=U0&amp;row=256&amp;col=8&amp;number=3.764&amp;sourceID=17","3.764")</f>
        <v>3.764</v>
      </c>
      <c r="I256" s="4" t="str">
        <f>HYPERLINK("http://141.218.60.56/~jnz1568/getInfo.php?workbook=01_01.xlsx&amp;sheet=U0&amp;row=256&amp;col=9&amp;number=21.3&amp;sourceID=17","21.3")</f>
        <v>21.3</v>
      </c>
    </row>
    <row r="257" spans="1:9">
      <c r="A257" s="3"/>
      <c r="B257" s="3"/>
      <c r="C257" s="3"/>
      <c r="D257" s="3"/>
      <c r="E257" s="3">
        <v>2</v>
      </c>
      <c r="F257" s="4" t="str">
        <f>HYPERLINK("http://141.218.60.56/~jnz1568/getInfo.php?workbook=01_01.xlsx&amp;sheet=U0&amp;row=257&amp;col=6&amp;number=3.699&amp;sourceID=16","3.699")</f>
        <v>3.699</v>
      </c>
      <c r="G257" s="4" t="str">
        <f>HYPERLINK("http://141.218.60.56/~jnz1568/getInfo.php?workbook=01_01.xlsx&amp;sheet=U0&amp;row=257&amp;col=7&amp;number=20.15&amp;sourceID=16","20.15")</f>
        <v>20.15</v>
      </c>
      <c r="H257" s="4" t="str">
        <f>HYPERLINK("http://141.218.60.56/~jnz1568/getInfo.php?workbook=01_01.xlsx&amp;sheet=U0&amp;row=257&amp;col=8&amp;number=4.064&amp;sourceID=17","4.064")</f>
        <v>4.064</v>
      </c>
      <c r="I257" s="4" t="str">
        <f>HYPERLINK("http://141.218.60.56/~jnz1568/getInfo.php?workbook=01_01.xlsx&amp;sheet=U0&amp;row=257&amp;col=9&amp;number=31.3&amp;sourceID=17","31.3")</f>
        <v>31.3</v>
      </c>
    </row>
    <row r="258" spans="1:9">
      <c r="A258" s="3"/>
      <c r="B258" s="3"/>
      <c r="C258" s="3"/>
      <c r="D258" s="3"/>
      <c r="E258" s="3">
        <v>3</v>
      </c>
      <c r="F258" s="4" t="str">
        <f>HYPERLINK("http://141.218.60.56/~jnz1568/getInfo.php?workbook=01_01.xlsx&amp;sheet=U0&amp;row=258&amp;col=6&amp;number=3.875&amp;sourceID=16","3.875")</f>
        <v>3.875</v>
      </c>
      <c r="G258" s="4" t="str">
        <f>HYPERLINK("http://141.218.60.56/~jnz1568/getInfo.php?workbook=01_01.xlsx&amp;sheet=U0&amp;row=258&amp;col=7&amp;number=23.92&amp;sourceID=16","23.92")</f>
        <v>23.92</v>
      </c>
      <c r="H258" s="4" t="str">
        <f>HYPERLINK("http://141.218.60.56/~jnz1568/getInfo.php?workbook=01_01.xlsx&amp;sheet=U0&amp;row=258&amp;col=8&amp;number=4.542&amp;sourceID=17","4.542")</f>
        <v>4.542</v>
      </c>
      <c r="I258" s="4" t="str">
        <f>HYPERLINK("http://141.218.60.56/~jnz1568/getInfo.php?workbook=01_01.xlsx&amp;sheet=U0&amp;row=258&amp;col=9&amp;number=82.4&amp;sourceID=17","82.4")</f>
        <v>82.4</v>
      </c>
    </row>
    <row r="259" spans="1:9">
      <c r="A259" s="3"/>
      <c r="B259" s="3"/>
      <c r="C259" s="3"/>
      <c r="D259" s="3"/>
      <c r="E259" s="3">
        <v>4</v>
      </c>
      <c r="F259" s="4" t="str">
        <f>HYPERLINK("http://141.218.60.56/~jnz1568/getInfo.php?workbook=01_01.xlsx&amp;sheet=U0&amp;row=259&amp;col=6&amp;number=4&amp;sourceID=16","4")</f>
        <v>4</v>
      </c>
      <c r="G259" s="4" t="str">
        <f>HYPERLINK("http://141.218.60.56/~jnz1568/getInfo.php?workbook=01_01.xlsx&amp;sheet=U0&amp;row=259&amp;col=7&amp;number=28.62&amp;sourceID=16","28.62")</f>
        <v>28.62</v>
      </c>
      <c r="H259" s="4" t="str">
        <f>HYPERLINK("http://141.218.60.56/~jnz1568/getInfo.php?workbook=01_01.xlsx&amp;sheet=U0&amp;row=259&amp;col=8&amp;number=4.764&amp;sourceID=17","4.764")</f>
        <v>4.764</v>
      </c>
      <c r="I259" s="4" t="str">
        <f>HYPERLINK("http://141.218.60.56/~jnz1568/getInfo.php?workbook=01_01.xlsx&amp;sheet=U0&amp;row=259&amp;col=9&amp;number=134&amp;sourceID=17","134")</f>
        <v>134</v>
      </c>
    </row>
    <row r="260" spans="1:9">
      <c r="A260" s="3"/>
      <c r="B260" s="3"/>
      <c r="C260" s="3"/>
      <c r="D260" s="3"/>
      <c r="E260" s="3">
        <v>5</v>
      </c>
      <c r="F260" s="4" t="str">
        <f>HYPERLINK("http://141.218.60.56/~jnz1568/getInfo.php?workbook=01_01.xlsx&amp;sheet=U0&amp;row=260&amp;col=6&amp;number=4.176&amp;sourceID=16","4.176")</f>
        <v>4.176</v>
      </c>
      <c r="G260" s="4" t="str">
        <f>HYPERLINK("http://141.218.60.56/~jnz1568/getInfo.php?workbook=01_01.xlsx&amp;sheet=U0&amp;row=260&amp;col=7&amp;number=39.85&amp;sourceID=16","39.85")</f>
        <v>39.85</v>
      </c>
      <c r="H260" s="4" t="str">
        <f>HYPERLINK("http://141.218.60.56/~jnz1568/getInfo.php?workbook=01_01.xlsx&amp;sheet=U0&amp;row=260&amp;col=8&amp;number=5.064&amp;sourceID=17","5.064")</f>
        <v>5.064</v>
      </c>
      <c r="I260" s="4" t="str">
        <f>HYPERLINK("http://141.218.60.56/~jnz1568/getInfo.php?workbook=01_01.xlsx&amp;sheet=U0&amp;row=260&amp;col=9&amp;number=238&amp;sourceID=17","238")</f>
        <v>238</v>
      </c>
    </row>
    <row r="261" spans="1:9">
      <c r="A261" s="3"/>
      <c r="B261" s="3"/>
      <c r="C261" s="3"/>
      <c r="D261" s="3"/>
      <c r="E261" s="3">
        <v>6</v>
      </c>
      <c r="F261" s="4" t="str">
        <f>HYPERLINK("http://141.218.60.56/~jnz1568/getInfo.php?workbook=01_01.xlsx&amp;sheet=U0&amp;row=261&amp;col=6&amp;number=4.301&amp;sourceID=16","4.301")</f>
        <v>4.301</v>
      </c>
      <c r="G261" s="4" t="str">
        <f>HYPERLINK("http://141.218.60.56/~jnz1568/getInfo.php?workbook=01_01.xlsx&amp;sheet=U0&amp;row=261&amp;col=7&amp;number=52.58&amp;sourceID=16","52.58")</f>
        <v>52.58</v>
      </c>
      <c r="H261" s="4" t="str">
        <f>HYPERLINK("http://141.218.60.56/~jnz1568/getInfo.php?workbook=01_01.xlsx&amp;sheet=U0&amp;row=261&amp;col=8&amp;number=5.241&amp;sourceID=17","5.241")</f>
        <v>5.241</v>
      </c>
      <c r="I261" s="4" t="str">
        <f>HYPERLINK("http://141.218.60.56/~jnz1568/getInfo.php?workbook=01_01.xlsx&amp;sheet=U0&amp;row=261&amp;col=9&amp;number=317&amp;sourceID=17","317")</f>
        <v>317</v>
      </c>
    </row>
    <row r="262" spans="1:9">
      <c r="A262" s="3"/>
      <c r="B262" s="3"/>
      <c r="C262" s="3"/>
      <c r="D262" s="3"/>
      <c r="E262" s="3">
        <v>7</v>
      </c>
      <c r="F262" s="4" t="str">
        <f>HYPERLINK("http://141.218.60.56/~jnz1568/getInfo.php?workbook=01_01.xlsx&amp;sheet=U0&amp;row=262&amp;col=6&amp;number=4.477&amp;sourceID=16","4.477")</f>
        <v>4.477</v>
      </c>
      <c r="G262" s="4" t="str">
        <f>HYPERLINK("http://141.218.60.56/~jnz1568/getInfo.php?workbook=01_01.xlsx&amp;sheet=U0&amp;row=262&amp;col=7&amp;number=80.36&amp;sourceID=16","80.36")</f>
        <v>80.36</v>
      </c>
      <c r="H262" s="4" t="str">
        <f>HYPERLINK("http://141.218.60.56/~jnz1568/getInfo.php?workbook=01_01.xlsx&amp;sheet=U0&amp;row=262&amp;col=8&amp;number=5.366&amp;sourceID=17","5.366")</f>
        <v>5.366</v>
      </c>
      <c r="I262" s="4" t="str">
        <f>HYPERLINK("http://141.218.60.56/~jnz1568/getInfo.php?workbook=01_01.xlsx&amp;sheet=U0&amp;row=262&amp;col=9&amp;number=379&amp;sourceID=17","379")</f>
        <v>379</v>
      </c>
    </row>
    <row r="263" spans="1:9">
      <c r="A263" s="3"/>
      <c r="B263" s="3"/>
      <c r="C263" s="3"/>
      <c r="D263" s="3"/>
      <c r="E263" s="3">
        <v>8</v>
      </c>
      <c r="F263" s="4" t="str">
        <f>HYPERLINK("http://141.218.60.56/~jnz1568/getInfo.php?workbook=01_01.xlsx&amp;sheet=U0&amp;row=263&amp;col=6&amp;number=4.602&amp;sourceID=16","4.602")</f>
        <v>4.602</v>
      </c>
      <c r="G263" s="4" t="str">
        <f>HYPERLINK("http://141.218.60.56/~jnz1568/getInfo.php?workbook=01_01.xlsx&amp;sheet=U0&amp;row=263&amp;col=7&amp;number=109&amp;sourceID=16","109")</f>
        <v>109</v>
      </c>
      <c r="H263" s="4" t="str">
        <f>HYPERLINK("http://141.218.60.56/~jnz1568/getInfo.php?workbook=01_01.xlsx&amp;sheet=U0&amp;row=263&amp;col=8&amp;number=5.463&amp;sourceID=17","5.463")</f>
        <v>5.463</v>
      </c>
      <c r="I263" s="4" t="str">
        <f>HYPERLINK("http://141.218.60.56/~jnz1568/getInfo.php?workbook=01_01.xlsx&amp;sheet=U0&amp;row=263&amp;col=9&amp;number=430&amp;sourceID=17","430")</f>
        <v>430</v>
      </c>
    </row>
    <row r="264" spans="1:9">
      <c r="A264" s="3"/>
      <c r="B264" s="3"/>
      <c r="C264" s="3"/>
      <c r="D264" s="3"/>
      <c r="E264" s="3">
        <v>9</v>
      </c>
      <c r="F264" s="4" t="str">
        <f>HYPERLINK("http://141.218.60.56/~jnz1568/getInfo.php?workbook=01_01.xlsx&amp;sheet=U0&amp;row=264&amp;col=6&amp;number=4.699&amp;sourceID=16","4.699")</f>
        <v>4.699</v>
      </c>
      <c r="G264" s="4" t="str">
        <f>HYPERLINK("http://141.218.60.56/~jnz1568/getInfo.php?workbook=01_01.xlsx&amp;sheet=U0&amp;row=264&amp;col=7&amp;number=136.8&amp;sourceID=16","136.8")</f>
        <v>136.8</v>
      </c>
      <c r="H264" s="4" t="str">
        <f>HYPERLINK("http://141.218.60.56/~jnz1568/getInfo.php?workbook=01_01.xlsx&amp;sheet=U0&amp;row=264&amp;col=8&amp;number=&amp;sourceID=17","")</f>
        <v/>
      </c>
      <c r="I264" s="4" t="str">
        <f>HYPERLINK("http://141.218.60.56/~jnz1568/getInfo.php?workbook=01_01.xlsx&amp;sheet=U0&amp;row=264&amp;col=9&amp;number=&amp;sourceID=17","")</f>
        <v/>
      </c>
    </row>
    <row r="265" spans="1:9">
      <c r="A265" s="3">
        <v>1</v>
      </c>
      <c r="B265" s="3">
        <v>1</v>
      </c>
      <c r="C265" s="3">
        <v>9</v>
      </c>
      <c r="D265" s="3">
        <v>6</v>
      </c>
      <c r="E265" s="3">
        <v>1</v>
      </c>
      <c r="F265" s="4" t="str">
        <f>HYPERLINK("http://141.218.60.56/~jnz1568/getInfo.php?workbook=01_01.xlsx&amp;sheet=U0&amp;row=265&amp;col=6&amp;number==LOG10(2500)&amp;sourceID=16","=LOG10(2500)")</f>
        <v>=LOG10(2500)</v>
      </c>
      <c r="G265" s="4" t="str">
        <f>HYPERLINK("http://141.218.60.56/~jnz1568/getInfo.php?workbook=01_01.xlsx&amp;sheet=U0&amp;row=265&amp;col=7&amp;number=29.08&amp;sourceID=16","29.08")</f>
        <v>29.08</v>
      </c>
      <c r="H265" s="4" t="str">
        <f>HYPERLINK("http://141.218.60.56/~jnz1568/getInfo.php?workbook=01_01.xlsx&amp;sheet=U0&amp;row=265&amp;col=8&amp;number=3.764&amp;sourceID=17","3.764")</f>
        <v>3.764</v>
      </c>
      <c r="I265" s="4" t="str">
        <f>HYPERLINK("http://141.218.60.56/~jnz1568/getInfo.php?workbook=01_01.xlsx&amp;sheet=U0&amp;row=265&amp;col=9&amp;number=34.4&amp;sourceID=17","34.4")</f>
        <v>34.4</v>
      </c>
    </row>
    <row r="266" spans="1:9">
      <c r="A266" s="3"/>
      <c r="B266" s="3"/>
      <c r="C266" s="3"/>
      <c r="D266" s="3"/>
      <c r="E266" s="3">
        <v>2</v>
      </c>
      <c r="F266" s="4" t="str">
        <f>HYPERLINK("http://141.218.60.56/~jnz1568/getInfo.php?workbook=01_01.xlsx&amp;sheet=U0&amp;row=266&amp;col=6&amp;number=3.699&amp;sourceID=16","3.699")</f>
        <v>3.699</v>
      </c>
      <c r="G266" s="4" t="str">
        <f>HYPERLINK("http://141.218.60.56/~jnz1568/getInfo.php?workbook=01_01.xlsx&amp;sheet=U0&amp;row=266&amp;col=7&amp;number=33.96&amp;sourceID=16","33.96")</f>
        <v>33.96</v>
      </c>
      <c r="H266" s="4" t="str">
        <f>HYPERLINK("http://141.218.60.56/~jnz1568/getInfo.php?workbook=01_01.xlsx&amp;sheet=U0&amp;row=266&amp;col=8&amp;number=4.064&amp;sourceID=17","4.064")</f>
        <v>4.064</v>
      </c>
      <c r="I266" s="4" t="str">
        <f>HYPERLINK("http://141.218.60.56/~jnz1568/getInfo.php?workbook=01_01.xlsx&amp;sheet=U0&amp;row=266&amp;col=9&amp;number=46.1&amp;sourceID=17","46.1")</f>
        <v>46.1</v>
      </c>
    </row>
    <row r="267" spans="1:9">
      <c r="A267" s="3"/>
      <c r="B267" s="3"/>
      <c r="C267" s="3"/>
      <c r="D267" s="3"/>
      <c r="E267" s="3">
        <v>3</v>
      </c>
      <c r="F267" s="4" t="str">
        <f>HYPERLINK("http://141.218.60.56/~jnz1568/getInfo.php?workbook=01_01.xlsx&amp;sheet=U0&amp;row=267&amp;col=6&amp;number=3.875&amp;sourceID=16","3.875")</f>
        <v>3.875</v>
      </c>
      <c r="G267" s="4" t="str">
        <f>HYPERLINK("http://141.218.60.56/~jnz1568/getInfo.php?workbook=01_01.xlsx&amp;sheet=U0&amp;row=267&amp;col=7&amp;number=39.37&amp;sourceID=16","39.37")</f>
        <v>39.37</v>
      </c>
      <c r="H267" s="4" t="str">
        <f>HYPERLINK("http://141.218.60.56/~jnz1568/getInfo.php?workbook=01_01.xlsx&amp;sheet=U0&amp;row=267&amp;col=8&amp;number=4.542&amp;sourceID=17","4.542")</f>
        <v>4.542</v>
      </c>
      <c r="I267" s="4" t="str">
        <f>HYPERLINK("http://141.218.60.56/~jnz1568/getInfo.php?workbook=01_01.xlsx&amp;sheet=U0&amp;row=267&amp;col=9&amp;number=83&amp;sourceID=17","83")</f>
        <v>83</v>
      </c>
    </row>
    <row r="268" spans="1:9">
      <c r="A268" s="3"/>
      <c r="B268" s="3"/>
      <c r="C268" s="3"/>
      <c r="D268" s="3"/>
      <c r="E268" s="3">
        <v>4</v>
      </c>
      <c r="F268" s="4" t="str">
        <f>HYPERLINK("http://141.218.60.56/~jnz1568/getInfo.php?workbook=01_01.xlsx&amp;sheet=U0&amp;row=268&amp;col=6&amp;number=4&amp;sourceID=16","4")</f>
        <v>4</v>
      </c>
      <c r="G268" s="4" t="str">
        <f>HYPERLINK("http://141.218.60.56/~jnz1568/getInfo.php?workbook=01_01.xlsx&amp;sheet=U0&amp;row=268&amp;col=7&amp;number=45.85&amp;sourceID=16","45.85")</f>
        <v>45.85</v>
      </c>
      <c r="H268" s="4" t="str">
        <f>HYPERLINK("http://141.218.60.56/~jnz1568/getInfo.php?workbook=01_01.xlsx&amp;sheet=U0&amp;row=268&amp;col=8&amp;number=4.764&amp;sourceID=17","4.764")</f>
        <v>4.764</v>
      </c>
      <c r="I268" s="4" t="str">
        <f>HYPERLINK("http://141.218.60.56/~jnz1568/getInfo.php?workbook=01_01.xlsx&amp;sheet=U0&amp;row=268&amp;col=9&amp;number=107&amp;sourceID=17","107")</f>
        <v>107</v>
      </c>
    </row>
    <row r="269" spans="1:9">
      <c r="A269" s="3"/>
      <c r="B269" s="3"/>
      <c r="C269" s="3"/>
      <c r="D269" s="3"/>
      <c r="E269" s="3">
        <v>5</v>
      </c>
      <c r="F269" s="4" t="str">
        <f>HYPERLINK("http://141.218.60.56/~jnz1568/getInfo.php?workbook=01_01.xlsx&amp;sheet=U0&amp;row=269&amp;col=6&amp;number=4.176&amp;sourceID=16","4.176")</f>
        <v>4.176</v>
      </c>
      <c r="G269" s="4" t="str">
        <f>HYPERLINK("http://141.218.60.56/~jnz1568/getInfo.php?workbook=01_01.xlsx&amp;sheet=U0&amp;row=269&amp;col=7&amp;number=60.07&amp;sourceID=16","60.07")</f>
        <v>60.07</v>
      </c>
      <c r="H269" s="4" t="str">
        <f>HYPERLINK("http://141.218.60.56/~jnz1568/getInfo.php?workbook=01_01.xlsx&amp;sheet=U0&amp;row=269&amp;col=8&amp;number=5.064&amp;sourceID=17","5.064")</f>
        <v>5.064</v>
      </c>
      <c r="I269" s="4" t="str">
        <f>HYPERLINK("http://141.218.60.56/~jnz1568/getInfo.php?workbook=01_01.xlsx&amp;sheet=U0&amp;row=269&amp;col=9&amp;number=141&amp;sourceID=17","141")</f>
        <v>141</v>
      </c>
    </row>
    <row r="270" spans="1:9">
      <c r="A270" s="3"/>
      <c r="B270" s="3"/>
      <c r="C270" s="3"/>
      <c r="D270" s="3"/>
      <c r="E270" s="3">
        <v>6</v>
      </c>
      <c r="F270" s="4" t="str">
        <f>HYPERLINK("http://141.218.60.56/~jnz1568/getInfo.php?workbook=01_01.xlsx&amp;sheet=U0&amp;row=270&amp;col=6&amp;number=4.301&amp;sourceID=16","4.301")</f>
        <v>4.301</v>
      </c>
      <c r="G270" s="4" t="str">
        <f>HYPERLINK("http://141.218.60.56/~jnz1568/getInfo.php?workbook=01_01.xlsx&amp;sheet=U0&amp;row=270&amp;col=7&amp;number=74.19&amp;sourceID=16","74.19")</f>
        <v>74.19</v>
      </c>
      <c r="H270" s="4" t="str">
        <f>HYPERLINK("http://141.218.60.56/~jnz1568/getInfo.php?workbook=01_01.xlsx&amp;sheet=U0&amp;row=270&amp;col=8&amp;number=5.241&amp;sourceID=17","5.241")</f>
        <v>5.241</v>
      </c>
      <c r="I270" s="4" t="str">
        <f>HYPERLINK("http://141.218.60.56/~jnz1568/getInfo.php?workbook=01_01.xlsx&amp;sheet=U0&amp;row=270&amp;col=9&amp;number=158&amp;sourceID=17","158")</f>
        <v>158</v>
      </c>
    </row>
    <row r="271" spans="1:9">
      <c r="A271" s="3"/>
      <c r="B271" s="3"/>
      <c r="C271" s="3"/>
      <c r="D271" s="3"/>
      <c r="E271" s="3">
        <v>7</v>
      </c>
      <c r="F271" s="4" t="str">
        <f>HYPERLINK("http://141.218.60.56/~jnz1568/getInfo.php?workbook=01_01.xlsx&amp;sheet=U0&amp;row=271&amp;col=6&amp;number=4.477&amp;sourceID=16","4.477")</f>
        <v>4.477</v>
      </c>
      <c r="G271" s="4" t="str">
        <f>HYPERLINK("http://141.218.60.56/~jnz1568/getInfo.php?workbook=01_01.xlsx&amp;sheet=U0&amp;row=271&amp;col=7&amp;number=99.76&amp;sourceID=16","99.76")</f>
        <v>99.76</v>
      </c>
      <c r="H271" s="4" t="str">
        <f>HYPERLINK("http://141.218.60.56/~jnz1568/getInfo.php?workbook=01_01.xlsx&amp;sheet=U0&amp;row=271&amp;col=8&amp;number=5.366&amp;sourceID=17","5.366")</f>
        <v>5.366</v>
      </c>
      <c r="I271" s="4" t="str">
        <f>HYPERLINK("http://141.218.60.56/~jnz1568/getInfo.php?workbook=01_01.xlsx&amp;sheet=U0&amp;row=271&amp;col=9&amp;number=169&amp;sourceID=17","169")</f>
        <v>169</v>
      </c>
    </row>
    <row r="272" spans="1:9">
      <c r="A272" s="3"/>
      <c r="B272" s="3"/>
      <c r="C272" s="3"/>
      <c r="D272" s="3"/>
      <c r="E272" s="3">
        <v>8</v>
      </c>
      <c r="F272" s="4" t="str">
        <f>HYPERLINK("http://141.218.60.56/~jnz1568/getInfo.php?workbook=01_01.xlsx&amp;sheet=U0&amp;row=272&amp;col=6&amp;number=4.602&amp;sourceID=16","4.602")</f>
        <v>4.602</v>
      </c>
      <c r="G272" s="4" t="str">
        <f>HYPERLINK("http://141.218.60.56/~jnz1568/getInfo.php?workbook=01_01.xlsx&amp;sheet=U0&amp;row=272&amp;col=7&amp;number=121.2&amp;sourceID=16","121.2")</f>
        <v>121.2</v>
      </c>
      <c r="H272" s="4" t="str">
        <f>HYPERLINK("http://141.218.60.56/~jnz1568/getInfo.php?workbook=01_01.xlsx&amp;sheet=U0&amp;row=272&amp;col=8&amp;number=5.463&amp;sourceID=17","5.463")</f>
        <v>5.463</v>
      </c>
      <c r="I272" s="4" t="str">
        <f>HYPERLINK("http://141.218.60.56/~jnz1568/getInfo.php?workbook=01_01.xlsx&amp;sheet=U0&amp;row=272&amp;col=9&amp;number=176&amp;sourceID=17","176")</f>
        <v>176</v>
      </c>
    </row>
    <row r="273" spans="1:9">
      <c r="A273" s="3"/>
      <c r="B273" s="3"/>
      <c r="C273" s="3"/>
      <c r="D273" s="3"/>
      <c r="E273" s="3">
        <v>9</v>
      </c>
      <c r="F273" s="4" t="str">
        <f>HYPERLINK("http://141.218.60.56/~jnz1568/getInfo.php?workbook=01_01.xlsx&amp;sheet=U0&amp;row=273&amp;col=6&amp;number=4.699&amp;sourceID=16","4.699")</f>
        <v>4.699</v>
      </c>
      <c r="G273" s="4" t="str">
        <f>HYPERLINK("http://141.218.60.56/~jnz1568/getInfo.php?workbook=01_01.xlsx&amp;sheet=U0&amp;row=273&amp;col=7&amp;number=139&amp;sourceID=16","139")</f>
        <v>139</v>
      </c>
      <c r="H273" s="4" t="str">
        <f>HYPERLINK("http://141.218.60.56/~jnz1568/getInfo.php?workbook=01_01.xlsx&amp;sheet=U0&amp;row=273&amp;col=8&amp;number=&amp;sourceID=17","")</f>
        <v/>
      </c>
      <c r="I273" s="4" t="str">
        <f>HYPERLINK("http://141.218.60.56/~jnz1568/getInfo.php?workbook=01_01.xlsx&amp;sheet=U0&amp;row=273&amp;col=9&amp;number=&amp;sourceID=17","")</f>
        <v/>
      </c>
    </row>
    <row r="274" spans="1:9">
      <c r="A274" s="3">
        <v>1</v>
      </c>
      <c r="B274" s="3">
        <v>1</v>
      </c>
      <c r="C274" s="3">
        <v>9</v>
      </c>
      <c r="D274" s="3">
        <v>7</v>
      </c>
      <c r="E274" s="3">
        <v>1</v>
      </c>
      <c r="F274" s="4" t="str">
        <f>HYPERLINK("http://141.218.60.56/~jnz1568/getInfo.php?workbook=01_01.xlsx&amp;sheet=U0&amp;row=274&amp;col=6&amp;number==LOG10(2500)&amp;sourceID=16","=LOG10(2500)")</f>
        <v>=LOG10(2500)</v>
      </c>
      <c r="G274" s="4" t="str">
        <f>HYPERLINK("http://141.218.60.56/~jnz1568/getInfo.php?workbook=01_01.xlsx&amp;sheet=U0&amp;row=274&amp;col=7&amp;number=618.3&amp;sourceID=16","618.3")</f>
        <v>618.3</v>
      </c>
      <c r="H274" s="4" t="str">
        <f>HYPERLINK("http://141.218.60.56/~jnz1568/getInfo.php?workbook=01_01.xlsx&amp;sheet=U0&amp;row=274&amp;col=8&amp;number=&amp;sourceID=17","")</f>
        <v/>
      </c>
      <c r="I274" s="4" t="str">
        <f>HYPERLINK("http://141.218.60.56/~jnz1568/getInfo.php?workbook=01_01.xlsx&amp;sheet=U0&amp;row=274&amp;col=9&amp;number=&amp;sourceID=17","")</f>
        <v/>
      </c>
    </row>
    <row r="275" spans="1:9">
      <c r="A275" s="3"/>
      <c r="B275" s="3"/>
      <c r="C275" s="3"/>
      <c r="D275" s="3"/>
      <c r="E275" s="3">
        <v>2</v>
      </c>
      <c r="F275" s="4" t="str">
        <f>HYPERLINK("http://141.218.60.56/~jnz1568/getInfo.php?workbook=01_01.xlsx&amp;sheet=U0&amp;row=275&amp;col=6&amp;number=3.699&amp;sourceID=16","3.699")</f>
        <v>3.699</v>
      </c>
      <c r="G275" s="4" t="str">
        <f>HYPERLINK("http://141.218.60.56/~jnz1568/getInfo.php?workbook=01_01.xlsx&amp;sheet=U0&amp;row=275&amp;col=7&amp;number=615.3&amp;sourceID=16","615.3")</f>
        <v>615.3</v>
      </c>
      <c r="H275" s="4" t="str">
        <f>HYPERLINK("http://141.218.60.56/~jnz1568/getInfo.php?workbook=01_01.xlsx&amp;sheet=U0&amp;row=275&amp;col=8&amp;number=&amp;sourceID=17","")</f>
        <v/>
      </c>
      <c r="I275" s="4" t="str">
        <f>HYPERLINK("http://141.218.60.56/~jnz1568/getInfo.php?workbook=01_01.xlsx&amp;sheet=U0&amp;row=275&amp;col=9&amp;number=&amp;sourceID=17","")</f>
        <v/>
      </c>
    </row>
    <row r="276" spans="1:9">
      <c r="A276" s="3"/>
      <c r="B276" s="3"/>
      <c r="C276" s="3"/>
      <c r="D276" s="3"/>
      <c r="E276" s="3">
        <v>3</v>
      </c>
      <c r="F276" s="4" t="str">
        <f>HYPERLINK("http://141.218.60.56/~jnz1568/getInfo.php?workbook=01_01.xlsx&amp;sheet=U0&amp;row=276&amp;col=6&amp;number=3.875&amp;sourceID=16","3.875")</f>
        <v>3.875</v>
      </c>
      <c r="G276" s="4" t="str">
        <f>HYPERLINK("http://141.218.60.56/~jnz1568/getInfo.php?workbook=01_01.xlsx&amp;sheet=U0&amp;row=276&amp;col=7&amp;number=595.5&amp;sourceID=16","595.5")</f>
        <v>595.5</v>
      </c>
      <c r="H276" s="4" t="str">
        <f>HYPERLINK("http://141.218.60.56/~jnz1568/getInfo.php?workbook=01_01.xlsx&amp;sheet=U0&amp;row=276&amp;col=8&amp;number=&amp;sourceID=17","")</f>
        <v/>
      </c>
      <c r="I276" s="4" t="str">
        <f>HYPERLINK("http://141.218.60.56/~jnz1568/getInfo.php?workbook=01_01.xlsx&amp;sheet=U0&amp;row=276&amp;col=9&amp;number=&amp;sourceID=17","")</f>
        <v/>
      </c>
    </row>
    <row r="277" spans="1:9">
      <c r="A277" s="3"/>
      <c r="B277" s="3"/>
      <c r="C277" s="3"/>
      <c r="D277" s="3"/>
      <c r="E277" s="3">
        <v>4</v>
      </c>
      <c r="F277" s="4" t="str">
        <f>HYPERLINK("http://141.218.60.56/~jnz1568/getInfo.php?workbook=01_01.xlsx&amp;sheet=U0&amp;row=277&amp;col=6&amp;number=4&amp;sourceID=16","4")</f>
        <v>4</v>
      </c>
      <c r="G277" s="4" t="str">
        <f>HYPERLINK("http://141.218.60.56/~jnz1568/getInfo.php?workbook=01_01.xlsx&amp;sheet=U0&amp;row=277&amp;col=7&amp;number=567.2&amp;sourceID=16","567.2")</f>
        <v>567.2</v>
      </c>
      <c r="H277" s="4" t="str">
        <f>HYPERLINK("http://141.218.60.56/~jnz1568/getInfo.php?workbook=01_01.xlsx&amp;sheet=U0&amp;row=277&amp;col=8&amp;number=&amp;sourceID=17","")</f>
        <v/>
      </c>
      <c r="I277" s="4" t="str">
        <f>HYPERLINK("http://141.218.60.56/~jnz1568/getInfo.php?workbook=01_01.xlsx&amp;sheet=U0&amp;row=277&amp;col=9&amp;number=&amp;sourceID=17","")</f>
        <v/>
      </c>
    </row>
    <row r="278" spans="1:9">
      <c r="A278" s="3"/>
      <c r="B278" s="3"/>
      <c r="C278" s="3"/>
      <c r="D278" s="3"/>
      <c r="E278" s="3">
        <v>5</v>
      </c>
      <c r="F278" s="4" t="str">
        <f>HYPERLINK("http://141.218.60.56/~jnz1568/getInfo.php?workbook=01_01.xlsx&amp;sheet=U0&amp;row=278&amp;col=6&amp;number=4.176&amp;sourceID=16","4.176")</f>
        <v>4.176</v>
      </c>
      <c r="G278" s="4" t="str">
        <f>HYPERLINK("http://141.218.60.56/~jnz1568/getInfo.php?workbook=01_01.xlsx&amp;sheet=U0&amp;row=278&amp;col=7&amp;number=546.3&amp;sourceID=16","546.3")</f>
        <v>546.3</v>
      </c>
      <c r="H278" s="4" t="str">
        <f>HYPERLINK("http://141.218.60.56/~jnz1568/getInfo.php?workbook=01_01.xlsx&amp;sheet=U0&amp;row=278&amp;col=8&amp;number=&amp;sourceID=17","")</f>
        <v/>
      </c>
      <c r="I278" s="4" t="str">
        <f>HYPERLINK("http://141.218.60.56/~jnz1568/getInfo.php?workbook=01_01.xlsx&amp;sheet=U0&amp;row=278&amp;col=9&amp;number=&amp;sourceID=17","")</f>
        <v/>
      </c>
    </row>
    <row r="279" spans="1:9">
      <c r="A279" s="3"/>
      <c r="B279" s="3"/>
      <c r="C279" s="3"/>
      <c r="D279" s="3"/>
      <c r="E279" s="3">
        <v>6</v>
      </c>
      <c r="F279" s="4" t="str">
        <f>HYPERLINK("http://141.218.60.56/~jnz1568/getInfo.php?workbook=01_01.xlsx&amp;sheet=U0&amp;row=279&amp;col=6&amp;number=4.301&amp;sourceID=16","4.301")</f>
        <v>4.301</v>
      </c>
      <c r="G279" s="4" t="str">
        <f>HYPERLINK("http://141.218.60.56/~jnz1568/getInfo.php?workbook=01_01.xlsx&amp;sheet=U0&amp;row=279&amp;col=7&amp;number=526&amp;sourceID=16","526")</f>
        <v>526</v>
      </c>
      <c r="H279" s="4" t="str">
        <f>HYPERLINK("http://141.218.60.56/~jnz1568/getInfo.php?workbook=01_01.xlsx&amp;sheet=U0&amp;row=279&amp;col=8&amp;number=&amp;sourceID=17","")</f>
        <v/>
      </c>
      <c r="I279" s="4" t="str">
        <f>HYPERLINK("http://141.218.60.56/~jnz1568/getInfo.php?workbook=01_01.xlsx&amp;sheet=U0&amp;row=279&amp;col=9&amp;number=&amp;sourceID=17","")</f>
        <v/>
      </c>
    </row>
    <row r="280" spans="1:9">
      <c r="A280" s="3"/>
      <c r="B280" s="3"/>
      <c r="C280" s="3"/>
      <c r="D280" s="3"/>
      <c r="E280" s="3">
        <v>7</v>
      </c>
      <c r="F280" s="4" t="str">
        <f>HYPERLINK("http://141.218.60.56/~jnz1568/getInfo.php?workbook=01_01.xlsx&amp;sheet=U0&amp;row=280&amp;col=6&amp;number=4.477&amp;sourceID=16","4.477")</f>
        <v>4.477</v>
      </c>
      <c r="G280" s="4" t="str">
        <f>HYPERLINK("http://141.218.60.56/~jnz1568/getInfo.php?workbook=01_01.xlsx&amp;sheet=U0&amp;row=280&amp;col=7&amp;number=502&amp;sourceID=16","502")</f>
        <v>502</v>
      </c>
      <c r="H280" s="4" t="str">
        <f>HYPERLINK("http://141.218.60.56/~jnz1568/getInfo.php?workbook=01_01.xlsx&amp;sheet=U0&amp;row=280&amp;col=8&amp;number=&amp;sourceID=17","")</f>
        <v/>
      </c>
      <c r="I280" s="4" t="str">
        <f>HYPERLINK("http://141.218.60.56/~jnz1568/getInfo.php?workbook=01_01.xlsx&amp;sheet=U0&amp;row=280&amp;col=9&amp;number=&amp;sourceID=17","")</f>
        <v/>
      </c>
    </row>
    <row r="281" spans="1:9">
      <c r="A281" s="3"/>
      <c r="B281" s="3"/>
      <c r="C281" s="3"/>
      <c r="D281" s="3"/>
      <c r="E281" s="3">
        <v>8</v>
      </c>
      <c r="F281" s="4" t="str">
        <f>HYPERLINK("http://141.218.60.56/~jnz1568/getInfo.php?workbook=01_01.xlsx&amp;sheet=U0&amp;row=281&amp;col=6&amp;number=4.602&amp;sourceID=16","4.602")</f>
        <v>4.602</v>
      </c>
      <c r="G281" s="4" t="str">
        <f>HYPERLINK("http://141.218.60.56/~jnz1568/getInfo.php?workbook=01_01.xlsx&amp;sheet=U0&amp;row=281&amp;col=7&amp;number=489.5&amp;sourceID=16","489.5")</f>
        <v>489.5</v>
      </c>
      <c r="H281" s="4" t="str">
        <f>HYPERLINK("http://141.218.60.56/~jnz1568/getInfo.php?workbook=01_01.xlsx&amp;sheet=U0&amp;row=281&amp;col=8&amp;number=&amp;sourceID=17","")</f>
        <v/>
      </c>
      <c r="I281" s="4" t="str">
        <f>HYPERLINK("http://141.218.60.56/~jnz1568/getInfo.php?workbook=01_01.xlsx&amp;sheet=U0&amp;row=281&amp;col=9&amp;number=&amp;sourceID=17","")</f>
        <v/>
      </c>
    </row>
    <row r="282" spans="1:9">
      <c r="A282" s="3"/>
      <c r="B282" s="3"/>
      <c r="C282" s="3"/>
      <c r="D282" s="3"/>
      <c r="E282" s="3">
        <v>9</v>
      </c>
      <c r="F282" s="4" t="str">
        <f>HYPERLINK("http://141.218.60.56/~jnz1568/getInfo.php?workbook=01_01.xlsx&amp;sheet=U0&amp;row=282&amp;col=6&amp;number=4.699&amp;sourceID=16","4.699")</f>
        <v>4.699</v>
      </c>
      <c r="G282" s="4" t="str">
        <f>HYPERLINK("http://141.218.60.56/~jnz1568/getInfo.php?workbook=01_01.xlsx&amp;sheet=U0&amp;row=282&amp;col=7&amp;number=482.2&amp;sourceID=16","482.2")</f>
        <v>482.2</v>
      </c>
      <c r="H282" s="4" t="str">
        <f>HYPERLINK("http://141.218.60.56/~jnz1568/getInfo.php?workbook=01_01.xlsx&amp;sheet=U0&amp;row=282&amp;col=8&amp;number=&amp;sourceID=17","")</f>
        <v/>
      </c>
      <c r="I282" s="4" t="str">
        <f>HYPERLINK("http://141.218.60.56/~jnz1568/getInfo.php?workbook=01_01.xlsx&amp;sheet=U0&amp;row=282&amp;col=9&amp;number=&amp;sourceID=17","")</f>
        <v/>
      </c>
    </row>
    <row r="283" spans="1:9">
      <c r="A283" s="3">
        <v>1</v>
      </c>
      <c r="B283" s="3">
        <v>1</v>
      </c>
      <c r="C283" s="3">
        <v>10</v>
      </c>
      <c r="D283" s="3">
        <v>1</v>
      </c>
      <c r="E283" s="3">
        <v>1</v>
      </c>
      <c r="F283" s="4" t="str">
        <f>HYPERLINK("http://141.218.60.56/~jnz1568/getInfo.php?workbook=01_01.xlsx&amp;sheet=U0&amp;row=283&amp;col=6&amp;number==LOG10(2500)&amp;sourceID=16","=LOG10(2500)")</f>
        <v>=LOG10(2500)</v>
      </c>
      <c r="G283" s="4" t="str">
        <f>HYPERLINK("http://141.218.60.56/~jnz1568/getInfo.php?workbook=01_01.xlsx&amp;sheet=U0&amp;row=283&amp;col=7&amp;number=0.009713&amp;sourceID=16","0.009713")</f>
        <v>0.009713</v>
      </c>
      <c r="H283" s="4" t="str">
        <f>HYPERLINK("http://141.218.60.56/~jnz1568/getInfo.php?workbook=01_01.xlsx&amp;sheet=U0&amp;row=283&amp;col=8&amp;number=3.764&amp;sourceID=17","3.764")</f>
        <v>3.764</v>
      </c>
      <c r="I283" s="4" t="str">
        <f>HYPERLINK("http://141.218.60.56/~jnz1568/getInfo.php?workbook=01_01.xlsx&amp;sheet=U0&amp;row=283&amp;col=9&amp;number=0.0123&amp;sourceID=17","0.0123")</f>
        <v>0.0123</v>
      </c>
    </row>
    <row r="284" spans="1:9">
      <c r="A284" s="3"/>
      <c r="B284" s="3"/>
      <c r="C284" s="3"/>
      <c r="D284" s="3"/>
      <c r="E284" s="3">
        <v>2</v>
      </c>
      <c r="F284" s="4" t="str">
        <f>HYPERLINK("http://141.218.60.56/~jnz1568/getInfo.php?workbook=01_01.xlsx&amp;sheet=U0&amp;row=284&amp;col=6&amp;number=3.699&amp;sourceID=16","3.699")</f>
        <v>3.699</v>
      </c>
      <c r="G284" s="4" t="str">
        <f>HYPERLINK("http://141.218.60.56/~jnz1568/getInfo.php?workbook=01_01.xlsx&amp;sheet=U0&amp;row=284&amp;col=7&amp;number=0.009659&amp;sourceID=16","0.009659")</f>
        <v>0.009659</v>
      </c>
      <c r="H284" s="4" t="str">
        <f>HYPERLINK("http://141.218.60.56/~jnz1568/getInfo.php?workbook=01_01.xlsx&amp;sheet=U0&amp;row=284&amp;col=8&amp;number=4.064&amp;sourceID=17","4.064")</f>
        <v>4.064</v>
      </c>
      <c r="I284" s="4" t="str">
        <f>HYPERLINK("http://141.218.60.56/~jnz1568/getInfo.php?workbook=01_01.xlsx&amp;sheet=U0&amp;row=284&amp;col=9&amp;number=0.0114&amp;sourceID=17","0.0114")</f>
        <v>0.0114</v>
      </c>
    </row>
    <row r="285" spans="1:9">
      <c r="A285" s="3"/>
      <c r="B285" s="3"/>
      <c r="C285" s="3"/>
      <c r="D285" s="3"/>
      <c r="E285" s="3">
        <v>3</v>
      </c>
      <c r="F285" s="4" t="str">
        <f>HYPERLINK("http://141.218.60.56/~jnz1568/getInfo.php?workbook=01_01.xlsx&amp;sheet=U0&amp;row=285&amp;col=6&amp;number=3.875&amp;sourceID=16","3.875")</f>
        <v>3.875</v>
      </c>
      <c r="G285" s="4" t="str">
        <f>HYPERLINK("http://141.218.60.56/~jnz1568/getInfo.php?workbook=01_01.xlsx&amp;sheet=U0&amp;row=285&amp;col=7&amp;number=0.009677&amp;sourceID=16","0.009677")</f>
        <v>0.009677</v>
      </c>
      <c r="H285" s="4" t="str">
        <f>HYPERLINK("http://141.218.60.56/~jnz1568/getInfo.php?workbook=01_01.xlsx&amp;sheet=U0&amp;row=285&amp;col=8&amp;number=4.542&amp;sourceID=17","4.542")</f>
        <v>4.542</v>
      </c>
      <c r="I285" s="4" t="str">
        <f>HYPERLINK("http://141.218.60.56/~jnz1568/getInfo.php?workbook=01_01.xlsx&amp;sheet=U0&amp;row=285&amp;col=9&amp;number=0.0105&amp;sourceID=17","0.0105")</f>
        <v>0.0105</v>
      </c>
    </row>
    <row r="286" spans="1:9">
      <c r="A286" s="3"/>
      <c r="B286" s="3"/>
      <c r="C286" s="3"/>
      <c r="D286" s="3"/>
      <c r="E286" s="3">
        <v>4</v>
      </c>
      <c r="F286" s="4" t="str">
        <f>HYPERLINK("http://141.218.60.56/~jnz1568/getInfo.php?workbook=01_01.xlsx&amp;sheet=U0&amp;row=286&amp;col=6&amp;number=4&amp;sourceID=16","4")</f>
        <v>4</v>
      </c>
      <c r="G286" s="4" t="str">
        <f>HYPERLINK("http://141.218.60.56/~jnz1568/getInfo.php?workbook=01_01.xlsx&amp;sheet=U0&amp;row=286&amp;col=7&amp;number=0.009761&amp;sourceID=16","0.009761")</f>
        <v>0.009761</v>
      </c>
      <c r="H286" s="4" t="str">
        <f>HYPERLINK("http://141.218.60.56/~jnz1568/getInfo.php?workbook=01_01.xlsx&amp;sheet=U0&amp;row=286&amp;col=8&amp;number=4.764&amp;sourceID=17","4.764")</f>
        <v>4.764</v>
      </c>
      <c r="I286" s="4" t="str">
        <f>HYPERLINK("http://141.218.60.56/~jnz1568/getInfo.php?workbook=01_01.xlsx&amp;sheet=U0&amp;row=286&amp;col=9&amp;number=0.0105&amp;sourceID=17","0.0105")</f>
        <v>0.0105</v>
      </c>
    </row>
    <row r="287" spans="1:9">
      <c r="A287" s="3"/>
      <c r="B287" s="3"/>
      <c r="C287" s="3"/>
      <c r="D287" s="3"/>
      <c r="E287" s="3">
        <v>5</v>
      </c>
      <c r="F287" s="4" t="str">
        <f>HYPERLINK("http://141.218.60.56/~jnz1568/getInfo.php?workbook=01_01.xlsx&amp;sheet=U0&amp;row=287&amp;col=6&amp;number=4.176&amp;sourceID=16","4.176")</f>
        <v>4.176</v>
      </c>
      <c r="G287" s="4" t="str">
        <f>HYPERLINK("http://141.218.60.56/~jnz1568/getInfo.php?workbook=01_01.xlsx&amp;sheet=U0&amp;row=287&amp;col=7&amp;number=0.009926&amp;sourceID=16","0.009926")</f>
        <v>0.009926</v>
      </c>
      <c r="H287" s="4" t="str">
        <f>HYPERLINK("http://141.218.60.56/~jnz1568/getInfo.php?workbook=01_01.xlsx&amp;sheet=U0&amp;row=287&amp;col=8&amp;number=5.064&amp;sourceID=17","5.064")</f>
        <v>5.064</v>
      </c>
      <c r="I287" s="4" t="str">
        <f>HYPERLINK("http://141.218.60.56/~jnz1568/getInfo.php?workbook=01_01.xlsx&amp;sheet=U0&amp;row=287&amp;col=9&amp;number=0.0106&amp;sourceID=17","0.0106")</f>
        <v>0.0106</v>
      </c>
    </row>
    <row r="288" spans="1:9">
      <c r="A288" s="3"/>
      <c r="B288" s="3"/>
      <c r="C288" s="3"/>
      <c r="D288" s="3"/>
      <c r="E288" s="3">
        <v>6</v>
      </c>
      <c r="F288" s="4" t="str">
        <f>HYPERLINK("http://141.218.60.56/~jnz1568/getInfo.php?workbook=01_01.xlsx&amp;sheet=U0&amp;row=288&amp;col=6&amp;number=4.301&amp;sourceID=16","4.301")</f>
        <v>4.301</v>
      </c>
      <c r="G288" s="4" t="str">
        <f>HYPERLINK("http://141.218.60.56/~jnz1568/getInfo.php?workbook=01_01.xlsx&amp;sheet=U0&amp;row=288&amp;col=7&amp;number=0.01001&amp;sourceID=16","0.01001")</f>
        <v>0.01001</v>
      </c>
      <c r="H288" s="4" t="str">
        <f>HYPERLINK("http://141.218.60.56/~jnz1568/getInfo.php?workbook=01_01.xlsx&amp;sheet=U0&amp;row=288&amp;col=8&amp;number=5.241&amp;sourceID=17","5.241")</f>
        <v>5.241</v>
      </c>
      <c r="I288" s="4" t="str">
        <f>HYPERLINK("http://141.218.60.56/~jnz1568/getInfo.php?workbook=01_01.xlsx&amp;sheet=U0&amp;row=288&amp;col=9&amp;number=0.0104&amp;sourceID=17","0.0104")</f>
        <v>0.0104</v>
      </c>
    </row>
    <row r="289" spans="1:9">
      <c r="A289" s="3"/>
      <c r="B289" s="3"/>
      <c r="C289" s="3"/>
      <c r="D289" s="3"/>
      <c r="E289" s="3">
        <v>7</v>
      </c>
      <c r="F289" s="4" t="str">
        <f>HYPERLINK("http://141.218.60.56/~jnz1568/getInfo.php?workbook=01_01.xlsx&amp;sheet=U0&amp;row=289&amp;col=6&amp;number=4.477&amp;sourceID=16","4.477")</f>
        <v>4.477</v>
      </c>
      <c r="G289" s="4" t="str">
        <f>HYPERLINK("http://141.218.60.56/~jnz1568/getInfo.php?workbook=01_01.xlsx&amp;sheet=U0&amp;row=289&amp;col=7&amp;number=0.01&amp;sourceID=16","0.01")</f>
        <v>0.01</v>
      </c>
      <c r="H289" s="4" t="str">
        <f>HYPERLINK("http://141.218.60.56/~jnz1568/getInfo.php?workbook=01_01.xlsx&amp;sheet=U0&amp;row=289&amp;col=8&amp;number=5.366&amp;sourceID=17","5.366")</f>
        <v>5.366</v>
      </c>
      <c r="I289" s="4" t="str">
        <f>HYPERLINK("http://141.218.60.56/~jnz1568/getInfo.php?workbook=01_01.xlsx&amp;sheet=U0&amp;row=289&amp;col=9&amp;number=0.0101&amp;sourceID=17","0.0101")</f>
        <v>0.0101</v>
      </c>
    </row>
    <row r="290" spans="1:9">
      <c r="A290" s="3"/>
      <c r="B290" s="3"/>
      <c r="C290" s="3"/>
      <c r="D290" s="3"/>
      <c r="E290" s="3">
        <v>8</v>
      </c>
      <c r="F290" s="4" t="str">
        <f>HYPERLINK("http://141.218.60.56/~jnz1568/getInfo.php?workbook=01_01.xlsx&amp;sheet=U0&amp;row=290&amp;col=6&amp;number=4.602&amp;sourceID=16","4.602")</f>
        <v>4.602</v>
      </c>
      <c r="G290" s="4" t="str">
        <f>HYPERLINK("http://141.218.60.56/~jnz1568/getInfo.php?workbook=01_01.xlsx&amp;sheet=U0&amp;row=290&amp;col=7&amp;number=0.009861&amp;sourceID=16","0.009861")</f>
        <v>0.009861</v>
      </c>
      <c r="H290" s="4" t="str">
        <f>HYPERLINK("http://141.218.60.56/~jnz1568/getInfo.php?workbook=01_01.xlsx&amp;sheet=U0&amp;row=290&amp;col=8&amp;number=5.463&amp;sourceID=17","5.463")</f>
        <v>5.463</v>
      </c>
      <c r="I290" s="4" t="str">
        <f>HYPERLINK("http://141.218.60.56/~jnz1568/getInfo.php?workbook=01_01.xlsx&amp;sheet=U0&amp;row=290&amp;col=9&amp;number=0.0098&amp;sourceID=17","0.0098")</f>
        <v>0.0098</v>
      </c>
    </row>
    <row r="291" spans="1:9">
      <c r="A291" s="3"/>
      <c r="B291" s="3"/>
      <c r="C291" s="3"/>
      <c r="D291" s="3"/>
      <c r="E291" s="3">
        <v>9</v>
      </c>
      <c r="F291" s="4" t="str">
        <f>HYPERLINK("http://141.218.60.56/~jnz1568/getInfo.php?workbook=01_01.xlsx&amp;sheet=U0&amp;row=291&amp;col=6&amp;number=4.699&amp;sourceID=16","4.699")</f>
        <v>4.699</v>
      </c>
      <c r="G291" s="4" t="str">
        <f>HYPERLINK("http://141.218.60.56/~jnz1568/getInfo.php?workbook=01_01.xlsx&amp;sheet=U0&amp;row=291&amp;col=7&amp;number=0.009672&amp;sourceID=16","0.009672")</f>
        <v>0.009672</v>
      </c>
      <c r="H291" s="4" t="str">
        <f>HYPERLINK("http://141.218.60.56/~jnz1568/getInfo.php?workbook=01_01.xlsx&amp;sheet=U0&amp;row=291&amp;col=8&amp;number=&amp;sourceID=17","")</f>
        <v/>
      </c>
      <c r="I291" s="4" t="str">
        <f>HYPERLINK("http://141.218.60.56/~jnz1568/getInfo.php?workbook=01_01.xlsx&amp;sheet=U0&amp;row=291&amp;col=9&amp;number=&amp;sourceID=17","")</f>
        <v/>
      </c>
    </row>
    <row r="292" spans="1:9">
      <c r="A292" s="3">
        <v>1</v>
      </c>
      <c r="B292" s="3">
        <v>1</v>
      </c>
      <c r="C292" s="3">
        <v>10</v>
      </c>
      <c r="D292" s="3">
        <v>2</v>
      </c>
      <c r="E292" s="3">
        <v>1</v>
      </c>
      <c r="F292" s="4" t="str">
        <f>HYPERLINK("http://141.218.60.56/~jnz1568/getInfo.php?workbook=01_01.xlsx&amp;sheet=U0&amp;row=292&amp;col=6&amp;number==LOG10(2500)&amp;sourceID=16","=LOG10(2500)")</f>
        <v>=LOG10(2500)</v>
      </c>
      <c r="G292" s="4" t="str">
        <f>HYPERLINK("http://141.218.60.56/~jnz1568/getInfo.php?workbook=01_01.xlsx&amp;sheet=U0&amp;row=292&amp;col=7&amp;number=0.3988&amp;sourceID=16","0.3988")</f>
        <v>0.3988</v>
      </c>
      <c r="H292" s="4" t="str">
        <f>HYPERLINK("http://141.218.60.56/~jnz1568/getInfo.php?workbook=01_01.xlsx&amp;sheet=U0&amp;row=292&amp;col=8&amp;number=3.764&amp;sourceID=17","3.764")</f>
        <v>3.764</v>
      </c>
      <c r="I292" s="4" t="str">
        <f>HYPERLINK("http://141.218.60.56/~jnz1568/getInfo.php?workbook=01_01.xlsx&amp;sheet=U0&amp;row=292&amp;col=9&amp;number=0.565&amp;sourceID=17","0.565")</f>
        <v>0.565</v>
      </c>
    </row>
    <row r="293" spans="1:9">
      <c r="A293" s="3"/>
      <c r="B293" s="3"/>
      <c r="C293" s="3"/>
      <c r="D293" s="3"/>
      <c r="E293" s="3">
        <v>2</v>
      </c>
      <c r="F293" s="4" t="str">
        <f>HYPERLINK("http://141.218.60.56/~jnz1568/getInfo.php?workbook=01_01.xlsx&amp;sheet=U0&amp;row=293&amp;col=6&amp;number=3.699&amp;sourceID=16","3.699")</f>
        <v>3.699</v>
      </c>
      <c r="G293" s="4" t="str">
        <f>HYPERLINK("http://141.218.60.56/~jnz1568/getInfo.php?workbook=01_01.xlsx&amp;sheet=U0&amp;row=293&amp;col=7&amp;number=0.5076&amp;sourceID=16","0.5076")</f>
        <v>0.5076</v>
      </c>
      <c r="H293" s="4" t="str">
        <f>HYPERLINK("http://141.218.60.56/~jnz1568/getInfo.php?workbook=01_01.xlsx&amp;sheet=U0&amp;row=293&amp;col=8&amp;number=4.064&amp;sourceID=17","4.064")</f>
        <v>4.064</v>
      </c>
      <c r="I293" s="4" t="str">
        <f>HYPERLINK("http://141.218.60.56/~jnz1568/getInfo.php?workbook=01_01.xlsx&amp;sheet=U0&amp;row=293&amp;col=9&amp;number=0.738&amp;sourceID=17","0.738")</f>
        <v>0.738</v>
      </c>
    </row>
    <row r="294" spans="1:9">
      <c r="A294" s="3"/>
      <c r="B294" s="3"/>
      <c r="C294" s="3"/>
      <c r="D294" s="3"/>
      <c r="E294" s="3">
        <v>3</v>
      </c>
      <c r="F294" s="4" t="str">
        <f>HYPERLINK("http://141.218.60.56/~jnz1568/getInfo.php?workbook=01_01.xlsx&amp;sheet=U0&amp;row=294&amp;col=6&amp;number=3.875&amp;sourceID=16","3.875")</f>
        <v>3.875</v>
      </c>
      <c r="G294" s="4" t="str">
        <f>HYPERLINK("http://141.218.60.56/~jnz1568/getInfo.php?workbook=01_01.xlsx&amp;sheet=U0&amp;row=294&amp;col=7&amp;number=0.6413&amp;sourceID=16","0.6413")</f>
        <v>0.6413</v>
      </c>
      <c r="H294" s="4" t="str">
        <f>HYPERLINK("http://141.218.60.56/~jnz1568/getInfo.php?workbook=01_01.xlsx&amp;sheet=U0&amp;row=294&amp;col=8&amp;number=4.542&amp;sourceID=17","4.542")</f>
        <v>4.542</v>
      </c>
      <c r="I294" s="4" t="str">
        <f>HYPERLINK("http://141.218.60.56/~jnz1568/getInfo.php?workbook=01_01.xlsx&amp;sheet=U0&amp;row=294&amp;col=9&amp;number=1.29&amp;sourceID=17","1.29")</f>
        <v>1.29</v>
      </c>
    </row>
    <row r="295" spans="1:9">
      <c r="A295" s="3"/>
      <c r="B295" s="3"/>
      <c r="C295" s="3"/>
      <c r="D295" s="3"/>
      <c r="E295" s="3">
        <v>4</v>
      </c>
      <c r="F295" s="4" t="str">
        <f>HYPERLINK("http://141.218.60.56/~jnz1568/getInfo.php?workbook=01_01.xlsx&amp;sheet=U0&amp;row=295&amp;col=6&amp;number=4&amp;sourceID=16","4")</f>
        <v>4</v>
      </c>
      <c r="G295" s="4" t="str">
        <f>HYPERLINK("http://141.218.60.56/~jnz1568/getInfo.php?workbook=01_01.xlsx&amp;sheet=U0&amp;row=295&amp;col=7&amp;number=0.7833&amp;sourceID=16","0.7833")</f>
        <v>0.7833</v>
      </c>
      <c r="H295" s="4" t="str">
        <f>HYPERLINK("http://141.218.60.56/~jnz1568/getInfo.php?workbook=01_01.xlsx&amp;sheet=U0&amp;row=295&amp;col=8&amp;number=4.764&amp;sourceID=17","4.764")</f>
        <v>4.764</v>
      </c>
      <c r="I295" s="4" t="str">
        <f>HYPERLINK("http://141.218.60.56/~jnz1568/getInfo.php?workbook=01_01.xlsx&amp;sheet=U0&amp;row=295&amp;col=9&amp;number=1.62&amp;sourceID=17","1.62")</f>
        <v>1.62</v>
      </c>
    </row>
    <row r="296" spans="1:9">
      <c r="A296" s="3"/>
      <c r="B296" s="3"/>
      <c r="C296" s="3"/>
      <c r="D296" s="3"/>
      <c r="E296" s="3">
        <v>5</v>
      </c>
      <c r="F296" s="4" t="str">
        <f>HYPERLINK("http://141.218.60.56/~jnz1568/getInfo.php?workbook=01_01.xlsx&amp;sheet=U0&amp;row=296&amp;col=6&amp;number=4.176&amp;sourceID=16","4.176")</f>
        <v>4.176</v>
      </c>
      <c r="G296" s="4" t="str">
        <f>HYPERLINK("http://141.218.60.56/~jnz1568/getInfo.php?workbook=01_01.xlsx&amp;sheet=U0&amp;row=296&amp;col=7&amp;number=1.05&amp;sourceID=16","1.05")</f>
        <v>1.05</v>
      </c>
      <c r="H296" s="4" t="str">
        <f>HYPERLINK("http://141.218.60.56/~jnz1568/getInfo.php?workbook=01_01.xlsx&amp;sheet=U0&amp;row=296&amp;col=8&amp;number=5.064&amp;sourceID=17","5.064")</f>
        <v>5.064</v>
      </c>
      <c r="I296" s="4" t="str">
        <f>HYPERLINK("http://141.218.60.56/~jnz1568/getInfo.php?workbook=01_01.xlsx&amp;sheet=U0&amp;row=296&amp;col=9&amp;number=2.04&amp;sourceID=17","2.04")</f>
        <v>2.04</v>
      </c>
    </row>
    <row r="297" spans="1:9">
      <c r="A297" s="3"/>
      <c r="B297" s="3"/>
      <c r="C297" s="3"/>
      <c r="D297" s="3"/>
      <c r="E297" s="3">
        <v>6</v>
      </c>
      <c r="F297" s="4" t="str">
        <f>HYPERLINK("http://141.218.60.56/~jnz1568/getInfo.php?workbook=01_01.xlsx&amp;sheet=U0&amp;row=297&amp;col=6&amp;number=4.301&amp;sourceID=16","4.301")</f>
        <v>4.301</v>
      </c>
      <c r="G297" s="4" t="str">
        <f>HYPERLINK("http://141.218.60.56/~jnz1568/getInfo.php?workbook=01_01.xlsx&amp;sheet=U0&amp;row=297&amp;col=7&amp;number=1.279&amp;sourceID=16","1.279")</f>
        <v>1.279</v>
      </c>
      <c r="H297" s="4" t="str">
        <f>HYPERLINK("http://141.218.60.56/~jnz1568/getInfo.php?workbook=01_01.xlsx&amp;sheet=U0&amp;row=297&amp;col=8&amp;number=5.241&amp;sourceID=17","5.241")</f>
        <v>5.241</v>
      </c>
      <c r="I297" s="4" t="str">
        <f>HYPERLINK("http://141.218.60.56/~jnz1568/getInfo.php?workbook=01_01.xlsx&amp;sheet=U0&amp;row=297&amp;col=9&amp;number=2.21&amp;sourceID=17","2.21")</f>
        <v>2.21</v>
      </c>
    </row>
    <row r="298" spans="1:9">
      <c r="A298" s="3"/>
      <c r="B298" s="3"/>
      <c r="C298" s="3"/>
      <c r="D298" s="3"/>
      <c r="E298" s="3">
        <v>7</v>
      </c>
      <c r="F298" s="4" t="str">
        <f>HYPERLINK("http://141.218.60.56/~jnz1568/getInfo.php?workbook=01_01.xlsx&amp;sheet=U0&amp;row=298&amp;col=6&amp;number=4.477&amp;sourceID=16","4.477")</f>
        <v>4.477</v>
      </c>
      <c r="G298" s="4" t="str">
        <f>HYPERLINK("http://141.218.60.56/~jnz1568/getInfo.php?workbook=01_01.xlsx&amp;sheet=U0&amp;row=298&amp;col=7&amp;number=1.639&amp;sourceID=16","1.639")</f>
        <v>1.639</v>
      </c>
      <c r="H298" s="4" t="str">
        <f>HYPERLINK("http://141.218.60.56/~jnz1568/getInfo.php?workbook=01_01.xlsx&amp;sheet=U0&amp;row=298&amp;col=8&amp;number=5.366&amp;sourceID=17","5.366")</f>
        <v>5.366</v>
      </c>
      <c r="I298" s="4" t="str">
        <f>HYPERLINK("http://141.218.60.56/~jnz1568/getInfo.php?workbook=01_01.xlsx&amp;sheet=U0&amp;row=298&amp;col=9&amp;number=2.3&amp;sourceID=17","2.3")</f>
        <v>2.3</v>
      </c>
    </row>
    <row r="299" spans="1:9">
      <c r="A299" s="3"/>
      <c r="B299" s="3"/>
      <c r="C299" s="3"/>
      <c r="D299" s="3"/>
      <c r="E299" s="3">
        <v>8</v>
      </c>
      <c r="F299" s="4" t="str">
        <f>HYPERLINK("http://141.218.60.56/~jnz1568/getInfo.php?workbook=01_01.xlsx&amp;sheet=U0&amp;row=299&amp;col=6&amp;number=4.602&amp;sourceID=16","4.602")</f>
        <v>4.602</v>
      </c>
      <c r="G299" s="4" t="str">
        <f>HYPERLINK("http://141.218.60.56/~jnz1568/getInfo.php?workbook=01_01.xlsx&amp;sheet=U0&amp;row=299&amp;col=7&amp;number=1.907&amp;sourceID=16","1.907")</f>
        <v>1.907</v>
      </c>
      <c r="H299" s="4" t="str">
        <f>HYPERLINK("http://141.218.60.56/~jnz1568/getInfo.php?workbook=01_01.xlsx&amp;sheet=U0&amp;row=299&amp;col=8&amp;number=5.463&amp;sourceID=17","5.463")</f>
        <v>5.463</v>
      </c>
      <c r="I299" s="4" t="str">
        <f>HYPERLINK("http://141.218.60.56/~jnz1568/getInfo.php?workbook=01_01.xlsx&amp;sheet=U0&amp;row=299&amp;col=9&amp;number=2.34&amp;sourceID=17","2.34")</f>
        <v>2.34</v>
      </c>
    </row>
    <row r="300" spans="1:9">
      <c r="A300" s="3"/>
      <c r="B300" s="3"/>
      <c r="C300" s="3"/>
      <c r="D300" s="3"/>
      <c r="E300" s="3">
        <v>9</v>
      </c>
      <c r="F300" s="4" t="str">
        <f>HYPERLINK("http://141.218.60.56/~jnz1568/getInfo.php?workbook=01_01.xlsx&amp;sheet=U0&amp;row=300&amp;col=6&amp;number=4.699&amp;sourceID=16","4.699")</f>
        <v>4.699</v>
      </c>
      <c r="G300" s="4" t="str">
        <f>HYPERLINK("http://141.218.60.56/~jnz1568/getInfo.php?workbook=01_01.xlsx&amp;sheet=U0&amp;row=300&amp;col=7&amp;number=2.11&amp;sourceID=16","2.11")</f>
        <v>2.11</v>
      </c>
      <c r="H300" s="4" t="str">
        <f>HYPERLINK("http://141.218.60.56/~jnz1568/getInfo.php?workbook=01_01.xlsx&amp;sheet=U0&amp;row=300&amp;col=8&amp;number=&amp;sourceID=17","")</f>
        <v/>
      </c>
      <c r="I300" s="4" t="str">
        <f>HYPERLINK("http://141.218.60.56/~jnz1568/getInfo.php?workbook=01_01.xlsx&amp;sheet=U0&amp;row=300&amp;col=9&amp;number=&amp;sourceID=17","")</f>
        <v/>
      </c>
    </row>
    <row r="301" spans="1:9">
      <c r="A301" s="3">
        <v>1</v>
      </c>
      <c r="B301" s="3">
        <v>1</v>
      </c>
      <c r="C301" s="3">
        <v>10</v>
      </c>
      <c r="D301" s="3">
        <v>3</v>
      </c>
      <c r="E301" s="3">
        <v>1</v>
      </c>
      <c r="F301" s="4" t="str">
        <f>HYPERLINK("http://141.218.60.56/~jnz1568/getInfo.php?workbook=01_01.xlsx&amp;sheet=U0&amp;row=301&amp;col=6&amp;number==LOG10(2500)&amp;sourceID=16","=LOG10(2500)")</f>
        <v>=LOG10(2500)</v>
      </c>
      <c r="G301" s="4" t="str">
        <f>HYPERLINK("http://141.218.60.56/~jnz1568/getInfo.php?workbook=01_01.xlsx&amp;sheet=U0&amp;row=301&amp;col=7&amp;number=2.384&amp;sourceID=16","2.384")</f>
        <v>2.384</v>
      </c>
      <c r="H301" s="4" t="str">
        <f>HYPERLINK("http://141.218.60.56/~jnz1568/getInfo.php?workbook=01_01.xlsx&amp;sheet=U0&amp;row=301&amp;col=8&amp;number=3.764&amp;sourceID=17","3.764")</f>
        <v>3.764</v>
      </c>
      <c r="I301" s="4" t="str">
        <f>HYPERLINK("http://141.218.60.56/~jnz1568/getInfo.php?workbook=01_01.xlsx&amp;sheet=U0&amp;row=301&amp;col=9&amp;number=2.72&amp;sourceID=17","2.72")</f>
        <v>2.72</v>
      </c>
    </row>
    <row r="302" spans="1:9">
      <c r="A302" s="3"/>
      <c r="B302" s="3"/>
      <c r="C302" s="3"/>
      <c r="D302" s="3"/>
      <c r="E302" s="3">
        <v>2</v>
      </c>
      <c r="F302" s="4" t="str">
        <f>HYPERLINK("http://141.218.60.56/~jnz1568/getInfo.php?workbook=01_01.xlsx&amp;sheet=U0&amp;row=302&amp;col=6&amp;number=3.699&amp;sourceID=16","3.699")</f>
        <v>3.699</v>
      </c>
      <c r="G302" s="4" t="str">
        <f>HYPERLINK("http://141.218.60.56/~jnz1568/getInfo.php?workbook=01_01.xlsx&amp;sheet=U0&amp;row=302&amp;col=7&amp;number=2.7&amp;sourceID=16","2.7")</f>
        <v>2.7</v>
      </c>
      <c r="H302" s="4" t="str">
        <f>HYPERLINK("http://141.218.60.56/~jnz1568/getInfo.php?workbook=01_01.xlsx&amp;sheet=U0&amp;row=302&amp;col=8&amp;number=4.064&amp;sourceID=17","4.064")</f>
        <v>4.064</v>
      </c>
      <c r="I302" s="4" t="str">
        <f>HYPERLINK("http://141.218.60.56/~jnz1568/getInfo.php?workbook=01_01.xlsx&amp;sheet=U0&amp;row=302&amp;col=9&amp;number=3.21&amp;sourceID=17","3.21")</f>
        <v>3.21</v>
      </c>
    </row>
    <row r="303" spans="1:9">
      <c r="A303" s="3"/>
      <c r="B303" s="3"/>
      <c r="C303" s="3"/>
      <c r="D303" s="3"/>
      <c r="E303" s="3">
        <v>3</v>
      </c>
      <c r="F303" s="4" t="str">
        <f>HYPERLINK("http://141.218.60.56/~jnz1568/getInfo.php?workbook=01_01.xlsx&amp;sheet=U0&amp;row=303&amp;col=6&amp;number=3.875&amp;sourceID=16","3.875")</f>
        <v>3.875</v>
      </c>
      <c r="G303" s="4" t="str">
        <f>HYPERLINK("http://141.218.60.56/~jnz1568/getInfo.php?workbook=01_01.xlsx&amp;sheet=U0&amp;row=303&amp;col=7&amp;number=3.077&amp;sourceID=16","3.077")</f>
        <v>3.077</v>
      </c>
      <c r="H303" s="4" t="str">
        <f>HYPERLINK("http://141.218.60.56/~jnz1568/getInfo.php?workbook=01_01.xlsx&amp;sheet=U0&amp;row=303&amp;col=8&amp;number=4.542&amp;sourceID=17","4.542")</f>
        <v>4.542</v>
      </c>
      <c r="I303" s="4" t="str">
        <f>HYPERLINK("http://141.218.60.56/~jnz1568/getInfo.php?workbook=01_01.xlsx&amp;sheet=U0&amp;row=303&amp;col=9&amp;number=4.93&amp;sourceID=17","4.93")</f>
        <v>4.93</v>
      </c>
    </row>
    <row r="304" spans="1:9">
      <c r="A304" s="3"/>
      <c r="B304" s="3"/>
      <c r="C304" s="3"/>
      <c r="D304" s="3"/>
      <c r="E304" s="3">
        <v>4</v>
      </c>
      <c r="F304" s="4" t="str">
        <f>HYPERLINK("http://141.218.60.56/~jnz1568/getInfo.php?workbook=01_01.xlsx&amp;sheet=U0&amp;row=304&amp;col=6&amp;number=4&amp;sourceID=16","4")</f>
        <v>4</v>
      </c>
      <c r="G304" s="4" t="str">
        <f>HYPERLINK("http://141.218.60.56/~jnz1568/getInfo.php?workbook=01_01.xlsx&amp;sheet=U0&amp;row=304&amp;col=7&amp;number=3.483&amp;sourceID=16","3.483")</f>
        <v>3.483</v>
      </c>
      <c r="H304" s="4" t="str">
        <f>HYPERLINK("http://141.218.60.56/~jnz1568/getInfo.php?workbook=01_01.xlsx&amp;sheet=U0&amp;row=304&amp;col=8&amp;number=4.764&amp;sourceID=17","4.764")</f>
        <v>4.764</v>
      </c>
      <c r="I304" s="4" t="str">
        <f>HYPERLINK("http://141.218.60.56/~jnz1568/getInfo.php?workbook=01_01.xlsx&amp;sheet=U0&amp;row=304&amp;col=9&amp;number=6.09&amp;sourceID=17","6.09")</f>
        <v>6.09</v>
      </c>
    </row>
    <row r="305" spans="1:9">
      <c r="A305" s="3"/>
      <c r="B305" s="3"/>
      <c r="C305" s="3"/>
      <c r="D305" s="3"/>
      <c r="E305" s="3">
        <v>5</v>
      </c>
      <c r="F305" s="4" t="str">
        <f>HYPERLINK("http://141.218.60.56/~jnz1568/getInfo.php?workbook=01_01.xlsx&amp;sheet=U0&amp;row=305&amp;col=6&amp;number=4.176&amp;sourceID=16","4.176")</f>
        <v>4.176</v>
      </c>
      <c r="G305" s="4" t="str">
        <f>HYPERLINK("http://141.218.60.56/~jnz1568/getInfo.php?workbook=01_01.xlsx&amp;sheet=U0&amp;row=305&amp;col=7&amp;number=4.24&amp;sourceID=16","4.24")</f>
        <v>4.24</v>
      </c>
      <c r="H305" s="4" t="str">
        <f>HYPERLINK("http://141.218.60.56/~jnz1568/getInfo.php?workbook=01_01.xlsx&amp;sheet=U0&amp;row=305&amp;col=8&amp;number=5.064&amp;sourceID=17","5.064")</f>
        <v>5.064</v>
      </c>
      <c r="I305" s="4" t="str">
        <f>HYPERLINK("http://141.218.60.56/~jnz1568/getInfo.php?workbook=01_01.xlsx&amp;sheet=U0&amp;row=305&amp;col=9&amp;number=7.62&amp;sourceID=17","7.62")</f>
        <v>7.62</v>
      </c>
    </row>
    <row r="306" spans="1:9">
      <c r="A306" s="3"/>
      <c r="B306" s="3"/>
      <c r="C306" s="3"/>
      <c r="D306" s="3"/>
      <c r="E306" s="3">
        <v>6</v>
      </c>
      <c r="F306" s="4" t="str">
        <f>HYPERLINK("http://141.218.60.56/~jnz1568/getInfo.php?workbook=01_01.xlsx&amp;sheet=U0&amp;row=306&amp;col=6&amp;number=4.301&amp;sourceID=16","4.301")</f>
        <v>4.301</v>
      </c>
      <c r="G306" s="4" t="str">
        <f>HYPERLINK("http://141.218.60.56/~jnz1568/getInfo.php?workbook=01_01.xlsx&amp;sheet=U0&amp;row=306&amp;col=7&amp;number=4.879&amp;sourceID=16","4.879")</f>
        <v>4.879</v>
      </c>
      <c r="H306" s="4" t="str">
        <f>HYPERLINK("http://141.218.60.56/~jnz1568/getInfo.php?workbook=01_01.xlsx&amp;sheet=U0&amp;row=306&amp;col=8&amp;number=5.241&amp;sourceID=17","5.241")</f>
        <v>5.241</v>
      </c>
      <c r="I306" s="4" t="str">
        <f>HYPERLINK("http://141.218.60.56/~jnz1568/getInfo.php?workbook=01_01.xlsx&amp;sheet=U0&amp;row=306&amp;col=9&amp;number=8.33&amp;sourceID=17","8.33")</f>
        <v>8.33</v>
      </c>
    </row>
    <row r="307" spans="1:9">
      <c r="A307" s="3"/>
      <c r="B307" s="3"/>
      <c r="C307" s="3"/>
      <c r="D307" s="3"/>
      <c r="E307" s="3">
        <v>7</v>
      </c>
      <c r="F307" s="4" t="str">
        <f>HYPERLINK("http://141.218.60.56/~jnz1568/getInfo.php?workbook=01_01.xlsx&amp;sheet=U0&amp;row=307&amp;col=6&amp;number=4.477&amp;sourceID=16","4.477")</f>
        <v>4.477</v>
      </c>
      <c r="G307" s="4" t="str">
        <f>HYPERLINK("http://141.218.60.56/~jnz1568/getInfo.php?workbook=01_01.xlsx&amp;sheet=U0&amp;row=307&amp;col=7&amp;number=5.885&amp;sourceID=16","5.885")</f>
        <v>5.885</v>
      </c>
      <c r="H307" s="4" t="str">
        <f>HYPERLINK("http://141.218.60.56/~jnz1568/getInfo.php?workbook=01_01.xlsx&amp;sheet=U0&amp;row=307&amp;col=8&amp;number=5.366&amp;sourceID=17","5.366")</f>
        <v>5.366</v>
      </c>
      <c r="I307" s="4" t="str">
        <f>HYPERLINK("http://141.218.60.56/~jnz1568/getInfo.php?workbook=01_01.xlsx&amp;sheet=U0&amp;row=307&amp;col=9&amp;number=8.72&amp;sourceID=17","8.72")</f>
        <v>8.72</v>
      </c>
    </row>
    <row r="308" spans="1:9">
      <c r="A308" s="3"/>
      <c r="B308" s="3"/>
      <c r="C308" s="3"/>
      <c r="D308" s="3"/>
      <c r="E308" s="3">
        <v>8</v>
      </c>
      <c r="F308" s="4" t="str">
        <f>HYPERLINK("http://141.218.60.56/~jnz1568/getInfo.php?workbook=01_01.xlsx&amp;sheet=U0&amp;row=308&amp;col=6&amp;number=4.602&amp;sourceID=16","4.602")</f>
        <v>4.602</v>
      </c>
      <c r="G308" s="4" t="str">
        <f>HYPERLINK("http://141.218.60.56/~jnz1568/getInfo.php?workbook=01_01.xlsx&amp;sheet=U0&amp;row=308&amp;col=7&amp;number=6.645&amp;sourceID=16","6.645")</f>
        <v>6.645</v>
      </c>
      <c r="H308" s="4" t="str">
        <f>HYPERLINK("http://141.218.60.56/~jnz1568/getInfo.php?workbook=01_01.xlsx&amp;sheet=U0&amp;row=308&amp;col=8&amp;number=5.463&amp;sourceID=17","5.463")</f>
        <v>5.463</v>
      </c>
      <c r="I308" s="4" t="str">
        <f>HYPERLINK("http://141.218.60.56/~jnz1568/getInfo.php?workbook=01_01.xlsx&amp;sheet=U0&amp;row=308&amp;col=9&amp;number=8.95&amp;sourceID=17","8.95")</f>
        <v>8.95</v>
      </c>
    </row>
    <row r="309" spans="1:9">
      <c r="A309" s="3"/>
      <c r="B309" s="3"/>
      <c r="C309" s="3"/>
      <c r="D309" s="3"/>
      <c r="E309" s="3">
        <v>9</v>
      </c>
      <c r="F309" s="4" t="str">
        <f>HYPERLINK("http://141.218.60.56/~jnz1568/getInfo.php?workbook=01_01.xlsx&amp;sheet=U0&amp;row=309&amp;col=6&amp;number=4.699&amp;sourceID=16","4.699")</f>
        <v>4.699</v>
      </c>
      <c r="G309" s="4" t="str">
        <f>HYPERLINK("http://141.218.60.56/~jnz1568/getInfo.php?workbook=01_01.xlsx&amp;sheet=U0&amp;row=309&amp;col=7&amp;number=7.239&amp;sourceID=16","7.239")</f>
        <v>7.239</v>
      </c>
      <c r="H309" s="4" t="str">
        <f>HYPERLINK("http://141.218.60.56/~jnz1568/getInfo.php?workbook=01_01.xlsx&amp;sheet=U0&amp;row=309&amp;col=8&amp;number=&amp;sourceID=17","")</f>
        <v/>
      </c>
      <c r="I309" s="4" t="str">
        <f>HYPERLINK("http://141.218.60.56/~jnz1568/getInfo.php?workbook=01_01.xlsx&amp;sheet=U0&amp;row=309&amp;col=9&amp;number=&amp;sourceID=17","")</f>
        <v/>
      </c>
    </row>
    <row r="310" spans="1:9">
      <c r="A310" s="3">
        <v>1</v>
      </c>
      <c r="B310" s="3">
        <v>1</v>
      </c>
      <c r="C310" s="3">
        <v>10</v>
      </c>
      <c r="D310" s="3">
        <v>4</v>
      </c>
      <c r="E310" s="3">
        <v>1</v>
      </c>
      <c r="F310" s="4" t="str">
        <f>HYPERLINK("http://141.218.60.56/~jnz1568/getInfo.php?workbook=01_01.xlsx&amp;sheet=U0&amp;row=310&amp;col=6&amp;number==LOG10(2500)&amp;sourceID=16","=LOG10(2500)")</f>
        <v>=LOG10(2500)</v>
      </c>
      <c r="G310" s="4" t="str">
        <f>HYPERLINK("http://141.218.60.56/~jnz1568/getInfo.php?workbook=01_01.xlsx&amp;sheet=U0&amp;row=310&amp;col=7&amp;number=3.88&amp;sourceID=16","3.88")</f>
        <v>3.88</v>
      </c>
      <c r="H310" s="4" t="str">
        <f>HYPERLINK("http://141.218.60.56/~jnz1568/getInfo.php?workbook=01_01.xlsx&amp;sheet=U0&amp;row=310&amp;col=8&amp;number=3.764&amp;sourceID=17","3.764")</f>
        <v>3.764</v>
      </c>
      <c r="I310" s="4" t="str">
        <f>HYPERLINK("http://141.218.60.56/~jnz1568/getInfo.php?workbook=01_01.xlsx&amp;sheet=U0&amp;row=310&amp;col=9&amp;number=6.84&amp;sourceID=17","6.84")</f>
        <v>6.84</v>
      </c>
    </row>
    <row r="311" spans="1:9">
      <c r="A311" s="3"/>
      <c r="B311" s="3"/>
      <c r="C311" s="3"/>
      <c r="D311" s="3"/>
      <c r="E311" s="3">
        <v>2</v>
      </c>
      <c r="F311" s="4" t="str">
        <f>HYPERLINK("http://141.218.60.56/~jnz1568/getInfo.php?workbook=01_01.xlsx&amp;sheet=U0&amp;row=311&amp;col=6&amp;number=3.699&amp;sourceID=16","3.699")</f>
        <v>3.699</v>
      </c>
      <c r="G311" s="4" t="str">
        <f>HYPERLINK("http://141.218.60.56/~jnz1568/getInfo.php?workbook=01_01.xlsx&amp;sheet=U0&amp;row=311&amp;col=7&amp;number=5.781&amp;sourceID=16","5.781")</f>
        <v>5.781</v>
      </c>
      <c r="H311" s="4" t="str">
        <f>HYPERLINK("http://141.218.60.56/~jnz1568/getInfo.php?workbook=01_01.xlsx&amp;sheet=U0&amp;row=311&amp;col=8&amp;number=4.064&amp;sourceID=17","4.064")</f>
        <v>4.064</v>
      </c>
      <c r="I311" s="4" t="str">
        <f>HYPERLINK("http://141.218.60.56/~jnz1568/getInfo.php?workbook=01_01.xlsx&amp;sheet=U0&amp;row=311&amp;col=9&amp;number=10.6&amp;sourceID=17","10.6")</f>
        <v>10.6</v>
      </c>
    </row>
    <row r="312" spans="1:9">
      <c r="A312" s="3"/>
      <c r="B312" s="3"/>
      <c r="C312" s="3"/>
      <c r="D312" s="3"/>
      <c r="E312" s="3">
        <v>3</v>
      </c>
      <c r="F312" s="4" t="str">
        <f>HYPERLINK("http://141.218.60.56/~jnz1568/getInfo.php?workbook=01_01.xlsx&amp;sheet=U0&amp;row=312&amp;col=6&amp;number=3.875&amp;sourceID=16","3.875")</f>
        <v>3.875</v>
      </c>
      <c r="G312" s="4" t="str">
        <f>HYPERLINK("http://141.218.60.56/~jnz1568/getInfo.php?workbook=01_01.xlsx&amp;sheet=U0&amp;row=312&amp;col=7&amp;number=7.993&amp;sourceID=16","7.993")</f>
        <v>7.993</v>
      </c>
      <c r="H312" s="4" t="str">
        <f>HYPERLINK("http://141.218.60.56/~jnz1568/getInfo.php?workbook=01_01.xlsx&amp;sheet=U0&amp;row=312&amp;col=8&amp;number=4.542&amp;sourceID=17","4.542")</f>
        <v>4.542</v>
      </c>
      <c r="I312" s="4" t="str">
        <f>HYPERLINK("http://141.218.60.56/~jnz1568/getInfo.php?workbook=01_01.xlsx&amp;sheet=U0&amp;row=312&amp;col=9&amp;number=19.6&amp;sourceID=17","19.6")</f>
        <v>19.6</v>
      </c>
    </row>
    <row r="313" spans="1:9">
      <c r="A313" s="3"/>
      <c r="B313" s="3"/>
      <c r="C313" s="3"/>
      <c r="D313" s="3"/>
      <c r="E313" s="3">
        <v>4</v>
      </c>
      <c r="F313" s="4" t="str">
        <f>HYPERLINK("http://141.218.60.56/~jnz1568/getInfo.php?workbook=01_01.xlsx&amp;sheet=U0&amp;row=313&amp;col=6&amp;number=4&amp;sourceID=16","4")</f>
        <v>4</v>
      </c>
      <c r="G313" s="4" t="str">
        <f>HYPERLINK("http://141.218.60.56/~jnz1568/getInfo.php?workbook=01_01.xlsx&amp;sheet=U0&amp;row=313&amp;col=7&amp;number=10.36&amp;sourceID=16","10.36")</f>
        <v>10.36</v>
      </c>
      <c r="H313" s="4" t="str">
        <f>HYPERLINK("http://141.218.60.56/~jnz1568/getInfo.php?workbook=01_01.xlsx&amp;sheet=U0&amp;row=313&amp;col=8&amp;number=4.764&amp;sourceID=17","4.764")</f>
        <v>4.764</v>
      </c>
      <c r="I313" s="4" t="str">
        <f>HYPERLINK("http://141.218.60.56/~jnz1568/getInfo.php?workbook=01_01.xlsx&amp;sheet=U0&amp;row=313&amp;col=9&amp;number=24.8&amp;sourceID=17","24.8")</f>
        <v>24.8</v>
      </c>
    </row>
    <row r="314" spans="1:9">
      <c r="A314" s="3"/>
      <c r="B314" s="3"/>
      <c r="C314" s="3"/>
      <c r="D314" s="3"/>
      <c r="E314" s="3">
        <v>5</v>
      </c>
      <c r="F314" s="4" t="str">
        <f>HYPERLINK("http://141.218.60.56/~jnz1568/getInfo.php?workbook=01_01.xlsx&amp;sheet=U0&amp;row=314&amp;col=6&amp;number=4.176&amp;sourceID=16","4.176")</f>
        <v>4.176</v>
      </c>
      <c r="G314" s="4" t="str">
        <f>HYPERLINK("http://141.218.60.56/~jnz1568/getInfo.php?workbook=01_01.xlsx&amp;sheet=U0&amp;row=314&amp;col=7&amp;number=14.92&amp;sourceID=16","14.92")</f>
        <v>14.92</v>
      </c>
      <c r="H314" s="4" t="str">
        <f>HYPERLINK("http://141.218.60.56/~jnz1568/getInfo.php?workbook=01_01.xlsx&amp;sheet=U0&amp;row=314&amp;col=8&amp;number=5.064&amp;sourceID=17","5.064")</f>
        <v>5.064</v>
      </c>
      <c r="I314" s="4" t="str">
        <f>HYPERLINK("http://141.218.60.56/~jnz1568/getInfo.php?workbook=01_01.xlsx&amp;sheet=U0&amp;row=314&amp;col=9&amp;number=31.7&amp;sourceID=17","31.7")</f>
        <v>31.7</v>
      </c>
    </row>
    <row r="315" spans="1:9">
      <c r="A315" s="3"/>
      <c r="B315" s="3"/>
      <c r="C315" s="3"/>
      <c r="D315" s="3"/>
      <c r="E315" s="3">
        <v>6</v>
      </c>
      <c r="F315" s="4" t="str">
        <f>HYPERLINK("http://141.218.60.56/~jnz1568/getInfo.php?workbook=01_01.xlsx&amp;sheet=U0&amp;row=315&amp;col=6&amp;number=4.301&amp;sourceID=16","4.301")</f>
        <v>4.301</v>
      </c>
      <c r="G315" s="4" t="str">
        <f>HYPERLINK("http://141.218.60.56/~jnz1568/getInfo.php?workbook=01_01.xlsx&amp;sheet=U0&amp;row=315&amp;col=7&amp;number=18.96&amp;sourceID=16","18.96")</f>
        <v>18.96</v>
      </c>
      <c r="H315" s="4" t="str">
        <f>HYPERLINK("http://141.218.60.56/~jnz1568/getInfo.php?workbook=01_01.xlsx&amp;sheet=U0&amp;row=315&amp;col=8&amp;number=5.241&amp;sourceID=17","5.241")</f>
        <v>5.241</v>
      </c>
      <c r="I315" s="4" t="str">
        <f>HYPERLINK("http://141.218.60.56/~jnz1568/getInfo.php?workbook=01_01.xlsx&amp;sheet=U0&amp;row=315&amp;col=9&amp;number=35.3&amp;sourceID=17","35.3")</f>
        <v>35.3</v>
      </c>
    </row>
    <row r="316" spans="1:9">
      <c r="A316" s="3"/>
      <c r="B316" s="3"/>
      <c r="C316" s="3"/>
      <c r="D316" s="3"/>
      <c r="E316" s="3">
        <v>7</v>
      </c>
      <c r="F316" s="4" t="str">
        <f>HYPERLINK("http://141.218.60.56/~jnz1568/getInfo.php?workbook=01_01.xlsx&amp;sheet=U0&amp;row=316&amp;col=6&amp;number=4.477&amp;sourceID=16","4.477")</f>
        <v>4.477</v>
      </c>
      <c r="G316" s="4" t="str">
        <f>HYPERLINK("http://141.218.60.56/~jnz1568/getInfo.php?workbook=01_01.xlsx&amp;sheet=U0&amp;row=316&amp;col=7&amp;number=25.49&amp;sourceID=16","25.49")</f>
        <v>25.49</v>
      </c>
      <c r="H316" s="4" t="str">
        <f>HYPERLINK("http://141.218.60.56/~jnz1568/getInfo.php?workbook=01_01.xlsx&amp;sheet=U0&amp;row=316&amp;col=8&amp;number=5.366&amp;sourceID=17","5.366")</f>
        <v>5.366</v>
      </c>
      <c r="I316" s="4" t="str">
        <f>HYPERLINK("http://141.218.60.56/~jnz1568/getInfo.php?workbook=01_01.xlsx&amp;sheet=U0&amp;row=316&amp;col=9&amp;number=37.5&amp;sourceID=17","37.5")</f>
        <v>37.5</v>
      </c>
    </row>
    <row r="317" spans="1:9">
      <c r="A317" s="3"/>
      <c r="B317" s="3"/>
      <c r="C317" s="3"/>
      <c r="D317" s="3"/>
      <c r="E317" s="3">
        <v>8</v>
      </c>
      <c r="F317" s="4" t="str">
        <f>HYPERLINK("http://141.218.60.56/~jnz1568/getInfo.php?workbook=01_01.xlsx&amp;sheet=U0&amp;row=317&amp;col=6&amp;number=4.602&amp;sourceID=16","4.602")</f>
        <v>4.602</v>
      </c>
      <c r="G317" s="4" t="str">
        <f>HYPERLINK("http://141.218.60.56/~jnz1568/getInfo.php?workbook=01_01.xlsx&amp;sheet=U0&amp;row=317&amp;col=7&amp;number=30.45&amp;sourceID=16","30.45")</f>
        <v>30.45</v>
      </c>
      <c r="H317" s="4" t="str">
        <f>HYPERLINK("http://141.218.60.56/~jnz1568/getInfo.php?workbook=01_01.xlsx&amp;sheet=U0&amp;row=317&amp;col=8&amp;number=5.463&amp;sourceID=17","5.463")</f>
        <v>5.463</v>
      </c>
      <c r="I317" s="4" t="str">
        <f>HYPERLINK("http://141.218.60.56/~jnz1568/getInfo.php?workbook=01_01.xlsx&amp;sheet=U0&amp;row=317&amp;col=9&amp;number=39&amp;sourceID=17","39")</f>
        <v>39</v>
      </c>
    </row>
    <row r="318" spans="1:9">
      <c r="A318" s="3"/>
      <c r="B318" s="3"/>
      <c r="C318" s="3"/>
      <c r="D318" s="3"/>
      <c r="E318" s="3">
        <v>9</v>
      </c>
      <c r="F318" s="4" t="str">
        <f>HYPERLINK("http://141.218.60.56/~jnz1568/getInfo.php?workbook=01_01.xlsx&amp;sheet=U0&amp;row=318&amp;col=6&amp;number=4.699&amp;sourceID=16","4.699")</f>
        <v>4.699</v>
      </c>
      <c r="G318" s="4" t="str">
        <f>HYPERLINK("http://141.218.60.56/~jnz1568/getInfo.php?workbook=01_01.xlsx&amp;sheet=U0&amp;row=318&amp;col=7&amp;number=34.29&amp;sourceID=16","34.29")</f>
        <v>34.29</v>
      </c>
      <c r="H318" s="4" t="str">
        <f>HYPERLINK("http://141.218.60.56/~jnz1568/getInfo.php?workbook=01_01.xlsx&amp;sheet=U0&amp;row=318&amp;col=8&amp;number=&amp;sourceID=17","")</f>
        <v/>
      </c>
      <c r="I318" s="4" t="str">
        <f>HYPERLINK("http://141.218.60.56/~jnz1568/getInfo.php?workbook=01_01.xlsx&amp;sheet=U0&amp;row=318&amp;col=9&amp;number=&amp;sourceID=17","")</f>
        <v/>
      </c>
    </row>
    <row r="319" spans="1:9">
      <c r="A319" s="3">
        <v>1</v>
      </c>
      <c r="B319" s="3">
        <v>1</v>
      </c>
      <c r="C319" s="3">
        <v>10</v>
      </c>
      <c r="D319" s="3">
        <v>5</v>
      </c>
      <c r="E319" s="3">
        <v>1</v>
      </c>
      <c r="F319" s="4" t="str">
        <f>HYPERLINK("http://141.218.60.56/~jnz1568/getInfo.php?workbook=01_01.xlsx&amp;sheet=U0&amp;row=319&amp;col=6&amp;number==LOG10(2500)&amp;sourceID=16","=LOG10(2500)")</f>
        <v>=LOG10(2500)</v>
      </c>
      <c r="G319" s="4" t="str">
        <f>HYPERLINK("http://141.218.60.56/~jnz1568/getInfo.php?workbook=01_01.xlsx&amp;sheet=U0&amp;row=319&amp;col=7&amp;number=15.58&amp;sourceID=16","15.58")</f>
        <v>15.58</v>
      </c>
      <c r="H319" s="4" t="str">
        <f>HYPERLINK("http://141.218.60.56/~jnz1568/getInfo.php?workbook=01_01.xlsx&amp;sheet=U0&amp;row=319&amp;col=8&amp;number=3.764&amp;sourceID=17","3.764")</f>
        <v>3.764</v>
      </c>
      <c r="I319" s="4" t="str">
        <f>HYPERLINK("http://141.218.60.56/~jnz1568/getInfo.php?workbook=01_01.xlsx&amp;sheet=U0&amp;row=319&amp;col=9&amp;number=25.4&amp;sourceID=17","25.4")</f>
        <v>25.4</v>
      </c>
    </row>
    <row r="320" spans="1:9">
      <c r="A320" s="3"/>
      <c r="B320" s="3"/>
      <c r="C320" s="3"/>
      <c r="D320" s="3"/>
      <c r="E320" s="3">
        <v>2</v>
      </c>
      <c r="F320" s="4" t="str">
        <f>HYPERLINK("http://141.218.60.56/~jnz1568/getInfo.php?workbook=01_01.xlsx&amp;sheet=U0&amp;row=320&amp;col=6&amp;number=3.699&amp;sourceID=16","3.699")</f>
        <v>3.699</v>
      </c>
      <c r="G320" s="4" t="str">
        <f>HYPERLINK("http://141.218.60.56/~jnz1568/getInfo.php?workbook=01_01.xlsx&amp;sheet=U0&amp;row=320&amp;col=7&amp;number=21.99&amp;sourceID=16","21.99")</f>
        <v>21.99</v>
      </c>
      <c r="H320" s="4" t="str">
        <f>HYPERLINK("http://141.218.60.56/~jnz1568/getInfo.php?workbook=01_01.xlsx&amp;sheet=U0&amp;row=320&amp;col=8&amp;number=4.064&amp;sourceID=17","4.064")</f>
        <v>4.064</v>
      </c>
      <c r="I320" s="4" t="str">
        <f>HYPERLINK("http://141.218.60.56/~jnz1568/getInfo.php?workbook=01_01.xlsx&amp;sheet=U0&amp;row=320&amp;col=9&amp;number=40.9&amp;sourceID=17","40.9")</f>
        <v>40.9</v>
      </c>
    </row>
    <row r="321" spans="1:9">
      <c r="A321" s="3"/>
      <c r="B321" s="3"/>
      <c r="C321" s="3"/>
      <c r="D321" s="3"/>
      <c r="E321" s="3">
        <v>3</v>
      </c>
      <c r="F321" s="4" t="str">
        <f>HYPERLINK("http://141.218.60.56/~jnz1568/getInfo.php?workbook=01_01.xlsx&amp;sheet=U0&amp;row=321&amp;col=6&amp;number=3.875&amp;sourceID=16","3.875")</f>
        <v>3.875</v>
      </c>
      <c r="G321" s="4" t="str">
        <f>HYPERLINK("http://141.218.60.56/~jnz1568/getInfo.php?workbook=01_01.xlsx&amp;sheet=U0&amp;row=321&amp;col=7&amp;number=29.63&amp;sourceID=16","29.63")</f>
        <v>29.63</v>
      </c>
      <c r="H321" s="4" t="str">
        <f>HYPERLINK("http://141.218.60.56/~jnz1568/getInfo.php?workbook=01_01.xlsx&amp;sheet=U0&amp;row=321&amp;col=8&amp;number=4.542&amp;sourceID=17","4.542")</f>
        <v>4.542</v>
      </c>
      <c r="I321" s="4" t="str">
        <f>HYPERLINK("http://141.218.60.56/~jnz1568/getInfo.php?workbook=01_01.xlsx&amp;sheet=U0&amp;row=321&amp;col=9&amp;number=87.9&amp;sourceID=17","87.9")</f>
        <v>87.9</v>
      </c>
    </row>
    <row r="322" spans="1:9">
      <c r="A322" s="3"/>
      <c r="B322" s="3"/>
      <c r="C322" s="3"/>
      <c r="D322" s="3"/>
      <c r="E322" s="3">
        <v>4</v>
      </c>
      <c r="F322" s="4" t="str">
        <f>HYPERLINK("http://141.218.60.56/~jnz1568/getInfo.php?workbook=01_01.xlsx&amp;sheet=U0&amp;row=322&amp;col=6&amp;number=4&amp;sourceID=16","4")</f>
        <v>4</v>
      </c>
      <c r="G322" s="4" t="str">
        <f>HYPERLINK("http://141.218.60.56/~jnz1568/getInfo.php?workbook=01_01.xlsx&amp;sheet=U0&amp;row=322&amp;col=7&amp;number=38.15&amp;sourceID=16","38.15")</f>
        <v>38.15</v>
      </c>
      <c r="H322" s="4" t="str">
        <f>HYPERLINK("http://141.218.60.56/~jnz1568/getInfo.php?workbook=01_01.xlsx&amp;sheet=U0&amp;row=322&amp;col=8&amp;number=4.764&amp;sourceID=17","4.764")</f>
        <v>4.764</v>
      </c>
      <c r="I322" s="4" t="str">
        <f>HYPERLINK("http://141.218.60.56/~jnz1568/getInfo.php?workbook=01_01.xlsx&amp;sheet=U0&amp;row=322&amp;col=9&amp;number=119&amp;sourceID=17","119")</f>
        <v>119</v>
      </c>
    </row>
    <row r="323" spans="1:9">
      <c r="A323" s="3"/>
      <c r="B323" s="3"/>
      <c r="C323" s="3"/>
      <c r="D323" s="3"/>
      <c r="E323" s="3">
        <v>5</v>
      </c>
      <c r="F323" s="4" t="str">
        <f>HYPERLINK("http://141.218.60.56/~jnz1568/getInfo.php?workbook=01_01.xlsx&amp;sheet=U0&amp;row=323&amp;col=6&amp;number=4.176&amp;sourceID=16","4.176")</f>
        <v>4.176</v>
      </c>
      <c r="G323" s="4" t="str">
        <f>HYPERLINK("http://141.218.60.56/~jnz1568/getInfo.php?workbook=01_01.xlsx&amp;sheet=U0&amp;row=323&amp;col=7&amp;number=55.54&amp;sourceID=16","55.54")</f>
        <v>55.54</v>
      </c>
      <c r="H323" s="4" t="str">
        <f>HYPERLINK("http://141.218.60.56/~jnz1568/getInfo.php?workbook=01_01.xlsx&amp;sheet=U0&amp;row=323&amp;col=8&amp;number=5.064&amp;sourceID=17","5.064")</f>
        <v>5.064</v>
      </c>
      <c r="I323" s="4" t="str">
        <f>HYPERLINK("http://141.218.60.56/~jnz1568/getInfo.php?workbook=01_01.xlsx&amp;sheet=U0&amp;row=323&amp;col=9&amp;number=167&amp;sourceID=17","167")</f>
        <v>167</v>
      </c>
    </row>
    <row r="324" spans="1:9">
      <c r="A324" s="3"/>
      <c r="B324" s="3"/>
      <c r="C324" s="3"/>
      <c r="D324" s="3"/>
      <c r="E324" s="3">
        <v>6</v>
      </c>
      <c r="F324" s="4" t="str">
        <f>HYPERLINK("http://141.218.60.56/~jnz1568/getInfo.php?workbook=01_01.xlsx&amp;sheet=U0&amp;row=324&amp;col=6&amp;number=4.301&amp;sourceID=16","4.301")</f>
        <v>4.301</v>
      </c>
      <c r="G324" s="4" t="str">
        <f>HYPERLINK("http://141.218.60.56/~jnz1568/getInfo.php?workbook=01_01.xlsx&amp;sheet=U0&amp;row=324&amp;col=7&amp;number=72.08&amp;sourceID=16","72.08")</f>
        <v>72.08</v>
      </c>
      <c r="H324" s="4" t="str">
        <f>HYPERLINK("http://141.218.60.56/~jnz1568/getInfo.php?workbook=01_01.xlsx&amp;sheet=U0&amp;row=324&amp;col=8&amp;number=5.241&amp;sourceID=17","5.241")</f>
        <v>5.241</v>
      </c>
      <c r="I324" s="4" t="str">
        <f>HYPERLINK("http://141.218.60.56/~jnz1568/getInfo.php?workbook=01_01.xlsx&amp;sheet=U0&amp;row=324&amp;col=9&amp;number=194&amp;sourceID=17","194")</f>
        <v>194</v>
      </c>
    </row>
    <row r="325" spans="1:9">
      <c r="A325" s="3"/>
      <c r="B325" s="3"/>
      <c r="C325" s="3"/>
      <c r="D325" s="3"/>
      <c r="E325" s="3">
        <v>7</v>
      </c>
      <c r="F325" s="4" t="str">
        <f>HYPERLINK("http://141.218.60.56/~jnz1568/getInfo.php?workbook=01_01.xlsx&amp;sheet=U0&amp;row=325&amp;col=6&amp;number=4.477&amp;sourceID=16","4.477")</f>
        <v>4.477</v>
      </c>
      <c r="G325" s="4" t="str">
        <f>HYPERLINK("http://141.218.60.56/~jnz1568/getInfo.php?workbook=01_01.xlsx&amp;sheet=U0&amp;row=325&amp;col=7&amp;number=101.4&amp;sourceID=16","101.4")</f>
        <v>101.4</v>
      </c>
      <c r="H325" s="4" t="str">
        <f>HYPERLINK("http://141.218.60.56/~jnz1568/getInfo.php?workbook=01_01.xlsx&amp;sheet=U0&amp;row=325&amp;col=8&amp;number=5.366&amp;sourceID=17","5.366")</f>
        <v>5.366</v>
      </c>
      <c r="I325" s="4" t="str">
        <f>HYPERLINK("http://141.218.60.56/~jnz1568/getInfo.php?workbook=01_01.xlsx&amp;sheet=U0&amp;row=325&amp;col=9&amp;number=212&amp;sourceID=17","212")</f>
        <v>212</v>
      </c>
    </row>
    <row r="326" spans="1:9">
      <c r="A326" s="3"/>
      <c r="B326" s="3"/>
      <c r="C326" s="3"/>
      <c r="D326" s="3"/>
      <c r="E326" s="3">
        <v>8</v>
      </c>
      <c r="F326" s="4" t="str">
        <f>HYPERLINK("http://141.218.60.56/~jnz1568/getInfo.php?workbook=01_01.xlsx&amp;sheet=U0&amp;row=326&amp;col=6&amp;number=4.602&amp;sourceID=16","4.602")</f>
        <v>4.602</v>
      </c>
      <c r="G326" s="4" t="str">
        <f>HYPERLINK("http://141.218.60.56/~jnz1568/getInfo.php?workbook=01_01.xlsx&amp;sheet=U0&amp;row=326&amp;col=7&amp;number=126&amp;sourceID=16","126")</f>
        <v>126</v>
      </c>
      <c r="H326" s="4" t="str">
        <f>HYPERLINK("http://141.218.60.56/~jnz1568/getInfo.php?workbook=01_01.xlsx&amp;sheet=U0&amp;row=326&amp;col=8&amp;number=5.463&amp;sourceID=17","5.463")</f>
        <v>5.463</v>
      </c>
      <c r="I326" s="4" t="str">
        <f>HYPERLINK("http://141.218.60.56/~jnz1568/getInfo.php?workbook=01_01.xlsx&amp;sheet=U0&amp;row=326&amp;col=9&amp;number=224&amp;sourceID=17","224")</f>
        <v>224</v>
      </c>
    </row>
    <row r="327" spans="1:9">
      <c r="A327" s="3"/>
      <c r="B327" s="3"/>
      <c r="C327" s="3"/>
      <c r="D327" s="3"/>
      <c r="E327" s="3">
        <v>9</v>
      </c>
      <c r="F327" s="4" t="str">
        <f>HYPERLINK("http://141.218.60.56/~jnz1568/getInfo.php?workbook=01_01.xlsx&amp;sheet=U0&amp;row=327&amp;col=6&amp;number=4.699&amp;sourceID=16","4.699")</f>
        <v>4.699</v>
      </c>
      <c r="G327" s="4" t="str">
        <f>HYPERLINK("http://141.218.60.56/~jnz1568/getInfo.php?workbook=01_01.xlsx&amp;sheet=U0&amp;row=327&amp;col=7&amp;number=146.3&amp;sourceID=16","146.3")</f>
        <v>146.3</v>
      </c>
      <c r="H327" s="4" t="str">
        <f>HYPERLINK("http://141.218.60.56/~jnz1568/getInfo.php?workbook=01_01.xlsx&amp;sheet=U0&amp;row=327&amp;col=8&amp;number=&amp;sourceID=17","")</f>
        <v/>
      </c>
      <c r="I327" s="4" t="str">
        <f>HYPERLINK("http://141.218.60.56/~jnz1568/getInfo.php?workbook=01_01.xlsx&amp;sheet=U0&amp;row=327&amp;col=9&amp;number=&amp;sourceID=17","")</f>
        <v/>
      </c>
    </row>
    <row r="328" spans="1:9">
      <c r="A328" s="3">
        <v>1</v>
      </c>
      <c r="B328" s="3">
        <v>1</v>
      </c>
      <c r="C328" s="3">
        <v>10</v>
      </c>
      <c r="D328" s="3">
        <v>6</v>
      </c>
      <c r="E328" s="3">
        <v>1</v>
      </c>
      <c r="F328" s="4" t="str">
        <f>HYPERLINK("http://141.218.60.56/~jnz1568/getInfo.php?workbook=01_01.xlsx&amp;sheet=U0&amp;row=328&amp;col=6&amp;number==LOG10(2500)&amp;sourceID=16","=LOG10(2500)")</f>
        <v>=LOG10(2500)</v>
      </c>
      <c r="G328" s="4" t="str">
        <f>HYPERLINK("http://141.218.60.56/~jnz1568/getInfo.php?workbook=01_01.xlsx&amp;sheet=U0&amp;row=328&amp;col=7&amp;number=43.27&amp;sourceID=16","43.27")</f>
        <v>43.27</v>
      </c>
      <c r="H328" s="4" t="str">
        <f>HYPERLINK("http://141.218.60.56/~jnz1568/getInfo.php?workbook=01_01.xlsx&amp;sheet=U0&amp;row=328&amp;col=8&amp;number=3.764&amp;sourceID=17","3.764")</f>
        <v>3.764</v>
      </c>
      <c r="I328" s="4" t="str">
        <f>HYPERLINK("http://141.218.60.56/~jnz1568/getInfo.php?workbook=01_01.xlsx&amp;sheet=U0&amp;row=328&amp;col=9&amp;number=65.4&amp;sourceID=17","65.4")</f>
        <v>65.4</v>
      </c>
    </row>
    <row r="329" spans="1:9">
      <c r="A329" s="3"/>
      <c r="B329" s="3"/>
      <c r="C329" s="3"/>
      <c r="D329" s="3"/>
      <c r="E329" s="3">
        <v>2</v>
      </c>
      <c r="F329" s="4" t="str">
        <f>HYPERLINK("http://141.218.60.56/~jnz1568/getInfo.php?workbook=01_01.xlsx&amp;sheet=U0&amp;row=329&amp;col=6&amp;number=3.699&amp;sourceID=16","3.699")</f>
        <v>3.699</v>
      </c>
      <c r="G329" s="4" t="str">
        <f>HYPERLINK("http://141.218.60.56/~jnz1568/getInfo.php?workbook=01_01.xlsx&amp;sheet=U0&amp;row=329&amp;col=7&amp;number=59.2&amp;sourceID=16","59.2")</f>
        <v>59.2</v>
      </c>
      <c r="H329" s="4" t="str">
        <f>HYPERLINK("http://141.218.60.56/~jnz1568/getInfo.php?workbook=01_01.xlsx&amp;sheet=U0&amp;row=329&amp;col=8&amp;number=4.064&amp;sourceID=17","4.064")</f>
        <v>4.064</v>
      </c>
      <c r="I329" s="4" t="str">
        <f>HYPERLINK("http://141.218.60.56/~jnz1568/getInfo.php?workbook=01_01.xlsx&amp;sheet=U0&amp;row=329&amp;col=9&amp;number=112&amp;sourceID=17","112")</f>
        <v>112</v>
      </c>
    </row>
    <row r="330" spans="1:9">
      <c r="A330" s="3"/>
      <c r="B330" s="3"/>
      <c r="C330" s="3"/>
      <c r="D330" s="3"/>
      <c r="E330" s="3">
        <v>3</v>
      </c>
      <c r="F330" s="4" t="str">
        <f>HYPERLINK("http://141.218.60.56/~jnz1568/getInfo.php?workbook=01_01.xlsx&amp;sheet=U0&amp;row=330&amp;col=6&amp;number=3.875&amp;sourceID=16","3.875")</f>
        <v>3.875</v>
      </c>
      <c r="G330" s="4" t="str">
        <f>HYPERLINK("http://141.218.60.56/~jnz1568/getInfo.php?workbook=01_01.xlsx&amp;sheet=U0&amp;row=330&amp;col=7&amp;number=79.25&amp;sourceID=16","79.25")</f>
        <v>79.25</v>
      </c>
      <c r="H330" s="4" t="str">
        <f>HYPERLINK("http://141.218.60.56/~jnz1568/getInfo.php?workbook=01_01.xlsx&amp;sheet=U0&amp;row=330&amp;col=8&amp;number=4.542&amp;sourceID=17","4.542")</f>
        <v>4.542</v>
      </c>
      <c r="I330" s="4" t="str">
        <f>HYPERLINK("http://141.218.60.56/~jnz1568/getInfo.php?workbook=01_01.xlsx&amp;sheet=U0&amp;row=330&amp;col=9&amp;number=327&amp;sourceID=17","327")</f>
        <v>327</v>
      </c>
    </row>
    <row r="331" spans="1:9">
      <c r="A331" s="3"/>
      <c r="B331" s="3"/>
      <c r="C331" s="3"/>
      <c r="D331" s="3"/>
      <c r="E331" s="3">
        <v>4</v>
      </c>
      <c r="F331" s="4" t="str">
        <f>HYPERLINK("http://141.218.60.56/~jnz1568/getInfo.php?workbook=01_01.xlsx&amp;sheet=U0&amp;row=331&amp;col=6&amp;number=4&amp;sourceID=16","4")</f>
        <v>4</v>
      </c>
      <c r="G331" s="4" t="str">
        <f>HYPERLINK("http://141.218.60.56/~jnz1568/getInfo.php?workbook=01_01.xlsx&amp;sheet=U0&amp;row=331&amp;col=7&amp;number=103.5&amp;sourceID=16","103.5")</f>
        <v>103.5</v>
      </c>
      <c r="H331" s="4" t="str">
        <f>HYPERLINK("http://141.218.60.56/~jnz1568/getInfo.php?workbook=01_01.xlsx&amp;sheet=U0&amp;row=331&amp;col=8&amp;number=4.764&amp;sourceID=17","4.764")</f>
        <v>4.764</v>
      </c>
      <c r="I331" s="4" t="str">
        <f>HYPERLINK("http://141.218.60.56/~jnz1568/getInfo.php?workbook=01_01.xlsx&amp;sheet=U0&amp;row=331&amp;col=9&amp;number=518&amp;sourceID=17","518")</f>
        <v>518</v>
      </c>
    </row>
    <row r="332" spans="1:9">
      <c r="A332" s="3"/>
      <c r="B332" s="3"/>
      <c r="C332" s="3"/>
      <c r="D332" s="3"/>
      <c r="E332" s="3">
        <v>5</v>
      </c>
      <c r="F332" s="4" t="str">
        <f>HYPERLINK("http://141.218.60.56/~jnz1568/getInfo.php?workbook=01_01.xlsx&amp;sheet=U0&amp;row=332&amp;col=6&amp;number=4.176&amp;sourceID=16","4.176")</f>
        <v>4.176</v>
      </c>
      <c r="G332" s="4" t="str">
        <f>HYPERLINK("http://141.218.60.56/~jnz1568/getInfo.php?workbook=01_01.xlsx&amp;sheet=U0&amp;row=332&amp;col=7&amp;number=158.4&amp;sourceID=16","158.4")</f>
        <v>158.4</v>
      </c>
      <c r="H332" s="4" t="str">
        <f>HYPERLINK("http://141.218.60.56/~jnz1568/getInfo.php?workbook=01_01.xlsx&amp;sheet=U0&amp;row=332&amp;col=8&amp;number=5.064&amp;sourceID=17","5.064")</f>
        <v>5.064</v>
      </c>
      <c r="I332" s="4" t="str">
        <f>HYPERLINK("http://141.218.60.56/~jnz1568/getInfo.php?workbook=01_01.xlsx&amp;sheet=U0&amp;row=332&amp;col=9&amp;number=871&amp;sourceID=17","871")</f>
        <v>871</v>
      </c>
    </row>
    <row r="333" spans="1:9">
      <c r="A333" s="3"/>
      <c r="B333" s="3"/>
      <c r="C333" s="3"/>
      <c r="D333" s="3"/>
      <c r="E333" s="3">
        <v>6</v>
      </c>
      <c r="F333" s="4" t="str">
        <f>HYPERLINK("http://141.218.60.56/~jnz1568/getInfo.php?workbook=01_01.xlsx&amp;sheet=U0&amp;row=333&amp;col=6&amp;number=4.301&amp;sourceID=16","4.301")</f>
        <v>4.301</v>
      </c>
      <c r="G333" s="4" t="str">
        <f>HYPERLINK("http://141.218.60.56/~jnz1568/getInfo.php?workbook=01_01.xlsx&amp;sheet=U0&amp;row=333&amp;col=7&amp;number=216.8&amp;sourceID=16","216.8")</f>
        <v>216.8</v>
      </c>
      <c r="H333" s="4" t="str">
        <f>HYPERLINK("http://141.218.60.56/~jnz1568/getInfo.php?workbook=01_01.xlsx&amp;sheet=U0&amp;row=333&amp;col=8&amp;number=5.241&amp;sourceID=17","5.241")</f>
        <v>5.241</v>
      </c>
      <c r="I333" s="4" t="str">
        <f>HYPERLINK("http://141.218.60.56/~jnz1568/getInfo.php?workbook=01_01.xlsx&amp;sheet=U0&amp;row=333&amp;col=9&amp;number=1120&amp;sourceID=17","1120")</f>
        <v>1120</v>
      </c>
    </row>
    <row r="334" spans="1:9">
      <c r="A334" s="3"/>
      <c r="B334" s="3"/>
      <c r="C334" s="3"/>
      <c r="D334" s="3"/>
      <c r="E334" s="3">
        <v>7</v>
      </c>
      <c r="F334" s="4" t="str">
        <f>HYPERLINK("http://141.218.60.56/~jnz1568/getInfo.php?workbook=01_01.xlsx&amp;sheet=U0&amp;row=334&amp;col=6&amp;number=4.477&amp;sourceID=16","4.477")</f>
        <v>4.477</v>
      </c>
      <c r="G334" s="4" t="str">
        <f>HYPERLINK("http://141.218.60.56/~jnz1568/getInfo.php?workbook=01_01.xlsx&amp;sheet=U0&amp;row=334&amp;col=7&amp;number=335.6&amp;sourceID=16","335.6")</f>
        <v>335.6</v>
      </c>
      <c r="H334" s="4" t="str">
        <f>HYPERLINK("http://141.218.60.56/~jnz1568/getInfo.php?workbook=01_01.xlsx&amp;sheet=U0&amp;row=334&amp;col=8&amp;number=5.366&amp;sourceID=17","5.366")</f>
        <v>5.366</v>
      </c>
      <c r="I334" s="4" t="str">
        <f>HYPERLINK("http://141.218.60.56/~jnz1568/getInfo.php?workbook=01_01.xlsx&amp;sheet=U0&amp;row=334&amp;col=9&amp;number=1310&amp;sourceID=17","1310")</f>
        <v>1310</v>
      </c>
    </row>
    <row r="335" spans="1:9">
      <c r="A335" s="3"/>
      <c r="B335" s="3"/>
      <c r="C335" s="3"/>
      <c r="D335" s="3"/>
      <c r="E335" s="3">
        <v>8</v>
      </c>
      <c r="F335" s="4" t="str">
        <f>HYPERLINK("http://141.218.60.56/~jnz1568/getInfo.php?workbook=01_01.xlsx&amp;sheet=U0&amp;row=335&amp;col=6&amp;number=4.602&amp;sourceID=16","4.602")</f>
        <v>4.602</v>
      </c>
      <c r="G335" s="4" t="str">
        <f>HYPERLINK("http://141.218.60.56/~jnz1568/getInfo.php?workbook=01_01.xlsx&amp;sheet=U0&amp;row=335&amp;col=7&amp;number=448.5&amp;sourceID=16","448.5")</f>
        <v>448.5</v>
      </c>
      <c r="H335" s="4" t="str">
        <f>HYPERLINK("http://141.218.60.56/~jnz1568/getInfo.php?workbook=01_01.xlsx&amp;sheet=U0&amp;row=335&amp;col=8&amp;number=5.463&amp;sourceID=17","5.463")</f>
        <v>5.463</v>
      </c>
      <c r="I335" s="4" t="str">
        <f>HYPERLINK("http://141.218.60.56/~jnz1568/getInfo.php?workbook=01_01.xlsx&amp;sheet=U0&amp;row=335&amp;col=9&amp;number=1460&amp;sourceID=17","1460")</f>
        <v>1460</v>
      </c>
    </row>
    <row r="336" spans="1:9">
      <c r="A336" s="3"/>
      <c r="B336" s="3"/>
      <c r="C336" s="3"/>
      <c r="D336" s="3"/>
      <c r="E336" s="3">
        <v>9</v>
      </c>
      <c r="F336" s="4" t="str">
        <f>HYPERLINK("http://141.218.60.56/~jnz1568/getInfo.php?workbook=01_01.xlsx&amp;sheet=U0&amp;row=336&amp;col=6&amp;number=4.699&amp;sourceID=16","4.699")</f>
        <v>4.699</v>
      </c>
      <c r="G336" s="4" t="str">
        <f>HYPERLINK("http://141.218.60.56/~jnz1568/getInfo.php?workbook=01_01.xlsx&amp;sheet=U0&amp;row=336&amp;col=7&amp;number=550.3&amp;sourceID=16","550.3")</f>
        <v>550.3</v>
      </c>
      <c r="H336" s="4" t="str">
        <f>HYPERLINK("http://141.218.60.56/~jnz1568/getInfo.php?workbook=01_01.xlsx&amp;sheet=U0&amp;row=336&amp;col=8&amp;number=&amp;sourceID=17","")</f>
        <v/>
      </c>
      <c r="I336" s="4" t="str">
        <f>HYPERLINK("http://141.218.60.56/~jnz1568/getInfo.php?workbook=01_01.xlsx&amp;sheet=U0&amp;row=336&amp;col=9&amp;number=&amp;sourceID=17","")</f>
        <v/>
      </c>
    </row>
    <row r="337" spans="1:9">
      <c r="A337" s="3">
        <v>1</v>
      </c>
      <c r="B337" s="3">
        <v>1</v>
      </c>
      <c r="C337" s="3">
        <v>10</v>
      </c>
      <c r="D337" s="3">
        <v>7</v>
      </c>
      <c r="E337" s="3">
        <v>1</v>
      </c>
      <c r="F337" s="4" t="str">
        <f>HYPERLINK("http://141.218.60.56/~jnz1568/getInfo.php?workbook=01_01.xlsx&amp;sheet=U0&amp;row=337&amp;col=6&amp;number==LOG10(2500)&amp;sourceID=16","=LOG10(2500)")</f>
        <v>=LOG10(2500)</v>
      </c>
      <c r="G337" s="4" t="str">
        <f>HYPERLINK("http://141.218.60.56/~jnz1568/getInfo.php?workbook=01_01.xlsx&amp;sheet=U0&amp;row=337&amp;col=7&amp;number=136.8&amp;sourceID=16","136.8")</f>
        <v>136.8</v>
      </c>
      <c r="H337" s="4" t="str">
        <f>HYPERLINK("http://141.218.60.56/~jnz1568/getInfo.php?workbook=01_01.xlsx&amp;sheet=U0&amp;row=337&amp;col=8&amp;number=&amp;sourceID=17","")</f>
        <v/>
      </c>
      <c r="I337" s="4" t="str">
        <f>HYPERLINK("http://141.218.60.56/~jnz1568/getInfo.php?workbook=01_01.xlsx&amp;sheet=U0&amp;row=337&amp;col=9&amp;number=&amp;sourceID=17","")</f>
        <v/>
      </c>
    </row>
    <row r="338" spans="1:9">
      <c r="A338" s="3"/>
      <c r="B338" s="3"/>
      <c r="C338" s="3"/>
      <c r="D338" s="3"/>
      <c r="E338" s="3">
        <v>2</v>
      </c>
      <c r="F338" s="4" t="str">
        <f>HYPERLINK("http://141.218.60.56/~jnz1568/getInfo.php?workbook=01_01.xlsx&amp;sheet=U0&amp;row=338&amp;col=6&amp;number=3.699&amp;sourceID=16","3.699")</f>
        <v>3.699</v>
      </c>
      <c r="G338" s="4" t="str">
        <f>HYPERLINK("http://141.218.60.56/~jnz1568/getInfo.php?workbook=01_01.xlsx&amp;sheet=U0&amp;row=338&amp;col=7&amp;number=126.1&amp;sourceID=16","126.1")</f>
        <v>126.1</v>
      </c>
      <c r="H338" s="4" t="str">
        <f>HYPERLINK("http://141.218.60.56/~jnz1568/getInfo.php?workbook=01_01.xlsx&amp;sheet=U0&amp;row=338&amp;col=8&amp;number=&amp;sourceID=17","")</f>
        <v/>
      </c>
      <c r="I338" s="4" t="str">
        <f>HYPERLINK("http://141.218.60.56/~jnz1568/getInfo.php?workbook=01_01.xlsx&amp;sheet=U0&amp;row=338&amp;col=9&amp;number=&amp;sourceID=17","")</f>
        <v/>
      </c>
    </row>
    <row r="339" spans="1:9">
      <c r="A339" s="3"/>
      <c r="B339" s="3"/>
      <c r="C339" s="3"/>
      <c r="D339" s="3"/>
      <c r="E339" s="3">
        <v>3</v>
      </c>
      <c r="F339" s="4" t="str">
        <f>HYPERLINK("http://141.218.60.56/~jnz1568/getInfo.php?workbook=01_01.xlsx&amp;sheet=U0&amp;row=339&amp;col=6&amp;number=3.875&amp;sourceID=16","3.875")</f>
        <v>3.875</v>
      </c>
      <c r="G339" s="4" t="str">
        <f>HYPERLINK("http://141.218.60.56/~jnz1568/getInfo.php?workbook=01_01.xlsx&amp;sheet=U0&amp;row=339&amp;col=7&amp;number=117&amp;sourceID=16","117")</f>
        <v>117</v>
      </c>
      <c r="H339" s="4" t="str">
        <f>HYPERLINK("http://141.218.60.56/~jnz1568/getInfo.php?workbook=01_01.xlsx&amp;sheet=U0&amp;row=339&amp;col=8&amp;number=&amp;sourceID=17","")</f>
        <v/>
      </c>
      <c r="I339" s="4" t="str">
        <f>HYPERLINK("http://141.218.60.56/~jnz1568/getInfo.php?workbook=01_01.xlsx&amp;sheet=U0&amp;row=339&amp;col=9&amp;number=&amp;sourceID=17","")</f>
        <v/>
      </c>
    </row>
    <row r="340" spans="1:9">
      <c r="A340" s="3"/>
      <c r="B340" s="3"/>
      <c r="C340" s="3"/>
      <c r="D340" s="3"/>
      <c r="E340" s="3">
        <v>4</v>
      </c>
      <c r="F340" s="4" t="str">
        <f>HYPERLINK("http://141.218.60.56/~jnz1568/getInfo.php?workbook=01_01.xlsx&amp;sheet=U0&amp;row=340&amp;col=6&amp;number=4&amp;sourceID=16","4")</f>
        <v>4</v>
      </c>
      <c r="G340" s="4" t="str">
        <f>HYPERLINK("http://141.218.60.56/~jnz1568/getInfo.php?workbook=01_01.xlsx&amp;sheet=U0&amp;row=340&amp;col=7&amp;number=110.3&amp;sourceID=16","110.3")</f>
        <v>110.3</v>
      </c>
      <c r="H340" s="4" t="str">
        <f>HYPERLINK("http://141.218.60.56/~jnz1568/getInfo.php?workbook=01_01.xlsx&amp;sheet=U0&amp;row=340&amp;col=8&amp;number=&amp;sourceID=17","")</f>
        <v/>
      </c>
      <c r="I340" s="4" t="str">
        <f>HYPERLINK("http://141.218.60.56/~jnz1568/getInfo.php?workbook=01_01.xlsx&amp;sheet=U0&amp;row=340&amp;col=9&amp;number=&amp;sourceID=17","")</f>
        <v/>
      </c>
    </row>
    <row r="341" spans="1:9">
      <c r="A341" s="3"/>
      <c r="B341" s="3"/>
      <c r="C341" s="3"/>
      <c r="D341" s="3"/>
      <c r="E341" s="3">
        <v>5</v>
      </c>
      <c r="F341" s="4" t="str">
        <f>HYPERLINK("http://141.218.60.56/~jnz1568/getInfo.php?workbook=01_01.xlsx&amp;sheet=U0&amp;row=341&amp;col=6&amp;number=4.176&amp;sourceID=16","4.176")</f>
        <v>4.176</v>
      </c>
      <c r="G341" s="4" t="str">
        <f>HYPERLINK("http://141.218.60.56/~jnz1568/getInfo.php?workbook=01_01.xlsx&amp;sheet=U0&amp;row=341&amp;col=7&amp;number=101.6&amp;sourceID=16","101.6")</f>
        <v>101.6</v>
      </c>
      <c r="H341" s="4" t="str">
        <f>HYPERLINK("http://141.218.60.56/~jnz1568/getInfo.php?workbook=01_01.xlsx&amp;sheet=U0&amp;row=341&amp;col=8&amp;number=&amp;sourceID=17","")</f>
        <v/>
      </c>
      <c r="I341" s="4" t="str">
        <f>HYPERLINK("http://141.218.60.56/~jnz1568/getInfo.php?workbook=01_01.xlsx&amp;sheet=U0&amp;row=341&amp;col=9&amp;number=&amp;sourceID=17","")</f>
        <v/>
      </c>
    </row>
    <row r="342" spans="1:9">
      <c r="A342" s="3"/>
      <c r="B342" s="3"/>
      <c r="C342" s="3"/>
      <c r="D342" s="3"/>
      <c r="E342" s="3">
        <v>6</v>
      </c>
      <c r="F342" s="4" t="str">
        <f>HYPERLINK("http://141.218.60.56/~jnz1568/getInfo.php?workbook=01_01.xlsx&amp;sheet=U0&amp;row=342&amp;col=6&amp;number=4.301&amp;sourceID=16","4.301")</f>
        <v>4.301</v>
      </c>
      <c r="G342" s="4" t="str">
        <f>HYPERLINK("http://141.218.60.56/~jnz1568/getInfo.php?workbook=01_01.xlsx&amp;sheet=U0&amp;row=342&amp;col=7&amp;number=96.46&amp;sourceID=16","96.46")</f>
        <v>96.46</v>
      </c>
      <c r="H342" s="4" t="str">
        <f>HYPERLINK("http://141.218.60.56/~jnz1568/getInfo.php?workbook=01_01.xlsx&amp;sheet=U0&amp;row=342&amp;col=8&amp;number=&amp;sourceID=17","")</f>
        <v/>
      </c>
      <c r="I342" s="4" t="str">
        <f>HYPERLINK("http://141.218.60.56/~jnz1568/getInfo.php?workbook=01_01.xlsx&amp;sheet=U0&amp;row=342&amp;col=9&amp;number=&amp;sourceID=17","")</f>
        <v/>
      </c>
    </row>
    <row r="343" spans="1:9">
      <c r="A343" s="3"/>
      <c r="B343" s="3"/>
      <c r="C343" s="3"/>
      <c r="D343" s="3"/>
      <c r="E343" s="3">
        <v>7</v>
      </c>
      <c r="F343" s="4" t="str">
        <f>HYPERLINK("http://141.218.60.56/~jnz1568/getInfo.php?workbook=01_01.xlsx&amp;sheet=U0&amp;row=343&amp;col=6&amp;number=4.477&amp;sourceID=16","4.477")</f>
        <v>4.477</v>
      </c>
      <c r="G343" s="4" t="str">
        <f>HYPERLINK("http://141.218.60.56/~jnz1568/getInfo.php?workbook=01_01.xlsx&amp;sheet=U0&amp;row=343&amp;col=7&amp;number=90.88&amp;sourceID=16","90.88")</f>
        <v>90.88</v>
      </c>
      <c r="H343" s="4" t="str">
        <f>HYPERLINK("http://141.218.60.56/~jnz1568/getInfo.php?workbook=01_01.xlsx&amp;sheet=U0&amp;row=343&amp;col=8&amp;number=&amp;sourceID=17","")</f>
        <v/>
      </c>
      <c r="I343" s="4" t="str">
        <f>HYPERLINK("http://141.218.60.56/~jnz1568/getInfo.php?workbook=01_01.xlsx&amp;sheet=U0&amp;row=343&amp;col=9&amp;number=&amp;sourceID=17","")</f>
        <v/>
      </c>
    </row>
    <row r="344" spans="1:9">
      <c r="A344" s="3"/>
      <c r="B344" s="3"/>
      <c r="C344" s="3"/>
      <c r="D344" s="3"/>
      <c r="E344" s="3">
        <v>8</v>
      </c>
      <c r="F344" s="4" t="str">
        <f>HYPERLINK("http://141.218.60.56/~jnz1568/getInfo.php?workbook=01_01.xlsx&amp;sheet=U0&amp;row=344&amp;col=6&amp;number=4.602&amp;sourceID=16","4.602")</f>
        <v>4.602</v>
      </c>
      <c r="G344" s="4" t="str">
        <f>HYPERLINK("http://141.218.60.56/~jnz1568/getInfo.php?workbook=01_01.xlsx&amp;sheet=U0&amp;row=344&amp;col=7&amp;number=88.03&amp;sourceID=16","88.03")</f>
        <v>88.03</v>
      </c>
      <c r="H344" s="4" t="str">
        <f>HYPERLINK("http://141.218.60.56/~jnz1568/getInfo.php?workbook=01_01.xlsx&amp;sheet=U0&amp;row=344&amp;col=8&amp;number=&amp;sourceID=17","")</f>
        <v/>
      </c>
      <c r="I344" s="4" t="str">
        <f>HYPERLINK("http://141.218.60.56/~jnz1568/getInfo.php?workbook=01_01.xlsx&amp;sheet=U0&amp;row=344&amp;col=9&amp;number=&amp;sourceID=17","")</f>
        <v/>
      </c>
    </row>
    <row r="345" spans="1:9">
      <c r="A345" s="3"/>
      <c r="B345" s="3"/>
      <c r="C345" s="3"/>
      <c r="D345" s="3"/>
      <c r="E345" s="3">
        <v>9</v>
      </c>
      <c r="F345" s="4" t="str">
        <f>HYPERLINK("http://141.218.60.56/~jnz1568/getInfo.php?workbook=01_01.xlsx&amp;sheet=U0&amp;row=345&amp;col=6&amp;number=4.699&amp;sourceID=16","4.699")</f>
        <v>4.699</v>
      </c>
      <c r="G345" s="4" t="str">
        <f>HYPERLINK("http://141.218.60.56/~jnz1568/getInfo.php?workbook=01_01.xlsx&amp;sheet=U0&amp;row=345&amp;col=7&amp;number=86.33&amp;sourceID=16","86.33")</f>
        <v>86.33</v>
      </c>
      <c r="H345" s="4" t="str">
        <f>HYPERLINK("http://141.218.60.56/~jnz1568/getInfo.php?workbook=01_01.xlsx&amp;sheet=U0&amp;row=345&amp;col=8&amp;number=&amp;sourceID=17","")</f>
        <v/>
      </c>
      <c r="I345" s="4" t="str">
        <f>HYPERLINK("http://141.218.60.56/~jnz1568/getInfo.php?workbook=01_01.xlsx&amp;sheet=U0&amp;row=345&amp;col=9&amp;number=&amp;sourceID=17","")</f>
        <v/>
      </c>
    </row>
    <row r="346" spans="1:9">
      <c r="A346" s="3">
        <v>1</v>
      </c>
      <c r="B346" s="3">
        <v>1</v>
      </c>
      <c r="C346" s="3">
        <v>10</v>
      </c>
      <c r="D346" s="3">
        <v>8</v>
      </c>
      <c r="E346" s="3">
        <v>1</v>
      </c>
      <c r="F346" s="4" t="str">
        <f>HYPERLINK("http://141.218.60.56/~jnz1568/getInfo.php?workbook=01_01.xlsx&amp;sheet=U0&amp;row=346&amp;col=6&amp;number==LOG10(2500)&amp;sourceID=16","=LOG10(2500)")</f>
        <v>=LOG10(2500)</v>
      </c>
      <c r="G346" s="4" t="str">
        <f>HYPERLINK("http://141.218.60.56/~jnz1568/getInfo.php?workbook=01_01.xlsx&amp;sheet=U0&amp;row=346&amp;col=7&amp;number=839.4&amp;sourceID=16","839.4")</f>
        <v>839.4</v>
      </c>
      <c r="H346" s="4" t="str">
        <f>HYPERLINK("http://141.218.60.56/~jnz1568/getInfo.php?workbook=01_01.xlsx&amp;sheet=U0&amp;row=346&amp;col=8&amp;number=&amp;sourceID=17","")</f>
        <v/>
      </c>
      <c r="I346" s="4" t="str">
        <f>HYPERLINK("http://141.218.60.56/~jnz1568/getInfo.php?workbook=01_01.xlsx&amp;sheet=U0&amp;row=346&amp;col=9&amp;number=&amp;sourceID=17","")</f>
        <v/>
      </c>
    </row>
    <row r="347" spans="1:9">
      <c r="A347" s="3"/>
      <c r="B347" s="3"/>
      <c r="C347" s="3"/>
      <c r="D347" s="3"/>
      <c r="E347" s="3">
        <v>2</v>
      </c>
      <c r="F347" s="4" t="str">
        <f>HYPERLINK("http://141.218.60.56/~jnz1568/getInfo.php?workbook=01_01.xlsx&amp;sheet=U0&amp;row=347&amp;col=6&amp;number=3.699&amp;sourceID=16","3.699")</f>
        <v>3.699</v>
      </c>
      <c r="G347" s="4" t="str">
        <f>HYPERLINK("http://141.218.60.56/~jnz1568/getInfo.php?workbook=01_01.xlsx&amp;sheet=U0&amp;row=347&amp;col=7&amp;number=812.1&amp;sourceID=16","812.1")</f>
        <v>812.1</v>
      </c>
      <c r="H347" s="4" t="str">
        <f>HYPERLINK("http://141.218.60.56/~jnz1568/getInfo.php?workbook=01_01.xlsx&amp;sheet=U0&amp;row=347&amp;col=8&amp;number=&amp;sourceID=17","")</f>
        <v/>
      </c>
      <c r="I347" s="4" t="str">
        <f>HYPERLINK("http://141.218.60.56/~jnz1568/getInfo.php?workbook=01_01.xlsx&amp;sheet=U0&amp;row=347&amp;col=9&amp;number=&amp;sourceID=17","")</f>
        <v/>
      </c>
    </row>
    <row r="348" spans="1:9">
      <c r="A348" s="3"/>
      <c r="B348" s="3"/>
      <c r="C348" s="3"/>
      <c r="D348" s="3"/>
      <c r="E348" s="3">
        <v>3</v>
      </c>
      <c r="F348" s="4" t="str">
        <f>HYPERLINK("http://141.218.60.56/~jnz1568/getInfo.php?workbook=01_01.xlsx&amp;sheet=U0&amp;row=348&amp;col=6&amp;number=3.875&amp;sourceID=16","3.875")</f>
        <v>3.875</v>
      </c>
      <c r="G348" s="4" t="str">
        <f>HYPERLINK("http://141.218.60.56/~jnz1568/getInfo.php?workbook=01_01.xlsx&amp;sheet=U0&amp;row=348&amp;col=7&amp;number=771.1&amp;sourceID=16","771.1")</f>
        <v>771.1</v>
      </c>
      <c r="H348" s="4" t="str">
        <f>HYPERLINK("http://141.218.60.56/~jnz1568/getInfo.php?workbook=01_01.xlsx&amp;sheet=U0&amp;row=348&amp;col=8&amp;number=&amp;sourceID=17","")</f>
        <v/>
      </c>
      <c r="I348" s="4" t="str">
        <f>HYPERLINK("http://141.218.60.56/~jnz1568/getInfo.php?workbook=01_01.xlsx&amp;sheet=U0&amp;row=348&amp;col=9&amp;number=&amp;sourceID=17","")</f>
        <v/>
      </c>
    </row>
    <row r="349" spans="1:9">
      <c r="A349" s="3"/>
      <c r="B349" s="3"/>
      <c r="C349" s="3"/>
      <c r="D349" s="3"/>
      <c r="E349" s="3">
        <v>4</v>
      </c>
      <c r="F349" s="4" t="str">
        <f>HYPERLINK("http://141.218.60.56/~jnz1568/getInfo.php?workbook=01_01.xlsx&amp;sheet=U0&amp;row=349&amp;col=6&amp;number=4&amp;sourceID=16","4")</f>
        <v>4</v>
      </c>
      <c r="G349" s="4" t="str">
        <f>HYPERLINK("http://141.218.60.56/~jnz1568/getInfo.php?workbook=01_01.xlsx&amp;sheet=U0&amp;row=349&amp;col=7&amp;number=736&amp;sourceID=16","736")</f>
        <v>736</v>
      </c>
      <c r="H349" s="4" t="str">
        <f>HYPERLINK("http://141.218.60.56/~jnz1568/getInfo.php?workbook=01_01.xlsx&amp;sheet=U0&amp;row=349&amp;col=8&amp;number=&amp;sourceID=17","")</f>
        <v/>
      </c>
      <c r="I349" s="4" t="str">
        <f>HYPERLINK("http://141.218.60.56/~jnz1568/getInfo.php?workbook=01_01.xlsx&amp;sheet=U0&amp;row=349&amp;col=9&amp;number=&amp;sourceID=17","")</f>
        <v/>
      </c>
    </row>
    <row r="350" spans="1:9">
      <c r="A350" s="3"/>
      <c r="B350" s="3"/>
      <c r="C350" s="3"/>
      <c r="D350" s="3"/>
      <c r="E350" s="3">
        <v>5</v>
      </c>
      <c r="F350" s="4" t="str">
        <f>HYPERLINK("http://141.218.60.56/~jnz1568/getInfo.php?workbook=01_01.xlsx&amp;sheet=U0&amp;row=350&amp;col=6&amp;number=4.176&amp;sourceID=16","4.176")</f>
        <v>4.176</v>
      </c>
      <c r="G350" s="4" t="str">
        <f>HYPERLINK("http://141.218.60.56/~jnz1568/getInfo.php?workbook=01_01.xlsx&amp;sheet=U0&amp;row=350&amp;col=7&amp;number=685.1&amp;sourceID=16","685.1")</f>
        <v>685.1</v>
      </c>
      <c r="H350" s="4" t="str">
        <f>HYPERLINK("http://141.218.60.56/~jnz1568/getInfo.php?workbook=01_01.xlsx&amp;sheet=U0&amp;row=350&amp;col=8&amp;number=&amp;sourceID=17","")</f>
        <v/>
      </c>
      <c r="I350" s="4" t="str">
        <f>HYPERLINK("http://141.218.60.56/~jnz1568/getInfo.php?workbook=01_01.xlsx&amp;sheet=U0&amp;row=350&amp;col=9&amp;number=&amp;sourceID=17","")</f>
        <v/>
      </c>
    </row>
    <row r="351" spans="1:9">
      <c r="A351" s="3"/>
      <c r="B351" s="3"/>
      <c r="C351" s="3"/>
      <c r="D351" s="3"/>
      <c r="E351" s="3">
        <v>6</v>
      </c>
      <c r="F351" s="4" t="str">
        <f>HYPERLINK("http://141.218.60.56/~jnz1568/getInfo.php?workbook=01_01.xlsx&amp;sheet=U0&amp;row=351&amp;col=6&amp;number=4.301&amp;sourceID=16","4.301")</f>
        <v>4.301</v>
      </c>
      <c r="G351" s="4" t="str">
        <f>HYPERLINK("http://141.218.60.56/~jnz1568/getInfo.php?workbook=01_01.xlsx&amp;sheet=U0&amp;row=351&amp;col=7&amp;number=651.6&amp;sourceID=16","651.6")</f>
        <v>651.6</v>
      </c>
      <c r="H351" s="4" t="str">
        <f>HYPERLINK("http://141.218.60.56/~jnz1568/getInfo.php?workbook=01_01.xlsx&amp;sheet=U0&amp;row=351&amp;col=8&amp;number=&amp;sourceID=17","")</f>
        <v/>
      </c>
      <c r="I351" s="4" t="str">
        <f>HYPERLINK("http://141.218.60.56/~jnz1568/getInfo.php?workbook=01_01.xlsx&amp;sheet=U0&amp;row=351&amp;col=9&amp;number=&amp;sourceID=17","")</f>
        <v/>
      </c>
    </row>
    <row r="352" spans="1:9">
      <c r="A352" s="3"/>
      <c r="B352" s="3"/>
      <c r="C352" s="3"/>
      <c r="D352" s="3"/>
      <c r="E352" s="3">
        <v>7</v>
      </c>
      <c r="F352" s="4" t="str">
        <f>HYPERLINK("http://141.218.60.56/~jnz1568/getInfo.php?workbook=01_01.xlsx&amp;sheet=U0&amp;row=352&amp;col=6&amp;number=4.477&amp;sourceID=16","4.477")</f>
        <v>4.477</v>
      </c>
      <c r="G352" s="4" t="str">
        <f>HYPERLINK("http://141.218.60.56/~jnz1568/getInfo.php?workbook=01_01.xlsx&amp;sheet=U0&amp;row=352&amp;col=7&amp;number=612&amp;sourceID=16","612")</f>
        <v>612</v>
      </c>
      <c r="H352" s="4" t="str">
        <f>HYPERLINK("http://141.218.60.56/~jnz1568/getInfo.php?workbook=01_01.xlsx&amp;sheet=U0&amp;row=352&amp;col=8&amp;number=&amp;sourceID=17","")</f>
        <v/>
      </c>
      <c r="I352" s="4" t="str">
        <f>HYPERLINK("http://141.218.60.56/~jnz1568/getInfo.php?workbook=01_01.xlsx&amp;sheet=U0&amp;row=352&amp;col=9&amp;number=&amp;sourceID=17","")</f>
        <v/>
      </c>
    </row>
    <row r="353" spans="1:9">
      <c r="A353" s="3"/>
      <c r="B353" s="3"/>
      <c r="C353" s="3"/>
      <c r="D353" s="3"/>
      <c r="E353" s="3">
        <v>8</v>
      </c>
      <c r="F353" s="4" t="str">
        <f>HYPERLINK("http://141.218.60.56/~jnz1568/getInfo.php?workbook=01_01.xlsx&amp;sheet=U0&amp;row=353&amp;col=6&amp;number=4.602&amp;sourceID=16","4.602")</f>
        <v>4.602</v>
      </c>
      <c r="G353" s="4" t="str">
        <f>HYPERLINK("http://141.218.60.56/~jnz1568/getInfo.php?workbook=01_01.xlsx&amp;sheet=U0&amp;row=353&amp;col=7&amp;number=590.1&amp;sourceID=16","590.1")</f>
        <v>590.1</v>
      </c>
      <c r="H353" s="4" t="str">
        <f>HYPERLINK("http://141.218.60.56/~jnz1568/getInfo.php?workbook=01_01.xlsx&amp;sheet=U0&amp;row=353&amp;col=8&amp;number=&amp;sourceID=17","")</f>
        <v/>
      </c>
      <c r="I353" s="4" t="str">
        <f>HYPERLINK("http://141.218.60.56/~jnz1568/getInfo.php?workbook=01_01.xlsx&amp;sheet=U0&amp;row=353&amp;col=9&amp;number=&amp;sourceID=17","")</f>
        <v/>
      </c>
    </row>
    <row r="354" spans="1:9">
      <c r="A354" s="3"/>
      <c r="B354" s="3"/>
      <c r="C354" s="3"/>
      <c r="D354" s="3"/>
      <c r="E354" s="3">
        <v>9</v>
      </c>
      <c r="F354" s="4" t="str">
        <f>HYPERLINK("http://141.218.60.56/~jnz1568/getInfo.php?workbook=01_01.xlsx&amp;sheet=U0&amp;row=354&amp;col=6&amp;number=4.699&amp;sourceID=16","4.699")</f>
        <v>4.699</v>
      </c>
      <c r="G354" s="4" t="str">
        <f>HYPERLINK("http://141.218.60.56/~jnz1568/getInfo.php?workbook=01_01.xlsx&amp;sheet=U0&amp;row=354&amp;col=7&amp;number=576.4&amp;sourceID=16","576.4")</f>
        <v>576.4</v>
      </c>
      <c r="H354" s="4" t="str">
        <f>HYPERLINK("http://141.218.60.56/~jnz1568/getInfo.php?workbook=01_01.xlsx&amp;sheet=U0&amp;row=354&amp;col=8&amp;number=&amp;sourceID=17","")</f>
        <v/>
      </c>
      <c r="I354" s="4" t="str">
        <f>HYPERLINK("http://141.218.60.56/~jnz1568/getInfo.php?workbook=01_01.xlsx&amp;sheet=U0&amp;row=354&amp;col=9&amp;number=&amp;sourceID=17","")</f>
        <v/>
      </c>
    </row>
    <row r="355" spans="1:9">
      <c r="A355" s="3">
        <v>1</v>
      </c>
      <c r="B355" s="3">
        <v>1</v>
      </c>
      <c r="C355" s="3">
        <v>11</v>
      </c>
      <c r="D355" s="3">
        <v>1</v>
      </c>
      <c r="E355" s="3">
        <v>1</v>
      </c>
      <c r="F355" s="4" t="str">
        <f>HYPERLINK("http://141.218.60.56/~jnz1568/getInfo.php?workbook=01_01.xlsx&amp;sheet=U0&amp;row=355&amp;col=6&amp;number==LOG10(2500)&amp;sourceID=16","=LOG10(2500)")</f>
        <v>=LOG10(2500)</v>
      </c>
      <c r="G355" s="4" t="str">
        <f>HYPERLINK("http://141.218.60.56/~jnz1568/getInfo.php?workbook=01_01.xlsx&amp;sheet=U0&amp;row=355&amp;col=7&amp;number=0.01885&amp;sourceID=16","0.01885")</f>
        <v>0.01885</v>
      </c>
      <c r="H355" s="4" t="str">
        <f>HYPERLINK("http://141.218.60.56/~jnz1568/getInfo.php?workbook=01_01.xlsx&amp;sheet=U0&amp;row=355&amp;col=8&amp;number=3.764&amp;sourceID=17","3.764")</f>
        <v>3.764</v>
      </c>
      <c r="I355" s="4" t="str">
        <f>HYPERLINK("http://141.218.60.56/~jnz1568/getInfo.php?workbook=01_01.xlsx&amp;sheet=U0&amp;row=355&amp;col=9&amp;number=0.0145&amp;sourceID=17","0.0145")</f>
        <v>0.0145</v>
      </c>
    </row>
    <row r="356" spans="1:9">
      <c r="A356" s="3"/>
      <c r="B356" s="3"/>
      <c r="C356" s="3"/>
      <c r="D356" s="3"/>
      <c r="E356" s="3">
        <v>2</v>
      </c>
      <c r="F356" s="4" t="str">
        <f>HYPERLINK("http://141.218.60.56/~jnz1568/getInfo.php?workbook=01_01.xlsx&amp;sheet=U0&amp;row=356&amp;col=6&amp;number=3.699&amp;sourceID=16","3.699")</f>
        <v>3.699</v>
      </c>
      <c r="G356" s="4" t="str">
        <f>HYPERLINK("http://141.218.60.56/~jnz1568/getInfo.php?workbook=01_01.xlsx&amp;sheet=U0&amp;row=356&amp;col=7&amp;number=0.02717&amp;sourceID=16","0.02717")</f>
        <v>0.02717</v>
      </c>
      <c r="H356" s="4" t="str">
        <f>HYPERLINK("http://141.218.60.56/~jnz1568/getInfo.php?workbook=01_01.xlsx&amp;sheet=U0&amp;row=356&amp;col=8&amp;number=4.064&amp;sourceID=17","4.064")</f>
        <v>4.064</v>
      </c>
      <c r="I356" s="4" t="str">
        <f>HYPERLINK("http://141.218.60.56/~jnz1568/getInfo.php?workbook=01_01.xlsx&amp;sheet=U0&amp;row=356&amp;col=9&amp;number=0.0172&amp;sourceID=17","0.0172")</f>
        <v>0.0172</v>
      </c>
    </row>
    <row r="357" spans="1:9">
      <c r="A357" s="3"/>
      <c r="B357" s="3"/>
      <c r="C357" s="3"/>
      <c r="D357" s="3"/>
      <c r="E357" s="3">
        <v>3</v>
      </c>
      <c r="F357" s="4" t="str">
        <f>HYPERLINK("http://141.218.60.56/~jnz1568/getInfo.php?workbook=01_01.xlsx&amp;sheet=U0&amp;row=357&amp;col=6&amp;number=3.875&amp;sourceID=16","3.875")</f>
        <v>3.875</v>
      </c>
      <c r="G357" s="4" t="str">
        <f>HYPERLINK("http://141.218.60.56/~jnz1568/getInfo.php?workbook=01_01.xlsx&amp;sheet=U0&amp;row=357&amp;col=7&amp;number=0.03375&amp;sourceID=16","0.03375")</f>
        <v>0.03375</v>
      </c>
      <c r="H357" s="4" t="str">
        <f>HYPERLINK("http://141.218.60.56/~jnz1568/getInfo.php?workbook=01_01.xlsx&amp;sheet=U0&amp;row=357&amp;col=8&amp;number=4.542&amp;sourceID=17","4.542")</f>
        <v>4.542</v>
      </c>
      <c r="I357" s="4" t="str">
        <f>HYPERLINK("http://141.218.60.56/~jnz1568/getInfo.php?workbook=01_01.xlsx&amp;sheet=U0&amp;row=357&amp;col=9&amp;number=0.0192&amp;sourceID=17","0.0192")</f>
        <v>0.0192</v>
      </c>
    </row>
    <row r="358" spans="1:9">
      <c r="A358" s="3"/>
      <c r="B358" s="3"/>
      <c r="C358" s="3"/>
      <c r="D358" s="3"/>
      <c r="E358" s="3">
        <v>4</v>
      </c>
      <c r="F358" s="4" t="str">
        <f>HYPERLINK("http://141.218.60.56/~jnz1568/getInfo.php?workbook=01_01.xlsx&amp;sheet=U0&amp;row=358&amp;col=6&amp;number=4&amp;sourceID=16","4")</f>
        <v>4</v>
      </c>
      <c r="G358" s="4" t="str">
        <f>HYPERLINK("http://141.218.60.56/~jnz1568/getInfo.php?workbook=01_01.xlsx&amp;sheet=U0&amp;row=358&amp;col=7&amp;number=0.03938&amp;sourceID=16","0.03938")</f>
        <v>0.03938</v>
      </c>
      <c r="H358" s="4" t="str">
        <f>HYPERLINK("http://141.218.60.56/~jnz1568/getInfo.php?workbook=01_01.xlsx&amp;sheet=U0&amp;row=358&amp;col=8&amp;number=4.764&amp;sourceID=17","4.764")</f>
        <v>4.764</v>
      </c>
      <c r="I358" s="4" t="str">
        <f>HYPERLINK("http://141.218.60.56/~jnz1568/getInfo.php?workbook=01_01.xlsx&amp;sheet=U0&amp;row=358&amp;col=9&amp;number=0.0193&amp;sourceID=17","0.0193")</f>
        <v>0.0193</v>
      </c>
    </row>
    <row r="359" spans="1:9">
      <c r="A359" s="3"/>
      <c r="B359" s="3"/>
      <c r="C359" s="3"/>
      <c r="D359" s="3"/>
      <c r="E359" s="3">
        <v>5</v>
      </c>
      <c r="F359" s="4" t="str">
        <f>HYPERLINK("http://141.218.60.56/~jnz1568/getInfo.php?workbook=01_01.xlsx&amp;sheet=U0&amp;row=359&amp;col=6&amp;number=4.176&amp;sourceID=16","4.176")</f>
        <v>4.176</v>
      </c>
      <c r="G359" s="4" t="str">
        <f>HYPERLINK("http://141.218.60.56/~jnz1568/getInfo.php?workbook=01_01.xlsx&amp;sheet=U0&amp;row=359&amp;col=7&amp;number=0.0478&amp;sourceID=16","0.0478")</f>
        <v>0.0478</v>
      </c>
      <c r="H359" s="4" t="str">
        <f>HYPERLINK("http://141.218.60.56/~jnz1568/getInfo.php?workbook=01_01.xlsx&amp;sheet=U0&amp;row=359&amp;col=8&amp;number=5.064&amp;sourceID=17","5.064")</f>
        <v>5.064</v>
      </c>
      <c r="I359" s="4" t="str">
        <f>HYPERLINK("http://141.218.60.56/~jnz1568/getInfo.php?workbook=01_01.xlsx&amp;sheet=U0&amp;row=359&amp;col=9&amp;number=0.0194&amp;sourceID=17","0.0194")</f>
        <v>0.0194</v>
      </c>
    </row>
    <row r="360" spans="1:9">
      <c r="A360" s="3"/>
      <c r="B360" s="3"/>
      <c r="C360" s="3"/>
      <c r="D360" s="3"/>
      <c r="E360" s="3">
        <v>6</v>
      </c>
      <c r="F360" s="4" t="str">
        <f>HYPERLINK("http://141.218.60.56/~jnz1568/getInfo.php?workbook=01_01.xlsx&amp;sheet=U0&amp;row=360&amp;col=6&amp;number=4.301&amp;sourceID=16","4.301")</f>
        <v>4.301</v>
      </c>
      <c r="G360" s="4" t="str">
        <f>HYPERLINK("http://141.218.60.56/~jnz1568/getInfo.php?workbook=01_01.xlsx&amp;sheet=U0&amp;row=360&amp;col=7&amp;number=0.05325&amp;sourceID=16","0.05325")</f>
        <v>0.05325</v>
      </c>
      <c r="H360" s="4" t="str">
        <f>HYPERLINK("http://141.218.60.56/~jnz1568/getInfo.php?workbook=01_01.xlsx&amp;sheet=U0&amp;row=360&amp;col=8&amp;number=5.241&amp;sourceID=17","5.241")</f>
        <v>5.241</v>
      </c>
      <c r="I360" s="4" t="str">
        <f>HYPERLINK("http://141.218.60.56/~jnz1568/getInfo.php?workbook=01_01.xlsx&amp;sheet=U0&amp;row=360&amp;col=9&amp;number=0.0197&amp;sourceID=17","0.0197")</f>
        <v>0.0197</v>
      </c>
    </row>
    <row r="361" spans="1:9">
      <c r="A361" s="3"/>
      <c r="B361" s="3"/>
      <c r="C361" s="3"/>
      <c r="D361" s="3"/>
      <c r="E361" s="3">
        <v>7</v>
      </c>
      <c r="F361" s="4" t="str">
        <f>HYPERLINK("http://141.218.60.56/~jnz1568/getInfo.php?workbook=01_01.xlsx&amp;sheet=U0&amp;row=361&amp;col=6&amp;number=4.477&amp;sourceID=16","4.477")</f>
        <v>4.477</v>
      </c>
      <c r="G361" s="4" t="str">
        <f>HYPERLINK("http://141.218.60.56/~jnz1568/getInfo.php?workbook=01_01.xlsx&amp;sheet=U0&amp;row=361&amp;col=7&amp;number=0.05912&amp;sourceID=16","0.05912")</f>
        <v>0.05912</v>
      </c>
      <c r="H361" s="4" t="str">
        <f>HYPERLINK("http://141.218.60.56/~jnz1568/getInfo.php?workbook=01_01.xlsx&amp;sheet=U0&amp;row=361&amp;col=8&amp;number=5.366&amp;sourceID=17","5.366")</f>
        <v>5.366</v>
      </c>
      <c r="I361" s="4" t="str">
        <f>HYPERLINK("http://141.218.60.56/~jnz1568/getInfo.php?workbook=01_01.xlsx&amp;sheet=U0&amp;row=361&amp;col=9&amp;number=0.0202&amp;sourceID=17","0.0202")</f>
        <v>0.0202</v>
      </c>
    </row>
    <row r="362" spans="1:9">
      <c r="A362" s="3"/>
      <c r="B362" s="3"/>
      <c r="C362" s="3"/>
      <c r="D362" s="3"/>
      <c r="E362" s="3">
        <v>8</v>
      </c>
      <c r="F362" s="4" t="str">
        <f>HYPERLINK("http://141.218.60.56/~jnz1568/getInfo.php?workbook=01_01.xlsx&amp;sheet=U0&amp;row=362&amp;col=6&amp;number=4.602&amp;sourceID=16","4.602")</f>
        <v>4.602</v>
      </c>
      <c r="G362" s="4" t="str">
        <f>HYPERLINK("http://141.218.60.56/~jnz1568/getInfo.php?workbook=01_01.xlsx&amp;sheet=U0&amp;row=362&amp;col=7&amp;number=0.0617&amp;sourceID=16","0.0617")</f>
        <v>0.0617</v>
      </c>
      <c r="H362" s="4" t="str">
        <f>HYPERLINK("http://141.218.60.56/~jnz1568/getInfo.php?workbook=01_01.xlsx&amp;sheet=U0&amp;row=362&amp;col=8&amp;number=5.463&amp;sourceID=17","5.463")</f>
        <v>5.463</v>
      </c>
      <c r="I362" s="4" t="str">
        <f>HYPERLINK("http://141.218.60.56/~jnz1568/getInfo.php?workbook=01_01.xlsx&amp;sheet=U0&amp;row=362&amp;col=9&amp;number=0.0207&amp;sourceID=17","0.0207")</f>
        <v>0.0207</v>
      </c>
    </row>
    <row r="363" spans="1:9">
      <c r="A363" s="3"/>
      <c r="B363" s="3"/>
      <c r="C363" s="3"/>
      <c r="D363" s="3"/>
      <c r="E363" s="3">
        <v>9</v>
      </c>
      <c r="F363" s="4" t="str">
        <f>HYPERLINK("http://141.218.60.56/~jnz1568/getInfo.php?workbook=01_01.xlsx&amp;sheet=U0&amp;row=363&amp;col=6&amp;number=4.699&amp;sourceID=16","4.699")</f>
        <v>4.699</v>
      </c>
      <c r="G363" s="4" t="str">
        <f>HYPERLINK("http://141.218.60.56/~jnz1568/getInfo.php?workbook=01_01.xlsx&amp;sheet=U0&amp;row=363&amp;col=7&amp;number=0.06234&amp;sourceID=16","0.06234")</f>
        <v>0.06234</v>
      </c>
      <c r="H363" s="4" t="str">
        <f>HYPERLINK("http://141.218.60.56/~jnz1568/getInfo.php?workbook=01_01.xlsx&amp;sheet=U0&amp;row=363&amp;col=8&amp;number=&amp;sourceID=17","")</f>
        <v/>
      </c>
      <c r="I363" s="4" t="str">
        <f>HYPERLINK("http://141.218.60.56/~jnz1568/getInfo.php?workbook=01_01.xlsx&amp;sheet=U0&amp;row=363&amp;col=9&amp;number=&amp;sourceID=17","")</f>
        <v/>
      </c>
    </row>
    <row r="364" spans="1:9">
      <c r="A364" s="3">
        <v>1</v>
      </c>
      <c r="B364" s="3">
        <v>1</v>
      </c>
      <c r="C364" s="3">
        <v>11</v>
      </c>
      <c r="D364" s="3">
        <v>2</v>
      </c>
      <c r="E364" s="3">
        <v>1</v>
      </c>
      <c r="F364" s="4" t="str">
        <f>HYPERLINK("http://141.218.60.56/~jnz1568/getInfo.php?workbook=01_01.xlsx&amp;sheet=U0&amp;row=364&amp;col=6&amp;number==LOG10(2500)&amp;sourceID=16","=LOG10(2500)")</f>
        <v>=LOG10(2500)</v>
      </c>
      <c r="G364" s="4" t="str">
        <f>HYPERLINK("http://141.218.60.56/~jnz1568/getInfo.php?workbook=01_01.xlsx&amp;sheet=U0&amp;row=364&amp;col=7&amp;number=0.3939&amp;sourceID=16","0.3939")</f>
        <v>0.3939</v>
      </c>
      <c r="H364" s="4" t="str">
        <f>HYPERLINK("http://141.218.60.56/~jnz1568/getInfo.php?workbook=01_01.xlsx&amp;sheet=U0&amp;row=364&amp;col=8&amp;number=3.764&amp;sourceID=17","3.764")</f>
        <v>3.764</v>
      </c>
      <c r="I364" s="4" t="str">
        <f>HYPERLINK("http://141.218.60.56/~jnz1568/getInfo.php?workbook=01_01.xlsx&amp;sheet=U0&amp;row=364&amp;col=9&amp;number=0.201&amp;sourceID=17","0.201")</f>
        <v>0.201</v>
      </c>
    </row>
    <row r="365" spans="1:9">
      <c r="A365" s="3"/>
      <c r="B365" s="3"/>
      <c r="C365" s="3"/>
      <c r="D365" s="3"/>
      <c r="E365" s="3">
        <v>2</v>
      </c>
      <c r="F365" s="4" t="str">
        <f>HYPERLINK("http://141.218.60.56/~jnz1568/getInfo.php?workbook=01_01.xlsx&amp;sheet=U0&amp;row=365&amp;col=6&amp;number=3.699&amp;sourceID=16","3.699")</f>
        <v>3.699</v>
      </c>
      <c r="G365" s="4" t="str">
        <f>HYPERLINK("http://141.218.60.56/~jnz1568/getInfo.php?workbook=01_01.xlsx&amp;sheet=U0&amp;row=365&amp;col=7&amp;number=0.5228&amp;sourceID=16","0.5228")</f>
        <v>0.5228</v>
      </c>
      <c r="H365" s="4" t="str">
        <f>HYPERLINK("http://141.218.60.56/~jnz1568/getInfo.php?workbook=01_01.xlsx&amp;sheet=U0&amp;row=365&amp;col=8&amp;number=4.064&amp;sourceID=17","4.064")</f>
        <v>4.064</v>
      </c>
      <c r="I365" s="4" t="str">
        <f>HYPERLINK("http://141.218.60.56/~jnz1568/getInfo.php?workbook=01_01.xlsx&amp;sheet=U0&amp;row=365&amp;col=9&amp;number=0.213&amp;sourceID=17","0.213")</f>
        <v>0.213</v>
      </c>
    </row>
    <row r="366" spans="1:9">
      <c r="A366" s="3"/>
      <c r="B366" s="3"/>
      <c r="C366" s="3"/>
      <c r="D366" s="3"/>
      <c r="E366" s="3">
        <v>3</v>
      </c>
      <c r="F366" s="4" t="str">
        <f>HYPERLINK("http://141.218.60.56/~jnz1568/getInfo.php?workbook=01_01.xlsx&amp;sheet=U0&amp;row=366&amp;col=6&amp;number=3.875&amp;sourceID=16","3.875")</f>
        <v>3.875</v>
      </c>
      <c r="G366" s="4" t="str">
        <f>HYPERLINK("http://141.218.60.56/~jnz1568/getInfo.php?workbook=01_01.xlsx&amp;sheet=U0&amp;row=366&amp;col=7&amp;number=0.5895&amp;sourceID=16","0.5895")</f>
        <v>0.5895</v>
      </c>
      <c r="H366" s="4" t="str">
        <f>HYPERLINK("http://141.218.60.56/~jnz1568/getInfo.php?workbook=01_01.xlsx&amp;sheet=U0&amp;row=366&amp;col=8&amp;number=4.542&amp;sourceID=17","4.542")</f>
        <v>4.542</v>
      </c>
      <c r="I366" s="4" t="str">
        <f>HYPERLINK("http://141.218.60.56/~jnz1568/getInfo.php?workbook=01_01.xlsx&amp;sheet=U0&amp;row=366&amp;col=9&amp;number=0.233&amp;sourceID=17","0.233")</f>
        <v>0.233</v>
      </c>
    </row>
    <row r="367" spans="1:9">
      <c r="A367" s="3"/>
      <c r="B367" s="3"/>
      <c r="C367" s="3"/>
      <c r="D367" s="3"/>
      <c r="E367" s="3">
        <v>4</v>
      </c>
      <c r="F367" s="4" t="str">
        <f>HYPERLINK("http://141.218.60.56/~jnz1568/getInfo.php?workbook=01_01.xlsx&amp;sheet=U0&amp;row=367&amp;col=6&amp;number=4&amp;sourceID=16","4")</f>
        <v>4</v>
      </c>
      <c r="G367" s="4" t="str">
        <f>HYPERLINK("http://141.218.60.56/~jnz1568/getInfo.php?workbook=01_01.xlsx&amp;sheet=U0&amp;row=367&amp;col=7&amp;number=0.6311&amp;sourceID=16","0.6311")</f>
        <v>0.6311</v>
      </c>
      <c r="H367" s="4" t="str">
        <f>HYPERLINK("http://141.218.60.56/~jnz1568/getInfo.php?workbook=01_01.xlsx&amp;sheet=U0&amp;row=367&amp;col=8&amp;number=4.764&amp;sourceID=17","4.764")</f>
        <v>4.764</v>
      </c>
      <c r="I367" s="4" t="str">
        <f>HYPERLINK("http://141.218.60.56/~jnz1568/getInfo.php?workbook=01_01.xlsx&amp;sheet=U0&amp;row=367&amp;col=9&amp;number=0.264&amp;sourceID=17","0.264")</f>
        <v>0.264</v>
      </c>
    </row>
    <row r="368" spans="1:9">
      <c r="A368" s="3"/>
      <c r="B368" s="3"/>
      <c r="C368" s="3"/>
      <c r="D368" s="3"/>
      <c r="E368" s="3">
        <v>5</v>
      </c>
      <c r="F368" s="4" t="str">
        <f>HYPERLINK("http://141.218.60.56/~jnz1568/getInfo.php?workbook=01_01.xlsx&amp;sheet=U0&amp;row=368&amp;col=6&amp;number=4.176&amp;sourceID=16","4.176")</f>
        <v>4.176</v>
      </c>
      <c r="G368" s="4" t="str">
        <f>HYPERLINK("http://141.218.60.56/~jnz1568/getInfo.php?workbook=01_01.xlsx&amp;sheet=U0&amp;row=368&amp;col=7&amp;number=0.6787&amp;sourceID=16","0.6787")</f>
        <v>0.6787</v>
      </c>
      <c r="H368" s="4" t="str">
        <f>HYPERLINK("http://141.218.60.56/~jnz1568/getInfo.php?workbook=01_01.xlsx&amp;sheet=U0&amp;row=368&amp;col=8&amp;number=5.064&amp;sourceID=17","5.064")</f>
        <v>5.064</v>
      </c>
      <c r="I368" s="4" t="str">
        <f>HYPERLINK("http://141.218.60.56/~jnz1568/getInfo.php?workbook=01_01.xlsx&amp;sheet=U0&amp;row=368&amp;col=9&amp;number=0.337&amp;sourceID=17","0.337")</f>
        <v>0.337</v>
      </c>
    </row>
    <row r="369" spans="1:9">
      <c r="A369" s="3"/>
      <c r="B369" s="3"/>
      <c r="C369" s="3"/>
      <c r="D369" s="3"/>
      <c r="E369" s="3">
        <v>6</v>
      </c>
      <c r="F369" s="4" t="str">
        <f>HYPERLINK("http://141.218.60.56/~jnz1568/getInfo.php?workbook=01_01.xlsx&amp;sheet=U0&amp;row=369&amp;col=6&amp;number=4.301&amp;sourceID=16","4.301")</f>
        <v>4.301</v>
      </c>
      <c r="G369" s="4" t="str">
        <f>HYPERLINK("http://141.218.60.56/~jnz1568/getInfo.php?workbook=01_01.xlsx&amp;sheet=U0&amp;row=369&amp;col=7&amp;number=0.7066&amp;sourceID=16","0.7066")</f>
        <v>0.7066</v>
      </c>
      <c r="H369" s="4" t="str">
        <f>HYPERLINK("http://141.218.60.56/~jnz1568/getInfo.php?workbook=01_01.xlsx&amp;sheet=U0&amp;row=369&amp;col=8&amp;number=5.241&amp;sourceID=17","5.241")</f>
        <v>5.241</v>
      </c>
      <c r="I369" s="4" t="str">
        <f>HYPERLINK("http://141.218.60.56/~jnz1568/getInfo.php?workbook=01_01.xlsx&amp;sheet=U0&amp;row=369&amp;col=9&amp;number=0.392&amp;sourceID=17","0.392")</f>
        <v>0.392</v>
      </c>
    </row>
    <row r="370" spans="1:9">
      <c r="A370" s="3"/>
      <c r="B370" s="3"/>
      <c r="C370" s="3"/>
      <c r="D370" s="3"/>
      <c r="E370" s="3">
        <v>7</v>
      </c>
      <c r="F370" s="4" t="str">
        <f>HYPERLINK("http://141.218.60.56/~jnz1568/getInfo.php?workbook=01_01.xlsx&amp;sheet=U0&amp;row=370&amp;col=6&amp;number=4.477&amp;sourceID=16","4.477")</f>
        <v>4.477</v>
      </c>
      <c r="G370" s="4" t="str">
        <f>HYPERLINK("http://141.218.60.56/~jnz1568/getInfo.php?workbook=01_01.xlsx&amp;sheet=U0&amp;row=370&amp;col=7&amp;number=0.7484&amp;sourceID=16","0.7484")</f>
        <v>0.7484</v>
      </c>
      <c r="H370" s="4" t="str">
        <f>HYPERLINK("http://141.218.60.56/~jnz1568/getInfo.php?workbook=01_01.xlsx&amp;sheet=U0&amp;row=370&amp;col=8&amp;number=5.366&amp;sourceID=17","5.366")</f>
        <v>5.366</v>
      </c>
      <c r="I370" s="4" t="str">
        <f>HYPERLINK("http://141.218.60.56/~jnz1568/getInfo.php?workbook=01_01.xlsx&amp;sheet=U0&amp;row=370&amp;col=9&amp;number=0.434&amp;sourceID=17","0.434")</f>
        <v>0.434</v>
      </c>
    </row>
    <row r="371" spans="1:9">
      <c r="A371" s="3"/>
      <c r="B371" s="3"/>
      <c r="C371" s="3"/>
      <c r="D371" s="3"/>
      <c r="E371" s="3">
        <v>8</v>
      </c>
      <c r="F371" s="4" t="str">
        <f>HYPERLINK("http://141.218.60.56/~jnz1568/getInfo.php?workbook=01_01.xlsx&amp;sheet=U0&amp;row=371&amp;col=6&amp;number=4.602&amp;sourceID=16","4.602")</f>
        <v>4.602</v>
      </c>
      <c r="G371" s="4" t="str">
        <f>HYPERLINK("http://141.218.60.56/~jnz1568/getInfo.php?workbook=01_01.xlsx&amp;sheet=U0&amp;row=371&amp;col=7&amp;number=0.7862&amp;sourceID=16","0.7862")</f>
        <v>0.7862</v>
      </c>
      <c r="H371" s="4" t="str">
        <f>HYPERLINK("http://141.218.60.56/~jnz1568/getInfo.php?workbook=01_01.xlsx&amp;sheet=U0&amp;row=371&amp;col=8&amp;number=5.463&amp;sourceID=17","5.463")</f>
        <v>5.463</v>
      </c>
      <c r="I371" s="4" t="str">
        <f>HYPERLINK("http://141.218.60.56/~jnz1568/getInfo.php?workbook=01_01.xlsx&amp;sheet=U0&amp;row=371&amp;col=9&amp;number=0.466&amp;sourceID=17","0.466")</f>
        <v>0.466</v>
      </c>
    </row>
    <row r="372" spans="1:9">
      <c r="A372" s="3"/>
      <c r="B372" s="3"/>
      <c r="C372" s="3"/>
      <c r="D372" s="3"/>
      <c r="E372" s="3">
        <v>9</v>
      </c>
      <c r="F372" s="4" t="str">
        <f>HYPERLINK("http://141.218.60.56/~jnz1568/getInfo.php?workbook=01_01.xlsx&amp;sheet=U0&amp;row=372&amp;col=6&amp;number=4.699&amp;sourceID=16","4.699")</f>
        <v>4.699</v>
      </c>
      <c r="G372" s="4" t="str">
        <f>HYPERLINK("http://141.218.60.56/~jnz1568/getInfo.php?workbook=01_01.xlsx&amp;sheet=U0&amp;row=372&amp;col=7&amp;number=0.8284&amp;sourceID=16","0.8284")</f>
        <v>0.8284</v>
      </c>
      <c r="H372" s="4" t="str">
        <f>HYPERLINK("http://141.218.60.56/~jnz1568/getInfo.php?workbook=01_01.xlsx&amp;sheet=U0&amp;row=372&amp;col=8&amp;number=&amp;sourceID=17","")</f>
        <v/>
      </c>
      <c r="I372" s="4" t="str">
        <f>HYPERLINK("http://141.218.60.56/~jnz1568/getInfo.php?workbook=01_01.xlsx&amp;sheet=U0&amp;row=372&amp;col=9&amp;number=&amp;sourceID=17","")</f>
        <v/>
      </c>
    </row>
    <row r="373" spans="1:9">
      <c r="A373" s="3">
        <v>1</v>
      </c>
      <c r="B373" s="3">
        <v>1</v>
      </c>
      <c r="C373" s="3">
        <v>11</v>
      </c>
      <c r="D373" s="3">
        <v>3</v>
      </c>
      <c r="E373" s="3">
        <v>1</v>
      </c>
      <c r="F373" s="4" t="str">
        <f>HYPERLINK("http://141.218.60.56/~jnz1568/getInfo.php?workbook=01_01.xlsx&amp;sheet=U0&amp;row=373&amp;col=6&amp;number==LOG10(2500)&amp;sourceID=16","=LOG10(2500)")</f>
        <v>=LOG10(2500)</v>
      </c>
      <c r="G373" s="4" t="str">
        <f>HYPERLINK("http://141.218.60.56/~jnz1568/getInfo.php?workbook=01_01.xlsx&amp;sheet=U0&amp;row=373&amp;col=7&amp;number=0.5223&amp;sourceID=16","0.5223")</f>
        <v>0.5223</v>
      </c>
      <c r="H373" s="4" t="str">
        <f>HYPERLINK("http://141.218.60.56/~jnz1568/getInfo.php?workbook=01_01.xlsx&amp;sheet=U0&amp;row=373&amp;col=8&amp;number=3.764&amp;sourceID=17","3.764")</f>
        <v>3.764</v>
      </c>
      <c r="I373" s="4" t="str">
        <f>HYPERLINK("http://141.218.60.56/~jnz1568/getInfo.php?workbook=01_01.xlsx&amp;sheet=U0&amp;row=373&amp;col=9&amp;number=0.463&amp;sourceID=17","0.463")</f>
        <v>0.463</v>
      </c>
    </row>
    <row r="374" spans="1:9">
      <c r="A374" s="3"/>
      <c r="B374" s="3"/>
      <c r="C374" s="3"/>
      <c r="D374" s="3"/>
      <c r="E374" s="3">
        <v>2</v>
      </c>
      <c r="F374" s="4" t="str">
        <f>HYPERLINK("http://141.218.60.56/~jnz1568/getInfo.php?workbook=01_01.xlsx&amp;sheet=U0&amp;row=374&amp;col=6&amp;number=3.699&amp;sourceID=16","3.699")</f>
        <v>3.699</v>
      </c>
      <c r="G374" s="4" t="str">
        <f>HYPERLINK("http://141.218.60.56/~jnz1568/getInfo.php?workbook=01_01.xlsx&amp;sheet=U0&amp;row=374&amp;col=7&amp;number=0.7688&amp;sourceID=16","0.7688")</f>
        <v>0.7688</v>
      </c>
      <c r="H374" s="4" t="str">
        <f>HYPERLINK("http://141.218.60.56/~jnz1568/getInfo.php?workbook=01_01.xlsx&amp;sheet=U0&amp;row=374&amp;col=8&amp;number=4.064&amp;sourceID=17","4.064")</f>
        <v>4.064</v>
      </c>
      <c r="I374" s="4" t="str">
        <f>HYPERLINK("http://141.218.60.56/~jnz1568/getInfo.php?workbook=01_01.xlsx&amp;sheet=U0&amp;row=374&amp;col=9&amp;number=0.51&amp;sourceID=17","0.51")</f>
        <v>0.51</v>
      </c>
    </row>
    <row r="375" spans="1:9">
      <c r="A375" s="3"/>
      <c r="B375" s="3"/>
      <c r="C375" s="3"/>
      <c r="D375" s="3"/>
      <c r="E375" s="3">
        <v>3</v>
      </c>
      <c r="F375" s="4" t="str">
        <f>HYPERLINK("http://141.218.60.56/~jnz1568/getInfo.php?workbook=01_01.xlsx&amp;sheet=U0&amp;row=375&amp;col=6&amp;number=3.875&amp;sourceID=16","3.875")</f>
        <v>3.875</v>
      </c>
      <c r="G375" s="4" t="str">
        <f>HYPERLINK("http://141.218.60.56/~jnz1568/getInfo.php?workbook=01_01.xlsx&amp;sheet=U0&amp;row=375&amp;col=7&amp;number=0.924&amp;sourceID=16","0.924")</f>
        <v>0.924</v>
      </c>
      <c r="H375" s="4" t="str">
        <f>HYPERLINK("http://141.218.60.56/~jnz1568/getInfo.php?workbook=01_01.xlsx&amp;sheet=U0&amp;row=375&amp;col=8&amp;number=4.542&amp;sourceID=17","4.542")</f>
        <v>4.542</v>
      </c>
      <c r="I375" s="4" t="str">
        <f>HYPERLINK("http://141.218.60.56/~jnz1568/getInfo.php?workbook=01_01.xlsx&amp;sheet=U0&amp;row=375&amp;col=9&amp;number=0.475&amp;sourceID=17","0.475")</f>
        <v>0.475</v>
      </c>
    </row>
    <row r="376" spans="1:9">
      <c r="A376" s="3"/>
      <c r="B376" s="3"/>
      <c r="C376" s="3"/>
      <c r="D376" s="3"/>
      <c r="E376" s="3">
        <v>4</v>
      </c>
      <c r="F376" s="4" t="str">
        <f>HYPERLINK("http://141.218.60.56/~jnz1568/getInfo.php?workbook=01_01.xlsx&amp;sheet=U0&amp;row=376&amp;col=6&amp;number=4&amp;sourceID=16","4")</f>
        <v>4</v>
      </c>
      <c r="G376" s="4" t="str">
        <f>HYPERLINK("http://141.218.60.56/~jnz1568/getInfo.php?workbook=01_01.xlsx&amp;sheet=U0&amp;row=376&amp;col=7&amp;number=1.031&amp;sourceID=16","1.031")</f>
        <v>1.031</v>
      </c>
      <c r="H376" s="4" t="str">
        <f>HYPERLINK("http://141.218.60.56/~jnz1568/getInfo.php?workbook=01_01.xlsx&amp;sheet=U0&amp;row=376&amp;col=8&amp;number=4.764&amp;sourceID=17","4.764")</f>
        <v>4.764</v>
      </c>
      <c r="I376" s="4" t="str">
        <f>HYPERLINK("http://141.218.60.56/~jnz1568/getInfo.php?workbook=01_01.xlsx&amp;sheet=U0&amp;row=376&amp;col=9&amp;number=0.438&amp;sourceID=17","0.438")</f>
        <v>0.438</v>
      </c>
    </row>
    <row r="377" spans="1:9">
      <c r="A377" s="3"/>
      <c r="B377" s="3"/>
      <c r="C377" s="3"/>
      <c r="D377" s="3"/>
      <c r="E377" s="3">
        <v>5</v>
      </c>
      <c r="F377" s="4" t="str">
        <f>HYPERLINK("http://141.218.60.56/~jnz1568/getInfo.php?workbook=01_01.xlsx&amp;sheet=U0&amp;row=377&amp;col=6&amp;number=4.176&amp;sourceID=16","4.176")</f>
        <v>4.176</v>
      </c>
      <c r="G377" s="4" t="str">
        <f>HYPERLINK("http://141.218.60.56/~jnz1568/getInfo.php?workbook=01_01.xlsx&amp;sheet=U0&amp;row=377&amp;col=7&amp;number=1.158&amp;sourceID=16","1.158")</f>
        <v>1.158</v>
      </c>
      <c r="H377" s="4" t="str">
        <f>HYPERLINK("http://141.218.60.56/~jnz1568/getInfo.php?workbook=01_01.xlsx&amp;sheet=U0&amp;row=377&amp;col=8&amp;number=5.064&amp;sourceID=17","5.064")</f>
        <v>5.064</v>
      </c>
      <c r="I377" s="4" t="str">
        <f>HYPERLINK("http://141.218.60.56/~jnz1568/getInfo.php?workbook=01_01.xlsx&amp;sheet=U0&amp;row=377&amp;col=9&amp;number=0.403&amp;sourceID=17","0.403")</f>
        <v>0.403</v>
      </c>
    </row>
    <row r="378" spans="1:9">
      <c r="A378" s="3"/>
      <c r="B378" s="3"/>
      <c r="C378" s="3"/>
      <c r="D378" s="3"/>
      <c r="E378" s="3">
        <v>6</v>
      </c>
      <c r="F378" s="4" t="str">
        <f>HYPERLINK("http://141.218.60.56/~jnz1568/getInfo.php?workbook=01_01.xlsx&amp;sheet=U0&amp;row=378&amp;col=6&amp;number=4.301&amp;sourceID=16","4.301")</f>
        <v>4.301</v>
      </c>
      <c r="G378" s="4" t="str">
        <f>HYPERLINK("http://141.218.60.56/~jnz1568/getInfo.php?workbook=01_01.xlsx&amp;sheet=U0&amp;row=378&amp;col=7&amp;number=1.222&amp;sourceID=16","1.222")</f>
        <v>1.222</v>
      </c>
      <c r="H378" s="4" t="str">
        <f>HYPERLINK("http://141.218.60.56/~jnz1568/getInfo.php?workbook=01_01.xlsx&amp;sheet=U0&amp;row=378&amp;col=8&amp;number=5.241&amp;sourceID=17","5.241")</f>
        <v>5.241</v>
      </c>
      <c r="I378" s="4" t="str">
        <f>HYPERLINK("http://141.218.60.56/~jnz1568/getInfo.php?workbook=01_01.xlsx&amp;sheet=U0&amp;row=378&amp;col=9&amp;number=0.397&amp;sourceID=17","0.397")</f>
        <v>0.397</v>
      </c>
    </row>
    <row r="379" spans="1:9">
      <c r="A379" s="3"/>
      <c r="B379" s="3"/>
      <c r="C379" s="3"/>
      <c r="D379" s="3"/>
      <c r="E379" s="3">
        <v>7</v>
      </c>
      <c r="F379" s="4" t="str">
        <f>HYPERLINK("http://141.218.60.56/~jnz1568/getInfo.php?workbook=01_01.xlsx&amp;sheet=U0&amp;row=379&amp;col=6&amp;number=4.477&amp;sourceID=16","4.477")</f>
        <v>4.477</v>
      </c>
      <c r="G379" s="4" t="str">
        <f>HYPERLINK("http://141.218.60.56/~jnz1568/getInfo.php?workbook=01_01.xlsx&amp;sheet=U0&amp;row=379&amp;col=7&amp;number=1.269&amp;sourceID=16","1.269")</f>
        <v>1.269</v>
      </c>
      <c r="H379" s="4" t="str">
        <f>HYPERLINK("http://141.218.60.56/~jnz1568/getInfo.php?workbook=01_01.xlsx&amp;sheet=U0&amp;row=379&amp;col=8&amp;number=5.366&amp;sourceID=17","5.366")</f>
        <v>5.366</v>
      </c>
      <c r="I379" s="4" t="str">
        <f>HYPERLINK("http://141.218.60.56/~jnz1568/getInfo.php?workbook=01_01.xlsx&amp;sheet=U0&amp;row=379&amp;col=9&amp;number=0.401&amp;sourceID=17","0.401")</f>
        <v>0.401</v>
      </c>
    </row>
    <row r="380" spans="1:9">
      <c r="A380" s="3"/>
      <c r="B380" s="3"/>
      <c r="C380" s="3"/>
      <c r="D380" s="3"/>
      <c r="E380" s="3">
        <v>8</v>
      </c>
      <c r="F380" s="4" t="str">
        <f>HYPERLINK("http://141.218.60.56/~jnz1568/getInfo.php?workbook=01_01.xlsx&amp;sheet=U0&amp;row=380&amp;col=6&amp;number=4.602&amp;sourceID=16","4.602")</f>
        <v>4.602</v>
      </c>
      <c r="G380" s="4" t="str">
        <f>HYPERLINK("http://141.218.60.56/~jnz1568/getInfo.php?workbook=01_01.xlsx&amp;sheet=U0&amp;row=380&amp;col=7&amp;number=1.271&amp;sourceID=16","1.271")</f>
        <v>1.271</v>
      </c>
      <c r="H380" s="4" t="str">
        <f>HYPERLINK("http://141.218.60.56/~jnz1568/getInfo.php?workbook=01_01.xlsx&amp;sheet=U0&amp;row=380&amp;col=8&amp;number=5.463&amp;sourceID=17","5.463")</f>
        <v>5.463</v>
      </c>
      <c r="I380" s="4" t="str">
        <f>HYPERLINK("http://141.218.60.56/~jnz1568/getInfo.php?workbook=01_01.xlsx&amp;sheet=U0&amp;row=380&amp;col=9&amp;number=0.407&amp;sourceID=17","0.407")</f>
        <v>0.407</v>
      </c>
    </row>
    <row r="381" spans="1:9">
      <c r="A381" s="3"/>
      <c r="B381" s="3"/>
      <c r="C381" s="3"/>
      <c r="D381" s="3"/>
      <c r="E381" s="3">
        <v>9</v>
      </c>
      <c r="F381" s="4" t="str">
        <f>HYPERLINK("http://141.218.60.56/~jnz1568/getInfo.php?workbook=01_01.xlsx&amp;sheet=U0&amp;row=381&amp;col=6&amp;number=4.699&amp;sourceID=16","4.699")</f>
        <v>4.699</v>
      </c>
      <c r="G381" s="4" t="str">
        <f>HYPERLINK("http://141.218.60.56/~jnz1568/getInfo.php?workbook=01_01.xlsx&amp;sheet=U0&amp;row=381&amp;col=7&amp;number=1.256&amp;sourceID=16","1.256")</f>
        <v>1.256</v>
      </c>
      <c r="H381" s="4" t="str">
        <f>HYPERLINK("http://141.218.60.56/~jnz1568/getInfo.php?workbook=01_01.xlsx&amp;sheet=U0&amp;row=381&amp;col=8&amp;number=&amp;sourceID=17","")</f>
        <v/>
      </c>
      <c r="I381" s="4" t="str">
        <f>HYPERLINK("http://141.218.60.56/~jnz1568/getInfo.php?workbook=01_01.xlsx&amp;sheet=U0&amp;row=381&amp;col=9&amp;number=&amp;sourceID=17","")</f>
        <v/>
      </c>
    </row>
    <row r="382" spans="1:9">
      <c r="A382" s="3">
        <v>1</v>
      </c>
      <c r="B382" s="3">
        <v>1</v>
      </c>
      <c r="C382" s="3">
        <v>11</v>
      </c>
      <c r="D382" s="3">
        <v>4</v>
      </c>
      <c r="E382" s="3">
        <v>1</v>
      </c>
      <c r="F382" s="4" t="str">
        <f>HYPERLINK("http://141.218.60.56/~jnz1568/getInfo.php?workbook=01_01.xlsx&amp;sheet=U0&amp;row=382&amp;col=6&amp;number==LOG10(2500)&amp;sourceID=16","=LOG10(2500)")</f>
        <v>=LOG10(2500)</v>
      </c>
      <c r="G382" s="4" t="str">
        <f>HYPERLINK("http://141.218.60.56/~jnz1568/getInfo.php?workbook=01_01.xlsx&amp;sheet=U0&amp;row=382&amp;col=7&amp;number=1.49&amp;sourceID=16","1.49")</f>
        <v>1.49</v>
      </c>
      <c r="H382" s="4" t="str">
        <f>HYPERLINK("http://141.218.60.56/~jnz1568/getInfo.php?workbook=01_01.xlsx&amp;sheet=U0&amp;row=382&amp;col=8&amp;number=3.764&amp;sourceID=17","3.764")</f>
        <v>3.764</v>
      </c>
      <c r="I382" s="4" t="str">
        <f>HYPERLINK("http://141.218.60.56/~jnz1568/getInfo.php?workbook=01_01.xlsx&amp;sheet=U0&amp;row=382&amp;col=9&amp;number=1.04&amp;sourceID=17","1.04")</f>
        <v>1.04</v>
      </c>
    </row>
    <row r="383" spans="1:9">
      <c r="A383" s="3"/>
      <c r="B383" s="3"/>
      <c r="C383" s="3"/>
      <c r="D383" s="3"/>
      <c r="E383" s="3">
        <v>2</v>
      </c>
      <c r="F383" s="4" t="str">
        <f>HYPERLINK("http://141.218.60.56/~jnz1568/getInfo.php?workbook=01_01.xlsx&amp;sheet=U0&amp;row=383&amp;col=6&amp;number=3.699&amp;sourceID=16","3.699")</f>
        <v>3.699</v>
      </c>
      <c r="G383" s="4" t="str">
        <f>HYPERLINK("http://141.218.60.56/~jnz1568/getInfo.php?workbook=01_01.xlsx&amp;sheet=U0&amp;row=383&amp;col=7&amp;number=1.953&amp;sourceID=16","1.953")</f>
        <v>1.953</v>
      </c>
      <c r="H383" s="4" t="str">
        <f>HYPERLINK("http://141.218.60.56/~jnz1568/getInfo.php?workbook=01_01.xlsx&amp;sheet=U0&amp;row=383&amp;col=8&amp;number=4.064&amp;sourceID=17","4.064")</f>
        <v>4.064</v>
      </c>
      <c r="I383" s="4" t="str">
        <f>HYPERLINK("http://141.218.60.56/~jnz1568/getInfo.php?workbook=01_01.xlsx&amp;sheet=U0&amp;row=383&amp;col=9&amp;number=1.59&amp;sourceID=17","1.59")</f>
        <v>1.59</v>
      </c>
    </row>
    <row r="384" spans="1:9">
      <c r="A384" s="3"/>
      <c r="B384" s="3"/>
      <c r="C384" s="3"/>
      <c r="D384" s="3"/>
      <c r="E384" s="3">
        <v>3</v>
      </c>
      <c r="F384" s="4" t="str">
        <f>HYPERLINK("http://141.218.60.56/~jnz1568/getInfo.php?workbook=01_01.xlsx&amp;sheet=U0&amp;row=384&amp;col=6&amp;number=3.875&amp;sourceID=16","3.875")</f>
        <v>3.875</v>
      </c>
      <c r="G384" s="4" t="str">
        <f>HYPERLINK("http://141.218.60.56/~jnz1568/getInfo.php?workbook=01_01.xlsx&amp;sheet=U0&amp;row=384&amp;col=7&amp;number=2.384&amp;sourceID=16","2.384")</f>
        <v>2.384</v>
      </c>
      <c r="H384" s="4" t="str">
        <f>HYPERLINK("http://141.218.60.56/~jnz1568/getInfo.php?workbook=01_01.xlsx&amp;sheet=U0&amp;row=384&amp;col=8&amp;number=4.542&amp;sourceID=17","4.542")</f>
        <v>4.542</v>
      </c>
      <c r="I384" s="4" t="str">
        <f>HYPERLINK("http://141.218.60.56/~jnz1568/getInfo.php?workbook=01_01.xlsx&amp;sheet=U0&amp;row=384&amp;col=9&amp;number=2.91&amp;sourceID=17","2.91")</f>
        <v>2.91</v>
      </c>
    </row>
    <row r="385" spans="1:9">
      <c r="A385" s="3"/>
      <c r="B385" s="3"/>
      <c r="C385" s="3"/>
      <c r="D385" s="3"/>
      <c r="E385" s="3">
        <v>4</v>
      </c>
      <c r="F385" s="4" t="str">
        <f>HYPERLINK("http://141.218.60.56/~jnz1568/getInfo.php?workbook=01_01.xlsx&amp;sheet=U0&amp;row=385&amp;col=6&amp;number=4&amp;sourceID=16","4")</f>
        <v>4</v>
      </c>
      <c r="G385" s="4" t="str">
        <f>HYPERLINK("http://141.218.60.56/~jnz1568/getInfo.php?workbook=01_01.xlsx&amp;sheet=U0&amp;row=385&amp;col=7&amp;number=2.819&amp;sourceID=16","2.819")</f>
        <v>2.819</v>
      </c>
      <c r="H385" s="4" t="str">
        <f>HYPERLINK("http://141.218.60.56/~jnz1568/getInfo.php?workbook=01_01.xlsx&amp;sheet=U0&amp;row=385&amp;col=8&amp;number=4.764&amp;sourceID=17","4.764")</f>
        <v>4.764</v>
      </c>
      <c r="I385" s="4" t="str">
        <f>HYPERLINK("http://141.218.60.56/~jnz1568/getInfo.php?workbook=01_01.xlsx&amp;sheet=U0&amp;row=385&amp;col=9&amp;number=3.58&amp;sourceID=17","3.58")</f>
        <v>3.58</v>
      </c>
    </row>
    <row r="386" spans="1:9">
      <c r="A386" s="3"/>
      <c r="B386" s="3"/>
      <c r="C386" s="3"/>
      <c r="D386" s="3"/>
      <c r="E386" s="3">
        <v>5</v>
      </c>
      <c r="F386" s="4" t="str">
        <f>HYPERLINK("http://141.218.60.56/~jnz1568/getInfo.php?workbook=01_01.xlsx&amp;sheet=U0&amp;row=386&amp;col=6&amp;number=4.176&amp;sourceID=16","4.176")</f>
        <v>4.176</v>
      </c>
      <c r="G386" s="4" t="str">
        <f>HYPERLINK("http://141.218.60.56/~jnz1568/getInfo.php?workbook=01_01.xlsx&amp;sheet=U0&amp;row=386&amp;col=7&amp;number=3.646&amp;sourceID=16","3.646")</f>
        <v>3.646</v>
      </c>
      <c r="H386" s="4" t="str">
        <f>HYPERLINK("http://141.218.60.56/~jnz1568/getInfo.php?workbook=01_01.xlsx&amp;sheet=U0&amp;row=386&amp;col=8&amp;number=5.064&amp;sourceID=17","5.064")</f>
        <v>5.064</v>
      </c>
      <c r="I386" s="4" t="str">
        <f>HYPERLINK("http://141.218.60.56/~jnz1568/getInfo.php?workbook=01_01.xlsx&amp;sheet=U0&amp;row=386&amp;col=9&amp;number=4.53&amp;sourceID=17","4.53")</f>
        <v>4.53</v>
      </c>
    </row>
    <row r="387" spans="1:9">
      <c r="A387" s="3"/>
      <c r="B387" s="3"/>
      <c r="C387" s="3"/>
      <c r="D387" s="3"/>
      <c r="E387" s="3">
        <v>6</v>
      </c>
      <c r="F387" s="4" t="str">
        <f>HYPERLINK("http://141.218.60.56/~jnz1568/getInfo.php?workbook=01_01.xlsx&amp;sheet=U0&amp;row=387&amp;col=6&amp;number=4.301&amp;sourceID=16","4.301")</f>
        <v>4.301</v>
      </c>
      <c r="G387" s="4" t="str">
        <f>HYPERLINK("http://141.218.60.56/~jnz1568/getInfo.php?workbook=01_01.xlsx&amp;sheet=U0&amp;row=387&amp;col=7&amp;number=4.393&amp;sourceID=16","4.393")</f>
        <v>4.393</v>
      </c>
      <c r="H387" s="4" t="str">
        <f>HYPERLINK("http://141.218.60.56/~jnz1568/getInfo.php?workbook=01_01.xlsx&amp;sheet=U0&amp;row=387&amp;col=8&amp;number=5.241&amp;sourceID=17","5.241")</f>
        <v>5.241</v>
      </c>
      <c r="I387" s="4" t="str">
        <f>HYPERLINK("http://141.218.60.56/~jnz1568/getInfo.php?workbook=01_01.xlsx&amp;sheet=U0&amp;row=387&amp;col=9&amp;number=5.1&amp;sourceID=17","5.1")</f>
        <v>5.1</v>
      </c>
    </row>
    <row r="388" spans="1:9">
      <c r="A388" s="3"/>
      <c r="B388" s="3"/>
      <c r="C388" s="3"/>
      <c r="D388" s="3"/>
      <c r="E388" s="3">
        <v>7</v>
      </c>
      <c r="F388" s="4" t="str">
        <f>HYPERLINK("http://141.218.60.56/~jnz1568/getInfo.php?workbook=01_01.xlsx&amp;sheet=U0&amp;row=388&amp;col=6&amp;number=4.477&amp;sourceID=16","4.477")</f>
        <v>4.477</v>
      </c>
      <c r="G388" s="4" t="str">
        <f>HYPERLINK("http://141.218.60.56/~jnz1568/getInfo.php?workbook=01_01.xlsx&amp;sheet=U0&amp;row=388&amp;col=7&amp;number=5.654&amp;sourceID=16","5.654")</f>
        <v>5.654</v>
      </c>
      <c r="H388" s="4" t="str">
        <f>HYPERLINK("http://141.218.60.56/~jnz1568/getInfo.php?workbook=01_01.xlsx&amp;sheet=U0&amp;row=388&amp;col=8&amp;number=5.366&amp;sourceID=17","5.366")</f>
        <v>5.366</v>
      </c>
      <c r="I388" s="4" t="str">
        <f>HYPERLINK("http://141.218.60.56/~jnz1568/getInfo.php?workbook=01_01.xlsx&amp;sheet=U0&amp;row=388&amp;col=9&amp;number=5.5&amp;sourceID=17","5.5")</f>
        <v>5.5</v>
      </c>
    </row>
    <row r="389" spans="1:9">
      <c r="A389" s="3"/>
      <c r="B389" s="3"/>
      <c r="C389" s="3"/>
      <c r="D389" s="3"/>
      <c r="E389" s="3">
        <v>8</v>
      </c>
      <c r="F389" s="4" t="str">
        <f>HYPERLINK("http://141.218.60.56/~jnz1568/getInfo.php?workbook=01_01.xlsx&amp;sheet=U0&amp;row=389&amp;col=6&amp;number=4.602&amp;sourceID=16","4.602")</f>
        <v>4.602</v>
      </c>
      <c r="G389" s="4" t="str">
        <f>HYPERLINK("http://141.218.60.56/~jnz1568/getInfo.php?workbook=01_01.xlsx&amp;sheet=U0&amp;row=389&amp;col=7&amp;number=6.65&amp;sourceID=16","6.65")</f>
        <v>6.65</v>
      </c>
      <c r="H389" s="4" t="str">
        <f>HYPERLINK("http://141.218.60.56/~jnz1568/getInfo.php?workbook=01_01.xlsx&amp;sheet=U0&amp;row=389&amp;col=8&amp;number=5.463&amp;sourceID=17","5.463")</f>
        <v>5.463</v>
      </c>
      <c r="I389" s="4" t="str">
        <f>HYPERLINK("http://141.218.60.56/~jnz1568/getInfo.php?workbook=01_01.xlsx&amp;sheet=U0&amp;row=389&amp;col=9&amp;number=5.8&amp;sourceID=17","5.8")</f>
        <v>5.8</v>
      </c>
    </row>
    <row r="390" spans="1:9">
      <c r="A390" s="3"/>
      <c r="B390" s="3"/>
      <c r="C390" s="3"/>
      <c r="D390" s="3"/>
      <c r="E390" s="3">
        <v>9</v>
      </c>
      <c r="F390" s="4" t="str">
        <f>HYPERLINK("http://141.218.60.56/~jnz1568/getInfo.php?workbook=01_01.xlsx&amp;sheet=U0&amp;row=390&amp;col=6&amp;number=4.699&amp;sourceID=16","4.699")</f>
        <v>4.699</v>
      </c>
      <c r="G390" s="4" t="str">
        <f>HYPERLINK("http://141.218.60.56/~jnz1568/getInfo.php?workbook=01_01.xlsx&amp;sheet=U0&amp;row=390&amp;col=7&amp;number=7.436&amp;sourceID=16","7.436")</f>
        <v>7.436</v>
      </c>
      <c r="H390" s="4" t="str">
        <f>HYPERLINK("http://141.218.60.56/~jnz1568/getInfo.php?workbook=01_01.xlsx&amp;sheet=U0&amp;row=390&amp;col=8&amp;number=&amp;sourceID=17","")</f>
        <v/>
      </c>
      <c r="I390" s="4" t="str">
        <f>HYPERLINK("http://141.218.60.56/~jnz1568/getInfo.php?workbook=01_01.xlsx&amp;sheet=U0&amp;row=390&amp;col=9&amp;number=&amp;sourceID=17","")</f>
        <v/>
      </c>
    </row>
    <row r="391" spans="1:9">
      <c r="A391" s="3">
        <v>1</v>
      </c>
      <c r="B391" s="3">
        <v>1</v>
      </c>
      <c r="C391" s="3">
        <v>11</v>
      </c>
      <c r="D391" s="3">
        <v>5</v>
      </c>
      <c r="E391" s="3">
        <v>1</v>
      </c>
      <c r="F391" s="4" t="str">
        <f>HYPERLINK("http://141.218.60.56/~jnz1568/getInfo.php?workbook=01_01.xlsx&amp;sheet=U0&amp;row=391&amp;col=6&amp;number==LOG10(2500)&amp;sourceID=16","=LOG10(2500)")</f>
        <v>=LOG10(2500)</v>
      </c>
      <c r="G391" s="4" t="str">
        <f>HYPERLINK("http://141.218.60.56/~jnz1568/getInfo.php?workbook=01_01.xlsx&amp;sheet=U0&amp;row=391&amp;col=7&amp;number=2.883&amp;sourceID=16","2.883")</f>
        <v>2.883</v>
      </c>
      <c r="H391" s="4" t="str">
        <f>HYPERLINK("http://141.218.60.56/~jnz1568/getInfo.php?workbook=01_01.xlsx&amp;sheet=U0&amp;row=391&amp;col=8&amp;number=3.764&amp;sourceID=17","3.764")</f>
        <v>3.764</v>
      </c>
      <c r="I391" s="4" t="str">
        <f>HYPERLINK("http://141.218.60.56/~jnz1568/getInfo.php?workbook=01_01.xlsx&amp;sheet=U0&amp;row=391&amp;col=9&amp;number=2.25&amp;sourceID=17","2.25")</f>
        <v>2.25</v>
      </c>
    </row>
    <row r="392" spans="1:9">
      <c r="A392" s="3"/>
      <c r="B392" s="3"/>
      <c r="C392" s="3"/>
      <c r="D392" s="3"/>
      <c r="E392" s="3">
        <v>2</v>
      </c>
      <c r="F392" s="4" t="str">
        <f>HYPERLINK("http://141.218.60.56/~jnz1568/getInfo.php?workbook=01_01.xlsx&amp;sheet=U0&amp;row=392&amp;col=6&amp;number=3.699&amp;sourceID=16","3.699")</f>
        <v>3.699</v>
      </c>
      <c r="G392" s="4" t="str">
        <f>HYPERLINK("http://141.218.60.56/~jnz1568/getInfo.php?workbook=01_01.xlsx&amp;sheet=U0&amp;row=392&amp;col=7&amp;number=3.827&amp;sourceID=16","3.827")</f>
        <v>3.827</v>
      </c>
      <c r="H392" s="4" t="str">
        <f>HYPERLINK("http://141.218.60.56/~jnz1568/getInfo.php?workbook=01_01.xlsx&amp;sheet=U0&amp;row=392&amp;col=8&amp;number=4.064&amp;sourceID=17","4.064")</f>
        <v>4.064</v>
      </c>
      <c r="I392" s="4" t="str">
        <f>HYPERLINK("http://141.218.60.56/~jnz1568/getInfo.php?workbook=01_01.xlsx&amp;sheet=U0&amp;row=392&amp;col=9&amp;number=2.58&amp;sourceID=17","2.58")</f>
        <v>2.58</v>
      </c>
    </row>
    <row r="393" spans="1:9">
      <c r="A393" s="3"/>
      <c r="B393" s="3"/>
      <c r="C393" s="3"/>
      <c r="D393" s="3"/>
      <c r="E393" s="3">
        <v>3</v>
      </c>
      <c r="F393" s="4" t="str">
        <f>HYPERLINK("http://141.218.60.56/~jnz1568/getInfo.php?workbook=01_01.xlsx&amp;sheet=U0&amp;row=393&amp;col=6&amp;number=3.875&amp;sourceID=16","3.875")</f>
        <v>3.875</v>
      </c>
      <c r="G393" s="4" t="str">
        <f>HYPERLINK("http://141.218.60.56/~jnz1568/getInfo.php?workbook=01_01.xlsx&amp;sheet=U0&amp;row=393&amp;col=7&amp;number=4.322&amp;sourceID=16","4.322")</f>
        <v>4.322</v>
      </c>
      <c r="H393" s="4" t="str">
        <f>HYPERLINK("http://141.218.60.56/~jnz1568/getInfo.php?workbook=01_01.xlsx&amp;sheet=U0&amp;row=393&amp;col=8&amp;number=4.542&amp;sourceID=17","4.542")</f>
        <v>4.542</v>
      </c>
      <c r="I393" s="4" t="str">
        <f>HYPERLINK("http://141.218.60.56/~jnz1568/getInfo.php?workbook=01_01.xlsx&amp;sheet=U0&amp;row=393&amp;col=9&amp;number=3.01&amp;sourceID=17","3.01")</f>
        <v>3.01</v>
      </c>
    </row>
    <row r="394" spans="1:9">
      <c r="A394" s="3"/>
      <c r="B394" s="3"/>
      <c r="C394" s="3"/>
      <c r="D394" s="3"/>
      <c r="E394" s="3">
        <v>4</v>
      </c>
      <c r="F394" s="4" t="str">
        <f>HYPERLINK("http://141.218.60.56/~jnz1568/getInfo.php?workbook=01_01.xlsx&amp;sheet=U0&amp;row=394&amp;col=6&amp;number=4&amp;sourceID=16","4")</f>
        <v>4</v>
      </c>
      <c r="G394" s="4" t="str">
        <f>HYPERLINK("http://141.218.60.56/~jnz1568/getInfo.php?workbook=01_01.xlsx&amp;sheet=U0&amp;row=394&amp;col=7&amp;number=4.688&amp;sourceID=16","4.688")</f>
        <v>4.688</v>
      </c>
      <c r="H394" s="4" t="str">
        <f>HYPERLINK("http://141.218.60.56/~jnz1568/getInfo.php?workbook=01_01.xlsx&amp;sheet=U0&amp;row=394&amp;col=8&amp;number=4.764&amp;sourceID=17","4.764")</f>
        <v>4.764</v>
      </c>
      <c r="I394" s="4" t="str">
        <f>HYPERLINK("http://141.218.60.56/~jnz1568/getInfo.php?workbook=01_01.xlsx&amp;sheet=U0&amp;row=394&amp;col=9&amp;number=3.24&amp;sourceID=17","3.24")</f>
        <v>3.24</v>
      </c>
    </row>
    <row r="395" spans="1:9">
      <c r="A395" s="3"/>
      <c r="B395" s="3"/>
      <c r="C395" s="3"/>
      <c r="D395" s="3"/>
      <c r="E395" s="3">
        <v>5</v>
      </c>
      <c r="F395" s="4" t="str">
        <f>HYPERLINK("http://141.218.60.56/~jnz1568/getInfo.php?workbook=01_01.xlsx&amp;sheet=U0&amp;row=395&amp;col=6&amp;number=4.176&amp;sourceID=16","4.176")</f>
        <v>4.176</v>
      </c>
      <c r="G395" s="4" t="str">
        <f>HYPERLINK("http://141.218.60.56/~jnz1568/getInfo.php?workbook=01_01.xlsx&amp;sheet=U0&amp;row=395&amp;col=7&amp;number=5.232&amp;sourceID=16","5.232")</f>
        <v>5.232</v>
      </c>
      <c r="H395" s="4" t="str">
        <f>HYPERLINK("http://141.218.60.56/~jnz1568/getInfo.php?workbook=01_01.xlsx&amp;sheet=U0&amp;row=395&amp;col=8&amp;number=5.064&amp;sourceID=17","5.064")</f>
        <v>5.064</v>
      </c>
      <c r="I395" s="4" t="str">
        <f>HYPERLINK("http://141.218.60.56/~jnz1568/getInfo.php?workbook=01_01.xlsx&amp;sheet=U0&amp;row=395&amp;col=9&amp;number=3.77&amp;sourceID=17","3.77")</f>
        <v>3.77</v>
      </c>
    </row>
    <row r="396" spans="1:9">
      <c r="A396" s="3"/>
      <c r="B396" s="3"/>
      <c r="C396" s="3"/>
      <c r="D396" s="3"/>
      <c r="E396" s="3">
        <v>6</v>
      </c>
      <c r="F396" s="4" t="str">
        <f>HYPERLINK("http://141.218.60.56/~jnz1568/getInfo.php?workbook=01_01.xlsx&amp;sheet=U0&amp;row=396&amp;col=6&amp;number=4.301&amp;sourceID=16","4.301")</f>
        <v>4.301</v>
      </c>
      <c r="G396" s="4" t="str">
        <f>HYPERLINK("http://141.218.60.56/~jnz1568/getInfo.php?workbook=01_01.xlsx&amp;sheet=U0&amp;row=396&amp;col=7&amp;number=5.628&amp;sourceID=16","5.628")</f>
        <v>5.628</v>
      </c>
      <c r="H396" s="4" t="str">
        <f>HYPERLINK("http://141.218.60.56/~jnz1568/getInfo.php?workbook=01_01.xlsx&amp;sheet=U0&amp;row=396&amp;col=8&amp;number=5.241&amp;sourceID=17","5.241")</f>
        <v>5.241</v>
      </c>
      <c r="I396" s="4" t="str">
        <f>HYPERLINK("http://141.218.60.56/~jnz1568/getInfo.php?workbook=01_01.xlsx&amp;sheet=U0&amp;row=396&amp;col=9&amp;number=4.22&amp;sourceID=17","4.22")</f>
        <v>4.22</v>
      </c>
    </row>
    <row r="397" spans="1:9">
      <c r="A397" s="3"/>
      <c r="B397" s="3"/>
      <c r="C397" s="3"/>
      <c r="D397" s="3"/>
      <c r="E397" s="3">
        <v>7</v>
      </c>
      <c r="F397" s="4" t="str">
        <f>HYPERLINK("http://141.218.60.56/~jnz1568/getInfo.php?workbook=01_01.xlsx&amp;sheet=U0&amp;row=397&amp;col=6&amp;number=4.477&amp;sourceID=16","4.477")</f>
        <v>4.477</v>
      </c>
      <c r="G397" s="4" t="str">
        <f>HYPERLINK("http://141.218.60.56/~jnz1568/getInfo.php?workbook=01_01.xlsx&amp;sheet=U0&amp;row=397&amp;col=7&amp;number=6.168&amp;sourceID=16","6.168")</f>
        <v>6.168</v>
      </c>
      <c r="H397" s="4" t="str">
        <f>HYPERLINK("http://141.218.60.56/~jnz1568/getInfo.php?workbook=01_01.xlsx&amp;sheet=U0&amp;row=397&amp;col=8&amp;number=5.366&amp;sourceID=17","5.366")</f>
        <v>5.366</v>
      </c>
      <c r="I397" s="4" t="str">
        <f>HYPERLINK("http://141.218.60.56/~jnz1568/getInfo.php?workbook=01_01.xlsx&amp;sheet=U0&amp;row=397&amp;col=9&amp;number=4.62&amp;sourceID=17","4.62")</f>
        <v>4.62</v>
      </c>
    </row>
    <row r="398" spans="1:9">
      <c r="A398" s="3"/>
      <c r="B398" s="3"/>
      <c r="C398" s="3"/>
      <c r="D398" s="3"/>
      <c r="E398" s="3">
        <v>8</v>
      </c>
      <c r="F398" s="4" t="str">
        <f>HYPERLINK("http://141.218.60.56/~jnz1568/getInfo.php?workbook=01_01.xlsx&amp;sheet=U0&amp;row=398&amp;col=6&amp;number=4.602&amp;sourceID=16","4.602")</f>
        <v>4.602</v>
      </c>
      <c r="G398" s="4" t="str">
        <f>HYPERLINK("http://141.218.60.56/~jnz1568/getInfo.php?workbook=01_01.xlsx&amp;sheet=U0&amp;row=398&amp;col=7&amp;number=6.511&amp;sourceID=16","6.511")</f>
        <v>6.511</v>
      </c>
      <c r="H398" s="4" t="str">
        <f>HYPERLINK("http://141.218.60.56/~jnz1568/getInfo.php?workbook=01_01.xlsx&amp;sheet=U0&amp;row=398&amp;col=8&amp;number=5.463&amp;sourceID=17","5.463")</f>
        <v>5.463</v>
      </c>
      <c r="I398" s="4" t="str">
        <f>HYPERLINK("http://141.218.60.56/~jnz1568/getInfo.php?workbook=01_01.xlsx&amp;sheet=U0&amp;row=398&amp;col=9&amp;number=4.96&amp;sourceID=17","4.96")</f>
        <v>4.96</v>
      </c>
    </row>
    <row r="399" spans="1:9">
      <c r="A399" s="3"/>
      <c r="B399" s="3"/>
      <c r="C399" s="3"/>
      <c r="D399" s="3"/>
      <c r="E399" s="3">
        <v>9</v>
      </c>
      <c r="F399" s="4" t="str">
        <f>HYPERLINK("http://141.218.60.56/~jnz1568/getInfo.php?workbook=01_01.xlsx&amp;sheet=U0&amp;row=399&amp;col=6&amp;number=4.699&amp;sourceID=16","4.699")</f>
        <v>4.699</v>
      </c>
      <c r="G399" s="4" t="str">
        <f>HYPERLINK("http://141.218.60.56/~jnz1568/getInfo.php?workbook=01_01.xlsx&amp;sheet=U0&amp;row=399&amp;col=7&amp;number=6.738&amp;sourceID=16","6.738")</f>
        <v>6.738</v>
      </c>
      <c r="H399" s="4" t="str">
        <f>HYPERLINK("http://141.218.60.56/~jnz1568/getInfo.php?workbook=01_01.xlsx&amp;sheet=U0&amp;row=399&amp;col=8&amp;number=&amp;sourceID=17","")</f>
        <v/>
      </c>
      <c r="I399" s="4" t="str">
        <f>HYPERLINK("http://141.218.60.56/~jnz1568/getInfo.php?workbook=01_01.xlsx&amp;sheet=U0&amp;row=399&amp;col=9&amp;number=&amp;sourceID=17","")</f>
        <v/>
      </c>
    </row>
    <row r="400" spans="1:9">
      <c r="A400" s="3">
        <v>1</v>
      </c>
      <c r="B400" s="3">
        <v>1</v>
      </c>
      <c r="C400" s="3">
        <v>11</v>
      </c>
      <c r="D400" s="3">
        <v>6</v>
      </c>
      <c r="E400" s="3">
        <v>1</v>
      </c>
      <c r="F400" s="4" t="str">
        <f>HYPERLINK("http://141.218.60.56/~jnz1568/getInfo.php?workbook=01_01.xlsx&amp;sheet=U0&amp;row=400&amp;col=6&amp;number==LOG10(2500)&amp;sourceID=16","=LOG10(2500)")</f>
        <v>=LOG10(2500)</v>
      </c>
      <c r="G400" s="4" t="str">
        <f>HYPERLINK("http://141.218.60.56/~jnz1568/getInfo.php?workbook=01_01.xlsx&amp;sheet=U0&amp;row=400&amp;col=7&amp;number=2.653&amp;sourceID=16","2.653")</f>
        <v>2.653</v>
      </c>
      <c r="H400" s="4" t="str">
        <f>HYPERLINK("http://141.218.60.56/~jnz1568/getInfo.php?workbook=01_01.xlsx&amp;sheet=U0&amp;row=400&amp;col=8&amp;number=3.764&amp;sourceID=17","3.764")</f>
        <v>3.764</v>
      </c>
      <c r="I400" s="4" t="str">
        <f>HYPERLINK("http://141.218.60.56/~jnz1568/getInfo.php?workbook=01_01.xlsx&amp;sheet=U0&amp;row=400&amp;col=9&amp;number=2.78&amp;sourceID=17","2.78")</f>
        <v>2.78</v>
      </c>
    </row>
    <row r="401" spans="1:9">
      <c r="A401" s="3"/>
      <c r="B401" s="3"/>
      <c r="C401" s="3"/>
      <c r="D401" s="3"/>
      <c r="E401" s="3">
        <v>2</v>
      </c>
      <c r="F401" s="4" t="str">
        <f>HYPERLINK("http://141.218.60.56/~jnz1568/getInfo.php?workbook=01_01.xlsx&amp;sheet=U0&amp;row=401&amp;col=6&amp;number=3.699&amp;sourceID=16","3.699")</f>
        <v>3.699</v>
      </c>
      <c r="G401" s="4" t="str">
        <f>HYPERLINK("http://141.218.60.56/~jnz1568/getInfo.php?workbook=01_01.xlsx&amp;sheet=U0&amp;row=401&amp;col=7&amp;number=3.792&amp;sourceID=16","3.792")</f>
        <v>3.792</v>
      </c>
      <c r="H401" s="4" t="str">
        <f>HYPERLINK("http://141.218.60.56/~jnz1568/getInfo.php?workbook=01_01.xlsx&amp;sheet=U0&amp;row=401&amp;col=8&amp;number=4.064&amp;sourceID=17","4.064")</f>
        <v>4.064</v>
      </c>
      <c r="I401" s="4" t="str">
        <f>HYPERLINK("http://141.218.60.56/~jnz1568/getInfo.php?workbook=01_01.xlsx&amp;sheet=U0&amp;row=401&amp;col=9&amp;number=2.92&amp;sourceID=17","2.92")</f>
        <v>2.92</v>
      </c>
    </row>
    <row r="402" spans="1:9">
      <c r="A402" s="3"/>
      <c r="B402" s="3"/>
      <c r="C402" s="3"/>
      <c r="D402" s="3"/>
      <c r="E402" s="3">
        <v>3</v>
      </c>
      <c r="F402" s="4" t="str">
        <f>HYPERLINK("http://141.218.60.56/~jnz1568/getInfo.php?workbook=01_01.xlsx&amp;sheet=U0&amp;row=402&amp;col=6&amp;number=3.875&amp;sourceID=16","3.875")</f>
        <v>3.875</v>
      </c>
      <c r="G402" s="4" t="str">
        <f>HYPERLINK("http://141.218.60.56/~jnz1568/getInfo.php?workbook=01_01.xlsx&amp;sheet=U0&amp;row=402&amp;col=7&amp;number=4.373&amp;sourceID=16","4.373")</f>
        <v>4.373</v>
      </c>
      <c r="H402" s="4" t="str">
        <f>HYPERLINK("http://141.218.60.56/~jnz1568/getInfo.php?workbook=01_01.xlsx&amp;sheet=U0&amp;row=402&amp;col=8&amp;number=4.542&amp;sourceID=17","4.542")</f>
        <v>4.542</v>
      </c>
      <c r="I402" s="4" t="str">
        <f>HYPERLINK("http://141.218.60.56/~jnz1568/getInfo.php?workbook=01_01.xlsx&amp;sheet=U0&amp;row=402&amp;col=9&amp;number=2.53&amp;sourceID=17","2.53")</f>
        <v>2.53</v>
      </c>
    </row>
    <row r="403" spans="1:9">
      <c r="A403" s="3"/>
      <c r="B403" s="3"/>
      <c r="C403" s="3"/>
      <c r="D403" s="3"/>
      <c r="E403" s="3">
        <v>4</v>
      </c>
      <c r="F403" s="4" t="str">
        <f>HYPERLINK("http://141.218.60.56/~jnz1568/getInfo.php?workbook=01_01.xlsx&amp;sheet=U0&amp;row=403&amp;col=6&amp;number=4&amp;sourceID=16","4")</f>
        <v>4</v>
      </c>
      <c r="G403" s="4" t="str">
        <f>HYPERLINK("http://141.218.60.56/~jnz1568/getInfo.php?workbook=01_01.xlsx&amp;sheet=U0&amp;row=403&amp;col=7&amp;number=4.706&amp;sourceID=16","4.706")</f>
        <v>4.706</v>
      </c>
      <c r="H403" s="4" t="str">
        <f>HYPERLINK("http://141.218.60.56/~jnz1568/getInfo.php?workbook=01_01.xlsx&amp;sheet=U0&amp;row=403&amp;col=8&amp;number=4.764&amp;sourceID=17","4.764")</f>
        <v>4.764</v>
      </c>
      <c r="I403" s="4" t="str">
        <f>HYPERLINK("http://141.218.60.56/~jnz1568/getInfo.php?workbook=01_01.xlsx&amp;sheet=U0&amp;row=403&amp;col=9&amp;number=2.27&amp;sourceID=17","2.27")</f>
        <v>2.27</v>
      </c>
    </row>
    <row r="404" spans="1:9">
      <c r="A404" s="3"/>
      <c r="B404" s="3"/>
      <c r="C404" s="3"/>
      <c r="D404" s="3"/>
      <c r="E404" s="3">
        <v>5</v>
      </c>
      <c r="F404" s="4" t="str">
        <f>HYPERLINK("http://141.218.60.56/~jnz1568/getInfo.php?workbook=01_01.xlsx&amp;sheet=U0&amp;row=404&amp;col=6&amp;number=4.176&amp;sourceID=16","4.176")</f>
        <v>4.176</v>
      </c>
      <c r="G404" s="4" t="str">
        <f>HYPERLINK("http://141.218.60.56/~jnz1568/getInfo.php?workbook=01_01.xlsx&amp;sheet=U0&amp;row=404&amp;col=7&amp;number=5&amp;sourceID=16","5")</f>
        <v>5</v>
      </c>
      <c r="H404" s="4" t="str">
        <f>HYPERLINK("http://141.218.60.56/~jnz1568/getInfo.php?workbook=01_01.xlsx&amp;sheet=U0&amp;row=404&amp;col=8&amp;number=5.064&amp;sourceID=17","5.064")</f>
        <v>5.064</v>
      </c>
      <c r="I404" s="4" t="str">
        <f>HYPERLINK("http://141.218.60.56/~jnz1568/getInfo.php?workbook=01_01.xlsx&amp;sheet=U0&amp;row=404&amp;col=9&amp;number=1.95&amp;sourceID=17","1.95")</f>
        <v>1.95</v>
      </c>
    </row>
    <row r="405" spans="1:9">
      <c r="A405" s="3"/>
      <c r="B405" s="3"/>
      <c r="C405" s="3"/>
      <c r="D405" s="3"/>
      <c r="E405" s="3">
        <v>6</v>
      </c>
      <c r="F405" s="4" t="str">
        <f>HYPERLINK("http://141.218.60.56/~jnz1568/getInfo.php?workbook=01_01.xlsx&amp;sheet=U0&amp;row=405&amp;col=6&amp;number=4.301&amp;sourceID=16","4.301")</f>
        <v>4.301</v>
      </c>
      <c r="G405" s="4" t="str">
        <f>HYPERLINK("http://141.218.60.56/~jnz1568/getInfo.php?workbook=01_01.xlsx&amp;sheet=U0&amp;row=405&amp;col=7&amp;number=5.065&amp;sourceID=16","5.065")</f>
        <v>5.065</v>
      </c>
      <c r="H405" s="4" t="str">
        <f>HYPERLINK("http://141.218.60.56/~jnz1568/getInfo.php?workbook=01_01.xlsx&amp;sheet=U0&amp;row=405&amp;col=8&amp;number=5.241&amp;sourceID=17","5.241")</f>
        <v>5.241</v>
      </c>
      <c r="I405" s="4" t="str">
        <f>HYPERLINK("http://141.218.60.56/~jnz1568/getInfo.php?workbook=01_01.xlsx&amp;sheet=U0&amp;row=405&amp;col=9&amp;number=1.81&amp;sourceID=17","1.81")</f>
        <v>1.81</v>
      </c>
    </row>
    <row r="406" spans="1:9">
      <c r="A406" s="3"/>
      <c r="B406" s="3"/>
      <c r="C406" s="3"/>
      <c r="D406" s="3"/>
      <c r="E406" s="3">
        <v>7</v>
      </c>
      <c r="F406" s="4" t="str">
        <f>HYPERLINK("http://141.218.60.56/~jnz1568/getInfo.php?workbook=01_01.xlsx&amp;sheet=U0&amp;row=406&amp;col=6&amp;number=4.477&amp;sourceID=16","4.477")</f>
        <v>4.477</v>
      </c>
      <c r="G406" s="4" t="str">
        <f>HYPERLINK("http://141.218.60.56/~jnz1568/getInfo.php?workbook=01_01.xlsx&amp;sheet=U0&amp;row=406&amp;col=7&amp;number=4.969&amp;sourceID=16","4.969")</f>
        <v>4.969</v>
      </c>
      <c r="H406" s="4" t="str">
        <f>HYPERLINK("http://141.218.60.56/~jnz1568/getInfo.php?workbook=01_01.xlsx&amp;sheet=U0&amp;row=406&amp;col=8&amp;number=5.366&amp;sourceID=17","5.366")</f>
        <v>5.366</v>
      </c>
      <c r="I406" s="4" t="str">
        <f>HYPERLINK("http://141.218.60.56/~jnz1568/getInfo.php?workbook=01_01.xlsx&amp;sheet=U0&amp;row=406&amp;col=9&amp;number=1.73&amp;sourceID=17","1.73")</f>
        <v>1.73</v>
      </c>
    </row>
    <row r="407" spans="1:9">
      <c r="A407" s="3"/>
      <c r="B407" s="3"/>
      <c r="C407" s="3"/>
      <c r="D407" s="3"/>
      <c r="E407" s="3">
        <v>8</v>
      </c>
      <c r="F407" s="4" t="str">
        <f>HYPERLINK("http://141.218.60.56/~jnz1568/getInfo.php?workbook=01_01.xlsx&amp;sheet=U0&amp;row=407&amp;col=6&amp;number=4.602&amp;sourceID=16","4.602")</f>
        <v>4.602</v>
      </c>
      <c r="G407" s="4" t="str">
        <f>HYPERLINK("http://141.218.60.56/~jnz1568/getInfo.php?workbook=01_01.xlsx&amp;sheet=U0&amp;row=407&amp;col=7&amp;number=4.802&amp;sourceID=16","4.802")</f>
        <v>4.802</v>
      </c>
      <c r="H407" s="4" t="str">
        <f>HYPERLINK("http://141.218.60.56/~jnz1568/getInfo.php?workbook=01_01.xlsx&amp;sheet=U0&amp;row=407&amp;col=8&amp;number=5.463&amp;sourceID=17","5.463")</f>
        <v>5.463</v>
      </c>
      <c r="I407" s="4" t="str">
        <f>HYPERLINK("http://141.218.60.56/~jnz1568/getInfo.php?workbook=01_01.xlsx&amp;sheet=U0&amp;row=407&amp;col=9&amp;number=1.68&amp;sourceID=17","1.68")</f>
        <v>1.68</v>
      </c>
    </row>
    <row r="408" spans="1:9">
      <c r="A408" s="3"/>
      <c r="B408" s="3"/>
      <c r="C408" s="3"/>
      <c r="D408" s="3"/>
      <c r="E408" s="3">
        <v>9</v>
      </c>
      <c r="F408" s="4" t="str">
        <f>HYPERLINK("http://141.218.60.56/~jnz1568/getInfo.php?workbook=01_01.xlsx&amp;sheet=U0&amp;row=408&amp;col=6&amp;number=4.699&amp;sourceID=16","4.699")</f>
        <v>4.699</v>
      </c>
      <c r="G408" s="4" t="str">
        <f>HYPERLINK("http://141.218.60.56/~jnz1568/getInfo.php?workbook=01_01.xlsx&amp;sheet=U0&amp;row=408&amp;col=7&amp;number=4.634&amp;sourceID=16","4.634")</f>
        <v>4.634</v>
      </c>
      <c r="H408" s="4" t="str">
        <f>HYPERLINK("http://141.218.60.56/~jnz1568/getInfo.php?workbook=01_01.xlsx&amp;sheet=U0&amp;row=408&amp;col=8&amp;number=&amp;sourceID=17","")</f>
        <v/>
      </c>
      <c r="I408" s="4" t="str">
        <f>HYPERLINK("http://141.218.60.56/~jnz1568/getInfo.php?workbook=01_01.xlsx&amp;sheet=U0&amp;row=408&amp;col=9&amp;number=&amp;sourceID=17","")</f>
        <v/>
      </c>
    </row>
    <row r="409" spans="1:9">
      <c r="A409" s="3">
        <v>1</v>
      </c>
      <c r="B409" s="3">
        <v>1</v>
      </c>
      <c r="C409" s="3">
        <v>11</v>
      </c>
      <c r="D409" s="3">
        <v>7</v>
      </c>
      <c r="E409" s="3">
        <v>1</v>
      </c>
      <c r="F409" s="4" t="str">
        <f>HYPERLINK("http://141.218.60.56/~jnz1568/getInfo.php?workbook=01_01.xlsx&amp;sheet=U0&amp;row=409&amp;col=6&amp;number==LOG10(2500)&amp;sourceID=16","=LOG10(2500)")</f>
        <v>=LOG10(2500)</v>
      </c>
      <c r="G409" s="4" t="str">
        <f>HYPERLINK("http://141.218.60.56/~jnz1568/getInfo.php?workbook=01_01.xlsx&amp;sheet=U0&amp;row=409&amp;col=7&amp;number=4.216&amp;sourceID=16","4.216")</f>
        <v>4.216</v>
      </c>
      <c r="H409" s="4" t="str">
        <f>HYPERLINK("http://141.218.60.56/~jnz1568/getInfo.php?workbook=01_01.xlsx&amp;sheet=U0&amp;row=409&amp;col=8&amp;number=3.764&amp;sourceID=17","3.764")</f>
        <v>3.764</v>
      </c>
      <c r="I409" s="4" t="str">
        <f>HYPERLINK("http://141.218.60.56/~jnz1568/getInfo.php?workbook=01_01.xlsx&amp;sheet=U0&amp;row=409&amp;col=9&amp;number=6.73&amp;sourceID=17","6.73")</f>
        <v>6.73</v>
      </c>
    </row>
    <row r="410" spans="1:9">
      <c r="A410" s="3"/>
      <c r="B410" s="3"/>
      <c r="C410" s="3"/>
      <c r="D410" s="3"/>
      <c r="E410" s="3">
        <v>2</v>
      </c>
      <c r="F410" s="4" t="str">
        <f>HYPERLINK("http://141.218.60.56/~jnz1568/getInfo.php?workbook=01_01.xlsx&amp;sheet=U0&amp;row=410&amp;col=6&amp;number=3.699&amp;sourceID=16","3.699")</f>
        <v>3.699</v>
      </c>
      <c r="G410" s="4" t="str">
        <f>HYPERLINK("http://141.218.60.56/~jnz1568/getInfo.php?workbook=01_01.xlsx&amp;sheet=U0&amp;row=410&amp;col=7&amp;number=6.981&amp;sourceID=16","6.981")</f>
        <v>6.981</v>
      </c>
      <c r="H410" s="4" t="str">
        <f>HYPERLINK("http://141.218.60.56/~jnz1568/getInfo.php?workbook=01_01.xlsx&amp;sheet=U0&amp;row=410&amp;col=8&amp;number=4.064&amp;sourceID=17","4.064")</f>
        <v>4.064</v>
      </c>
      <c r="I410" s="4" t="str">
        <f>HYPERLINK("http://141.218.60.56/~jnz1568/getInfo.php?workbook=01_01.xlsx&amp;sheet=U0&amp;row=410&amp;col=9&amp;number=15.8&amp;sourceID=17","15.8")</f>
        <v>15.8</v>
      </c>
    </row>
    <row r="411" spans="1:9">
      <c r="A411" s="3"/>
      <c r="B411" s="3"/>
      <c r="C411" s="3"/>
      <c r="D411" s="3"/>
      <c r="E411" s="3">
        <v>3</v>
      </c>
      <c r="F411" s="4" t="str">
        <f>HYPERLINK("http://141.218.60.56/~jnz1568/getInfo.php?workbook=01_01.xlsx&amp;sheet=U0&amp;row=411&amp;col=6&amp;number=3.875&amp;sourceID=16","3.875")</f>
        <v>3.875</v>
      </c>
      <c r="G411" s="4" t="str">
        <f>HYPERLINK("http://141.218.60.56/~jnz1568/getInfo.php?workbook=01_01.xlsx&amp;sheet=U0&amp;row=411&amp;col=7&amp;number=10.89&amp;sourceID=16","10.89")</f>
        <v>10.89</v>
      </c>
      <c r="H411" s="4" t="str">
        <f>HYPERLINK("http://141.218.60.56/~jnz1568/getInfo.php?workbook=01_01.xlsx&amp;sheet=U0&amp;row=411&amp;col=8&amp;number=4.542&amp;sourceID=17","4.542")</f>
        <v>4.542</v>
      </c>
      <c r="I411" s="4" t="str">
        <f>HYPERLINK("http://141.218.60.56/~jnz1568/getInfo.php?workbook=01_01.xlsx&amp;sheet=U0&amp;row=411&amp;col=9&amp;number=43.4&amp;sourceID=17","43.4")</f>
        <v>43.4</v>
      </c>
    </row>
    <row r="412" spans="1:9">
      <c r="A412" s="3"/>
      <c r="B412" s="3"/>
      <c r="C412" s="3"/>
      <c r="D412" s="3"/>
      <c r="E412" s="3">
        <v>4</v>
      </c>
      <c r="F412" s="4" t="str">
        <f>HYPERLINK("http://141.218.60.56/~jnz1568/getInfo.php?workbook=01_01.xlsx&amp;sheet=U0&amp;row=412&amp;col=6&amp;number=4&amp;sourceID=16","4")</f>
        <v>4</v>
      </c>
      <c r="G412" s="4" t="str">
        <f>HYPERLINK("http://141.218.60.56/~jnz1568/getInfo.php?workbook=01_01.xlsx&amp;sheet=U0&amp;row=412&amp;col=7&amp;number=15.39&amp;sourceID=16","15.39")</f>
        <v>15.39</v>
      </c>
      <c r="H412" s="4" t="str">
        <f>HYPERLINK("http://141.218.60.56/~jnz1568/getInfo.php?workbook=01_01.xlsx&amp;sheet=U0&amp;row=412&amp;col=8&amp;number=4.764&amp;sourceID=17","4.764")</f>
        <v>4.764</v>
      </c>
      <c r="I412" s="4" t="str">
        <f>HYPERLINK("http://141.218.60.56/~jnz1568/getInfo.php?workbook=01_01.xlsx&amp;sheet=U0&amp;row=412&amp;col=9&amp;number=57.6&amp;sourceID=17","57.6")</f>
        <v>57.6</v>
      </c>
    </row>
    <row r="413" spans="1:9">
      <c r="A413" s="3"/>
      <c r="B413" s="3"/>
      <c r="C413" s="3"/>
      <c r="D413" s="3"/>
      <c r="E413" s="3">
        <v>5</v>
      </c>
      <c r="F413" s="4" t="str">
        <f>HYPERLINK("http://141.218.60.56/~jnz1568/getInfo.php?workbook=01_01.xlsx&amp;sheet=U0&amp;row=413&amp;col=6&amp;number=4.176&amp;sourceID=16","4.176")</f>
        <v>4.176</v>
      </c>
      <c r="G413" s="4" t="str">
        <f>HYPERLINK("http://141.218.60.56/~jnz1568/getInfo.php?workbook=01_01.xlsx&amp;sheet=U0&amp;row=413&amp;col=7&amp;number=24.71&amp;sourceID=16","24.71")</f>
        <v>24.71</v>
      </c>
      <c r="H413" s="4" t="str">
        <f>HYPERLINK("http://141.218.60.56/~jnz1568/getInfo.php?workbook=01_01.xlsx&amp;sheet=U0&amp;row=413&amp;col=8&amp;number=5.064&amp;sourceID=17","5.064")</f>
        <v>5.064</v>
      </c>
      <c r="I413" s="4" t="str">
        <f>HYPERLINK("http://141.218.60.56/~jnz1568/getInfo.php?workbook=01_01.xlsx&amp;sheet=U0&amp;row=413&amp;col=9&amp;number=75.1&amp;sourceID=17","75.1")</f>
        <v>75.1</v>
      </c>
    </row>
    <row r="414" spans="1:9">
      <c r="A414" s="3"/>
      <c r="B414" s="3"/>
      <c r="C414" s="3"/>
      <c r="D414" s="3"/>
      <c r="E414" s="3">
        <v>6</v>
      </c>
      <c r="F414" s="4" t="str">
        <f>HYPERLINK("http://141.218.60.56/~jnz1568/getInfo.php?workbook=01_01.xlsx&amp;sheet=U0&amp;row=414&amp;col=6&amp;number=4.301&amp;sourceID=16","4.301")</f>
        <v>4.301</v>
      </c>
      <c r="G414" s="4" t="str">
        <f>HYPERLINK("http://141.218.60.56/~jnz1568/getInfo.php?workbook=01_01.xlsx&amp;sheet=U0&amp;row=414&amp;col=7&amp;number=33.63&amp;sourceID=16","33.63")</f>
        <v>33.63</v>
      </c>
      <c r="H414" s="4" t="str">
        <f>HYPERLINK("http://141.218.60.56/~jnz1568/getInfo.php?workbook=01_01.xlsx&amp;sheet=U0&amp;row=414&amp;col=8&amp;number=5.241&amp;sourceID=17","5.241")</f>
        <v>5.241</v>
      </c>
      <c r="I414" s="4" t="str">
        <f>HYPERLINK("http://141.218.60.56/~jnz1568/getInfo.php?workbook=01_01.xlsx&amp;sheet=U0&amp;row=414&amp;col=9&amp;number=84.3&amp;sourceID=17","84.3")</f>
        <v>84.3</v>
      </c>
    </row>
    <row r="415" spans="1:9">
      <c r="A415" s="3"/>
      <c r="B415" s="3"/>
      <c r="C415" s="3"/>
      <c r="D415" s="3"/>
      <c r="E415" s="3">
        <v>7</v>
      </c>
      <c r="F415" s="4" t="str">
        <f>HYPERLINK("http://141.218.60.56/~jnz1568/getInfo.php?workbook=01_01.xlsx&amp;sheet=U0&amp;row=415&amp;col=6&amp;number=4.477&amp;sourceID=16","4.477")</f>
        <v>4.477</v>
      </c>
      <c r="G415" s="4" t="str">
        <f>HYPERLINK("http://141.218.60.56/~jnz1568/getInfo.php?workbook=01_01.xlsx&amp;sheet=U0&amp;row=415&amp;col=7&amp;number=49.44&amp;sourceID=16","49.44")</f>
        <v>49.44</v>
      </c>
      <c r="H415" s="4" t="str">
        <f>HYPERLINK("http://141.218.60.56/~jnz1568/getInfo.php?workbook=01_01.xlsx&amp;sheet=U0&amp;row=415&amp;col=8&amp;number=5.366&amp;sourceID=17","5.366")</f>
        <v>5.366</v>
      </c>
      <c r="I415" s="4" t="str">
        <f>HYPERLINK("http://141.218.60.56/~jnz1568/getInfo.php?workbook=01_01.xlsx&amp;sheet=U0&amp;row=415&amp;col=9&amp;number=90.4&amp;sourceID=17","90.4")</f>
        <v>90.4</v>
      </c>
    </row>
    <row r="416" spans="1:9">
      <c r="A416" s="3"/>
      <c r="B416" s="3"/>
      <c r="C416" s="3"/>
      <c r="D416" s="3"/>
      <c r="E416" s="3">
        <v>8</v>
      </c>
      <c r="F416" s="4" t="str">
        <f>HYPERLINK("http://141.218.60.56/~jnz1568/getInfo.php?workbook=01_01.xlsx&amp;sheet=U0&amp;row=416&amp;col=6&amp;number=4.602&amp;sourceID=16","4.602")</f>
        <v>4.602</v>
      </c>
      <c r="G416" s="4" t="str">
        <f>HYPERLINK("http://141.218.60.56/~jnz1568/getInfo.php?workbook=01_01.xlsx&amp;sheet=U0&amp;row=416&amp;col=7&amp;number=62.46&amp;sourceID=16","62.46")</f>
        <v>62.46</v>
      </c>
      <c r="H416" s="4" t="str">
        <f>HYPERLINK("http://141.218.60.56/~jnz1568/getInfo.php?workbook=01_01.xlsx&amp;sheet=U0&amp;row=416&amp;col=8&amp;number=5.463&amp;sourceID=17","5.463")</f>
        <v>5.463</v>
      </c>
      <c r="I416" s="4" t="str">
        <f>HYPERLINK("http://141.218.60.56/~jnz1568/getInfo.php?workbook=01_01.xlsx&amp;sheet=U0&amp;row=416&amp;col=9&amp;number=94.8&amp;sourceID=17","94.8")</f>
        <v>94.8</v>
      </c>
    </row>
    <row r="417" spans="1:9">
      <c r="A417" s="3"/>
      <c r="B417" s="3"/>
      <c r="C417" s="3"/>
      <c r="D417" s="3"/>
      <c r="E417" s="3">
        <v>9</v>
      </c>
      <c r="F417" s="4" t="str">
        <f>HYPERLINK("http://141.218.60.56/~jnz1568/getInfo.php?workbook=01_01.xlsx&amp;sheet=U0&amp;row=417&amp;col=6&amp;number=4.699&amp;sourceID=16","4.699")</f>
        <v>4.699</v>
      </c>
      <c r="G417" s="4" t="str">
        <f>HYPERLINK("http://141.218.60.56/~jnz1568/getInfo.php?workbook=01_01.xlsx&amp;sheet=U0&amp;row=417&amp;col=7&amp;number=73.4&amp;sourceID=16","73.4")</f>
        <v>73.4</v>
      </c>
      <c r="H417" s="4" t="str">
        <f>HYPERLINK("http://141.218.60.56/~jnz1568/getInfo.php?workbook=01_01.xlsx&amp;sheet=U0&amp;row=417&amp;col=8&amp;number=&amp;sourceID=17","")</f>
        <v/>
      </c>
      <c r="I417" s="4" t="str">
        <f>HYPERLINK("http://141.218.60.56/~jnz1568/getInfo.php?workbook=01_01.xlsx&amp;sheet=U0&amp;row=417&amp;col=9&amp;number=&amp;sourceID=17","")</f>
        <v/>
      </c>
    </row>
    <row r="418" spans="1:9">
      <c r="A418" s="3">
        <v>1</v>
      </c>
      <c r="B418" s="3">
        <v>1</v>
      </c>
      <c r="C418" s="3">
        <v>11</v>
      </c>
      <c r="D418" s="3">
        <v>8</v>
      </c>
      <c r="E418" s="3">
        <v>1</v>
      </c>
      <c r="F418" s="4" t="str">
        <f>HYPERLINK("http://141.218.60.56/~jnz1568/getInfo.php?workbook=01_01.xlsx&amp;sheet=U0&amp;row=418&amp;col=6&amp;number==LOG10(2500)&amp;sourceID=16","=LOG10(2500)")</f>
        <v>=LOG10(2500)</v>
      </c>
      <c r="G418" s="4" t="str">
        <f>HYPERLINK("http://141.218.60.56/~jnz1568/getInfo.php?workbook=01_01.xlsx&amp;sheet=U0&amp;row=418&amp;col=7&amp;number=9.549&amp;sourceID=16","9.549")</f>
        <v>9.549</v>
      </c>
      <c r="H418" s="4" t="str">
        <f>HYPERLINK("http://141.218.60.56/~jnz1568/getInfo.php?workbook=01_01.xlsx&amp;sheet=U0&amp;row=418&amp;col=8&amp;number=3.764&amp;sourceID=17","3.764")</f>
        <v>3.764</v>
      </c>
      <c r="I418" s="4" t="str">
        <f>HYPERLINK("http://141.218.60.56/~jnz1568/getInfo.php?workbook=01_01.xlsx&amp;sheet=U0&amp;row=418&amp;col=9&amp;number=11&amp;sourceID=17","11")</f>
        <v>11</v>
      </c>
    </row>
    <row r="419" spans="1:9">
      <c r="A419" s="3"/>
      <c r="B419" s="3"/>
      <c r="C419" s="3"/>
      <c r="D419" s="3"/>
      <c r="E419" s="3">
        <v>2</v>
      </c>
      <c r="F419" s="4" t="str">
        <f>HYPERLINK("http://141.218.60.56/~jnz1568/getInfo.php?workbook=01_01.xlsx&amp;sheet=U0&amp;row=419&amp;col=6&amp;number=3.699&amp;sourceID=16","3.699")</f>
        <v>3.699</v>
      </c>
      <c r="G419" s="4" t="str">
        <f>HYPERLINK("http://141.218.60.56/~jnz1568/getInfo.php?workbook=01_01.xlsx&amp;sheet=U0&amp;row=419&amp;col=7&amp;number=15.07&amp;sourceID=16","15.07")</f>
        <v>15.07</v>
      </c>
      <c r="H419" s="4" t="str">
        <f>HYPERLINK("http://141.218.60.56/~jnz1568/getInfo.php?workbook=01_01.xlsx&amp;sheet=U0&amp;row=419&amp;col=8&amp;number=4.064&amp;sourceID=17","4.064")</f>
        <v>4.064</v>
      </c>
      <c r="I419" s="4" t="str">
        <f>HYPERLINK("http://141.218.60.56/~jnz1568/getInfo.php?workbook=01_01.xlsx&amp;sheet=U0&amp;row=419&amp;col=9&amp;number=18.1&amp;sourceID=17","18.1")</f>
        <v>18.1</v>
      </c>
    </row>
    <row r="420" spans="1:9">
      <c r="A420" s="3"/>
      <c r="B420" s="3"/>
      <c r="C420" s="3"/>
      <c r="D420" s="3"/>
      <c r="E420" s="3">
        <v>3</v>
      </c>
      <c r="F420" s="4" t="str">
        <f>HYPERLINK("http://141.218.60.56/~jnz1568/getInfo.php?workbook=01_01.xlsx&amp;sheet=U0&amp;row=420&amp;col=6&amp;number=3.875&amp;sourceID=16","3.875")</f>
        <v>3.875</v>
      </c>
      <c r="G420" s="4" t="str">
        <f>HYPERLINK("http://141.218.60.56/~jnz1568/getInfo.php?workbook=01_01.xlsx&amp;sheet=U0&amp;row=420&amp;col=7&amp;number=20.05&amp;sourceID=16","20.05")</f>
        <v>20.05</v>
      </c>
      <c r="H420" s="4" t="str">
        <f>HYPERLINK("http://141.218.60.56/~jnz1568/getInfo.php?workbook=01_01.xlsx&amp;sheet=U0&amp;row=420&amp;col=8&amp;number=4.542&amp;sourceID=17","4.542")</f>
        <v>4.542</v>
      </c>
      <c r="I420" s="4" t="str">
        <f>HYPERLINK("http://141.218.60.56/~jnz1568/getInfo.php?workbook=01_01.xlsx&amp;sheet=U0&amp;row=420&amp;col=9&amp;number=29.5&amp;sourceID=17","29.5")</f>
        <v>29.5</v>
      </c>
    </row>
    <row r="421" spans="1:9">
      <c r="A421" s="3"/>
      <c r="B421" s="3"/>
      <c r="C421" s="3"/>
      <c r="D421" s="3"/>
      <c r="E421" s="3">
        <v>4</v>
      </c>
      <c r="F421" s="4" t="str">
        <f>HYPERLINK("http://141.218.60.56/~jnz1568/getInfo.php?workbook=01_01.xlsx&amp;sheet=U0&amp;row=421&amp;col=6&amp;number=4&amp;sourceID=16","4")</f>
        <v>4</v>
      </c>
      <c r="G421" s="4" t="str">
        <f>HYPERLINK("http://141.218.60.56/~jnz1568/getInfo.php?workbook=01_01.xlsx&amp;sheet=U0&amp;row=421&amp;col=7&amp;number=24.56&amp;sourceID=16","24.56")</f>
        <v>24.56</v>
      </c>
      <c r="H421" s="4" t="str">
        <f>HYPERLINK("http://141.218.60.56/~jnz1568/getInfo.php?workbook=01_01.xlsx&amp;sheet=U0&amp;row=421&amp;col=8&amp;number=4.764&amp;sourceID=17","4.764")</f>
        <v>4.764</v>
      </c>
      <c r="I421" s="4" t="str">
        <f>HYPERLINK("http://141.218.60.56/~jnz1568/getInfo.php?workbook=01_01.xlsx&amp;sheet=U0&amp;row=421&amp;col=9&amp;number=34.5&amp;sourceID=17","34.5")</f>
        <v>34.5</v>
      </c>
    </row>
    <row r="422" spans="1:9">
      <c r="A422" s="3"/>
      <c r="B422" s="3"/>
      <c r="C422" s="3"/>
      <c r="D422" s="3"/>
      <c r="E422" s="3">
        <v>5</v>
      </c>
      <c r="F422" s="4" t="str">
        <f>HYPERLINK("http://141.218.60.56/~jnz1568/getInfo.php?workbook=01_01.xlsx&amp;sheet=U0&amp;row=422&amp;col=6&amp;number=4.176&amp;sourceID=16","4.176")</f>
        <v>4.176</v>
      </c>
      <c r="G422" s="4" t="str">
        <f>HYPERLINK("http://141.218.60.56/~jnz1568/getInfo.php?workbook=01_01.xlsx&amp;sheet=U0&amp;row=422&amp;col=7&amp;number=31.9&amp;sourceID=16","31.9")</f>
        <v>31.9</v>
      </c>
      <c r="H422" s="4" t="str">
        <f>HYPERLINK("http://141.218.60.56/~jnz1568/getInfo.php?workbook=01_01.xlsx&amp;sheet=U0&amp;row=422&amp;col=8&amp;number=5.064&amp;sourceID=17","5.064")</f>
        <v>5.064</v>
      </c>
      <c r="I422" s="4" t="str">
        <f>HYPERLINK("http://141.218.60.56/~jnz1568/getInfo.php?workbook=01_01.xlsx&amp;sheet=U0&amp;row=422&amp;col=9&amp;number=44.6&amp;sourceID=17","44.6")</f>
        <v>44.6</v>
      </c>
    </row>
    <row r="423" spans="1:9">
      <c r="A423" s="3"/>
      <c r="B423" s="3"/>
      <c r="C423" s="3"/>
      <c r="D423" s="3"/>
      <c r="E423" s="3">
        <v>6</v>
      </c>
      <c r="F423" s="4" t="str">
        <f>HYPERLINK("http://141.218.60.56/~jnz1568/getInfo.php?workbook=01_01.xlsx&amp;sheet=U0&amp;row=423&amp;col=6&amp;number=4.301&amp;sourceID=16","4.301")</f>
        <v>4.301</v>
      </c>
      <c r="G423" s="4" t="str">
        <f>HYPERLINK("http://141.218.60.56/~jnz1568/getInfo.php?workbook=01_01.xlsx&amp;sheet=U0&amp;row=423&amp;col=7&amp;number=37.74&amp;sourceID=16","37.74")</f>
        <v>37.74</v>
      </c>
      <c r="H423" s="4" t="str">
        <f>HYPERLINK("http://141.218.60.56/~jnz1568/getInfo.php?workbook=01_01.xlsx&amp;sheet=U0&amp;row=423&amp;col=8&amp;number=5.241&amp;sourceID=17","5.241")</f>
        <v>5.241</v>
      </c>
      <c r="I423" s="4" t="str">
        <f>HYPERLINK("http://141.218.60.56/~jnz1568/getInfo.php?workbook=01_01.xlsx&amp;sheet=U0&amp;row=423&amp;col=9&amp;number=53.7&amp;sourceID=17","53.7")</f>
        <v>53.7</v>
      </c>
    </row>
    <row r="424" spans="1:9">
      <c r="A424" s="3"/>
      <c r="B424" s="3"/>
      <c r="C424" s="3"/>
      <c r="D424" s="3"/>
      <c r="E424" s="3">
        <v>7</v>
      </c>
      <c r="F424" s="4" t="str">
        <f>HYPERLINK("http://141.218.60.56/~jnz1568/getInfo.php?workbook=01_01.xlsx&amp;sheet=U0&amp;row=424&amp;col=6&amp;number=4.477&amp;sourceID=16","4.477")</f>
        <v>4.477</v>
      </c>
      <c r="G424" s="4" t="str">
        <f>HYPERLINK("http://141.218.60.56/~jnz1568/getInfo.php?workbook=01_01.xlsx&amp;sheet=U0&amp;row=424&amp;col=7&amp;number=45.23&amp;sourceID=16","45.23")</f>
        <v>45.23</v>
      </c>
      <c r="H424" s="4" t="str">
        <f>HYPERLINK("http://141.218.60.56/~jnz1568/getInfo.php?workbook=01_01.xlsx&amp;sheet=U0&amp;row=424&amp;col=8&amp;number=5.366&amp;sourceID=17","5.366")</f>
        <v>5.366</v>
      </c>
      <c r="I424" s="4" t="str">
        <f>HYPERLINK("http://141.218.60.56/~jnz1568/getInfo.php?workbook=01_01.xlsx&amp;sheet=U0&amp;row=424&amp;col=9&amp;number=61.9&amp;sourceID=17","61.9")</f>
        <v>61.9</v>
      </c>
    </row>
    <row r="425" spans="1:9">
      <c r="A425" s="3"/>
      <c r="B425" s="3"/>
      <c r="C425" s="3"/>
      <c r="D425" s="3"/>
      <c r="E425" s="3">
        <v>8</v>
      </c>
      <c r="F425" s="4" t="str">
        <f>HYPERLINK("http://141.218.60.56/~jnz1568/getInfo.php?workbook=01_01.xlsx&amp;sheet=U0&amp;row=425&amp;col=6&amp;number=4.602&amp;sourceID=16","4.602")</f>
        <v>4.602</v>
      </c>
      <c r="G425" s="4" t="str">
        <f>HYPERLINK("http://141.218.60.56/~jnz1568/getInfo.php?workbook=01_01.xlsx&amp;sheet=U0&amp;row=425&amp;col=7&amp;number=50.48&amp;sourceID=16","50.48")</f>
        <v>50.48</v>
      </c>
      <c r="H425" s="4" t="str">
        <f>HYPERLINK("http://141.218.60.56/~jnz1568/getInfo.php?workbook=01_01.xlsx&amp;sheet=U0&amp;row=425&amp;col=8&amp;number=5.463&amp;sourceID=17","5.463")</f>
        <v>5.463</v>
      </c>
      <c r="I425" s="4" t="str">
        <f>HYPERLINK("http://141.218.60.56/~jnz1568/getInfo.php?workbook=01_01.xlsx&amp;sheet=U0&amp;row=425&amp;col=9&amp;number=69.3&amp;sourceID=17","69.3")</f>
        <v>69.3</v>
      </c>
    </row>
    <row r="426" spans="1:9">
      <c r="A426" s="3"/>
      <c r="B426" s="3"/>
      <c r="C426" s="3"/>
      <c r="D426" s="3"/>
      <c r="E426" s="3">
        <v>9</v>
      </c>
      <c r="F426" s="4" t="str">
        <f>HYPERLINK("http://141.218.60.56/~jnz1568/getInfo.php?workbook=01_01.xlsx&amp;sheet=U0&amp;row=426&amp;col=6&amp;number=4.699&amp;sourceID=16","4.699")</f>
        <v>4.699</v>
      </c>
      <c r="G426" s="4" t="str">
        <f>HYPERLINK("http://141.218.60.56/~jnz1568/getInfo.php?workbook=01_01.xlsx&amp;sheet=U0&amp;row=426&amp;col=7&amp;number=54.24&amp;sourceID=16","54.24")</f>
        <v>54.24</v>
      </c>
      <c r="H426" s="4" t="str">
        <f>HYPERLINK("http://141.218.60.56/~jnz1568/getInfo.php?workbook=01_01.xlsx&amp;sheet=U0&amp;row=426&amp;col=8&amp;number=&amp;sourceID=17","")</f>
        <v/>
      </c>
      <c r="I426" s="4" t="str">
        <f>HYPERLINK("http://141.218.60.56/~jnz1568/getInfo.php?workbook=01_01.xlsx&amp;sheet=U0&amp;row=426&amp;col=9&amp;number=&amp;sourceID=17","")</f>
        <v/>
      </c>
    </row>
    <row r="427" spans="1:9">
      <c r="A427" s="3">
        <v>1</v>
      </c>
      <c r="B427" s="3">
        <v>1</v>
      </c>
      <c r="C427" s="3">
        <v>11</v>
      </c>
      <c r="D427" s="3">
        <v>9</v>
      </c>
      <c r="E427" s="3">
        <v>1</v>
      </c>
      <c r="F427" s="4" t="str">
        <f>HYPERLINK("http://141.218.60.56/~jnz1568/getInfo.php?workbook=01_01.xlsx&amp;sheet=U0&amp;row=427&amp;col=6&amp;number==LOG10(2500)&amp;sourceID=16","=LOG10(2500)")</f>
        <v>=LOG10(2500)</v>
      </c>
      <c r="G427" s="4" t="str">
        <f>HYPERLINK("http://141.218.60.56/~jnz1568/getInfo.php?workbook=01_01.xlsx&amp;sheet=U0&amp;row=427&amp;col=7&amp;number=11.08&amp;sourceID=16","11.08")</f>
        <v>11.08</v>
      </c>
      <c r="H427" s="4" t="str">
        <f>HYPERLINK("http://141.218.60.56/~jnz1568/getInfo.php?workbook=01_01.xlsx&amp;sheet=U0&amp;row=427&amp;col=8&amp;number=3.764&amp;sourceID=17","3.764")</f>
        <v>3.764</v>
      </c>
      <c r="I427" s="4" t="str">
        <f>HYPERLINK("http://141.218.60.56/~jnz1568/getInfo.php?workbook=01_01.xlsx&amp;sheet=U0&amp;row=427&amp;col=9&amp;number=12.7&amp;sourceID=17","12.7")</f>
        <v>12.7</v>
      </c>
    </row>
    <row r="428" spans="1:9">
      <c r="A428" s="3"/>
      <c r="B428" s="3"/>
      <c r="C428" s="3"/>
      <c r="D428" s="3"/>
      <c r="E428" s="3">
        <v>2</v>
      </c>
      <c r="F428" s="4" t="str">
        <f>HYPERLINK("http://141.218.60.56/~jnz1568/getInfo.php?workbook=01_01.xlsx&amp;sheet=U0&amp;row=428&amp;col=6&amp;number=3.699&amp;sourceID=16","3.699")</f>
        <v>3.699</v>
      </c>
      <c r="G428" s="4" t="str">
        <f>HYPERLINK("http://141.218.60.56/~jnz1568/getInfo.php?workbook=01_01.xlsx&amp;sheet=U0&amp;row=428&amp;col=7&amp;number=15.99&amp;sourceID=16","15.99")</f>
        <v>15.99</v>
      </c>
      <c r="H428" s="4" t="str">
        <f>HYPERLINK("http://141.218.60.56/~jnz1568/getInfo.php?workbook=01_01.xlsx&amp;sheet=U0&amp;row=428&amp;col=8&amp;number=4.064&amp;sourceID=17","4.064")</f>
        <v>4.064</v>
      </c>
      <c r="I428" s="4" t="str">
        <f>HYPERLINK("http://141.218.60.56/~jnz1568/getInfo.php?workbook=01_01.xlsx&amp;sheet=U0&amp;row=428&amp;col=9&amp;number=16&amp;sourceID=17","16")</f>
        <v>16</v>
      </c>
    </row>
    <row r="429" spans="1:9">
      <c r="A429" s="3"/>
      <c r="B429" s="3"/>
      <c r="C429" s="3"/>
      <c r="D429" s="3"/>
      <c r="E429" s="3">
        <v>3</v>
      </c>
      <c r="F429" s="4" t="str">
        <f>HYPERLINK("http://141.218.60.56/~jnz1568/getInfo.php?workbook=01_01.xlsx&amp;sheet=U0&amp;row=429&amp;col=6&amp;number=3.875&amp;sourceID=16","3.875")</f>
        <v>3.875</v>
      </c>
      <c r="G429" s="4" t="str">
        <f>HYPERLINK("http://141.218.60.56/~jnz1568/getInfo.php?workbook=01_01.xlsx&amp;sheet=U0&amp;row=429&amp;col=7&amp;number=18.93&amp;sourceID=16","18.93")</f>
        <v>18.93</v>
      </c>
      <c r="H429" s="4" t="str">
        <f>HYPERLINK("http://141.218.60.56/~jnz1568/getInfo.php?workbook=01_01.xlsx&amp;sheet=U0&amp;row=429&amp;col=8&amp;number=4.542&amp;sourceID=17","4.542")</f>
        <v>4.542</v>
      </c>
      <c r="I429" s="4" t="str">
        <f>HYPERLINK("http://141.218.60.56/~jnz1568/getInfo.php?workbook=01_01.xlsx&amp;sheet=U0&amp;row=429&amp;col=9&amp;number=19&amp;sourceID=17","19")</f>
        <v>19</v>
      </c>
    </row>
    <row r="430" spans="1:9">
      <c r="A430" s="3"/>
      <c r="B430" s="3"/>
      <c r="C430" s="3"/>
      <c r="D430" s="3"/>
      <c r="E430" s="3">
        <v>4</v>
      </c>
      <c r="F430" s="4" t="str">
        <f>HYPERLINK("http://141.218.60.56/~jnz1568/getInfo.php?workbook=01_01.xlsx&amp;sheet=U0&amp;row=430&amp;col=6&amp;number=4&amp;sourceID=16","4")</f>
        <v>4</v>
      </c>
      <c r="G430" s="4" t="str">
        <f>HYPERLINK("http://141.218.60.56/~jnz1568/getInfo.php?workbook=01_01.xlsx&amp;sheet=U0&amp;row=430&amp;col=7&amp;number=21.11&amp;sourceID=16","21.11")</f>
        <v>21.11</v>
      </c>
      <c r="H430" s="4" t="str">
        <f>HYPERLINK("http://141.218.60.56/~jnz1568/getInfo.php?workbook=01_01.xlsx&amp;sheet=U0&amp;row=430&amp;col=8&amp;number=4.764&amp;sourceID=17","4.764")</f>
        <v>4.764</v>
      </c>
      <c r="I430" s="4" t="str">
        <f>HYPERLINK("http://141.218.60.56/~jnz1568/getInfo.php?workbook=01_01.xlsx&amp;sheet=U0&amp;row=430&amp;col=9&amp;number=20.2&amp;sourceID=17","20.2")</f>
        <v>20.2</v>
      </c>
    </row>
    <row r="431" spans="1:9">
      <c r="A431" s="3"/>
      <c r="B431" s="3"/>
      <c r="C431" s="3"/>
      <c r="D431" s="3"/>
      <c r="E431" s="3">
        <v>5</v>
      </c>
      <c r="F431" s="4" t="str">
        <f>HYPERLINK("http://141.218.60.56/~jnz1568/getInfo.php?workbook=01_01.xlsx&amp;sheet=U0&amp;row=431&amp;col=6&amp;number=4.176&amp;sourceID=16","4.176")</f>
        <v>4.176</v>
      </c>
      <c r="G431" s="4" t="str">
        <f>HYPERLINK("http://141.218.60.56/~jnz1568/getInfo.php?workbook=01_01.xlsx&amp;sheet=U0&amp;row=431&amp;col=7&amp;number=24.17&amp;sourceID=16","24.17")</f>
        <v>24.17</v>
      </c>
      <c r="H431" s="4" t="str">
        <f>HYPERLINK("http://141.218.60.56/~jnz1568/getInfo.php?workbook=01_01.xlsx&amp;sheet=U0&amp;row=431&amp;col=8&amp;number=5.064&amp;sourceID=17","5.064")</f>
        <v>5.064</v>
      </c>
      <c r="I431" s="4" t="str">
        <f>HYPERLINK("http://141.218.60.56/~jnz1568/getInfo.php?workbook=01_01.xlsx&amp;sheet=U0&amp;row=431&amp;col=9&amp;number=21.8&amp;sourceID=17","21.8")</f>
        <v>21.8</v>
      </c>
    </row>
    <row r="432" spans="1:9">
      <c r="A432" s="3"/>
      <c r="B432" s="3"/>
      <c r="C432" s="3"/>
      <c r="D432" s="3"/>
      <c r="E432" s="3">
        <v>6</v>
      </c>
      <c r="F432" s="4" t="str">
        <f>HYPERLINK("http://141.218.60.56/~jnz1568/getInfo.php?workbook=01_01.xlsx&amp;sheet=U0&amp;row=432&amp;col=6&amp;number=4.301&amp;sourceID=16","4.301")</f>
        <v>4.301</v>
      </c>
      <c r="G432" s="4" t="str">
        <f>HYPERLINK("http://141.218.60.56/~jnz1568/getInfo.php?workbook=01_01.xlsx&amp;sheet=U0&amp;row=432&amp;col=7&amp;number=26.23&amp;sourceID=16","26.23")</f>
        <v>26.23</v>
      </c>
      <c r="H432" s="4" t="str">
        <f>HYPERLINK("http://141.218.60.56/~jnz1568/getInfo.php?workbook=01_01.xlsx&amp;sheet=U0&amp;row=432&amp;col=8&amp;number=5.241&amp;sourceID=17","5.241")</f>
        <v>5.241</v>
      </c>
      <c r="I432" s="4" t="str">
        <f>HYPERLINK("http://141.218.60.56/~jnz1568/getInfo.php?workbook=01_01.xlsx&amp;sheet=U0&amp;row=432&amp;col=9&amp;number=22.6&amp;sourceID=17","22.6")</f>
        <v>22.6</v>
      </c>
    </row>
    <row r="433" spans="1:9">
      <c r="A433" s="3"/>
      <c r="B433" s="3"/>
      <c r="C433" s="3"/>
      <c r="D433" s="3"/>
      <c r="E433" s="3">
        <v>7</v>
      </c>
      <c r="F433" s="4" t="str">
        <f>HYPERLINK("http://141.218.60.56/~jnz1568/getInfo.php?workbook=01_01.xlsx&amp;sheet=U0&amp;row=433&amp;col=6&amp;number=4.477&amp;sourceID=16","4.477")</f>
        <v>4.477</v>
      </c>
      <c r="G433" s="4" t="str">
        <f>HYPERLINK("http://141.218.60.56/~jnz1568/getInfo.php?workbook=01_01.xlsx&amp;sheet=U0&amp;row=433&amp;col=7&amp;number=28.98&amp;sourceID=16","28.98")</f>
        <v>28.98</v>
      </c>
      <c r="H433" s="4" t="str">
        <f>HYPERLINK("http://141.218.60.56/~jnz1568/getInfo.php?workbook=01_01.xlsx&amp;sheet=U0&amp;row=433&amp;col=8&amp;number=5.366&amp;sourceID=17","5.366")</f>
        <v>5.366</v>
      </c>
      <c r="I433" s="4" t="str">
        <f>HYPERLINK("http://141.218.60.56/~jnz1568/getInfo.php?workbook=01_01.xlsx&amp;sheet=U0&amp;row=433&amp;col=9&amp;number=23.1&amp;sourceID=17","23.1")</f>
        <v>23.1</v>
      </c>
    </row>
    <row r="434" spans="1:9">
      <c r="A434" s="3"/>
      <c r="B434" s="3"/>
      <c r="C434" s="3"/>
      <c r="D434" s="3"/>
      <c r="E434" s="3">
        <v>8</v>
      </c>
      <c r="F434" s="4" t="str">
        <f>HYPERLINK("http://141.218.60.56/~jnz1568/getInfo.php?workbook=01_01.xlsx&amp;sheet=U0&amp;row=434&amp;col=6&amp;number=4.602&amp;sourceID=16","4.602")</f>
        <v>4.602</v>
      </c>
      <c r="G434" s="4" t="str">
        <f>HYPERLINK("http://141.218.60.56/~jnz1568/getInfo.php?workbook=01_01.xlsx&amp;sheet=U0&amp;row=434&amp;col=7&amp;number=30.84&amp;sourceID=16","30.84")</f>
        <v>30.84</v>
      </c>
      <c r="H434" s="4" t="str">
        <f>HYPERLINK("http://141.218.60.56/~jnz1568/getInfo.php?workbook=01_01.xlsx&amp;sheet=U0&amp;row=434&amp;col=8&amp;number=5.463&amp;sourceID=17","5.463")</f>
        <v>5.463</v>
      </c>
      <c r="I434" s="4" t="str">
        <f>HYPERLINK("http://141.218.60.56/~jnz1568/getInfo.php?workbook=01_01.xlsx&amp;sheet=U0&amp;row=434&amp;col=9&amp;number=23.4&amp;sourceID=17","23.4")</f>
        <v>23.4</v>
      </c>
    </row>
    <row r="435" spans="1:9">
      <c r="A435" s="3"/>
      <c r="B435" s="3"/>
      <c r="C435" s="3"/>
      <c r="D435" s="3"/>
      <c r="E435" s="3">
        <v>9</v>
      </c>
      <c r="F435" s="4" t="str">
        <f>HYPERLINK("http://141.218.60.56/~jnz1568/getInfo.php?workbook=01_01.xlsx&amp;sheet=U0&amp;row=435&amp;col=6&amp;number=4.699&amp;sourceID=16","4.699")</f>
        <v>4.699</v>
      </c>
      <c r="G435" s="4" t="str">
        <f>HYPERLINK("http://141.218.60.56/~jnz1568/getInfo.php?workbook=01_01.xlsx&amp;sheet=U0&amp;row=435&amp;col=7&amp;number=32.21&amp;sourceID=16","32.21")</f>
        <v>32.21</v>
      </c>
      <c r="H435" s="4" t="str">
        <f>HYPERLINK("http://141.218.60.56/~jnz1568/getInfo.php?workbook=01_01.xlsx&amp;sheet=U0&amp;row=435&amp;col=8&amp;number=&amp;sourceID=17","")</f>
        <v/>
      </c>
      <c r="I435" s="4" t="str">
        <f>HYPERLINK("http://141.218.60.56/~jnz1568/getInfo.php?workbook=01_01.xlsx&amp;sheet=U0&amp;row=435&amp;col=9&amp;number=&amp;sourceID=17","")</f>
        <v/>
      </c>
    </row>
    <row r="436" spans="1:9">
      <c r="A436" s="3">
        <v>1</v>
      </c>
      <c r="B436" s="3">
        <v>1</v>
      </c>
      <c r="C436" s="3">
        <v>11</v>
      </c>
      <c r="D436" s="3">
        <v>10</v>
      </c>
      <c r="E436" s="3">
        <v>1</v>
      </c>
      <c r="F436" s="4" t="str">
        <f>HYPERLINK("http://141.218.60.56/~jnz1568/getInfo.php?workbook=01_01.xlsx&amp;sheet=U0&amp;row=436&amp;col=6&amp;number==LOG10(2500)&amp;sourceID=16","=LOG10(2500)")</f>
        <v>=LOG10(2500)</v>
      </c>
      <c r="G436" s="4" t="str">
        <f>HYPERLINK("http://141.218.60.56/~jnz1568/getInfo.php?workbook=01_01.xlsx&amp;sheet=U0&amp;row=436&amp;col=7&amp;number=9.38&amp;sourceID=16","9.38")</f>
        <v>9.38</v>
      </c>
      <c r="H436" s="4" t="str">
        <f>HYPERLINK("http://141.218.60.56/~jnz1568/getInfo.php?workbook=01_01.xlsx&amp;sheet=U0&amp;row=436&amp;col=8&amp;number=3.764&amp;sourceID=17","3.764")</f>
        <v>3.764</v>
      </c>
      <c r="I436" s="4" t="str">
        <f>HYPERLINK("http://141.218.60.56/~jnz1568/getInfo.php?workbook=01_01.xlsx&amp;sheet=U0&amp;row=436&amp;col=9&amp;number=10.1&amp;sourceID=17","10.1")</f>
        <v>10.1</v>
      </c>
    </row>
    <row r="437" spans="1:9">
      <c r="A437" s="3"/>
      <c r="B437" s="3"/>
      <c r="C437" s="3"/>
      <c r="D437" s="3"/>
      <c r="E437" s="3">
        <v>2</v>
      </c>
      <c r="F437" s="4" t="str">
        <f>HYPERLINK("http://141.218.60.56/~jnz1568/getInfo.php?workbook=01_01.xlsx&amp;sheet=U0&amp;row=437&amp;col=6&amp;number=3.699&amp;sourceID=16","3.699")</f>
        <v>3.699</v>
      </c>
      <c r="G437" s="4" t="str">
        <f>HYPERLINK("http://141.218.60.56/~jnz1568/getInfo.php?workbook=01_01.xlsx&amp;sheet=U0&amp;row=437&amp;col=7&amp;number=12&amp;sourceID=16","12")</f>
        <v>12</v>
      </c>
      <c r="H437" s="4" t="str">
        <f>HYPERLINK("http://141.218.60.56/~jnz1568/getInfo.php?workbook=01_01.xlsx&amp;sheet=U0&amp;row=437&amp;col=8&amp;number=4.064&amp;sourceID=17","4.064")</f>
        <v>4.064</v>
      </c>
      <c r="I437" s="4" t="str">
        <f>HYPERLINK("http://141.218.60.56/~jnz1568/getInfo.php?workbook=01_01.xlsx&amp;sheet=U0&amp;row=437&amp;col=9&amp;number=10.8&amp;sourceID=17","10.8")</f>
        <v>10.8</v>
      </c>
    </row>
    <row r="438" spans="1:9">
      <c r="A438" s="3"/>
      <c r="B438" s="3"/>
      <c r="C438" s="3"/>
      <c r="D438" s="3"/>
      <c r="E438" s="3">
        <v>3</v>
      </c>
      <c r="F438" s="4" t="str">
        <f>HYPERLINK("http://141.218.60.56/~jnz1568/getInfo.php?workbook=01_01.xlsx&amp;sheet=U0&amp;row=438&amp;col=6&amp;number=3.875&amp;sourceID=16","3.875")</f>
        <v>3.875</v>
      </c>
      <c r="G438" s="4" t="str">
        <f>HYPERLINK("http://141.218.60.56/~jnz1568/getInfo.php?workbook=01_01.xlsx&amp;sheet=U0&amp;row=438&amp;col=7&amp;number=12.84&amp;sourceID=16","12.84")</f>
        <v>12.84</v>
      </c>
      <c r="H438" s="4" t="str">
        <f>HYPERLINK("http://141.218.60.56/~jnz1568/getInfo.php?workbook=01_01.xlsx&amp;sheet=U0&amp;row=438&amp;col=8&amp;number=4.542&amp;sourceID=17","4.542")</f>
        <v>4.542</v>
      </c>
      <c r="I438" s="4" t="str">
        <f>HYPERLINK("http://141.218.60.56/~jnz1568/getInfo.php?workbook=01_01.xlsx&amp;sheet=U0&amp;row=438&amp;col=9&amp;number=9.56&amp;sourceID=17","9.56")</f>
        <v>9.56</v>
      </c>
    </row>
    <row r="439" spans="1:9">
      <c r="A439" s="3"/>
      <c r="B439" s="3"/>
      <c r="C439" s="3"/>
      <c r="D439" s="3"/>
      <c r="E439" s="3">
        <v>4</v>
      </c>
      <c r="F439" s="4" t="str">
        <f>HYPERLINK("http://141.218.60.56/~jnz1568/getInfo.php?workbook=01_01.xlsx&amp;sheet=U0&amp;row=439&amp;col=6&amp;number=4&amp;sourceID=16","4")</f>
        <v>4</v>
      </c>
      <c r="G439" s="4" t="str">
        <f>HYPERLINK("http://141.218.60.56/~jnz1568/getInfo.php?workbook=01_01.xlsx&amp;sheet=U0&amp;row=439&amp;col=7&amp;number=13.2&amp;sourceID=16","13.2")</f>
        <v>13.2</v>
      </c>
      <c r="H439" s="4" t="str">
        <f>HYPERLINK("http://141.218.60.56/~jnz1568/getInfo.php?workbook=01_01.xlsx&amp;sheet=U0&amp;row=439&amp;col=8&amp;number=4.764&amp;sourceID=17","4.764")</f>
        <v>4.764</v>
      </c>
      <c r="I439" s="4" t="str">
        <f>HYPERLINK("http://141.218.60.56/~jnz1568/getInfo.php?workbook=01_01.xlsx&amp;sheet=U0&amp;row=439&amp;col=9&amp;number=8.72&amp;sourceID=17","8.72")</f>
        <v>8.72</v>
      </c>
    </row>
    <row r="440" spans="1:9">
      <c r="A440" s="3"/>
      <c r="B440" s="3"/>
      <c r="C440" s="3"/>
      <c r="D440" s="3"/>
      <c r="E440" s="3">
        <v>5</v>
      </c>
      <c r="F440" s="4" t="str">
        <f>HYPERLINK("http://141.218.60.56/~jnz1568/getInfo.php?workbook=01_01.xlsx&amp;sheet=U0&amp;row=440&amp;col=6&amp;number=4.176&amp;sourceID=16","4.176")</f>
        <v>4.176</v>
      </c>
      <c r="G440" s="4" t="str">
        <f>HYPERLINK("http://141.218.60.56/~jnz1568/getInfo.php?workbook=01_01.xlsx&amp;sheet=U0&amp;row=440&amp;col=7&amp;number=13.38&amp;sourceID=16","13.38")</f>
        <v>13.38</v>
      </c>
      <c r="H440" s="4" t="str">
        <f>HYPERLINK("http://141.218.60.56/~jnz1568/getInfo.php?workbook=01_01.xlsx&amp;sheet=U0&amp;row=440&amp;col=8&amp;number=5.064&amp;sourceID=17","5.064")</f>
        <v>5.064</v>
      </c>
      <c r="I440" s="4" t="str">
        <f>HYPERLINK("http://141.218.60.56/~jnz1568/getInfo.php?workbook=01_01.xlsx&amp;sheet=U0&amp;row=440&amp;col=9&amp;number=7.69&amp;sourceID=17","7.69")</f>
        <v>7.69</v>
      </c>
    </row>
    <row r="441" spans="1:9">
      <c r="A441" s="3"/>
      <c r="B441" s="3"/>
      <c r="C441" s="3"/>
      <c r="D441" s="3"/>
      <c r="E441" s="3">
        <v>6</v>
      </c>
      <c r="F441" s="4" t="str">
        <f>HYPERLINK("http://141.218.60.56/~jnz1568/getInfo.php?workbook=01_01.xlsx&amp;sheet=U0&amp;row=441&amp;col=6&amp;number=4.301&amp;sourceID=16","4.301")</f>
        <v>4.301</v>
      </c>
      <c r="G441" s="4" t="str">
        <f>HYPERLINK("http://141.218.60.56/~jnz1568/getInfo.php?workbook=01_01.xlsx&amp;sheet=U0&amp;row=441&amp;col=7&amp;number=13.37&amp;sourceID=16","13.37")</f>
        <v>13.37</v>
      </c>
      <c r="H441" s="4" t="str">
        <f>HYPERLINK("http://141.218.60.56/~jnz1568/getInfo.php?workbook=01_01.xlsx&amp;sheet=U0&amp;row=441&amp;col=8&amp;number=5.241&amp;sourceID=17","5.241")</f>
        <v>5.241</v>
      </c>
      <c r="I441" s="4" t="str">
        <f>HYPERLINK("http://141.218.60.56/~jnz1568/getInfo.php?workbook=01_01.xlsx&amp;sheet=U0&amp;row=441&amp;col=9&amp;number=7.15&amp;sourceID=17","7.15")</f>
        <v>7.15</v>
      </c>
    </row>
    <row r="442" spans="1:9">
      <c r="A442" s="3"/>
      <c r="B442" s="3"/>
      <c r="C442" s="3"/>
      <c r="D442" s="3"/>
      <c r="E442" s="3">
        <v>7</v>
      </c>
      <c r="F442" s="4" t="str">
        <f>HYPERLINK("http://141.218.60.56/~jnz1568/getInfo.php?workbook=01_01.xlsx&amp;sheet=U0&amp;row=442&amp;col=6&amp;number=4.477&amp;sourceID=16","4.477")</f>
        <v>4.477</v>
      </c>
      <c r="G442" s="4" t="str">
        <f>HYPERLINK("http://141.218.60.56/~jnz1568/getInfo.php?workbook=01_01.xlsx&amp;sheet=U0&amp;row=442&amp;col=7&amp;number=13.15&amp;sourceID=16","13.15")</f>
        <v>13.15</v>
      </c>
      <c r="H442" s="4" t="str">
        <f>HYPERLINK("http://141.218.60.56/~jnz1568/getInfo.php?workbook=01_01.xlsx&amp;sheet=U0&amp;row=442&amp;col=8&amp;number=5.366&amp;sourceID=17","5.366")</f>
        <v>5.366</v>
      </c>
      <c r="I442" s="4" t="str">
        <f>HYPERLINK("http://141.218.60.56/~jnz1568/getInfo.php?workbook=01_01.xlsx&amp;sheet=U0&amp;row=442&amp;col=9&amp;number=6.8&amp;sourceID=17","6.8")</f>
        <v>6.8</v>
      </c>
    </row>
    <row r="443" spans="1:9">
      <c r="A443" s="3"/>
      <c r="B443" s="3"/>
      <c r="C443" s="3"/>
      <c r="D443" s="3"/>
      <c r="E443" s="3">
        <v>8</v>
      </c>
      <c r="F443" s="4" t="str">
        <f>HYPERLINK("http://141.218.60.56/~jnz1568/getInfo.php?workbook=01_01.xlsx&amp;sheet=U0&amp;row=443&amp;col=6&amp;number=4.602&amp;sourceID=16","4.602")</f>
        <v>4.602</v>
      </c>
      <c r="G443" s="4" t="str">
        <f>HYPERLINK("http://141.218.60.56/~jnz1568/getInfo.php?workbook=01_01.xlsx&amp;sheet=U0&amp;row=443&amp;col=7&amp;number=12.91&amp;sourceID=16","12.91")</f>
        <v>12.91</v>
      </c>
      <c r="H443" s="4" t="str">
        <f>HYPERLINK("http://141.218.60.56/~jnz1568/getInfo.php?workbook=01_01.xlsx&amp;sheet=U0&amp;row=443&amp;col=8&amp;number=5.463&amp;sourceID=17","5.463")</f>
        <v>5.463</v>
      </c>
      <c r="I443" s="4" t="str">
        <f>HYPERLINK("http://141.218.60.56/~jnz1568/getInfo.php?workbook=01_01.xlsx&amp;sheet=U0&amp;row=443&amp;col=9&amp;number=6.54&amp;sourceID=17","6.54")</f>
        <v>6.54</v>
      </c>
    </row>
    <row r="444" spans="1:9">
      <c r="A444" s="3"/>
      <c r="B444" s="3"/>
      <c r="C444" s="3"/>
      <c r="D444" s="3"/>
      <c r="E444" s="3">
        <v>9</v>
      </c>
      <c r="F444" s="4" t="str">
        <f>HYPERLINK("http://141.218.60.56/~jnz1568/getInfo.php?workbook=01_01.xlsx&amp;sheet=U0&amp;row=444&amp;col=6&amp;number=4.699&amp;sourceID=16","4.699")</f>
        <v>4.699</v>
      </c>
      <c r="G444" s="4" t="str">
        <f>HYPERLINK("http://141.218.60.56/~jnz1568/getInfo.php?workbook=01_01.xlsx&amp;sheet=U0&amp;row=444&amp;col=7&amp;number=12.44&amp;sourceID=16","12.44")</f>
        <v>12.44</v>
      </c>
      <c r="H444" s="4" t="str">
        <f>HYPERLINK("http://141.218.60.56/~jnz1568/getInfo.php?workbook=01_01.xlsx&amp;sheet=U0&amp;row=444&amp;col=8&amp;number=&amp;sourceID=17","")</f>
        <v/>
      </c>
      <c r="I444" s="4" t="str">
        <f>HYPERLINK("http://141.218.60.56/~jnz1568/getInfo.php?workbook=01_01.xlsx&amp;sheet=U0&amp;row=444&amp;col=9&amp;number=&amp;sourceID=17","")</f>
        <v/>
      </c>
    </row>
    <row r="445" spans="1:9">
      <c r="A445" s="3">
        <v>1</v>
      </c>
      <c r="B445" s="3">
        <v>1</v>
      </c>
      <c r="C445" s="3">
        <v>12</v>
      </c>
      <c r="D445" s="3">
        <v>1</v>
      </c>
      <c r="E445" s="3">
        <v>1</v>
      </c>
      <c r="F445" s="4" t="str">
        <f>HYPERLINK("http://141.218.60.56/~jnz1568/getInfo.php?workbook=01_01.xlsx&amp;sheet=U0&amp;row=445&amp;col=6&amp;number==LOG10(2500)&amp;sourceID=16","=LOG10(2500)")</f>
        <v>=LOG10(2500)</v>
      </c>
      <c r="G445" s="4" t="str">
        <f>HYPERLINK("http://141.218.60.56/~jnz1568/getInfo.php?workbook=01_01.xlsx&amp;sheet=U0&amp;row=445&amp;col=7&amp;number=0.03773&amp;sourceID=16","0.03773")</f>
        <v>0.03773</v>
      </c>
      <c r="H445" s="4" t="str">
        <f>HYPERLINK("http://141.218.60.56/~jnz1568/getInfo.php?workbook=01_01.xlsx&amp;sheet=U0&amp;row=445&amp;col=8&amp;number=3.764&amp;sourceID=17","3.764")</f>
        <v>3.764</v>
      </c>
      <c r="I445" s="4" t="str">
        <f>HYPERLINK("http://141.218.60.56/~jnz1568/getInfo.php?workbook=01_01.xlsx&amp;sheet=U0&amp;row=445&amp;col=9&amp;number=0.0269&amp;sourceID=17","0.0269")</f>
        <v>0.0269</v>
      </c>
    </row>
    <row r="446" spans="1:9">
      <c r="A446" s="3"/>
      <c r="B446" s="3"/>
      <c r="C446" s="3"/>
      <c r="D446" s="3"/>
      <c r="E446" s="3">
        <v>2</v>
      </c>
      <c r="F446" s="4" t="str">
        <f>HYPERLINK("http://141.218.60.56/~jnz1568/getInfo.php?workbook=01_01.xlsx&amp;sheet=U0&amp;row=446&amp;col=6&amp;number=3.699&amp;sourceID=16","3.699")</f>
        <v>3.699</v>
      </c>
      <c r="G446" s="4" t="str">
        <f>HYPERLINK("http://141.218.60.56/~jnz1568/getInfo.php?workbook=01_01.xlsx&amp;sheet=U0&amp;row=446&amp;col=7&amp;number=0.05296&amp;sourceID=16","0.05296")</f>
        <v>0.05296</v>
      </c>
      <c r="H446" s="4" t="str">
        <f>HYPERLINK("http://141.218.60.56/~jnz1568/getInfo.php?workbook=01_01.xlsx&amp;sheet=U0&amp;row=446&amp;col=8&amp;number=4.064&amp;sourceID=17","4.064")</f>
        <v>4.064</v>
      </c>
      <c r="I446" s="4" t="str">
        <f>HYPERLINK("http://141.218.60.56/~jnz1568/getInfo.php?workbook=01_01.xlsx&amp;sheet=U0&amp;row=446&amp;col=9&amp;number=0.0315&amp;sourceID=17","0.0315")</f>
        <v>0.0315</v>
      </c>
    </row>
    <row r="447" spans="1:9">
      <c r="A447" s="3"/>
      <c r="B447" s="3"/>
      <c r="C447" s="3"/>
      <c r="D447" s="3"/>
      <c r="E447" s="3">
        <v>3</v>
      </c>
      <c r="F447" s="4" t="str">
        <f>HYPERLINK("http://141.218.60.56/~jnz1568/getInfo.php?workbook=01_01.xlsx&amp;sheet=U0&amp;row=447&amp;col=6&amp;number=3.875&amp;sourceID=16","3.875")</f>
        <v>3.875</v>
      </c>
      <c r="G447" s="4" t="str">
        <f>HYPERLINK("http://141.218.60.56/~jnz1568/getInfo.php?workbook=01_01.xlsx&amp;sheet=U0&amp;row=447&amp;col=7&amp;number=0.06405&amp;sourceID=16","0.06405")</f>
        <v>0.06405</v>
      </c>
      <c r="H447" s="4" t="str">
        <f>HYPERLINK("http://141.218.60.56/~jnz1568/getInfo.php?workbook=01_01.xlsx&amp;sheet=U0&amp;row=447&amp;col=8&amp;number=4.542&amp;sourceID=17","4.542")</f>
        <v>4.542</v>
      </c>
      <c r="I447" s="4" t="str">
        <f>HYPERLINK("http://141.218.60.56/~jnz1568/getInfo.php?workbook=01_01.xlsx&amp;sheet=U0&amp;row=447&amp;col=9&amp;number=0.0404&amp;sourceID=17","0.0404")</f>
        <v>0.0404</v>
      </c>
    </row>
    <row r="448" spans="1:9">
      <c r="A448" s="3"/>
      <c r="B448" s="3"/>
      <c r="C448" s="3"/>
      <c r="D448" s="3"/>
      <c r="E448" s="3">
        <v>4</v>
      </c>
      <c r="F448" s="4" t="str">
        <f>HYPERLINK("http://141.218.60.56/~jnz1568/getInfo.php?workbook=01_01.xlsx&amp;sheet=U0&amp;row=448&amp;col=6&amp;number=4&amp;sourceID=16","4")</f>
        <v>4</v>
      </c>
      <c r="G448" s="4" t="str">
        <f>HYPERLINK("http://141.218.60.56/~jnz1568/getInfo.php?workbook=01_01.xlsx&amp;sheet=U0&amp;row=448&amp;col=7&amp;number=0.07364&amp;sourceID=16","0.07364")</f>
        <v>0.07364</v>
      </c>
      <c r="H448" s="4" t="str">
        <f>HYPERLINK("http://141.218.60.56/~jnz1568/getInfo.php?workbook=01_01.xlsx&amp;sheet=U0&amp;row=448&amp;col=8&amp;number=4.764&amp;sourceID=17","4.764")</f>
        <v>4.764</v>
      </c>
      <c r="I448" s="4" t="str">
        <f>HYPERLINK("http://141.218.60.56/~jnz1568/getInfo.php?workbook=01_01.xlsx&amp;sheet=U0&amp;row=448&amp;col=9&amp;number=0.0477&amp;sourceID=17","0.0477")</f>
        <v>0.0477</v>
      </c>
    </row>
    <row r="449" spans="1:9">
      <c r="A449" s="3"/>
      <c r="B449" s="3"/>
      <c r="C449" s="3"/>
      <c r="D449" s="3"/>
      <c r="E449" s="3">
        <v>5</v>
      </c>
      <c r="F449" s="4" t="str">
        <f>HYPERLINK("http://141.218.60.56/~jnz1568/getInfo.php?workbook=01_01.xlsx&amp;sheet=U0&amp;row=449&amp;col=6&amp;number=4.176&amp;sourceID=16","4.176")</f>
        <v>4.176</v>
      </c>
      <c r="G449" s="4" t="str">
        <f>HYPERLINK("http://141.218.60.56/~jnz1568/getInfo.php?workbook=01_01.xlsx&amp;sheet=U0&amp;row=449&amp;col=7&amp;number=0.08984&amp;sourceID=16","0.08984")</f>
        <v>0.08984</v>
      </c>
      <c r="H449" s="4" t="str">
        <f>HYPERLINK("http://141.218.60.56/~jnz1568/getInfo.php?workbook=01_01.xlsx&amp;sheet=U0&amp;row=449&amp;col=8&amp;number=5.064&amp;sourceID=17","5.064")</f>
        <v>5.064</v>
      </c>
      <c r="I449" s="4" t="str">
        <f>HYPERLINK("http://141.218.60.56/~jnz1568/getInfo.php?workbook=01_01.xlsx&amp;sheet=U0&amp;row=449&amp;col=9&amp;number=0.0634&amp;sourceID=17","0.0634")</f>
        <v>0.0634</v>
      </c>
    </row>
    <row r="450" spans="1:9">
      <c r="A450" s="3"/>
      <c r="B450" s="3"/>
      <c r="C450" s="3"/>
      <c r="D450" s="3"/>
      <c r="E450" s="3">
        <v>6</v>
      </c>
      <c r="F450" s="4" t="str">
        <f>HYPERLINK("http://141.218.60.56/~jnz1568/getInfo.php?workbook=01_01.xlsx&amp;sheet=U0&amp;row=450&amp;col=6&amp;number=4.301&amp;sourceID=16","4.301")</f>
        <v>4.301</v>
      </c>
      <c r="G450" s="4" t="str">
        <f>HYPERLINK("http://141.218.60.56/~jnz1568/getInfo.php?workbook=01_01.xlsx&amp;sheet=U0&amp;row=450&amp;col=7&amp;number=0.1032&amp;sourceID=16","0.1032")</f>
        <v>0.1032</v>
      </c>
      <c r="H450" s="4" t="str">
        <f>HYPERLINK("http://141.218.60.56/~jnz1568/getInfo.php?workbook=01_01.xlsx&amp;sheet=U0&amp;row=450&amp;col=8&amp;number=5.241&amp;sourceID=17","5.241")</f>
        <v>5.241</v>
      </c>
      <c r="I450" s="4" t="str">
        <f>HYPERLINK("http://141.218.60.56/~jnz1568/getInfo.php?workbook=01_01.xlsx&amp;sheet=U0&amp;row=450&amp;col=9&amp;number=0.0759&amp;sourceID=17","0.0759")</f>
        <v>0.0759</v>
      </c>
    </row>
    <row r="451" spans="1:9">
      <c r="A451" s="3"/>
      <c r="B451" s="3"/>
      <c r="C451" s="3"/>
      <c r="D451" s="3"/>
      <c r="E451" s="3">
        <v>7</v>
      </c>
      <c r="F451" s="4" t="str">
        <f>HYPERLINK("http://141.218.60.56/~jnz1568/getInfo.php?workbook=01_01.xlsx&amp;sheet=U0&amp;row=451&amp;col=6&amp;number=4.477&amp;sourceID=16","4.477")</f>
        <v>4.477</v>
      </c>
      <c r="G451" s="4" t="str">
        <f>HYPERLINK("http://141.218.60.56/~jnz1568/getInfo.php?workbook=01_01.xlsx&amp;sheet=U0&amp;row=451&amp;col=7&amp;number=0.1245&amp;sourceID=16","0.1245")</f>
        <v>0.1245</v>
      </c>
      <c r="H451" s="4" t="str">
        <f>HYPERLINK("http://141.218.60.56/~jnz1568/getInfo.php?workbook=01_01.xlsx&amp;sheet=U0&amp;row=451&amp;col=8&amp;number=5.366&amp;sourceID=17","5.366")</f>
        <v>5.366</v>
      </c>
      <c r="I451" s="4" t="str">
        <f>HYPERLINK("http://141.218.60.56/~jnz1568/getInfo.php?workbook=01_01.xlsx&amp;sheet=U0&amp;row=451&amp;col=9&amp;number=0.0865&amp;sourceID=17","0.0865")</f>
        <v>0.0865</v>
      </c>
    </row>
    <row r="452" spans="1:9">
      <c r="A452" s="3"/>
      <c r="B452" s="3"/>
      <c r="C452" s="3"/>
      <c r="D452" s="3"/>
      <c r="E452" s="3">
        <v>8</v>
      </c>
      <c r="F452" s="4" t="str">
        <f>HYPERLINK("http://141.218.60.56/~jnz1568/getInfo.php?workbook=01_01.xlsx&amp;sheet=U0&amp;row=452&amp;col=6&amp;number=4.602&amp;sourceID=16","4.602")</f>
        <v>4.602</v>
      </c>
      <c r="G452" s="4" t="str">
        <f>HYPERLINK("http://141.218.60.56/~jnz1568/getInfo.php?workbook=01_01.xlsx&amp;sheet=U0&amp;row=452&amp;col=7&amp;number=0.1407&amp;sourceID=16","0.1407")</f>
        <v>0.1407</v>
      </c>
      <c r="H452" s="4" t="str">
        <f>HYPERLINK("http://141.218.60.56/~jnz1568/getInfo.php?workbook=01_01.xlsx&amp;sheet=U0&amp;row=452&amp;col=8&amp;number=5.463&amp;sourceID=17","5.463")</f>
        <v>5.463</v>
      </c>
      <c r="I452" s="4" t="str">
        <f>HYPERLINK("http://141.218.60.56/~jnz1568/getInfo.php?workbook=01_01.xlsx&amp;sheet=U0&amp;row=452&amp;col=9&amp;number=0.0957&amp;sourceID=17","0.0957")</f>
        <v>0.0957</v>
      </c>
    </row>
    <row r="453" spans="1:9">
      <c r="A453" s="3"/>
      <c r="B453" s="3"/>
      <c r="C453" s="3"/>
      <c r="D453" s="3"/>
      <c r="E453" s="3">
        <v>9</v>
      </c>
      <c r="F453" s="4" t="str">
        <f>HYPERLINK("http://141.218.60.56/~jnz1568/getInfo.php?workbook=01_01.xlsx&amp;sheet=U0&amp;row=453&amp;col=6&amp;number=4.699&amp;sourceID=16","4.699")</f>
        <v>4.699</v>
      </c>
      <c r="G453" s="4" t="str">
        <f>HYPERLINK("http://141.218.60.56/~jnz1568/getInfo.php?workbook=01_01.xlsx&amp;sheet=U0&amp;row=453&amp;col=7&amp;number=0.1535&amp;sourceID=16","0.1535")</f>
        <v>0.1535</v>
      </c>
      <c r="H453" s="4" t="str">
        <f>HYPERLINK("http://141.218.60.56/~jnz1568/getInfo.php?workbook=01_01.xlsx&amp;sheet=U0&amp;row=453&amp;col=8&amp;number=&amp;sourceID=17","")</f>
        <v/>
      </c>
      <c r="I453" s="4" t="str">
        <f>HYPERLINK("http://141.218.60.56/~jnz1568/getInfo.php?workbook=01_01.xlsx&amp;sheet=U0&amp;row=453&amp;col=9&amp;number=&amp;sourceID=17","")</f>
        <v/>
      </c>
    </row>
    <row r="454" spans="1:9">
      <c r="A454" s="3">
        <v>1</v>
      </c>
      <c r="B454" s="3">
        <v>1</v>
      </c>
      <c r="C454" s="3">
        <v>12</v>
      </c>
      <c r="D454" s="3">
        <v>2</v>
      </c>
      <c r="E454" s="3">
        <v>1</v>
      </c>
      <c r="F454" s="4" t="str">
        <f>HYPERLINK("http://141.218.60.56/~jnz1568/getInfo.php?workbook=01_01.xlsx&amp;sheet=U0&amp;row=454&amp;col=6&amp;number==LOG10(2500)&amp;sourceID=16","=LOG10(2500)")</f>
        <v>=LOG10(2500)</v>
      </c>
      <c r="G454" s="4" t="str">
        <f>HYPERLINK("http://141.218.60.56/~jnz1568/getInfo.php?workbook=01_01.xlsx&amp;sheet=U0&amp;row=454&amp;col=7&amp;number=0.6808&amp;sourceID=16","0.6808")</f>
        <v>0.6808</v>
      </c>
      <c r="H454" s="4" t="str">
        <f>HYPERLINK("http://141.218.60.56/~jnz1568/getInfo.php?workbook=01_01.xlsx&amp;sheet=U0&amp;row=454&amp;col=8&amp;number=3.764&amp;sourceID=17","3.764")</f>
        <v>3.764</v>
      </c>
      <c r="I454" s="4" t="str">
        <f>HYPERLINK("http://141.218.60.56/~jnz1568/getInfo.php?workbook=01_01.xlsx&amp;sheet=U0&amp;row=454&amp;col=9&amp;number=0.42&amp;sourceID=17","0.42")</f>
        <v>0.42</v>
      </c>
    </row>
    <row r="455" spans="1:9">
      <c r="A455" s="3"/>
      <c r="B455" s="3"/>
      <c r="C455" s="3"/>
      <c r="D455" s="3"/>
      <c r="E455" s="3">
        <v>2</v>
      </c>
      <c r="F455" s="4" t="str">
        <f>HYPERLINK("http://141.218.60.56/~jnz1568/getInfo.php?workbook=01_01.xlsx&amp;sheet=U0&amp;row=455&amp;col=6&amp;number=3.699&amp;sourceID=16","3.699")</f>
        <v>3.699</v>
      </c>
      <c r="G455" s="4" t="str">
        <f>HYPERLINK("http://141.218.60.56/~jnz1568/getInfo.php?workbook=01_01.xlsx&amp;sheet=U0&amp;row=455&amp;col=7&amp;number=0.945&amp;sourceID=16","0.945")</f>
        <v>0.945</v>
      </c>
      <c r="H455" s="4" t="str">
        <f>HYPERLINK("http://141.218.60.56/~jnz1568/getInfo.php?workbook=01_01.xlsx&amp;sheet=U0&amp;row=455&amp;col=8&amp;number=4.064&amp;sourceID=17","4.064")</f>
        <v>4.064</v>
      </c>
      <c r="I455" s="4" t="str">
        <f>HYPERLINK("http://141.218.60.56/~jnz1568/getInfo.php?workbook=01_01.xlsx&amp;sheet=U0&amp;row=455&amp;col=9&amp;number=0.518&amp;sourceID=17","0.518")</f>
        <v>0.518</v>
      </c>
    </row>
    <row r="456" spans="1:9">
      <c r="A456" s="3"/>
      <c r="B456" s="3"/>
      <c r="C456" s="3"/>
      <c r="D456" s="3"/>
      <c r="E456" s="3">
        <v>3</v>
      </c>
      <c r="F456" s="4" t="str">
        <f>HYPERLINK("http://141.218.60.56/~jnz1568/getInfo.php?workbook=01_01.xlsx&amp;sheet=U0&amp;row=456&amp;col=6&amp;number=3.875&amp;sourceID=16","3.875")</f>
        <v>3.875</v>
      </c>
      <c r="G456" s="4" t="str">
        <f>HYPERLINK("http://141.218.60.56/~jnz1568/getInfo.php?workbook=01_01.xlsx&amp;sheet=U0&amp;row=456&amp;col=7&amp;number=1.138&amp;sourceID=16","1.138")</f>
        <v>1.138</v>
      </c>
      <c r="H456" s="4" t="str">
        <f>HYPERLINK("http://141.218.60.56/~jnz1568/getInfo.php?workbook=01_01.xlsx&amp;sheet=U0&amp;row=456&amp;col=8&amp;number=4.542&amp;sourceID=17","4.542")</f>
        <v>4.542</v>
      </c>
      <c r="I456" s="4" t="str">
        <f>HYPERLINK("http://141.218.60.56/~jnz1568/getInfo.php?workbook=01_01.xlsx&amp;sheet=U0&amp;row=456&amp;col=9&amp;number=0.714&amp;sourceID=17","0.714")</f>
        <v>0.714</v>
      </c>
    </row>
    <row r="457" spans="1:9">
      <c r="A457" s="3"/>
      <c r="B457" s="3"/>
      <c r="C457" s="3"/>
      <c r="D457" s="3"/>
      <c r="E457" s="3">
        <v>4</v>
      </c>
      <c r="F457" s="4" t="str">
        <f>HYPERLINK("http://141.218.60.56/~jnz1568/getInfo.php?workbook=01_01.xlsx&amp;sheet=U0&amp;row=457&amp;col=6&amp;number=4&amp;sourceID=16","4")</f>
        <v>4</v>
      </c>
      <c r="G457" s="4" t="str">
        <f>HYPERLINK("http://141.218.60.56/~jnz1568/getInfo.php?workbook=01_01.xlsx&amp;sheet=U0&amp;row=457&amp;col=7&amp;number=1.296&amp;sourceID=16","1.296")</f>
        <v>1.296</v>
      </c>
      <c r="H457" s="4" t="str">
        <f>HYPERLINK("http://141.218.60.56/~jnz1568/getInfo.php?workbook=01_01.xlsx&amp;sheet=U0&amp;row=457&amp;col=8&amp;number=4.764&amp;sourceID=17","4.764")</f>
        <v>4.764</v>
      </c>
      <c r="I457" s="4" t="str">
        <f>HYPERLINK("http://141.218.60.56/~jnz1568/getInfo.php?workbook=01_01.xlsx&amp;sheet=U0&amp;row=457&amp;col=9&amp;number=0.868&amp;sourceID=17","0.868")</f>
        <v>0.868</v>
      </c>
    </row>
    <row r="458" spans="1:9">
      <c r="A458" s="3"/>
      <c r="B458" s="3"/>
      <c r="C458" s="3"/>
      <c r="D458" s="3"/>
      <c r="E458" s="3">
        <v>5</v>
      </c>
      <c r="F458" s="4" t="str">
        <f>HYPERLINK("http://141.218.60.56/~jnz1568/getInfo.php?workbook=01_01.xlsx&amp;sheet=U0&amp;row=458&amp;col=6&amp;number=4.176&amp;sourceID=16","4.176")</f>
        <v>4.176</v>
      </c>
      <c r="G458" s="4" t="str">
        <f>HYPERLINK("http://141.218.60.56/~jnz1568/getInfo.php?workbook=01_01.xlsx&amp;sheet=U0&amp;row=458&amp;col=7&amp;number=1.54&amp;sourceID=16","1.54")</f>
        <v>1.54</v>
      </c>
      <c r="H458" s="4" t="str">
        <f>HYPERLINK("http://141.218.60.56/~jnz1568/getInfo.php?workbook=01_01.xlsx&amp;sheet=U0&amp;row=458&amp;col=8&amp;number=5.064&amp;sourceID=17","5.064")</f>
        <v>5.064</v>
      </c>
      <c r="I458" s="4" t="str">
        <f>HYPERLINK("http://141.218.60.56/~jnz1568/getInfo.php?workbook=01_01.xlsx&amp;sheet=U0&amp;row=458&amp;col=9&amp;number=1.21&amp;sourceID=17","1.21")</f>
        <v>1.21</v>
      </c>
    </row>
    <row r="459" spans="1:9">
      <c r="A459" s="3"/>
      <c r="B459" s="3"/>
      <c r="C459" s="3"/>
      <c r="D459" s="3"/>
      <c r="E459" s="3">
        <v>6</v>
      </c>
      <c r="F459" s="4" t="str">
        <f>HYPERLINK("http://141.218.60.56/~jnz1568/getInfo.php?workbook=01_01.xlsx&amp;sheet=U0&amp;row=459&amp;col=6&amp;number=4.301&amp;sourceID=16","4.301")</f>
        <v>4.301</v>
      </c>
      <c r="G459" s="4" t="str">
        <f>HYPERLINK("http://141.218.60.56/~jnz1568/getInfo.php?workbook=01_01.xlsx&amp;sheet=U0&amp;row=459&amp;col=7&amp;number=1.723&amp;sourceID=16","1.723")</f>
        <v>1.723</v>
      </c>
      <c r="H459" s="4" t="str">
        <f>HYPERLINK("http://141.218.60.56/~jnz1568/getInfo.php?workbook=01_01.xlsx&amp;sheet=U0&amp;row=459&amp;col=8&amp;number=5.241&amp;sourceID=17","5.241")</f>
        <v>5.241</v>
      </c>
      <c r="I459" s="4" t="str">
        <f>HYPERLINK("http://141.218.60.56/~jnz1568/getInfo.php?workbook=01_01.xlsx&amp;sheet=U0&amp;row=459&amp;col=9&amp;number=1.49&amp;sourceID=17","1.49")</f>
        <v>1.49</v>
      </c>
    </row>
    <row r="460" spans="1:9">
      <c r="A460" s="3"/>
      <c r="B460" s="3"/>
      <c r="C460" s="3"/>
      <c r="D460" s="3"/>
      <c r="E460" s="3">
        <v>7</v>
      </c>
      <c r="F460" s="4" t="str">
        <f>HYPERLINK("http://141.218.60.56/~jnz1568/getInfo.php?workbook=01_01.xlsx&amp;sheet=U0&amp;row=460&amp;col=6&amp;number=4.477&amp;sourceID=16","4.477")</f>
        <v>4.477</v>
      </c>
      <c r="G460" s="4" t="str">
        <f>HYPERLINK("http://141.218.60.56/~jnz1568/getInfo.php?workbook=01_01.xlsx&amp;sheet=U0&amp;row=460&amp;col=7&amp;number=1.994&amp;sourceID=16","1.994")</f>
        <v>1.994</v>
      </c>
      <c r="H460" s="4" t="str">
        <f>HYPERLINK("http://141.218.60.56/~jnz1568/getInfo.php?workbook=01_01.xlsx&amp;sheet=U0&amp;row=460&amp;col=8&amp;number=5.366&amp;sourceID=17","5.366")</f>
        <v>5.366</v>
      </c>
      <c r="I460" s="4" t="str">
        <f>HYPERLINK("http://141.218.60.56/~jnz1568/getInfo.php?workbook=01_01.xlsx&amp;sheet=U0&amp;row=460&amp;col=9&amp;number=1.73&amp;sourceID=17","1.73")</f>
        <v>1.73</v>
      </c>
    </row>
    <row r="461" spans="1:9">
      <c r="A461" s="3"/>
      <c r="B461" s="3"/>
      <c r="C461" s="3"/>
      <c r="D461" s="3"/>
      <c r="E461" s="3">
        <v>8</v>
      </c>
      <c r="F461" s="4" t="str">
        <f>HYPERLINK("http://141.218.60.56/~jnz1568/getInfo.php?workbook=01_01.xlsx&amp;sheet=U0&amp;row=461&amp;col=6&amp;number=4.602&amp;sourceID=16","4.602")</f>
        <v>4.602</v>
      </c>
      <c r="G461" s="4" t="str">
        <f>HYPERLINK("http://141.218.60.56/~jnz1568/getInfo.php?workbook=01_01.xlsx&amp;sheet=U0&amp;row=461&amp;col=7&amp;number=2.193&amp;sourceID=16","2.193")</f>
        <v>2.193</v>
      </c>
      <c r="H461" s="4" t="str">
        <f>HYPERLINK("http://141.218.60.56/~jnz1568/getInfo.php?workbook=01_01.xlsx&amp;sheet=U0&amp;row=461&amp;col=8&amp;number=5.463&amp;sourceID=17","5.463")</f>
        <v>5.463</v>
      </c>
      <c r="I461" s="4" t="str">
        <f>HYPERLINK("http://141.218.60.56/~jnz1568/getInfo.php?workbook=01_01.xlsx&amp;sheet=U0&amp;row=461&amp;col=9&amp;number=1.93&amp;sourceID=17","1.93")</f>
        <v>1.93</v>
      </c>
    </row>
    <row r="462" spans="1:9">
      <c r="A462" s="3"/>
      <c r="B462" s="3"/>
      <c r="C462" s="3"/>
      <c r="D462" s="3"/>
      <c r="E462" s="3">
        <v>9</v>
      </c>
      <c r="F462" s="4" t="str">
        <f>HYPERLINK("http://141.218.60.56/~jnz1568/getInfo.php?workbook=01_01.xlsx&amp;sheet=U0&amp;row=462&amp;col=6&amp;number=4.699&amp;sourceID=16","4.699")</f>
        <v>4.699</v>
      </c>
      <c r="G462" s="4" t="str">
        <f>HYPERLINK("http://141.218.60.56/~jnz1568/getInfo.php?workbook=01_01.xlsx&amp;sheet=U0&amp;row=462&amp;col=7&amp;number=2.346&amp;sourceID=16","2.346")</f>
        <v>2.346</v>
      </c>
      <c r="H462" s="4" t="str">
        <f>HYPERLINK("http://141.218.60.56/~jnz1568/getInfo.php?workbook=01_01.xlsx&amp;sheet=U0&amp;row=462&amp;col=8&amp;number=&amp;sourceID=17","")</f>
        <v/>
      </c>
      <c r="I462" s="4" t="str">
        <f>HYPERLINK("http://141.218.60.56/~jnz1568/getInfo.php?workbook=01_01.xlsx&amp;sheet=U0&amp;row=462&amp;col=9&amp;number=&amp;sourceID=17","")</f>
        <v/>
      </c>
    </row>
    <row r="463" spans="1:9">
      <c r="A463" s="3">
        <v>1</v>
      </c>
      <c r="B463" s="3">
        <v>1</v>
      </c>
      <c r="C463" s="3">
        <v>12</v>
      </c>
      <c r="D463" s="3">
        <v>3</v>
      </c>
      <c r="E463" s="3">
        <v>1</v>
      </c>
      <c r="F463" s="4" t="str">
        <f>HYPERLINK("http://141.218.60.56/~jnz1568/getInfo.php?workbook=01_01.xlsx&amp;sheet=U0&amp;row=463&amp;col=6&amp;number==LOG10(2500)&amp;sourceID=16","=LOG10(2500)")</f>
        <v>=LOG10(2500)</v>
      </c>
      <c r="G463" s="4" t="str">
        <f>HYPERLINK("http://141.218.60.56/~jnz1568/getInfo.php?workbook=01_01.xlsx&amp;sheet=U0&amp;row=463&amp;col=7&amp;number=1.723&amp;sourceID=16","1.723")</f>
        <v>1.723</v>
      </c>
      <c r="H463" s="4" t="str">
        <f>HYPERLINK("http://141.218.60.56/~jnz1568/getInfo.php?workbook=01_01.xlsx&amp;sheet=U0&amp;row=463&amp;col=8&amp;number=3.764&amp;sourceID=17","3.764")</f>
        <v>3.764</v>
      </c>
      <c r="I463" s="4" t="str">
        <f>HYPERLINK("http://141.218.60.56/~jnz1568/getInfo.php?workbook=01_01.xlsx&amp;sheet=U0&amp;row=463&amp;col=9&amp;number=1.32&amp;sourceID=17","1.32")</f>
        <v>1.32</v>
      </c>
    </row>
    <row r="464" spans="1:9">
      <c r="A464" s="3"/>
      <c r="B464" s="3"/>
      <c r="C464" s="3"/>
      <c r="D464" s="3"/>
      <c r="E464" s="3">
        <v>2</v>
      </c>
      <c r="F464" s="4" t="str">
        <f>HYPERLINK("http://141.218.60.56/~jnz1568/getInfo.php?workbook=01_01.xlsx&amp;sheet=U0&amp;row=464&amp;col=6&amp;number=3.699&amp;sourceID=16","3.699")</f>
        <v>3.699</v>
      </c>
      <c r="G464" s="4" t="str">
        <f>HYPERLINK("http://141.218.60.56/~jnz1568/getInfo.php?workbook=01_01.xlsx&amp;sheet=U0&amp;row=464&amp;col=7&amp;number=2.431&amp;sourceID=16","2.431")</f>
        <v>2.431</v>
      </c>
      <c r="H464" s="4" t="str">
        <f>HYPERLINK("http://141.218.60.56/~jnz1568/getInfo.php?workbook=01_01.xlsx&amp;sheet=U0&amp;row=464&amp;col=8&amp;number=4.064&amp;sourceID=17","4.064")</f>
        <v>4.064</v>
      </c>
      <c r="I464" s="4" t="str">
        <f>HYPERLINK("http://141.218.60.56/~jnz1568/getInfo.php?workbook=01_01.xlsx&amp;sheet=U0&amp;row=464&amp;col=9&amp;number=1.4&amp;sourceID=17","1.4")</f>
        <v>1.4</v>
      </c>
    </row>
    <row r="465" spans="1:9">
      <c r="A465" s="3"/>
      <c r="B465" s="3"/>
      <c r="C465" s="3"/>
      <c r="D465" s="3"/>
      <c r="E465" s="3">
        <v>3</v>
      </c>
      <c r="F465" s="4" t="str">
        <f>HYPERLINK("http://141.218.60.56/~jnz1568/getInfo.php?workbook=01_01.xlsx&amp;sheet=U0&amp;row=465&amp;col=6&amp;number=3.875&amp;sourceID=16","3.875")</f>
        <v>3.875</v>
      </c>
      <c r="G465" s="4" t="str">
        <f>HYPERLINK("http://141.218.60.56/~jnz1568/getInfo.php?workbook=01_01.xlsx&amp;sheet=U0&amp;row=465&amp;col=7&amp;number=2.873&amp;sourceID=16","2.873")</f>
        <v>2.873</v>
      </c>
      <c r="H465" s="4" t="str">
        <f>HYPERLINK("http://141.218.60.56/~jnz1568/getInfo.php?workbook=01_01.xlsx&amp;sheet=U0&amp;row=465&amp;col=8&amp;number=4.542&amp;sourceID=17","4.542")</f>
        <v>4.542</v>
      </c>
      <c r="I465" s="4" t="str">
        <f>HYPERLINK("http://141.218.60.56/~jnz1568/getInfo.php?workbook=01_01.xlsx&amp;sheet=U0&amp;row=465&amp;col=9&amp;number=1.37&amp;sourceID=17","1.37")</f>
        <v>1.37</v>
      </c>
    </row>
    <row r="466" spans="1:9">
      <c r="A466" s="3"/>
      <c r="B466" s="3"/>
      <c r="C466" s="3"/>
      <c r="D466" s="3"/>
      <c r="E466" s="3">
        <v>4</v>
      </c>
      <c r="F466" s="4" t="str">
        <f>HYPERLINK("http://141.218.60.56/~jnz1568/getInfo.php?workbook=01_01.xlsx&amp;sheet=U0&amp;row=466&amp;col=6&amp;number=4&amp;sourceID=16","4")</f>
        <v>4</v>
      </c>
      <c r="G466" s="4" t="str">
        <f>HYPERLINK("http://141.218.60.56/~jnz1568/getInfo.php?workbook=01_01.xlsx&amp;sheet=U0&amp;row=466&amp;col=7&amp;number=3.191&amp;sourceID=16","3.191")</f>
        <v>3.191</v>
      </c>
      <c r="H466" s="4" t="str">
        <f>HYPERLINK("http://141.218.60.56/~jnz1568/getInfo.php?workbook=01_01.xlsx&amp;sheet=U0&amp;row=466&amp;col=8&amp;number=4.764&amp;sourceID=17","4.764")</f>
        <v>4.764</v>
      </c>
      <c r="I466" s="4" t="str">
        <f>HYPERLINK("http://141.218.60.56/~jnz1568/getInfo.php?workbook=01_01.xlsx&amp;sheet=U0&amp;row=466&amp;col=9&amp;number=1.4&amp;sourceID=17","1.4")</f>
        <v>1.4</v>
      </c>
    </row>
    <row r="467" spans="1:9">
      <c r="A467" s="3"/>
      <c r="B467" s="3"/>
      <c r="C467" s="3"/>
      <c r="D467" s="3"/>
      <c r="E467" s="3">
        <v>5</v>
      </c>
      <c r="F467" s="4" t="str">
        <f>HYPERLINK("http://141.218.60.56/~jnz1568/getInfo.php?workbook=01_01.xlsx&amp;sheet=U0&amp;row=467&amp;col=6&amp;number=4.176&amp;sourceID=16","4.176")</f>
        <v>4.176</v>
      </c>
      <c r="G467" s="4" t="str">
        <f>HYPERLINK("http://141.218.60.56/~jnz1568/getInfo.php?workbook=01_01.xlsx&amp;sheet=U0&amp;row=467&amp;col=7&amp;number=3.605&amp;sourceID=16","3.605")</f>
        <v>3.605</v>
      </c>
      <c r="H467" s="4" t="str">
        <f>HYPERLINK("http://141.218.60.56/~jnz1568/getInfo.php?workbook=01_01.xlsx&amp;sheet=U0&amp;row=467&amp;col=8&amp;number=5.064&amp;sourceID=17","5.064")</f>
        <v>5.064</v>
      </c>
      <c r="I467" s="4" t="str">
        <f>HYPERLINK("http://141.218.60.56/~jnz1568/getInfo.php?workbook=01_01.xlsx&amp;sheet=U0&amp;row=467&amp;col=9&amp;number=1.53&amp;sourceID=17","1.53")</f>
        <v>1.53</v>
      </c>
    </row>
    <row r="468" spans="1:9">
      <c r="A468" s="3"/>
      <c r="B468" s="3"/>
      <c r="C468" s="3"/>
      <c r="D468" s="3"/>
      <c r="E468" s="3">
        <v>6</v>
      </c>
      <c r="F468" s="4" t="str">
        <f>HYPERLINK("http://141.218.60.56/~jnz1568/getInfo.php?workbook=01_01.xlsx&amp;sheet=U0&amp;row=468&amp;col=6&amp;number=4.301&amp;sourceID=16","4.301")</f>
        <v>4.301</v>
      </c>
      <c r="G468" s="4" t="str">
        <f>HYPERLINK("http://141.218.60.56/~jnz1568/getInfo.php?workbook=01_01.xlsx&amp;sheet=U0&amp;row=468&amp;col=7&amp;number=3.852&amp;sourceID=16","3.852")</f>
        <v>3.852</v>
      </c>
      <c r="H468" s="4" t="str">
        <f>HYPERLINK("http://141.218.60.56/~jnz1568/getInfo.php?workbook=01_01.xlsx&amp;sheet=U0&amp;row=468&amp;col=8&amp;number=5.241&amp;sourceID=17","5.241")</f>
        <v>5.241</v>
      </c>
      <c r="I468" s="4" t="str">
        <f>HYPERLINK("http://141.218.60.56/~jnz1568/getInfo.php?workbook=01_01.xlsx&amp;sheet=U0&amp;row=468&amp;col=9&amp;number=1.65&amp;sourceID=17","1.65")</f>
        <v>1.65</v>
      </c>
    </row>
    <row r="469" spans="1:9">
      <c r="A469" s="3"/>
      <c r="B469" s="3"/>
      <c r="C469" s="3"/>
      <c r="D469" s="3"/>
      <c r="E469" s="3">
        <v>7</v>
      </c>
      <c r="F469" s="4" t="str">
        <f>HYPERLINK("http://141.218.60.56/~jnz1568/getInfo.php?workbook=01_01.xlsx&amp;sheet=U0&amp;row=469&amp;col=6&amp;number=4.477&amp;sourceID=16","4.477")</f>
        <v>4.477</v>
      </c>
      <c r="G469" s="4" t="str">
        <f>HYPERLINK("http://141.218.60.56/~jnz1568/getInfo.php?workbook=01_01.xlsx&amp;sheet=U0&amp;row=469&amp;col=7&amp;number=4.125&amp;sourceID=16","4.125")</f>
        <v>4.125</v>
      </c>
      <c r="H469" s="4" t="str">
        <f>HYPERLINK("http://141.218.60.56/~jnz1568/getInfo.php?workbook=01_01.xlsx&amp;sheet=U0&amp;row=469&amp;col=8&amp;number=5.366&amp;sourceID=17","5.366")</f>
        <v>5.366</v>
      </c>
      <c r="I469" s="4" t="str">
        <f>HYPERLINK("http://141.218.60.56/~jnz1568/getInfo.php?workbook=01_01.xlsx&amp;sheet=U0&amp;row=469&amp;col=9&amp;number=1.74&amp;sourceID=17","1.74")</f>
        <v>1.74</v>
      </c>
    </row>
    <row r="470" spans="1:9">
      <c r="A470" s="3"/>
      <c r="B470" s="3"/>
      <c r="C470" s="3"/>
      <c r="D470" s="3"/>
      <c r="E470" s="3">
        <v>8</v>
      </c>
      <c r="F470" s="4" t="str">
        <f>HYPERLINK("http://141.218.60.56/~jnz1568/getInfo.php?workbook=01_01.xlsx&amp;sheet=U0&amp;row=470&amp;col=6&amp;number=4.602&amp;sourceID=16","4.602")</f>
        <v>4.602</v>
      </c>
      <c r="G470" s="4" t="str">
        <f>HYPERLINK("http://141.218.60.56/~jnz1568/getInfo.php?workbook=01_01.xlsx&amp;sheet=U0&amp;row=470&amp;col=7&amp;number=4.269&amp;sourceID=16","4.269")</f>
        <v>4.269</v>
      </c>
      <c r="H470" s="4" t="str">
        <f>HYPERLINK("http://141.218.60.56/~jnz1568/getInfo.php?workbook=01_01.xlsx&amp;sheet=U0&amp;row=470&amp;col=8&amp;number=5.463&amp;sourceID=17","5.463")</f>
        <v>5.463</v>
      </c>
      <c r="I470" s="4" t="str">
        <f>HYPERLINK("http://141.218.60.56/~jnz1568/getInfo.php?workbook=01_01.xlsx&amp;sheet=U0&amp;row=470&amp;col=9&amp;number=1.81&amp;sourceID=17","1.81")</f>
        <v>1.81</v>
      </c>
    </row>
    <row r="471" spans="1:9">
      <c r="A471" s="3"/>
      <c r="B471" s="3"/>
      <c r="C471" s="3"/>
      <c r="D471" s="3"/>
      <c r="E471" s="3">
        <v>9</v>
      </c>
      <c r="F471" s="4" t="str">
        <f>HYPERLINK("http://141.218.60.56/~jnz1568/getInfo.php?workbook=01_01.xlsx&amp;sheet=U0&amp;row=471&amp;col=6&amp;number=4.699&amp;sourceID=16","4.699")</f>
        <v>4.699</v>
      </c>
      <c r="G471" s="4" t="str">
        <f>HYPERLINK("http://141.218.60.56/~jnz1568/getInfo.php?workbook=01_01.xlsx&amp;sheet=U0&amp;row=471&amp;col=7&amp;number=4.355&amp;sourceID=16","4.355")</f>
        <v>4.355</v>
      </c>
      <c r="H471" s="4" t="str">
        <f>HYPERLINK("http://141.218.60.56/~jnz1568/getInfo.php?workbook=01_01.xlsx&amp;sheet=U0&amp;row=471&amp;col=8&amp;number=&amp;sourceID=17","")</f>
        <v/>
      </c>
      <c r="I471" s="4" t="str">
        <f>HYPERLINK("http://141.218.60.56/~jnz1568/getInfo.php?workbook=01_01.xlsx&amp;sheet=U0&amp;row=471&amp;col=9&amp;number=&amp;sourceID=17","")</f>
        <v/>
      </c>
    </row>
    <row r="472" spans="1:9">
      <c r="A472" s="3">
        <v>1</v>
      </c>
      <c r="B472" s="3">
        <v>1</v>
      </c>
      <c r="C472" s="3">
        <v>12</v>
      </c>
      <c r="D472" s="3">
        <v>4</v>
      </c>
      <c r="E472" s="3">
        <v>1</v>
      </c>
      <c r="F472" s="4" t="str">
        <f>HYPERLINK("http://141.218.60.56/~jnz1568/getInfo.php?workbook=01_01.xlsx&amp;sheet=U0&amp;row=472&amp;col=6&amp;number==LOG10(2500)&amp;sourceID=16","=LOG10(2500)")</f>
        <v>=LOG10(2500)</v>
      </c>
      <c r="G472" s="4" t="str">
        <f>HYPERLINK("http://141.218.60.56/~jnz1568/getInfo.php?workbook=01_01.xlsx&amp;sheet=U0&amp;row=472&amp;col=7&amp;number=3.318&amp;sourceID=16","3.318")</f>
        <v>3.318</v>
      </c>
      <c r="H472" s="4" t="str">
        <f>HYPERLINK("http://141.218.60.56/~jnz1568/getInfo.php?workbook=01_01.xlsx&amp;sheet=U0&amp;row=472&amp;col=8&amp;number=3.764&amp;sourceID=17","3.764")</f>
        <v>3.764</v>
      </c>
      <c r="I472" s="4" t="str">
        <f>HYPERLINK("http://141.218.60.56/~jnz1568/getInfo.php?workbook=01_01.xlsx&amp;sheet=U0&amp;row=472&amp;col=9&amp;number=2.61&amp;sourceID=17","2.61")</f>
        <v>2.61</v>
      </c>
    </row>
    <row r="473" spans="1:9">
      <c r="A473" s="3"/>
      <c r="B473" s="3"/>
      <c r="C473" s="3"/>
      <c r="D473" s="3"/>
      <c r="E473" s="3">
        <v>2</v>
      </c>
      <c r="F473" s="4" t="str">
        <f>HYPERLINK("http://141.218.60.56/~jnz1568/getInfo.php?workbook=01_01.xlsx&amp;sheet=U0&amp;row=473&amp;col=6&amp;number=3.699&amp;sourceID=16","3.699")</f>
        <v>3.699</v>
      </c>
      <c r="G473" s="4" t="str">
        <f>HYPERLINK("http://141.218.60.56/~jnz1568/getInfo.php?workbook=01_01.xlsx&amp;sheet=U0&amp;row=473&amp;col=7&amp;number=4.557&amp;sourceID=16","4.557")</f>
        <v>4.557</v>
      </c>
      <c r="H473" s="4" t="str">
        <f>HYPERLINK("http://141.218.60.56/~jnz1568/getInfo.php?workbook=01_01.xlsx&amp;sheet=U0&amp;row=473&amp;col=8&amp;number=4.064&amp;sourceID=17","4.064")</f>
        <v>4.064</v>
      </c>
      <c r="I473" s="4" t="str">
        <f>HYPERLINK("http://141.218.60.56/~jnz1568/getInfo.php?workbook=01_01.xlsx&amp;sheet=U0&amp;row=473&amp;col=9&amp;number=3.46&amp;sourceID=17","3.46")</f>
        <v>3.46</v>
      </c>
    </row>
    <row r="474" spans="1:9">
      <c r="A474" s="3"/>
      <c r="B474" s="3"/>
      <c r="C474" s="3"/>
      <c r="D474" s="3"/>
      <c r="E474" s="3">
        <v>3</v>
      </c>
      <c r="F474" s="4" t="str">
        <f>HYPERLINK("http://141.218.60.56/~jnz1568/getInfo.php?workbook=01_01.xlsx&amp;sheet=U0&amp;row=474&amp;col=6&amp;number=3.875&amp;sourceID=16","3.875")</f>
        <v>3.875</v>
      </c>
      <c r="G474" s="4" t="str">
        <f>HYPERLINK("http://141.218.60.56/~jnz1568/getInfo.php?workbook=01_01.xlsx&amp;sheet=U0&amp;row=474&amp;col=7&amp;number=5.354&amp;sourceID=16","5.354")</f>
        <v>5.354</v>
      </c>
      <c r="H474" s="4" t="str">
        <f>HYPERLINK("http://141.218.60.56/~jnz1568/getInfo.php?workbook=01_01.xlsx&amp;sheet=U0&amp;row=474&amp;col=8&amp;number=4.542&amp;sourceID=17","4.542")</f>
        <v>4.542</v>
      </c>
      <c r="I474" s="4" t="str">
        <f>HYPERLINK("http://141.218.60.56/~jnz1568/getInfo.php?workbook=01_01.xlsx&amp;sheet=U0&amp;row=474&amp;col=9&amp;number=5.57&amp;sourceID=17","5.57")</f>
        <v>5.57</v>
      </c>
    </row>
    <row r="475" spans="1:9">
      <c r="A475" s="3"/>
      <c r="B475" s="3"/>
      <c r="C475" s="3"/>
      <c r="D475" s="3"/>
      <c r="E475" s="3">
        <v>4</v>
      </c>
      <c r="F475" s="4" t="str">
        <f>HYPERLINK("http://141.218.60.56/~jnz1568/getInfo.php?workbook=01_01.xlsx&amp;sheet=U0&amp;row=475&amp;col=6&amp;number=4&amp;sourceID=16","4")</f>
        <v>4</v>
      </c>
      <c r="G475" s="4" t="str">
        <f>HYPERLINK("http://141.218.60.56/~jnz1568/getInfo.php?workbook=01_01.xlsx&amp;sheet=U0&amp;row=475&amp;col=7&amp;number=5.973&amp;sourceID=16","5.973")</f>
        <v>5.973</v>
      </c>
      <c r="H475" s="4" t="str">
        <f>HYPERLINK("http://141.218.60.56/~jnz1568/getInfo.php?workbook=01_01.xlsx&amp;sheet=U0&amp;row=475&amp;col=8&amp;number=4.764&amp;sourceID=17","4.764")</f>
        <v>4.764</v>
      </c>
      <c r="I475" s="4" t="str">
        <f>HYPERLINK("http://141.218.60.56/~jnz1568/getInfo.php?workbook=01_01.xlsx&amp;sheet=U0&amp;row=475&amp;col=9&amp;number=7.36&amp;sourceID=17","7.36")</f>
        <v>7.36</v>
      </c>
    </row>
    <row r="476" spans="1:9">
      <c r="A476" s="3"/>
      <c r="B476" s="3"/>
      <c r="C476" s="3"/>
      <c r="D476" s="3"/>
      <c r="E476" s="3">
        <v>5</v>
      </c>
      <c r="F476" s="4" t="str">
        <f>HYPERLINK("http://141.218.60.56/~jnz1568/getInfo.php?workbook=01_01.xlsx&amp;sheet=U0&amp;row=476&amp;col=6&amp;number=4.176&amp;sourceID=16","4.176")</f>
        <v>4.176</v>
      </c>
      <c r="G476" s="4" t="str">
        <f>HYPERLINK("http://141.218.60.56/~jnz1568/getInfo.php?workbook=01_01.xlsx&amp;sheet=U0&amp;row=476&amp;col=7&amp;number=6.947&amp;sourceID=16","6.947")</f>
        <v>6.947</v>
      </c>
      <c r="H476" s="4" t="str">
        <f>HYPERLINK("http://141.218.60.56/~jnz1568/getInfo.php?workbook=01_01.xlsx&amp;sheet=U0&amp;row=476&amp;col=8&amp;number=5.064&amp;sourceID=17","5.064")</f>
        <v>5.064</v>
      </c>
      <c r="I476" s="4" t="str">
        <f>HYPERLINK("http://141.218.60.56/~jnz1568/getInfo.php?workbook=01_01.xlsx&amp;sheet=U0&amp;row=476&amp;col=9&amp;number=11.2&amp;sourceID=17","11.2")</f>
        <v>11.2</v>
      </c>
    </row>
    <row r="477" spans="1:9">
      <c r="A477" s="3"/>
      <c r="B477" s="3"/>
      <c r="C477" s="3"/>
      <c r="D477" s="3"/>
      <c r="E477" s="3">
        <v>6</v>
      </c>
      <c r="F477" s="4" t="str">
        <f>HYPERLINK("http://141.218.60.56/~jnz1568/getInfo.php?workbook=01_01.xlsx&amp;sheet=U0&amp;row=477&amp;col=6&amp;number=4.301&amp;sourceID=16","4.301")</f>
        <v>4.301</v>
      </c>
      <c r="G477" s="4" t="str">
        <f>HYPERLINK("http://141.218.60.56/~jnz1568/getInfo.php?workbook=01_01.xlsx&amp;sheet=U0&amp;row=477&amp;col=7&amp;number=7.759&amp;sourceID=16","7.759")</f>
        <v>7.759</v>
      </c>
      <c r="H477" s="4" t="str">
        <f>HYPERLINK("http://141.218.60.56/~jnz1568/getInfo.php?workbook=01_01.xlsx&amp;sheet=U0&amp;row=477&amp;col=8&amp;number=5.241&amp;sourceID=17","5.241")</f>
        <v>5.241</v>
      </c>
      <c r="I477" s="4" t="str">
        <f>HYPERLINK("http://141.218.60.56/~jnz1568/getInfo.php?workbook=01_01.xlsx&amp;sheet=U0&amp;row=477&amp;col=9&amp;number=14.2&amp;sourceID=17","14.2")</f>
        <v>14.2</v>
      </c>
    </row>
    <row r="478" spans="1:9">
      <c r="A478" s="3"/>
      <c r="B478" s="3"/>
      <c r="C478" s="3"/>
      <c r="D478" s="3"/>
      <c r="E478" s="3">
        <v>7</v>
      </c>
      <c r="F478" s="4" t="str">
        <f>HYPERLINK("http://141.218.60.56/~jnz1568/getInfo.php?workbook=01_01.xlsx&amp;sheet=U0&amp;row=478&amp;col=6&amp;number=4.477&amp;sourceID=16","4.477")</f>
        <v>4.477</v>
      </c>
      <c r="G478" s="4" t="str">
        <f>HYPERLINK("http://141.218.60.56/~jnz1568/getInfo.php?workbook=01_01.xlsx&amp;sheet=U0&amp;row=478&amp;col=7&amp;number=9.19&amp;sourceID=16","9.19")</f>
        <v>9.19</v>
      </c>
      <c r="H478" s="4" t="str">
        <f>HYPERLINK("http://141.218.60.56/~jnz1568/getInfo.php?workbook=01_01.xlsx&amp;sheet=U0&amp;row=478&amp;col=8&amp;number=5.366&amp;sourceID=17","5.366")</f>
        <v>5.366</v>
      </c>
      <c r="I478" s="4" t="str">
        <f>HYPERLINK("http://141.218.60.56/~jnz1568/getInfo.php?workbook=01_01.xlsx&amp;sheet=U0&amp;row=478&amp;col=9&amp;number=16.7&amp;sourceID=17","16.7")</f>
        <v>16.7</v>
      </c>
    </row>
    <row r="479" spans="1:9">
      <c r="A479" s="3"/>
      <c r="B479" s="3"/>
      <c r="C479" s="3"/>
      <c r="D479" s="3"/>
      <c r="E479" s="3">
        <v>8</v>
      </c>
      <c r="F479" s="4" t="str">
        <f>HYPERLINK("http://141.218.60.56/~jnz1568/getInfo.php?workbook=01_01.xlsx&amp;sheet=U0&amp;row=479&amp;col=6&amp;number=4.602&amp;sourceID=16","4.602")</f>
        <v>4.602</v>
      </c>
      <c r="G479" s="4" t="str">
        <f>HYPERLINK("http://141.218.60.56/~jnz1568/getInfo.php?workbook=01_01.xlsx&amp;sheet=U0&amp;row=479&amp;col=7&amp;number=10.46&amp;sourceID=16","10.46")</f>
        <v>10.46</v>
      </c>
      <c r="H479" s="4" t="str">
        <f>HYPERLINK("http://141.218.60.56/~jnz1568/getInfo.php?workbook=01_01.xlsx&amp;sheet=U0&amp;row=479&amp;col=8&amp;number=5.463&amp;sourceID=17","5.463")</f>
        <v>5.463</v>
      </c>
      <c r="I479" s="4" t="str">
        <f>HYPERLINK("http://141.218.60.56/~jnz1568/getInfo.php?workbook=01_01.xlsx&amp;sheet=U0&amp;row=479&amp;col=9&amp;number=18.7&amp;sourceID=17","18.7")</f>
        <v>18.7</v>
      </c>
    </row>
    <row r="480" spans="1:9">
      <c r="A480" s="3"/>
      <c r="B480" s="3"/>
      <c r="C480" s="3"/>
      <c r="D480" s="3"/>
      <c r="E480" s="3">
        <v>9</v>
      </c>
      <c r="F480" s="4" t="str">
        <f>HYPERLINK("http://141.218.60.56/~jnz1568/getInfo.php?workbook=01_01.xlsx&amp;sheet=U0&amp;row=480&amp;col=6&amp;number=4.699&amp;sourceID=16","4.699")</f>
        <v>4.699</v>
      </c>
      <c r="G480" s="4" t="str">
        <f>HYPERLINK("http://141.218.60.56/~jnz1568/getInfo.php?workbook=01_01.xlsx&amp;sheet=U0&amp;row=480&amp;col=7&amp;number=11.6&amp;sourceID=16","11.6")</f>
        <v>11.6</v>
      </c>
      <c r="H480" s="4" t="str">
        <f>HYPERLINK("http://141.218.60.56/~jnz1568/getInfo.php?workbook=01_01.xlsx&amp;sheet=U0&amp;row=480&amp;col=8&amp;number=&amp;sourceID=17","")</f>
        <v/>
      </c>
      <c r="I480" s="4" t="str">
        <f>HYPERLINK("http://141.218.60.56/~jnz1568/getInfo.php?workbook=01_01.xlsx&amp;sheet=U0&amp;row=480&amp;col=9&amp;number=&amp;sourceID=17","")</f>
        <v/>
      </c>
    </row>
    <row r="481" spans="1:9">
      <c r="A481" s="3">
        <v>1</v>
      </c>
      <c r="B481" s="3">
        <v>1</v>
      </c>
      <c r="C481" s="3">
        <v>12</v>
      </c>
      <c r="D481" s="3">
        <v>5</v>
      </c>
      <c r="E481" s="3">
        <v>1</v>
      </c>
      <c r="F481" s="4" t="str">
        <f>HYPERLINK("http://141.218.60.56/~jnz1568/getInfo.php?workbook=01_01.xlsx&amp;sheet=U0&amp;row=481&amp;col=6&amp;number==LOG10(2500)&amp;sourceID=16","=LOG10(2500)")</f>
        <v>=LOG10(2500)</v>
      </c>
      <c r="G481" s="4" t="str">
        <f>HYPERLINK("http://141.218.60.56/~jnz1568/getInfo.php?workbook=01_01.xlsx&amp;sheet=U0&amp;row=481&amp;col=7&amp;number=10.46&amp;sourceID=16","10.46")</f>
        <v>10.46</v>
      </c>
      <c r="H481" s="4" t="str">
        <f>HYPERLINK("http://141.218.60.56/~jnz1568/getInfo.php?workbook=01_01.xlsx&amp;sheet=U0&amp;row=481&amp;col=8&amp;number=3.764&amp;sourceID=17","3.764")</f>
        <v>3.764</v>
      </c>
      <c r="I481" s="4" t="str">
        <f>HYPERLINK("http://141.218.60.56/~jnz1568/getInfo.php?workbook=01_01.xlsx&amp;sheet=U0&amp;row=481&amp;col=9&amp;number=7.47&amp;sourceID=17","7.47")</f>
        <v>7.47</v>
      </c>
    </row>
    <row r="482" spans="1:9">
      <c r="A482" s="3"/>
      <c r="B482" s="3"/>
      <c r="C482" s="3"/>
      <c r="D482" s="3"/>
      <c r="E482" s="3">
        <v>2</v>
      </c>
      <c r="F482" s="4" t="str">
        <f>HYPERLINK("http://141.218.60.56/~jnz1568/getInfo.php?workbook=01_01.xlsx&amp;sheet=U0&amp;row=482&amp;col=6&amp;number=3.699&amp;sourceID=16","3.699")</f>
        <v>3.699</v>
      </c>
      <c r="G482" s="4" t="str">
        <f>HYPERLINK("http://141.218.60.56/~jnz1568/getInfo.php?workbook=01_01.xlsx&amp;sheet=U0&amp;row=482&amp;col=7&amp;number=14.32&amp;sourceID=16","14.32")</f>
        <v>14.32</v>
      </c>
      <c r="H482" s="4" t="str">
        <f>HYPERLINK("http://141.218.60.56/~jnz1568/getInfo.php?workbook=01_01.xlsx&amp;sheet=U0&amp;row=482&amp;col=8&amp;number=4.064&amp;sourceID=17","4.064")</f>
        <v>4.064</v>
      </c>
      <c r="I482" s="4" t="str">
        <f>HYPERLINK("http://141.218.60.56/~jnz1568/getInfo.php?workbook=01_01.xlsx&amp;sheet=U0&amp;row=482&amp;col=9&amp;number=9.77&amp;sourceID=17","9.77")</f>
        <v>9.77</v>
      </c>
    </row>
    <row r="483" spans="1:9">
      <c r="A483" s="3"/>
      <c r="B483" s="3"/>
      <c r="C483" s="3"/>
      <c r="D483" s="3"/>
      <c r="E483" s="3">
        <v>3</v>
      </c>
      <c r="F483" s="4" t="str">
        <f>HYPERLINK("http://141.218.60.56/~jnz1568/getInfo.php?workbook=01_01.xlsx&amp;sheet=U0&amp;row=483&amp;col=6&amp;number=3.875&amp;sourceID=16","3.875")</f>
        <v>3.875</v>
      </c>
      <c r="G483" s="4" t="str">
        <f>HYPERLINK("http://141.218.60.56/~jnz1568/getInfo.php?workbook=01_01.xlsx&amp;sheet=U0&amp;row=483&amp;col=7&amp;number=16.59&amp;sourceID=16","16.59")</f>
        <v>16.59</v>
      </c>
      <c r="H483" s="4" t="str">
        <f>HYPERLINK("http://141.218.60.56/~jnz1568/getInfo.php?workbook=01_01.xlsx&amp;sheet=U0&amp;row=483&amp;col=8&amp;number=4.542&amp;sourceID=17","4.542")</f>
        <v>4.542</v>
      </c>
      <c r="I483" s="4" t="str">
        <f>HYPERLINK("http://141.218.60.56/~jnz1568/getInfo.php?workbook=01_01.xlsx&amp;sheet=U0&amp;row=483&amp;col=9&amp;number=14&amp;sourceID=17","14")</f>
        <v>14</v>
      </c>
    </row>
    <row r="484" spans="1:9">
      <c r="A484" s="3"/>
      <c r="B484" s="3"/>
      <c r="C484" s="3"/>
      <c r="D484" s="3"/>
      <c r="E484" s="3">
        <v>4</v>
      </c>
      <c r="F484" s="4" t="str">
        <f>HYPERLINK("http://141.218.60.56/~jnz1568/getInfo.php?workbook=01_01.xlsx&amp;sheet=U0&amp;row=484&amp;col=6&amp;number=4&amp;sourceID=16","4")</f>
        <v>4</v>
      </c>
      <c r="G484" s="4" t="str">
        <f>HYPERLINK("http://141.218.60.56/~jnz1568/getInfo.php?workbook=01_01.xlsx&amp;sheet=U0&amp;row=484&amp;col=7&amp;number=18.46&amp;sourceID=16","18.46")</f>
        <v>18.46</v>
      </c>
      <c r="H484" s="4" t="str">
        <f>HYPERLINK("http://141.218.60.56/~jnz1568/getInfo.php?workbook=01_01.xlsx&amp;sheet=U0&amp;row=484&amp;col=8&amp;number=4.764&amp;sourceID=17","4.764")</f>
        <v>4.764</v>
      </c>
      <c r="I484" s="4" t="str">
        <f>HYPERLINK("http://141.218.60.56/~jnz1568/getInfo.php?workbook=01_01.xlsx&amp;sheet=U0&amp;row=484&amp;col=9&amp;number=15.9&amp;sourceID=17","15.9")</f>
        <v>15.9</v>
      </c>
    </row>
    <row r="485" spans="1:9">
      <c r="A485" s="3"/>
      <c r="B485" s="3"/>
      <c r="C485" s="3"/>
      <c r="D485" s="3"/>
      <c r="E485" s="3">
        <v>5</v>
      </c>
      <c r="F485" s="4" t="str">
        <f>HYPERLINK("http://141.218.60.56/~jnz1568/getInfo.php?workbook=01_01.xlsx&amp;sheet=U0&amp;row=485&amp;col=6&amp;number=4.176&amp;sourceID=16","4.176")</f>
        <v>4.176</v>
      </c>
      <c r="G485" s="4" t="str">
        <f>HYPERLINK("http://141.218.60.56/~jnz1568/getInfo.php?workbook=01_01.xlsx&amp;sheet=U0&amp;row=485&amp;col=7&amp;number=21.56&amp;sourceID=16","21.56")</f>
        <v>21.56</v>
      </c>
      <c r="H485" s="4" t="str">
        <f>HYPERLINK("http://141.218.60.56/~jnz1568/getInfo.php?workbook=01_01.xlsx&amp;sheet=U0&amp;row=485&amp;col=8&amp;number=5.064&amp;sourceID=17","5.064")</f>
        <v>5.064</v>
      </c>
      <c r="I485" s="4" t="str">
        <f>HYPERLINK("http://141.218.60.56/~jnz1568/getInfo.php?workbook=01_01.xlsx&amp;sheet=U0&amp;row=485&amp;col=9&amp;number=18.8&amp;sourceID=17","18.8")</f>
        <v>18.8</v>
      </c>
    </row>
    <row r="486" spans="1:9">
      <c r="A486" s="3"/>
      <c r="B486" s="3"/>
      <c r="C486" s="3"/>
      <c r="D486" s="3"/>
      <c r="E486" s="3">
        <v>6</v>
      </c>
      <c r="F486" s="4" t="str">
        <f>HYPERLINK("http://141.218.60.56/~jnz1568/getInfo.php?workbook=01_01.xlsx&amp;sheet=U0&amp;row=486&amp;col=6&amp;number=4.301&amp;sourceID=16","4.301")</f>
        <v>4.301</v>
      </c>
      <c r="G486" s="4" t="str">
        <f>HYPERLINK("http://141.218.60.56/~jnz1568/getInfo.php?workbook=01_01.xlsx&amp;sheet=U0&amp;row=486&amp;col=7&amp;number=24.11&amp;sourceID=16","24.11")</f>
        <v>24.11</v>
      </c>
      <c r="H486" s="4" t="str">
        <f>HYPERLINK("http://141.218.60.56/~jnz1568/getInfo.php?workbook=01_01.xlsx&amp;sheet=U0&amp;row=486&amp;col=8&amp;number=5.241&amp;sourceID=17","5.241")</f>
        <v>5.241</v>
      </c>
      <c r="I486" s="4" t="str">
        <f>HYPERLINK("http://141.218.60.56/~jnz1568/getInfo.php?workbook=01_01.xlsx&amp;sheet=U0&amp;row=486&amp;col=9&amp;number=20.6&amp;sourceID=17","20.6")</f>
        <v>20.6</v>
      </c>
    </row>
    <row r="487" spans="1:9">
      <c r="A487" s="3"/>
      <c r="B487" s="3"/>
      <c r="C487" s="3"/>
      <c r="D487" s="3"/>
      <c r="E487" s="3">
        <v>7</v>
      </c>
      <c r="F487" s="4" t="str">
        <f>HYPERLINK("http://141.218.60.56/~jnz1568/getInfo.php?workbook=01_01.xlsx&amp;sheet=U0&amp;row=487&amp;col=6&amp;number=4.477&amp;sourceID=16","4.477")</f>
        <v>4.477</v>
      </c>
      <c r="G487" s="4" t="str">
        <f>HYPERLINK("http://141.218.60.56/~jnz1568/getInfo.php?workbook=01_01.xlsx&amp;sheet=U0&amp;row=487&amp;col=7&amp;number=28.14&amp;sourceID=16","28.14")</f>
        <v>28.14</v>
      </c>
      <c r="H487" s="4" t="str">
        <f>HYPERLINK("http://141.218.60.56/~jnz1568/getInfo.php?workbook=01_01.xlsx&amp;sheet=U0&amp;row=487&amp;col=8&amp;number=5.366&amp;sourceID=17","5.366")</f>
        <v>5.366</v>
      </c>
      <c r="I487" s="4" t="str">
        <f>HYPERLINK("http://141.218.60.56/~jnz1568/getInfo.php?workbook=01_01.xlsx&amp;sheet=U0&amp;row=487&amp;col=9&amp;number=21.8&amp;sourceID=17","21.8")</f>
        <v>21.8</v>
      </c>
    </row>
    <row r="488" spans="1:9">
      <c r="A488" s="3"/>
      <c r="B488" s="3"/>
      <c r="C488" s="3"/>
      <c r="D488" s="3"/>
      <c r="E488" s="3">
        <v>8</v>
      </c>
      <c r="F488" s="4" t="str">
        <f>HYPERLINK("http://141.218.60.56/~jnz1568/getInfo.php?workbook=01_01.xlsx&amp;sheet=U0&amp;row=488&amp;col=6&amp;number=4.602&amp;sourceID=16","4.602")</f>
        <v>4.602</v>
      </c>
      <c r="G488" s="4" t="str">
        <f>HYPERLINK("http://141.218.60.56/~jnz1568/getInfo.php?workbook=01_01.xlsx&amp;sheet=U0&amp;row=488&amp;col=7&amp;number=31.2&amp;sourceID=16","31.2")</f>
        <v>31.2</v>
      </c>
      <c r="H488" s="4" t="str">
        <f>HYPERLINK("http://141.218.60.56/~jnz1568/getInfo.php?workbook=01_01.xlsx&amp;sheet=U0&amp;row=488&amp;col=8&amp;number=5.463&amp;sourceID=17","5.463")</f>
        <v>5.463</v>
      </c>
      <c r="I488" s="4" t="str">
        <f>HYPERLINK("http://141.218.60.56/~jnz1568/getInfo.php?workbook=01_01.xlsx&amp;sheet=U0&amp;row=488&amp;col=9&amp;number=22.7&amp;sourceID=17","22.7")</f>
        <v>22.7</v>
      </c>
    </row>
    <row r="489" spans="1:9">
      <c r="A489" s="3"/>
      <c r="B489" s="3"/>
      <c r="C489" s="3"/>
      <c r="D489" s="3"/>
      <c r="E489" s="3">
        <v>9</v>
      </c>
      <c r="F489" s="4" t="str">
        <f>HYPERLINK("http://141.218.60.56/~jnz1568/getInfo.php?workbook=01_01.xlsx&amp;sheet=U0&amp;row=489&amp;col=6&amp;number=4.699&amp;sourceID=16","4.699")</f>
        <v>4.699</v>
      </c>
      <c r="G489" s="4" t="str">
        <f>HYPERLINK("http://141.218.60.56/~jnz1568/getInfo.php?workbook=01_01.xlsx&amp;sheet=U0&amp;row=489&amp;col=7&amp;number=33.56&amp;sourceID=16","33.56")</f>
        <v>33.56</v>
      </c>
      <c r="H489" s="4" t="str">
        <f>HYPERLINK("http://141.218.60.56/~jnz1568/getInfo.php?workbook=01_01.xlsx&amp;sheet=U0&amp;row=489&amp;col=8&amp;number=&amp;sourceID=17","")</f>
        <v/>
      </c>
      <c r="I489" s="4" t="str">
        <f>HYPERLINK("http://141.218.60.56/~jnz1568/getInfo.php?workbook=01_01.xlsx&amp;sheet=U0&amp;row=489&amp;col=9&amp;number=&amp;sourceID=17","")</f>
        <v/>
      </c>
    </row>
    <row r="490" spans="1:9">
      <c r="A490" s="3">
        <v>1</v>
      </c>
      <c r="B490" s="3">
        <v>1</v>
      </c>
      <c r="C490" s="3">
        <v>12</v>
      </c>
      <c r="D490" s="3">
        <v>6</v>
      </c>
      <c r="E490" s="3">
        <v>1</v>
      </c>
      <c r="F490" s="4" t="str">
        <f>HYPERLINK("http://141.218.60.56/~jnz1568/getInfo.php?workbook=01_01.xlsx&amp;sheet=U0&amp;row=490&amp;col=6&amp;number==LOG10(2500)&amp;sourceID=16","=LOG10(2500)")</f>
        <v>=LOG10(2500)</v>
      </c>
      <c r="G490" s="4" t="str">
        <f>HYPERLINK("http://141.218.60.56/~jnz1568/getInfo.php?workbook=01_01.xlsx&amp;sheet=U0&amp;row=490&amp;col=7&amp;number=11.74&amp;sourceID=16","11.74")</f>
        <v>11.74</v>
      </c>
      <c r="H490" s="4" t="str">
        <f>HYPERLINK("http://141.218.60.56/~jnz1568/getInfo.php?workbook=01_01.xlsx&amp;sheet=U0&amp;row=490&amp;col=8&amp;number=3.764&amp;sourceID=17","3.764")</f>
        <v>3.764</v>
      </c>
      <c r="I490" s="4" t="str">
        <f>HYPERLINK("http://141.218.60.56/~jnz1568/getInfo.php?workbook=01_01.xlsx&amp;sheet=U0&amp;row=490&amp;col=9&amp;number=8.21&amp;sourceID=17","8.21")</f>
        <v>8.21</v>
      </c>
    </row>
    <row r="491" spans="1:9">
      <c r="A491" s="3"/>
      <c r="B491" s="3"/>
      <c r="C491" s="3"/>
      <c r="D491" s="3"/>
      <c r="E491" s="3">
        <v>2</v>
      </c>
      <c r="F491" s="4" t="str">
        <f>HYPERLINK("http://141.218.60.56/~jnz1568/getInfo.php?workbook=01_01.xlsx&amp;sheet=U0&amp;row=491&amp;col=6&amp;number=3.699&amp;sourceID=16","3.699")</f>
        <v>3.699</v>
      </c>
      <c r="G491" s="4" t="str">
        <f>HYPERLINK("http://141.218.60.56/~jnz1568/getInfo.php?workbook=01_01.xlsx&amp;sheet=U0&amp;row=491&amp;col=7&amp;number=15.83&amp;sourceID=16","15.83")</f>
        <v>15.83</v>
      </c>
      <c r="H491" s="4" t="str">
        <f>HYPERLINK("http://141.218.60.56/~jnz1568/getInfo.php?workbook=01_01.xlsx&amp;sheet=U0&amp;row=491&amp;col=8&amp;number=4.064&amp;sourceID=17","4.064")</f>
        <v>4.064</v>
      </c>
      <c r="I491" s="4" t="str">
        <f>HYPERLINK("http://141.218.60.56/~jnz1568/getInfo.php?workbook=01_01.xlsx&amp;sheet=U0&amp;row=491&amp;col=9&amp;number=8.88&amp;sourceID=17","8.88")</f>
        <v>8.88</v>
      </c>
    </row>
    <row r="492" spans="1:9">
      <c r="A492" s="3"/>
      <c r="B492" s="3"/>
      <c r="C492" s="3"/>
      <c r="D492" s="3"/>
      <c r="E492" s="3">
        <v>3</v>
      </c>
      <c r="F492" s="4" t="str">
        <f>HYPERLINK("http://141.218.60.56/~jnz1568/getInfo.php?workbook=01_01.xlsx&amp;sheet=U0&amp;row=492&amp;col=6&amp;number=3.875&amp;sourceID=16","3.875")</f>
        <v>3.875</v>
      </c>
      <c r="G492" s="4" t="str">
        <f>HYPERLINK("http://141.218.60.56/~jnz1568/getInfo.php?workbook=01_01.xlsx&amp;sheet=U0&amp;row=492&amp;col=7&amp;number=17.25&amp;sourceID=16","17.25")</f>
        <v>17.25</v>
      </c>
      <c r="H492" s="4" t="str">
        <f>HYPERLINK("http://141.218.60.56/~jnz1568/getInfo.php?workbook=01_01.xlsx&amp;sheet=U0&amp;row=492&amp;col=8&amp;number=4.542&amp;sourceID=17","4.542")</f>
        <v>4.542</v>
      </c>
      <c r="I492" s="4" t="str">
        <f>HYPERLINK("http://141.218.60.56/~jnz1568/getInfo.php?workbook=01_01.xlsx&amp;sheet=U0&amp;row=492&amp;col=9&amp;number=8.76&amp;sourceID=17","8.76")</f>
        <v>8.76</v>
      </c>
    </row>
    <row r="493" spans="1:9">
      <c r="A493" s="3"/>
      <c r="B493" s="3"/>
      <c r="C493" s="3"/>
      <c r="D493" s="3"/>
      <c r="E493" s="3">
        <v>4</v>
      </c>
      <c r="F493" s="4" t="str">
        <f>HYPERLINK("http://141.218.60.56/~jnz1568/getInfo.php?workbook=01_01.xlsx&amp;sheet=U0&amp;row=493&amp;col=6&amp;number=4&amp;sourceID=16","4")</f>
        <v>4</v>
      </c>
      <c r="G493" s="4" t="str">
        <f>HYPERLINK("http://141.218.60.56/~jnz1568/getInfo.php?workbook=01_01.xlsx&amp;sheet=U0&amp;row=493&amp;col=7&amp;number=18&amp;sourceID=16","18")</f>
        <v>18</v>
      </c>
      <c r="H493" s="4" t="str">
        <f>HYPERLINK("http://141.218.60.56/~jnz1568/getInfo.php?workbook=01_01.xlsx&amp;sheet=U0&amp;row=493&amp;col=8&amp;number=4.764&amp;sourceID=17","4.764")</f>
        <v>4.764</v>
      </c>
      <c r="I493" s="4" t="str">
        <f>HYPERLINK("http://141.218.60.56/~jnz1568/getInfo.php?workbook=01_01.xlsx&amp;sheet=U0&amp;row=493&amp;col=9&amp;number=8.51&amp;sourceID=17","8.51")</f>
        <v>8.51</v>
      </c>
    </row>
    <row r="494" spans="1:9">
      <c r="A494" s="3"/>
      <c r="B494" s="3"/>
      <c r="C494" s="3"/>
      <c r="D494" s="3"/>
      <c r="E494" s="3">
        <v>5</v>
      </c>
      <c r="F494" s="4" t="str">
        <f>HYPERLINK("http://141.218.60.56/~jnz1568/getInfo.php?workbook=01_01.xlsx&amp;sheet=U0&amp;row=494&amp;col=6&amp;number=4.176&amp;sourceID=16","4.176")</f>
        <v>4.176</v>
      </c>
      <c r="G494" s="4" t="str">
        <f>HYPERLINK("http://141.218.60.56/~jnz1568/getInfo.php?workbook=01_01.xlsx&amp;sheet=U0&amp;row=494&amp;col=7&amp;number=18.76&amp;sourceID=16","18.76")</f>
        <v>18.76</v>
      </c>
      <c r="H494" s="4" t="str">
        <f>HYPERLINK("http://141.218.60.56/~jnz1568/getInfo.php?workbook=01_01.xlsx&amp;sheet=U0&amp;row=494&amp;col=8&amp;number=5.064&amp;sourceID=17","5.064")</f>
        <v>5.064</v>
      </c>
      <c r="I494" s="4" t="str">
        <f>HYPERLINK("http://141.218.60.56/~jnz1568/getInfo.php?workbook=01_01.xlsx&amp;sheet=U0&amp;row=494&amp;col=9&amp;number=8.32&amp;sourceID=17","8.32")</f>
        <v>8.32</v>
      </c>
    </row>
    <row r="495" spans="1:9">
      <c r="A495" s="3"/>
      <c r="B495" s="3"/>
      <c r="C495" s="3"/>
      <c r="D495" s="3"/>
      <c r="E495" s="3">
        <v>6</v>
      </c>
      <c r="F495" s="4" t="str">
        <f>HYPERLINK("http://141.218.60.56/~jnz1568/getInfo.php?workbook=01_01.xlsx&amp;sheet=U0&amp;row=495&amp;col=6&amp;number=4.301&amp;sourceID=16","4.301")</f>
        <v>4.301</v>
      </c>
      <c r="G495" s="4" t="str">
        <f>HYPERLINK("http://141.218.60.56/~jnz1568/getInfo.php?workbook=01_01.xlsx&amp;sheet=U0&amp;row=495&amp;col=7&amp;number=19.09&amp;sourceID=16","19.09")</f>
        <v>19.09</v>
      </c>
      <c r="H495" s="4" t="str">
        <f>HYPERLINK("http://141.218.60.56/~jnz1568/getInfo.php?workbook=01_01.xlsx&amp;sheet=U0&amp;row=495&amp;col=8&amp;number=5.241&amp;sourceID=17","5.241")</f>
        <v>5.241</v>
      </c>
      <c r="I495" s="4" t="str">
        <f>HYPERLINK("http://141.218.60.56/~jnz1568/getInfo.php?workbook=01_01.xlsx&amp;sheet=U0&amp;row=495&amp;col=9&amp;number=8.34&amp;sourceID=17","8.34")</f>
        <v>8.34</v>
      </c>
    </row>
    <row r="496" spans="1:9">
      <c r="A496" s="3"/>
      <c r="B496" s="3"/>
      <c r="C496" s="3"/>
      <c r="D496" s="3"/>
      <c r="E496" s="3">
        <v>7</v>
      </c>
      <c r="F496" s="4" t="str">
        <f>HYPERLINK("http://141.218.60.56/~jnz1568/getInfo.php?workbook=01_01.xlsx&amp;sheet=U0&amp;row=496&amp;col=6&amp;number=4.477&amp;sourceID=16","4.477")</f>
        <v>4.477</v>
      </c>
      <c r="G496" s="4" t="str">
        <f>HYPERLINK("http://141.218.60.56/~jnz1568/getInfo.php?workbook=01_01.xlsx&amp;sheet=U0&amp;row=496&amp;col=7&amp;number=19.2&amp;sourceID=16","19.2")</f>
        <v>19.2</v>
      </c>
      <c r="H496" s="4" t="str">
        <f>HYPERLINK("http://141.218.60.56/~jnz1568/getInfo.php?workbook=01_01.xlsx&amp;sheet=U0&amp;row=496&amp;col=8&amp;number=5.366&amp;sourceID=17","5.366")</f>
        <v>5.366</v>
      </c>
      <c r="I496" s="4" t="str">
        <f>HYPERLINK("http://141.218.60.56/~jnz1568/getInfo.php?workbook=01_01.xlsx&amp;sheet=U0&amp;row=496&amp;col=9&amp;number=8.42&amp;sourceID=17","8.42")</f>
        <v>8.42</v>
      </c>
    </row>
    <row r="497" spans="1:9">
      <c r="A497" s="3"/>
      <c r="B497" s="3"/>
      <c r="C497" s="3"/>
      <c r="D497" s="3"/>
      <c r="E497" s="3">
        <v>8</v>
      </c>
      <c r="F497" s="4" t="str">
        <f>HYPERLINK("http://141.218.60.56/~jnz1568/getInfo.php?workbook=01_01.xlsx&amp;sheet=U0&amp;row=497&amp;col=6&amp;number=4.602&amp;sourceID=16","4.602")</f>
        <v>4.602</v>
      </c>
      <c r="G497" s="4" t="str">
        <f>HYPERLINK("http://141.218.60.56/~jnz1568/getInfo.php?workbook=01_01.xlsx&amp;sheet=U0&amp;row=497&amp;col=7&amp;number=19.02&amp;sourceID=16","19.02")</f>
        <v>19.02</v>
      </c>
      <c r="H497" s="4" t="str">
        <f>HYPERLINK("http://141.218.60.56/~jnz1568/getInfo.php?workbook=01_01.xlsx&amp;sheet=U0&amp;row=497&amp;col=8&amp;number=5.463&amp;sourceID=17","5.463")</f>
        <v>5.463</v>
      </c>
      <c r="I497" s="4" t="str">
        <f>HYPERLINK("http://141.218.60.56/~jnz1568/getInfo.php?workbook=01_01.xlsx&amp;sheet=U0&amp;row=497&amp;col=9&amp;number=8.51&amp;sourceID=17","8.51")</f>
        <v>8.51</v>
      </c>
    </row>
    <row r="498" spans="1:9">
      <c r="A498" s="3"/>
      <c r="B498" s="3"/>
      <c r="C498" s="3"/>
      <c r="D498" s="3"/>
      <c r="E498" s="3">
        <v>9</v>
      </c>
      <c r="F498" s="4" t="str">
        <f>HYPERLINK("http://141.218.60.56/~jnz1568/getInfo.php?workbook=01_01.xlsx&amp;sheet=U0&amp;row=498&amp;col=6&amp;number=4.699&amp;sourceID=16","4.699")</f>
        <v>4.699</v>
      </c>
      <c r="G498" s="4" t="str">
        <f>HYPERLINK("http://141.218.60.56/~jnz1568/getInfo.php?workbook=01_01.xlsx&amp;sheet=U0&amp;row=498&amp;col=7&amp;number=18.72&amp;sourceID=16","18.72")</f>
        <v>18.72</v>
      </c>
      <c r="H498" s="4" t="str">
        <f>HYPERLINK("http://141.218.60.56/~jnz1568/getInfo.php?workbook=01_01.xlsx&amp;sheet=U0&amp;row=498&amp;col=8&amp;number=&amp;sourceID=17","")</f>
        <v/>
      </c>
      <c r="I498" s="4" t="str">
        <f>HYPERLINK("http://141.218.60.56/~jnz1568/getInfo.php?workbook=01_01.xlsx&amp;sheet=U0&amp;row=498&amp;col=9&amp;number=&amp;sourceID=17","")</f>
        <v/>
      </c>
    </row>
    <row r="499" spans="1:9">
      <c r="A499" s="3">
        <v>1</v>
      </c>
      <c r="B499" s="3">
        <v>1</v>
      </c>
      <c r="C499" s="3">
        <v>12</v>
      </c>
      <c r="D499" s="3">
        <v>7</v>
      </c>
      <c r="E499" s="3">
        <v>1</v>
      </c>
      <c r="F499" s="4" t="str">
        <f>HYPERLINK("http://141.218.60.56/~jnz1568/getInfo.php?workbook=01_01.xlsx&amp;sheet=U0&amp;row=499&amp;col=6&amp;number==LOG10(2500)&amp;sourceID=16","=LOG10(2500)")</f>
        <v>=LOG10(2500)</v>
      </c>
      <c r="G499" s="4" t="str">
        <f>HYPERLINK("http://141.218.60.56/~jnz1568/getInfo.php?workbook=01_01.xlsx&amp;sheet=U0&amp;row=499&amp;col=7&amp;number=8.482&amp;sourceID=16","8.482")</f>
        <v>8.482</v>
      </c>
      <c r="H499" s="4" t="str">
        <f>HYPERLINK("http://141.218.60.56/~jnz1568/getInfo.php?workbook=01_01.xlsx&amp;sheet=U0&amp;row=499&amp;col=8&amp;number=3.764&amp;sourceID=17","3.764")</f>
        <v>3.764</v>
      </c>
      <c r="I499" s="4" t="str">
        <f>HYPERLINK("http://141.218.60.56/~jnz1568/getInfo.php?workbook=01_01.xlsx&amp;sheet=U0&amp;row=499&amp;col=9&amp;number=9.81&amp;sourceID=17","9.81")</f>
        <v>9.81</v>
      </c>
    </row>
    <row r="500" spans="1:9">
      <c r="A500" s="3"/>
      <c r="B500" s="3"/>
      <c r="C500" s="3"/>
      <c r="D500" s="3"/>
      <c r="E500" s="3">
        <v>2</v>
      </c>
      <c r="F500" s="4" t="str">
        <f>HYPERLINK("http://141.218.60.56/~jnz1568/getInfo.php?workbook=01_01.xlsx&amp;sheet=U0&amp;row=500&amp;col=6&amp;number=3.699&amp;sourceID=16","3.699")</f>
        <v>3.699</v>
      </c>
      <c r="G500" s="4" t="str">
        <f>HYPERLINK("http://141.218.60.56/~jnz1568/getInfo.php?workbook=01_01.xlsx&amp;sheet=U0&amp;row=500&amp;col=7&amp;number=12.03&amp;sourceID=16","12.03")</f>
        <v>12.03</v>
      </c>
      <c r="H500" s="4" t="str">
        <f>HYPERLINK("http://141.218.60.56/~jnz1568/getInfo.php?workbook=01_01.xlsx&amp;sheet=U0&amp;row=500&amp;col=8&amp;number=4.064&amp;sourceID=17","4.064")</f>
        <v>4.064</v>
      </c>
      <c r="I500" s="4" t="str">
        <f>HYPERLINK("http://141.218.60.56/~jnz1568/getInfo.php?workbook=01_01.xlsx&amp;sheet=U0&amp;row=500&amp;col=9&amp;number=17.3&amp;sourceID=17","17.3")</f>
        <v>17.3</v>
      </c>
    </row>
    <row r="501" spans="1:9">
      <c r="A501" s="3"/>
      <c r="B501" s="3"/>
      <c r="C501" s="3"/>
      <c r="D501" s="3"/>
      <c r="E501" s="3">
        <v>3</v>
      </c>
      <c r="F501" s="4" t="str">
        <f>HYPERLINK("http://141.218.60.56/~jnz1568/getInfo.php?workbook=01_01.xlsx&amp;sheet=U0&amp;row=501&amp;col=6&amp;number=3.875&amp;sourceID=16","3.875")</f>
        <v>3.875</v>
      </c>
      <c r="G501" s="4" t="str">
        <f>HYPERLINK("http://141.218.60.56/~jnz1568/getInfo.php?workbook=01_01.xlsx&amp;sheet=U0&amp;row=501&amp;col=7&amp;number=15.74&amp;sourceID=16","15.74")</f>
        <v>15.74</v>
      </c>
      <c r="H501" s="4" t="str">
        <f>HYPERLINK("http://141.218.60.56/~jnz1568/getInfo.php?workbook=01_01.xlsx&amp;sheet=U0&amp;row=501&amp;col=8&amp;number=4.542&amp;sourceID=17","4.542")</f>
        <v>4.542</v>
      </c>
      <c r="I501" s="4" t="str">
        <f>HYPERLINK("http://141.218.60.56/~jnz1568/getInfo.php?workbook=01_01.xlsx&amp;sheet=U0&amp;row=501&amp;col=9&amp;number=42.5&amp;sourceID=17","42.5")</f>
        <v>42.5</v>
      </c>
    </row>
    <row r="502" spans="1:9">
      <c r="A502" s="3"/>
      <c r="B502" s="3"/>
      <c r="C502" s="3"/>
      <c r="D502" s="3"/>
      <c r="E502" s="3">
        <v>4</v>
      </c>
      <c r="F502" s="4" t="str">
        <f>HYPERLINK("http://141.218.60.56/~jnz1568/getInfo.php?workbook=01_01.xlsx&amp;sheet=U0&amp;row=502&amp;col=6&amp;number=4&amp;sourceID=16","4")</f>
        <v>4</v>
      </c>
      <c r="G502" s="4" t="str">
        <f>HYPERLINK("http://141.218.60.56/~jnz1568/getInfo.php?workbook=01_01.xlsx&amp;sheet=U0&amp;row=502&amp;col=7&amp;number=19.65&amp;sourceID=16","19.65")</f>
        <v>19.65</v>
      </c>
      <c r="H502" s="4" t="str">
        <f>HYPERLINK("http://141.218.60.56/~jnz1568/getInfo.php?workbook=01_01.xlsx&amp;sheet=U0&amp;row=502&amp;col=8&amp;number=4.764&amp;sourceID=17","4.764")</f>
        <v>4.764</v>
      </c>
      <c r="I502" s="4" t="str">
        <f>HYPERLINK("http://141.218.60.56/~jnz1568/getInfo.php?workbook=01_01.xlsx&amp;sheet=U0&amp;row=502&amp;col=9&amp;number=63&amp;sourceID=17","63")</f>
        <v>63</v>
      </c>
    </row>
    <row r="503" spans="1:9">
      <c r="A503" s="3"/>
      <c r="B503" s="3"/>
      <c r="C503" s="3"/>
      <c r="D503" s="3"/>
      <c r="E503" s="3">
        <v>5</v>
      </c>
      <c r="F503" s="4" t="str">
        <f>HYPERLINK("http://141.218.60.56/~jnz1568/getInfo.php?workbook=01_01.xlsx&amp;sheet=U0&amp;row=503&amp;col=6&amp;number=4.176&amp;sourceID=16","4.176")</f>
        <v>4.176</v>
      </c>
      <c r="G503" s="4" t="str">
        <f>HYPERLINK("http://141.218.60.56/~jnz1568/getInfo.php?workbook=01_01.xlsx&amp;sheet=U0&amp;row=503&amp;col=7&amp;number=27.42&amp;sourceID=16","27.42")</f>
        <v>27.42</v>
      </c>
      <c r="H503" s="4" t="str">
        <f>HYPERLINK("http://141.218.60.56/~jnz1568/getInfo.php?workbook=01_01.xlsx&amp;sheet=U0&amp;row=503&amp;col=8&amp;number=5.064&amp;sourceID=17","5.064")</f>
        <v>5.064</v>
      </c>
      <c r="I503" s="4" t="str">
        <f>HYPERLINK("http://141.218.60.56/~jnz1568/getInfo.php?workbook=01_01.xlsx&amp;sheet=U0&amp;row=503&amp;col=9&amp;number=106&amp;sourceID=17","106")</f>
        <v>106</v>
      </c>
    </row>
    <row r="504" spans="1:9">
      <c r="A504" s="3"/>
      <c r="B504" s="3"/>
      <c r="C504" s="3"/>
      <c r="D504" s="3"/>
      <c r="E504" s="3">
        <v>6</v>
      </c>
      <c r="F504" s="4" t="str">
        <f>HYPERLINK("http://141.218.60.56/~jnz1568/getInfo.php?workbook=01_01.xlsx&amp;sheet=U0&amp;row=504&amp;col=6&amp;number=4.301&amp;sourceID=16","4.301")</f>
        <v>4.301</v>
      </c>
      <c r="G504" s="4" t="str">
        <f>HYPERLINK("http://141.218.60.56/~jnz1568/getInfo.php?workbook=01_01.xlsx&amp;sheet=U0&amp;row=504&amp;col=7&amp;number=34.96&amp;sourceID=16","34.96")</f>
        <v>34.96</v>
      </c>
      <c r="H504" s="4" t="str">
        <f>HYPERLINK("http://141.218.60.56/~jnz1568/getInfo.php?workbook=01_01.xlsx&amp;sheet=U0&amp;row=504&amp;col=8&amp;number=5.241&amp;sourceID=17","5.241")</f>
        <v>5.241</v>
      </c>
      <c r="I504" s="4" t="str">
        <f>HYPERLINK("http://141.218.60.56/~jnz1568/getInfo.php?workbook=01_01.xlsx&amp;sheet=U0&amp;row=504&amp;col=9&amp;number=142&amp;sourceID=17","142")</f>
        <v>142</v>
      </c>
    </row>
    <row r="505" spans="1:9">
      <c r="A505" s="3"/>
      <c r="B505" s="3"/>
      <c r="C505" s="3"/>
      <c r="D505" s="3"/>
      <c r="E505" s="3">
        <v>7</v>
      </c>
      <c r="F505" s="4" t="str">
        <f>HYPERLINK("http://141.218.60.56/~jnz1568/getInfo.php?workbook=01_01.xlsx&amp;sheet=U0&amp;row=505&amp;col=6&amp;number=4.477&amp;sourceID=16","4.477")</f>
        <v>4.477</v>
      </c>
      <c r="G505" s="4" t="str">
        <f>HYPERLINK("http://141.218.60.56/~jnz1568/getInfo.php?workbook=01_01.xlsx&amp;sheet=U0&amp;row=505&amp;col=7&amp;number=49.29&amp;sourceID=16","49.29")</f>
        <v>49.29</v>
      </c>
      <c r="H505" s="4" t="str">
        <f>HYPERLINK("http://141.218.60.56/~jnz1568/getInfo.php?workbook=01_01.xlsx&amp;sheet=U0&amp;row=505&amp;col=8&amp;number=5.366&amp;sourceID=17","5.366")</f>
        <v>5.366</v>
      </c>
      <c r="I505" s="4" t="str">
        <f>HYPERLINK("http://141.218.60.56/~jnz1568/getInfo.php?workbook=01_01.xlsx&amp;sheet=U0&amp;row=505&amp;col=9&amp;number=173&amp;sourceID=17","173")</f>
        <v>173</v>
      </c>
    </row>
    <row r="506" spans="1:9">
      <c r="A506" s="3"/>
      <c r="B506" s="3"/>
      <c r="C506" s="3"/>
      <c r="D506" s="3"/>
      <c r="E506" s="3">
        <v>8</v>
      </c>
      <c r="F506" s="4" t="str">
        <f>HYPERLINK("http://141.218.60.56/~jnz1568/getInfo.php?workbook=01_01.xlsx&amp;sheet=U0&amp;row=506&amp;col=6&amp;number=4.602&amp;sourceID=16","4.602")</f>
        <v>4.602</v>
      </c>
      <c r="G506" s="4" t="str">
        <f>HYPERLINK("http://141.218.60.56/~jnz1568/getInfo.php?workbook=01_01.xlsx&amp;sheet=U0&amp;row=506&amp;col=7&amp;number=62.42&amp;sourceID=16","62.42")</f>
        <v>62.42</v>
      </c>
      <c r="H506" s="4" t="str">
        <f>HYPERLINK("http://141.218.60.56/~jnz1568/getInfo.php?workbook=01_01.xlsx&amp;sheet=U0&amp;row=506&amp;col=8&amp;number=5.463&amp;sourceID=17","5.463")</f>
        <v>5.463</v>
      </c>
      <c r="I506" s="4" t="str">
        <f>HYPERLINK("http://141.218.60.56/~jnz1568/getInfo.php?workbook=01_01.xlsx&amp;sheet=U0&amp;row=506&amp;col=9&amp;number=201&amp;sourceID=17","201")</f>
        <v>201</v>
      </c>
    </row>
    <row r="507" spans="1:9">
      <c r="A507" s="3"/>
      <c r="B507" s="3"/>
      <c r="C507" s="3"/>
      <c r="D507" s="3"/>
      <c r="E507" s="3">
        <v>9</v>
      </c>
      <c r="F507" s="4" t="str">
        <f>HYPERLINK("http://141.218.60.56/~jnz1568/getInfo.php?workbook=01_01.xlsx&amp;sheet=U0&amp;row=507&amp;col=6&amp;number=4.699&amp;sourceID=16","4.699")</f>
        <v>4.699</v>
      </c>
      <c r="G507" s="4" t="str">
        <f>HYPERLINK("http://141.218.60.56/~jnz1568/getInfo.php?workbook=01_01.xlsx&amp;sheet=U0&amp;row=507&amp;col=7&amp;number=74.22&amp;sourceID=16","74.22")</f>
        <v>74.22</v>
      </c>
      <c r="H507" s="4" t="str">
        <f>HYPERLINK("http://141.218.60.56/~jnz1568/getInfo.php?workbook=01_01.xlsx&amp;sheet=U0&amp;row=507&amp;col=8&amp;number=&amp;sourceID=17","")</f>
        <v/>
      </c>
      <c r="I507" s="4" t="str">
        <f>HYPERLINK("http://141.218.60.56/~jnz1568/getInfo.php?workbook=01_01.xlsx&amp;sheet=U0&amp;row=507&amp;col=9&amp;number=&amp;sourceID=17","")</f>
        <v/>
      </c>
    </row>
    <row r="508" spans="1:9">
      <c r="A508" s="3">
        <v>1</v>
      </c>
      <c r="B508" s="3">
        <v>1</v>
      </c>
      <c r="C508" s="3">
        <v>12</v>
      </c>
      <c r="D508" s="3">
        <v>8</v>
      </c>
      <c r="E508" s="3">
        <v>1</v>
      </c>
      <c r="F508" s="4" t="str">
        <f>HYPERLINK("http://141.218.60.56/~jnz1568/getInfo.php?workbook=01_01.xlsx&amp;sheet=U0&amp;row=508&amp;col=6&amp;number==LOG10(2500)&amp;sourceID=16","=LOG10(2500)")</f>
        <v>=LOG10(2500)</v>
      </c>
      <c r="G508" s="4" t="str">
        <f>HYPERLINK("http://141.218.60.56/~jnz1568/getInfo.php?workbook=01_01.xlsx&amp;sheet=U0&amp;row=508&amp;col=7&amp;number=28.16&amp;sourceID=16","28.16")</f>
        <v>28.16</v>
      </c>
      <c r="H508" s="4" t="str">
        <f>HYPERLINK("http://141.218.60.56/~jnz1568/getInfo.php?workbook=01_01.xlsx&amp;sheet=U0&amp;row=508&amp;col=8&amp;number=3.764&amp;sourceID=17","3.764")</f>
        <v>3.764</v>
      </c>
      <c r="I508" s="4" t="str">
        <f>HYPERLINK("http://141.218.60.56/~jnz1568/getInfo.php?workbook=01_01.xlsx&amp;sheet=U0&amp;row=508&amp;col=9&amp;number=39.2&amp;sourceID=17","39.2")</f>
        <v>39.2</v>
      </c>
    </row>
    <row r="509" spans="1:9">
      <c r="A509" s="3"/>
      <c r="B509" s="3"/>
      <c r="C509" s="3"/>
      <c r="D509" s="3"/>
      <c r="E509" s="3">
        <v>2</v>
      </c>
      <c r="F509" s="4" t="str">
        <f>HYPERLINK("http://141.218.60.56/~jnz1568/getInfo.php?workbook=01_01.xlsx&amp;sheet=U0&amp;row=509&amp;col=6&amp;number=3.699&amp;sourceID=16","3.699")</f>
        <v>3.699</v>
      </c>
      <c r="G509" s="4" t="str">
        <f>HYPERLINK("http://141.218.60.56/~jnz1568/getInfo.php?workbook=01_01.xlsx&amp;sheet=U0&amp;row=509&amp;col=7&amp;number=45.49&amp;sourceID=16","45.49")</f>
        <v>45.49</v>
      </c>
      <c r="H509" s="4" t="str">
        <f>HYPERLINK("http://141.218.60.56/~jnz1568/getInfo.php?workbook=01_01.xlsx&amp;sheet=U0&amp;row=509&amp;col=8&amp;number=4.064&amp;sourceID=17","4.064")</f>
        <v>4.064</v>
      </c>
      <c r="I509" s="4" t="str">
        <f>HYPERLINK("http://141.218.60.56/~jnz1568/getInfo.php?workbook=01_01.xlsx&amp;sheet=U0&amp;row=509&amp;col=9&amp;number=75.4&amp;sourceID=17","75.4")</f>
        <v>75.4</v>
      </c>
    </row>
    <row r="510" spans="1:9">
      <c r="A510" s="3"/>
      <c r="B510" s="3"/>
      <c r="C510" s="3"/>
      <c r="D510" s="3"/>
      <c r="E510" s="3">
        <v>3</v>
      </c>
      <c r="F510" s="4" t="str">
        <f>HYPERLINK("http://141.218.60.56/~jnz1568/getInfo.php?workbook=01_01.xlsx&amp;sheet=U0&amp;row=510&amp;col=6&amp;number=3.875&amp;sourceID=16","3.875")</f>
        <v>3.875</v>
      </c>
      <c r="G510" s="4" t="str">
        <f>HYPERLINK("http://141.218.60.56/~jnz1568/getInfo.php?workbook=01_01.xlsx&amp;sheet=U0&amp;row=510&amp;col=7&amp;number=63.92&amp;sourceID=16","63.92")</f>
        <v>63.92</v>
      </c>
      <c r="H510" s="4" t="str">
        <f>HYPERLINK("http://141.218.60.56/~jnz1568/getInfo.php?workbook=01_01.xlsx&amp;sheet=U0&amp;row=510&amp;col=8&amp;number=4.542&amp;sourceID=17","4.542")</f>
        <v>4.542</v>
      </c>
      <c r="I510" s="4" t="str">
        <f>HYPERLINK("http://141.218.60.56/~jnz1568/getInfo.php?workbook=01_01.xlsx&amp;sheet=U0&amp;row=510&amp;col=9&amp;number=175&amp;sourceID=17","175")</f>
        <v>175</v>
      </c>
    </row>
    <row r="511" spans="1:9">
      <c r="A511" s="3"/>
      <c r="B511" s="3"/>
      <c r="C511" s="3"/>
      <c r="D511" s="3"/>
      <c r="E511" s="3">
        <v>4</v>
      </c>
      <c r="F511" s="4" t="str">
        <f>HYPERLINK("http://141.218.60.56/~jnz1568/getInfo.php?workbook=01_01.xlsx&amp;sheet=U0&amp;row=511&amp;col=6&amp;number=4&amp;sourceID=16","4")</f>
        <v>4</v>
      </c>
      <c r="G511" s="4" t="str">
        <f>HYPERLINK("http://141.218.60.56/~jnz1568/getInfo.php?workbook=01_01.xlsx&amp;sheet=U0&amp;row=511&amp;col=7&amp;number=83.27&amp;sourceID=16","83.27")</f>
        <v>83.27</v>
      </c>
      <c r="H511" s="4" t="str">
        <f>HYPERLINK("http://141.218.60.56/~jnz1568/getInfo.php?workbook=01_01.xlsx&amp;sheet=U0&amp;row=511&amp;col=8&amp;number=4.764&amp;sourceID=17","4.764")</f>
        <v>4.764</v>
      </c>
      <c r="I511" s="4" t="str">
        <f>HYPERLINK("http://141.218.60.56/~jnz1568/getInfo.php?workbook=01_01.xlsx&amp;sheet=U0&amp;row=511&amp;col=9&amp;number=227&amp;sourceID=17","227")</f>
        <v>227</v>
      </c>
    </row>
    <row r="512" spans="1:9">
      <c r="A512" s="3"/>
      <c r="B512" s="3"/>
      <c r="C512" s="3"/>
      <c r="D512" s="3"/>
      <c r="E512" s="3">
        <v>5</v>
      </c>
      <c r="F512" s="4" t="str">
        <f>HYPERLINK("http://141.218.60.56/~jnz1568/getInfo.php?workbook=01_01.xlsx&amp;sheet=U0&amp;row=512&amp;col=6&amp;number=4.176&amp;sourceID=16","4.176")</f>
        <v>4.176</v>
      </c>
      <c r="G512" s="4" t="str">
        <f>HYPERLINK("http://141.218.60.56/~jnz1568/getInfo.php?workbook=01_01.xlsx&amp;sheet=U0&amp;row=512&amp;col=7&amp;number=121.6&amp;sourceID=16","121.6")</f>
        <v>121.6</v>
      </c>
      <c r="H512" s="4" t="str">
        <f>HYPERLINK("http://141.218.60.56/~jnz1568/getInfo.php?workbook=01_01.xlsx&amp;sheet=U0&amp;row=512&amp;col=8&amp;number=5.064&amp;sourceID=17","5.064")</f>
        <v>5.064</v>
      </c>
      <c r="I512" s="4" t="str">
        <f>HYPERLINK("http://141.218.60.56/~jnz1568/getInfo.php?workbook=01_01.xlsx&amp;sheet=U0&amp;row=512&amp;col=9&amp;number=289&amp;sourceID=17","289")</f>
        <v>289</v>
      </c>
    </row>
    <row r="513" spans="1:9">
      <c r="A513" s="3"/>
      <c r="B513" s="3"/>
      <c r="C513" s="3"/>
      <c r="D513" s="3"/>
      <c r="E513" s="3">
        <v>6</v>
      </c>
      <c r="F513" s="4" t="str">
        <f>HYPERLINK("http://141.218.60.56/~jnz1568/getInfo.php?workbook=01_01.xlsx&amp;sheet=U0&amp;row=513&amp;col=6&amp;number=4.301&amp;sourceID=16","4.301")</f>
        <v>4.301</v>
      </c>
      <c r="G513" s="4" t="str">
        <f>HYPERLINK("http://141.218.60.56/~jnz1568/getInfo.php?workbook=01_01.xlsx&amp;sheet=U0&amp;row=513&amp;col=7&amp;number=158&amp;sourceID=16","158")</f>
        <v>158</v>
      </c>
      <c r="H513" s="4" t="str">
        <f>HYPERLINK("http://141.218.60.56/~jnz1568/getInfo.php?workbook=01_01.xlsx&amp;sheet=U0&amp;row=513&amp;col=8&amp;number=5.241&amp;sourceID=17","5.241")</f>
        <v>5.241</v>
      </c>
      <c r="I513" s="4" t="str">
        <f>HYPERLINK("http://141.218.60.56/~jnz1568/getInfo.php?workbook=01_01.xlsx&amp;sheet=U0&amp;row=513&amp;col=9&amp;number=321&amp;sourceID=17","321")</f>
        <v>321</v>
      </c>
    </row>
    <row r="514" spans="1:9">
      <c r="A514" s="3"/>
      <c r="B514" s="3"/>
      <c r="C514" s="3"/>
      <c r="D514" s="3"/>
      <c r="E514" s="3">
        <v>7</v>
      </c>
      <c r="F514" s="4" t="str">
        <f>HYPERLINK("http://141.218.60.56/~jnz1568/getInfo.php?workbook=01_01.xlsx&amp;sheet=U0&amp;row=514&amp;col=6&amp;number=4.477&amp;sourceID=16","4.477")</f>
        <v>4.477</v>
      </c>
      <c r="G514" s="4" t="str">
        <f>HYPERLINK("http://141.218.60.56/~jnz1568/getInfo.php?workbook=01_01.xlsx&amp;sheet=U0&amp;row=514&amp;col=7&amp;number=223.8&amp;sourceID=16","223.8")</f>
        <v>223.8</v>
      </c>
      <c r="H514" s="4" t="str">
        <f>HYPERLINK("http://141.218.60.56/~jnz1568/getInfo.php?workbook=01_01.xlsx&amp;sheet=U0&amp;row=514&amp;col=8&amp;number=5.366&amp;sourceID=17","5.366")</f>
        <v>5.366</v>
      </c>
      <c r="I514" s="4" t="str">
        <f>HYPERLINK("http://141.218.60.56/~jnz1568/getInfo.php?workbook=01_01.xlsx&amp;sheet=U0&amp;row=514&amp;col=9&amp;number=342&amp;sourceID=17","342")</f>
        <v>342</v>
      </c>
    </row>
    <row r="515" spans="1:9">
      <c r="A515" s="3"/>
      <c r="B515" s="3"/>
      <c r="C515" s="3"/>
      <c r="D515" s="3"/>
      <c r="E515" s="3">
        <v>8</v>
      </c>
      <c r="F515" s="4" t="str">
        <f>HYPERLINK("http://141.218.60.56/~jnz1568/getInfo.php?workbook=01_01.xlsx&amp;sheet=U0&amp;row=515&amp;col=6&amp;number=4.602&amp;sourceID=16","4.602")</f>
        <v>4.602</v>
      </c>
      <c r="G515" s="4" t="str">
        <f>HYPERLINK("http://141.218.60.56/~jnz1568/getInfo.php?workbook=01_01.xlsx&amp;sheet=U0&amp;row=515&amp;col=7&amp;number=280.1&amp;sourceID=16","280.1")</f>
        <v>280.1</v>
      </c>
      <c r="H515" s="4" t="str">
        <f>HYPERLINK("http://141.218.60.56/~jnz1568/getInfo.php?workbook=01_01.xlsx&amp;sheet=U0&amp;row=515&amp;col=8&amp;number=5.463&amp;sourceID=17","5.463")</f>
        <v>5.463</v>
      </c>
      <c r="I515" s="4" t="str">
        <f>HYPERLINK("http://141.218.60.56/~jnz1568/getInfo.php?workbook=01_01.xlsx&amp;sheet=U0&amp;row=515&amp;col=9&amp;number=357&amp;sourceID=17","357")</f>
        <v>357</v>
      </c>
    </row>
    <row r="516" spans="1:9">
      <c r="A516" s="3"/>
      <c r="B516" s="3"/>
      <c r="C516" s="3"/>
      <c r="D516" s="3"/>
      <c r="E516" s="3">
        <v>9</v>
      </c>
      <c r="F516" s="4" t="str">
        <f>HYPERLINK("http://141.218.60.56/~jnz1568/getInfo.php?workbook=01_01.xlsx&amp;sheet=U0&amp;row=516&amp;col=6&amp;number=4.699&amp;sourceID=16","4.699")</f>
        <v>4.699</v>
      </c>
      <c r="G516" s="4" t="str">
        <f>HYPERLINK("http://141.218.60.56/~jnz1568/getInfo.php?workbook=01_01.xlsx&amp;sheet=U0&amp;row=516&amp;col=7&amp;number=331.2&amp;sourceID=16","331.2")</f>
        <v>331.2</v>
      </c>
      <c r="H516" s="4" t="str">
        <f>HYPERLINK("http://141.218.60.56/~jnz1568/getInfo.php?workbook=01_01.xlsx&amp;sheet=U0&amp;row=516&amp;col=8&amp;number=&amp;sourceID=17","")</f>
        <v/>
      </c>
      <c r="I516" s="4" t="str">
        <f>HYPERLINK("http://141.218.60.56/~jnz1568/getInfo.php?workbook=01_01.xlsx&amp;sheet=U0&amp;row=516&amp;col=9&amp;number=&amp;sourceID=17","")</f>
        <v/>
      </c>
    </row>
    <row r="517" spans="1:9">
      <c r="A517" s="3">
        <v>1</v>
      </c>
      <c r="B517" s="3">
        <v>1</v>
      </c>
      <c r="C517" s="3">
        <v>12</v>
      </c>
      <c r="D517" s="3">
        <v>9</v>
      </c>
      <c r="E517" s="3">
        <v>1</v>
      </c>
      <c r="F517" s="4" t="str">
        <f>HYPERLINK("http://141.218.60.56/~jnz1568/getInfo.php?workbook=01_01.xlsx&amp;sheet=U0&amp;row=517&amp;col=6&amp;number==LOG10(2500)&amp;sourceID=16","=LOG10(2500)")</f>
        <v>=LOG10(2500)</v>
      </c>
      <c r="G517" s="4" t="str">
        <f>HYPERLINK("http://141.218.60.56/~jnz1568/getInfo.php?workbook=01_01.xlsx&amp;sheet=U0&amp;row=517&amp;col=7&amp;number=37.09&amp;sourceID=16","37.09")</f>
        <v>37.09</v>
      </c>
      <c r="H517" s="4" t="str">
        <f>HYPERLINK("http://141.218.60.56/~jnz1568/getInfo.php?workbook=01_01.xlsx&amp;sheet=U0&amp;row=517&amp;col=8&amp;number=3.764&amp;sourceID=17","3.764")</f>
        <v>3.764</v>
      </c>
      <c r="I517" s="4" t="str">
        <f>HYPERLINK("http://141.218.60.56/~jnz1568/getInfo.php?workbook=01_01.xlsx&amp;sheet=U0&amp;row=517&amp;col=9&amp;number=41.9&amp;sourceID=17","41.9")</f>
        <v>41.9</v>
      </c>
    </row>
    <row r="518" spans="1:9">
      <c r="A518" s="3"/>
      <c r="B518" s="3"/>
      <c r="C518" s="3"/>
      <c r="D518" s="3"/>
      <c r="E518" s="3">
        <v>2</v>
      </c>
      <c r="F518" s="4" t="str">
        <f>HYPERLINK("http://141.218.60.56/~jnz1568/getInfo.php?workbook=01_01.xlsx&amp;sheet=U0&amp;row=518&amp;col=6&amp;number=3.699&amp;sourceID=16","3.699")</f>
        <v>3.699</v>
      </c>
      <c r="G518" s="4" t="str">
        <f>HYPERLINK("http://141.218.60.56/~jnz1568/getInfo.php?workbook=01_01.xlsx&amp;sheet=U0&amp;row=518&amp;col=7&amp;number=56.67&amp;sourceID=16","56.67")</f>
        <v>56.67</v>
      </c>
      <c r="H518" s="4" t="str">
        <f>HYPERLINK("http://141.218.60.56/~jnz1568/getInfo.php?workbook=01_01.xlsx&amp;sheet=U0&amp;row=518&amp;col=8&amp;number=4.064&amp;sourceID=17","4.064")</f>
        <v>4.064</v>
      </c>
      <c r="I518" s="4" t="str">
        <f>HYPERLINK("http://141.218.60.56/~jnz1568/getInfo.php?workbook=01_01.xlsx&amp;sheet=U0&amp;row=518&amp;col=9&amp;number=60.5&amp;sourceID=17","60.5")</f>
        <v>60.5</v>
      </c>
    </row>
    <row r="519" spans="1:9">
      <c r="A519" s="3"/>
      <c r="B519" s="3"/>
      <c r="C519" s="3"/>
      <c r="D519" s="3"/>
      <c r="E519" s="3">
        <v>3</v>
      </c>
      <c r="F519" s="4" t="str">
        <f>HYPERLINK("http://141.218.60.56/~jnz1568/getInfo.php?workbook=01_01.xlsx&amp;sheet=U0&amp;row=519&amp;col=6&amp;number=3.875&amp;sourceID=16","3.875")</f>
        <v>3.875</v>
      </c>
      <c r="G519" s="4" t="str">
        <f>HYPERLINK("http://141.218.60.56/~jnz1568/getInfo.php?workbook=01_01.xlsx&amp;sheet=U0&amp;row=519&amp;col=7&amp;number=70.69&amp;sourceID=16","70.69")</f>
        <v>70.69</v>
      </c>
      <c r="H519" s="4" t="str">
        <f>HYPERLINK("http://141.218.60.56/~jnz1568/getInfo.php?workbook=01_01.xlsx&amp;sheet=U0&amp;row=519&amp;col=8&amp;number=4.542&amp;sourceID=17","4.542")</f>
        <v>4.542</v>
      </c>
      <c r="I519" s="4" t="str">
        <f>HYPERLINK("http://141.218.60.56/~jnz1568/getInfo.php?workbook=01_01.xlsx&amp;sheet=U0&amp;row=519&amp;col=9&amp;number=84.1&amp;sourceID=17","84.1")</f>
        <v>84.1</v>
      </c>
    </row>
    <row r="520" spans="1:9">
      <c r="A520" s="3"/>
      <c r="B520" s="3"/>
      <c r="C520" s="3"/>
      <c r="D520" s="3"/>
      <c r="E520" s="3">
        <v>4</v>
      </c>
      <c r="F520" s="4" t="str">
        <f>HYPERLINK("http://141.218.60.56/~jnz1568/getInfo.php?workbook=01_01.xlsx&amp;sheet=U0&amp;row=520&amp;col=6&amp;number=4&amp;sourceID=16","4")</f>
        <v>4</v>
      </c>
      <c r="G520" s="4" t="str">
        <f>HYPERLINK("http://141.218.60.56/~jnz1568/getInfo.php?workbook=01_01.xlsx&amp;sheet=U0&amp;row=520&amp;col=7&amp;number=82.31&amp;sourceID=16","82.31")</f>
        <v>82.31</v>
      </c>
      <c r="H520" s="4" t="str">
        <f>HYPERLINK("http://141.218.60.56/~jnz1568/getInfo.php?workbook=01_01.xlsx&amp;sheet=U0&amp;row=520&amp;col=8&amp;number=4.764&amp;sourceID=17","4.764")</f>
        <v>4.764</v>
      </c>
      <c r="I520" s="4" t="str">
        <f>HYPERLINK("http://141.218.60.56/~jnz1568/getInfo.php?workbook=01_01.xlsx&amp;sheet=U0&amp;row=520&amp;col=9&amp;number=90&amp;sourceID=17","90")</f>
        <v>90</v>
      </c>
    </row>
    <row r="521" spans="1:9">
      <c r="A521" s="3"/>
      <c r="B521" s="3"/>
      <c r="C521" s="3"/>
      <c r="D521" s="3"/>
      <c r="E521" s="3">
        <v>5</v>
      </c>
      <c r="F521" s="4" t="str">
        <f>HYPERLINK("http://141.218.60.56/~jnz1568/getInfo.php?workbook=01_01.xlsx&amp;sheet=U0&amp;row=521&amp;col=6&amp;number=4.176&amp;sourceID=16","4.176")</f>
        <v>4.176</v>
      </c>
      <c r="G521" s="4" t="str">
        <f>HYPERLINK("http://141.218.60.56/~jnz1568/getInfo.php?workbook=01_01.xlsx&amp;sheet=U0&amp;row=521&amp;col=7&amp;number=100.1&amp;sourceID=16","100.1")</f>
        <v>100.1</v>
      </c>
      <c r="H521" s="4" t="str">
        <f>HYPERLINK("http://141.218.60.56/~jnz1568/getInfo.php?workbook=01_01.xlsx&amp;sheet=U0&amp;row=521&amp;col=8&amp;number=5.064&amp;sourceID=17","5.064")</f>
        <v>5.064</v>
      </c>
      <c r="I521" s="4" t="str">
        <f>HYPERLINK("http://141.218.60.56/~jnz1568/getInfo.php?workbook=01_01.xlsx&amp;sheet=U0&amp;row=521&amp;col=9&amp;number=97.7&amp;sourceID=17","97.7")</f>
        <v>97.7</v>
      </c>
    </row>
    <row r="522" spans="1:9">
      <c r="A522" s="3"/>
      <c r="B522" s="3"/>
      <c r="C522" s="3"/>
      <c r="D522" s="3"/>
      <c r="E522" s="3">
        <v>6</v>
      </c>
      <c r="F522" s="4" t="str">
        <f>HYPERLINK("http://141.218.60.56/~jnz1568/getInfo.php?workbook=01_01.xlsx&amp;sheet=U0&amp;row=522&amp;col=6&amp;number=4.301&amp;sourceID=16","4.301")</f>
        <v>4.301</v>
      </c>
      <c r="G522" s="4" t="str">
        <f>HYPERLINK("http://141.218.60.56/~jnz1568/getInfo.php?workbook=01_01.xlsx&amp;sheet=U0&amp;row=522&amp;col=7&amp;number=112.8&amp;sourceID=16","112.8")</f>
        <v>112.8</v>
      </c>
      <c r="H522" s="4" t="str">
        <f>HYPERLINK("http://141.218.60.56/~jnz1568/getInfo.php?workbook=01_01.xlsx&amp;sheet=U0&amp;row=522&amp;col=8&amp;number=5.241&amp;sourceID=17","5.241")</f>
        <v>5.241</v>
      </c>
      <c r="I522" s="4" t="str">
        <f>HYPERLINK("http://141.218.60.56/~jnz1568/getInfo.php?workbook=01_01.xlsx&amp;sheet=U0&amp;row=522&amp;col=9&amp;number=105&amp;sourceID=17","105")</f>
        <v>105</v>
      </c>
    </row>
    <row r="523" spans="1:9">
      <c r="A523" s="3"/>
      <c r="B523" s="3"/>
      <c r="C523" s="3"/>
      <c r="D523" s="3"/>
      <c r="E523" s="3">
        <v>7</v>
      </c>
      <c r="F523" s="4" t="str">
        <f>HYPERLINK("http://141.218.60.56/~jnz1568/getInfo.php?workbook=01_01.xlsx&amp;sheet=U0&amp;row=523&amp;col=6&amp;number=4.477&amp;sourceID=16","4.477")</f>
        <v>4.477</v>
      </c>
      <c r="G523" s="4" t="str">
        <f>HYPERLINK("http://141.218.60.56/~jnz1568/getInfo.php?workbook=01_01.xlsx&amp;sheet=U0&amp;row=523&amp;col=7&amp;number=129.6&amp;sourceID=16","129.6")</f>
        <v>129.6</v>
      </c>
      <c r="H523" s="4" t="str">
        <f>HYPERLINK("http://141.218.60.56/~jnz1568/getInfo.php?workbook=01_01.xlsx&amp;sheet=U0&amp;row=523&amp;col=8&amp;number=5.366&amp;sourceID=17","5.366")</f>
        <v>5.366</v>
      </c>
      <c r="I523" s="4" t="str">
        <f>HYPERLINK("http://141.218.60.56/~jnz1568/getInfo.php?workbook=01_01.xlsx&amp;sheet=U0&amp;row=523&amp;col=9&amp;number=111&amp;sourceID=17","111")</f>
        <v>111</v>
      </c>
    </row>
    <row r="524" spans="1:9">
      <c r="A524" s="3"/>
      <c r="B524" s="3"/>
      <c r="C524" s="3"/>
      <c r="D524" s="3"/>
      <c r="E524" s="3">
        <v>8</v>
      </c>
      <c r="F524" s="4" t="str">
        <f>HYPERLINK("http://141.218.60.56/~jnz1568/getInfo.php?workbook=01_01.xlsx&amp;sheet=U0&amp;row=524&amp;col=6&amp;number=4.602&amp;sourceID=16","4.602")</f>
        <v>4.602</v>
      </c>
      <c r="G524" s="4" t="str">
        <f>HYPERLINK("http://141.218.60.56/~jnz1568/getInfo.php?workbook=01_01.xlsx&amp;sheet=U0&amp;row=524&amp;col=7&amp;number=140.1&amp;sourceID=16","140.1")</f>
        <v>140.1</v>
      </c>
      <c r="H524" s="4" t="str">
        <f>HYPERLINK("http://141.218.60.56/~jnz1568/getInfo.php?workbook=01_01.xlsx&amp;sheet=U0&amp;row=524&amp;col=8&amp;number=5.463&amp;sourceID=17","5.463")</f>
        <v>5.463</v>
      </c>
      <c r="I524" s="4" t="str">
        <f>HYPERLINK("http://141.218.60.56/~jnz1568/getInfo.php?workbook=01_01.xlsx&amp;sheet=U0&amp;row=524&amp;col=9&amp;number=117&amp;sourceID=17","117")</f>
        <v>117</v>
      </c>
    </row>
    <row r="525" spans="1:9">
      <c r="A525" s="3"/>
      <c r="B525" s="3"/>
      <c r="C525" s="3"/>
      <c r="D525" s="3"/>
      <c r="E525" s="3">
        <v>9</v>
      </c>
      <c r="F525" s="4" t="str">
        <f>HYPERLINK("http://141.218.60.56/~jnz1568/getInfo.php?workbook=01_01.xlsx&amp;sheet=U0&amp;row=525&amp;col=6&amp;number=4.699&amp;sourceID=16","4.699")</f>
        <v>4.699</v>
      </c>
      <c r="G525" s="4" t="str">
        <f>HYPERLINK("http://141.218.60.56/~jnz1568/getInfo.php?workbook=01_01.xlsx&amp;sheet=U0&amp;row=525&amp;col=7&amp;number=147.2&amp;sourceID=16","147.2")</f>
        <v>147.2</v>
      </c>
      <c r="H525" s="4" t="str">
        <f>HYPERLINK("http://141.218.60.56/~jnz1568/getInfo.php?workbook=01_01.xlsx&amp;sheet=U0&amp;row=525&amp;col=8&amp;number=&amp;sourceID=17","")</f>
        <v/>
      </c>
      <c r="I525" s="4" t="str">
        <f>HYPERLINK("http://141.218.60.56/~jnz1568/getInfo.php?workbook=01_01.xlsx&amp;sheet=U0&amp;row=525&amp;col=9&amp;number=&amp;sourceID=17","")</f>
        <v/>
      </c>
    </row>
    <row r="526" spans="1:9">
      <c r="A526" s="3">
        <v>1</v>
      </c>
      <c r="B526" s="3">
        <v>1</v>
      </c>
      <c r="C526" s="3">
        <v>12</v>
      </c>
      <c r="D526" s="3">
        <v>10</v>
      </c>
      <c r="E526" s="3">
        <v>1</v>
      </c>
      <c r="F526" s="4" t="str">
        <f>HYPERLINK("http://141.218.60.56/~jnz1568/getInfo.php?workbook=01_01.xlsx&amp;sheet=U0&amp;row=526&amp;col=6&amp;number==LOG10(2500)&amp;sourceID=16","=LOG10(2500)")</f>
        <v>=LOG10(2500)</v>
      </c>
      <c r="G526" s="4" t="str">
        <f>HYPERLINK("http://141.218.60.56/~jnz1568/getInfo.php?workbook=01_01.xlsx&amp;sheet=U0&amp;row=526&amp;col=7&amp;number=33.86&amp;sourceID=16","33.86")</f>
        <v>33.86</v>
      </c>
      <c r="H526" s="4" t="str">
        <f>HYPERLINK("http://141.218.60.56/~jnz1568/getInfo.php?workbook=01_01.xlsx&amp;sheet=U0&amp;row=526&amp;col=8&amp;number=3.764&amp;sourceID=17","3.764")</f>
        <v>3.764</v>
      </c>
      <c r="I526" s="4" t="str">
        <f>HYPERLINK("http://141.218.60.56/~jnz1568/getInfo.php?workbook=01_01.xlsx&amp;sheet=U0&amp;row=526&amp;col=9&amp;number=34.8&amp;sourceID=17","34.8")</f>
        <v>34.8</v>
      </c>
    </row>
    <row r="527" spans="1:9">
      <c r="A527" s="3"/>
      <c r="B527" s="3"/>
      <c r="C527" s="3"/>
      <c r="D527" s="3"/>
      <c r="E527" s="3">
        <v>2</v>
      </c>
      <c r="F527" s="4" t="str">
        <f>HYPERLINK("http://141.218.60.56/~jnz1568/getInfo.php?workbook=01_01.xlsx&amp;sheet=U0&amp;row=527&amp;col=6&amp;number=3.699&amp;sourceID=16","3.699")</f>
        <v>3.699</v>
      </c>
      <c r="G527" s="4" t="str">
        <f>HYPERLINK("http://141.218.60.56/~jnz1568/getInfo.php?workbook=01_01.xlsx&amp;sheet=U0&amp;row=527&amp;col=7&amp;number=46.53&amp;sourceID=16","46.53")</f>
        <v>46.53</v>
      </c>
      <c r="H527" s="4" t="str">
        <f>HYPERLINK("http://141.218.60.56/~jnz1568/getInfo.php?workbook=01_01.xlsx&amp;sheet=U0&amp;row=527&amp;col=8&amp;number=4.064&amp;sourceID=17","4.064")</f>
        <v>4.064</v>
      </c>
      <c r="I527" s="4" t="str">
        <f>HYPERLINK("http://141.218.60.56/~jnz1568/getInfo.php?workbook=01_01.xlsx&amp;sheet=U0&amp;row=527&amp;col=9&amp;number=40.5&amp;sourceID=17","40.5")</f>
        <v>40.5</v>
      </c>
    </row>
    <row r="528" spans="1:9">
      <c r="A528" s="3"/>
      <c r="B528" s="3"/>
      <c r="C528" s="3"/>
      <c r="D528" s="3"/>
      <c r="E528" s="3">
        <v>3</v>
      </c>
      <c r="F528" s="4" t="str">
        <f>HYPERLINK("http://141.218.60.56/~jnz1568/getInfo.php?workbook=01_01.xlsx&amp;sheet=U0&amp;row=528&amp;col=6&amp;number=3.875&amp;sourceID=16","3.875")</f>
        <v>3.875</v>
      </c>
      <c r="G528" s="4" t="str">
        <f>HYPERLINK("http://141.218.60.56/~jnz1568/getInfo.php?workbook=01_01.xlsx&amp;sheet=U0&amp;row=528&amp;col=7&amp;number=52&amp;sourceID=16","52")</f>
        <v>52</v>
      </c>
      <c r="H528" s="4" t="str">
        <f>HYPERLINK("http://141.218.60.56/~jnz1568/getInfo.php?workbook=01_01.xlsx&amp;sheet=U0&amp;row=528&amp;col=8&amp;number=4.542&amp;sourceID=17","4.542")</f>
        <v>4.542</v>
      </c>
      <c r="I528" s="4" t="str">
        <f>HYPERLINK("http://141.218.60.56/~jnz1568/getInfo.php?workbook=01_01.xlsx&amp;sheet=U0&amp;row=528&amp;col=9&amp;number=39.7&amp;sourceID=17","39.7")</f>
        <v>39.7</v>
      </c>
    </row>
    <row r="529" spans="1:9">
      <c r="A529" s="3"/>
      <c r="B529" s="3"/>
      <c r="C529" s="3"/>
      <c r="D529" s="3"/>
      <c r="E529" s="3">
        <v>4</v>
      </c>
      <c r="F529" s="4" t="str">
        <f>HYPERLINK("http://141.218.60.56/~jnz1568/getInfo.php?workbook=01_01.xlsx&amp;sheet=U0&amp;row=529&amp;col=6&amp;number=4&amp;sourceID=16","4")</f>
        <v>4</v>
      </c>
      <c r="G529" s="4" t="str">
        <f>HYPERLINK("http://141.218.60.56/~jnz1568/getInfo.php?workbook=01_01.xlsx&amp;sheet=U0&amp;row=529&amp;col=7&amp;number=55.12&amp;sourceID=16","55.12")</f>
        <v>55.12</v>
      </c>
      <c r="H529" s="4" t="str">
        <f>HYPERLINK("http://141.218.60.56/~jnz1568/getInfo.php?workbook=01_01.xlsx&amp;sheet=U0&amp;row=529&amp;col=8&amp;number=4.764&amp;sourceID=17","4.764")</f>
        <v>4.764</v>
      </c>
      <c r="I529" s="4" t="str">
        <f>HYPERLINK("http://141.218.60.56/~jnz1568/getInfo.php?workbook=01_01.xlsx&amp;sheet=U0&amp;row=529&amp;col=9&amp;number=37&amp;sourceID=17","37")</f>
        <v>37</v>
      </c>
    </row>
    <row r="530" spans="1:9">
      <c r="A530" s="3"/>
      <c r="B530" s="3"/>
      <c r="C530" s="3"/>
      <c r="D530" s="3"/>
      <c r="E530" s="3">
        <v>5</v>
      </c>
      <c r="F530" s="4" t="str">
        <f>HYPERLINK("http://141.218.60.56/~jnz1568/getInfo.php?workbook=01_01.xlsx&amp;sheet=U0&amp;row=530&amp;col=6&amp;number=4.176&amp;sourceID=16","4.176")</f>
        <v>4.176</v>
      </c>
      <c r="G530" s="4" t="str">
        <f>HYPERLINK("http://141.218.60.56/~jnz1568/getInfo.php?workbook=01_01.xlsx&amp;sheet=U0&amp;row=530&amp;col=7&amp;number=58.24&amp;sourceID=16","58.24")</f>
        <v>58.24</v>
      </c>
      <c r="H530" s="4" t="str">
        <f>HYPERLINK("http://141.218.60.56/~jnz1568/getInfo.php?workbook=01_01.xlsx&amp;sheet=U0&amp;row=530&amp;col=8&amp;number=5.064&amp;sourceID=17","5.064")</f>
        <v>5.064</v>
      </c>
      <c r="I530" s="4" t="str">
        <f>HYPERLINK("http://141.218.60.56/~jnz1568/getInfo.php?workbook=01_01.xlsx&amp;sheet=U0&amp;row=530&amp;col=9&amp;number=33.2&amp;sourceID=17","33.2")</f>
        <v>33.2</v>
      </c>
    </row>
    <row r="531" spans="1:9">
      <c r="A531" s="3"/>
      <c r="B531" s="3"/>
      <c r="C531" s="3"/>
      <c r="D531" s="3"/>
      <c r="E531" s="3">
        <v>6</v>
      </c>
      <c r="F531" s="4" t="str">
        <f>HYPERLINK("http://141.218.60.56/~jnz1568/getInfo.php?workbook=01_01.xlsx&amp;sheet=U0&amp;row=531&amp;col=6&amp;number=4.301&amp;sourceID=16","4.301")</f>
        <v>4.301</v>
      </c>
      <c r="G531" s="4" t="str">
        <f>HYPERLINK("http://141.218.60.56/~jnz1568/getInfo.php?workbook=01_01.xlsx&amp;sheet=U0&amp;row=531&amp;col=7&amp;number=59.54&amp;sourceID=16","59.54")</f>
        <v>59.54</v>
      </c>
      <c r="H531" s="4" t="str">
        <f>HYPERLINK("http://141.218.60.56/~jnz1568/getInfo.php?workbook=01_01.xlsx&amp;sheet=U0&amp;row=531&amp;col=8&amp;number=5.241&amp;sourceID=17","5.241")</f>
        <v>5.241</v>
      </c>
      <c r="I531" s="4" t="str">
        <f>HYPERLINK("http://141.218.60.56/~jnz1568/getInfo.php?workbook=01_01.xlsx&amp;sheet=U0&amp;row=531&amp;col=9&amp;number=31.1&amp;sourceID=17","31.1")</f>
        <v>31.1</v>
      </c>
    </row>
    <row r="532" spans="1:9">
      <c r="A532" s="3"/>
      <c r="B532" s="3"/>
      <c r="C532" s="3"/>
      <c r="D532" s="3"/>
      <c r="E532" s="3">
        <v>7</v>
      </c>
      <c r="F532" s="4" t="str">
        <f>HYPERLINK("http://141.218.60.56/~jnz1568/getInfo.php?workbook=01_01.xlsx&amp;sheet=U0&amp;row=532&amp;col=6&amp;number=4.477&amp;sourceID=16","4.477")</f>
        <v>4.477</v>
      </c>
      <c r="G532" s="4" t="str">
        <f>HYPERLINK("http://141.218.60.56/~jnz1568/getInfo.php?workbook=01_01.xlsx&amp;sheet=U0&amp;row=532&amp;col=7&amp;number=60.02&amp;sourceID=16","60.02")</f>
        <v>60.02</v>
      </c>
      <c r="H532" s="4" t="str">
        <f>HYPERLINK("http://141.218.60.56/~jnz1568/getInfo.php?workbook=01_01.xlsx&amp;sheet=U0&amp;row=532&amp;col=8&amp;number=5.366&amp;sourceID=17","5.366")</f>
        <v>5.366</v>
      </c>
      <c r="I532" s="4" t="str">
        <f>HYPERLINK("http://141.218.60.56/~jnz1568/getInfo.php?workbook=01_01.xlsx&amp;sheet=U0&amp;row=532&amp;col=9&amp;number=29.8&amp;sourceID=17","29.8")</f>
        <v>29.8</v>
      </c>
    </row>
    <row r="533" spans="1:9">
      <c r="A533" s="3"/>
      <c r="B533" s="3"/>
      <c r="C533" s="3"/>
      <c r="D533" s="3"/>
      <c r="E533" s="3">
        <v>8</v>
      </c>
      <c r="F533" s="4" t="str">
        <f>HYPERLINK("http://141.218.60.56/~jnz1568/getInfo.php?workbook=01_01.xlsx&amp;sheet=U0&amp;row=533&amp;col=6&amp;number=4.602&amp;sourceID=16","4.602")</f>
        <v>4.602</v>
      </c>
      <c r="G533" s="4" t="str">
        <f>HYPERLINK("http://141.218.60.56/~jnz1568/getInfo.php?workbook=01_01.xlsx&amp;sheet=U0&amp;row=533&amp;col=7&amp;number=59.55&amp;sourceID=16","59.55")</f>
        <v>59.55</v>
      </c>
      <c r="H533" s="4" t="str">
        <f>HYPERLINK("http://141.218.60.56/~jnz1568/getInfo.php?workbook=01_01.xlsx&amp;sheet=U0&amp;row=533&amp;col=8&amp;number=5.463&amp;sourceID=17","5.463")</f>
        <v>5.463</v>
      </c>
      <c r="I533" s="4" t="str">
        <f>HYPERLINK("http://141.218.60.56/~jnz1568/getInfo.php?workbook=01_01.xlsx&amp;sheet=U0&amp;row=533&amp;col=9&amp;number=28.9&amp;sourceID=17","28.9")</f>
        <v>28.9</v>
      </c>
    </row>
    <row r="534" spans="1:9">
      <c r="A534" s="3"/>
      <c r="B534" s="3"/>
      <c r="C534" s="3"/>
      <c r="D534" s="3"/>
      <c r="E534" s="3">
        <v>9</v>
      </c>
      <c r="F534" s="4" t="str">
        <f>HYPERLINK("http://141.218.60.56/~jnz1568/getInfo.php?workbook=01_01.xlsx&amp;sheet=U0&amp;row=534&amp;col=6&amp;number=4.699&amp;sourceID=16","4.699")</f>
        <v>4.699</v>
      </c>
      <c r="G534" s="4" t="str">
        <f>HYPERLINK("http://141.218.60.56/~jnz1568/getInfo.php?workbook=01_01.xlsx&amp;sheet=U0&amp;row=534&amp;col=7&amp;number=57.92&amp;sourceID=16","57.92")</f>
        <v>57.92</v>
      </c>
      <c r="H534" s="4" t="str">
        <f>HYPERLINK("http://141.218.60.56/~jnz1568/getInfo.php?workbook=01_01.xlsx&amp;sheet=U0&amp;row=534&amp;col=8&amp;number=&amp;sourceID=17","")</f>
        <v/>
      </c>
      <c r="I534" s="4" t="str">
        <f>HYPERLINK("http://141.218.60.56/~jnz1568/getInfo.php?workbook=01_01.xlsx&amp;sheet=U0&amp;row=534&amp;col=9&amp;number=&amp;sourceID=17","")</f>
        <v/>
      </c>
    </row>
    <row r="535" spans="1:9">
      <c r="A535" s="3">
        <v>1</v>
      </c>
      <c r="B535" s="3">
        <v>1</v>
      </c>
      <c r="C535" s="3">
        <v>13</v>
      </c>
      <c r="D535" s="3">
        <v>1</v>
      </c>
      <c r="E535" s="3">
        <v>1</v>
      </c>
      <c r="F535" s="4" t="str">
        <f>HYPERLINK("http://141.218.60.56/~jnz1568/getInfo.php?workbook=01_01.xlsx&amp;sheet=U0&amp;row=535&amp;col=6&amp;number==LOG10(2500)&amp;sourceID=16","=LOG10(2500)")</f>
        <v>=LOG10(2500)</v>
      </c>
      <c r="G535" s="4" t="str">
        <f>HYPERLINK("http://141.218.60.56/~jnz1568/getInfo.php?workbook=01_01.xlsx&amp;sheet=U0&amp;row=535&amp;col=7&amp;number=0.03005&amp;sourceID=16","0.03005")</f>
        <v>0.03005</v>
      </c>
      <c r="H535" s="4" t="str">
        <f>HYPERLINK("http://141.218.60.56/~jnz1568/getInfo.php?workbook=01_01.xlsx&amp;sheet=U0&amp;row=535&amp;col=8&amp;number=3.764&amp;sourceID=17","3.764")</f>
        <v>3.764</v>
      </c>
      <c r="I535" s="4" t="str">
        <f>HYPERLINK("http://141.218.60.56/~jnz1568/getInfo.php?workbook=01_01.xlsx&amp;sheet=U0&amp;row=535&amp;col=9&amp;number=0.0208&amp;sourceID=17","0.0208")</f>
        <v>0.0208</v>
      </c>
    </row>
    <row r="536" spans="1:9">
      <c r="A536" s="3"/>
      <c r="B536" s="3"/>
      <c r="C536" s="3"/>
      <c r="D536" s="3"/>
      <c r="E536" s="3">
        <v>2</v>
      </c>
      <c r="F536" s="4" t="str">
        <f>HYPERLINK("http://141.218.60.56/~jnz1568/getInfo.php?workbook=01_01.xlsx&amp;sheet=U0&amp;row=536&amp;col=6&amp;number=3.699&amp;sourceID=16","3.699")</f>
        <v>3.699</v>
      </c>
      <c r="G536" s="4" t="str">
        <f>HYPERLINK("http://141.218.60.56/~jnz1568/getInfo.php?workbook=01_01.xlsx&amp;sheet=U0&amp;row=536&amp;col=7&amp;number=0.03951&amp;sourceID=16","0.03951")</f>
        <v>0.03951</v>
      </c>
      <c r="H536" s="4" t="str">
        <f>HYPERLINK("http://141.218.60.56/~jnz1568/getInfo.php?workbook=01_01.xlsx&amp;sheet=U0&amp;row=536&amp;col=8&amp;number=4.064&amp;sourceID=17","4.064")</f>
        <v>4.064</v>
      </c>
      <c r="I536" s="4" t="str">
        <f>HYPERLINK("http://141.218.60.56/~jnz1568/getInfo.php?workbook=01_01.xlsx&amp;sheet=U0&amp;row=536&amp;col=9&amp;number=0.0222&amp;sourceID=17","0.0222")</f>
        <v>0.0222</v>
      </c>
    </row>
    <row r="537" spans="1:9">
      <c r="A537" s="3"/>
      <c r="B537" s="3"/>
      <c r="C537" s="3"/>
      <c r="D537" s="3"/>
      <c r="E537" s="3">
        <v>3</v>
      </c>
      <c r="F537" s="4" t="str">
        <f>HYPERLINK("http://141.218.60.56/~jnz1568/getInfo.php?workbook=01_01.xlsx&amp;sheet=U0&amp;row=537&amp;col=6&amp;number=3.875&amp;sourceID=16","3.875")</f>
        <v>3.875</v>
      </c>
      <c r="G537" s="4" t="str">
        <f>HYPERLINK("http://141.218.60.56/~jnz1568/getInfo.php?workbook=01_01.xlsx&amp;sheet=U0&amp;row=537&amp;col=7&amp;number=0.04606&amp;sourceID=16","0.04606")</f>
        <v>0.04606</v>
      </c>
      <c r="H537" s="4" t="str">
        <f>HYPERLINK("http://141.218.60.56/~jnz1568/getInfo.php?workbook=01_01.xlsx&amp;sheet=U0&amp;row=537&amp;col=8&amp;number=4.542&amp;sourceID=17","4.542")</f>
        <v>4.542</v>
      </c>
      <c r="I537" s="4" t="str">
        <f>HYPERLINK("http://141.218.60.56/~jnz1568/getInfo.php?workbook=01_01.xlsx&amp;sheet=U0&amp;row=537&amp;col=9&amp;number=0.0247&amp;sourceID=17","0.0247")</f>
        <v>0.0247</v>
      </c>
    </row>
    <row r="538" spans="1:9">
      <c r="A538" s="3"/>
      <c r="B538" s="3"/>
      <c r="C538" s="3"/>
      <c r="D538" s="3"/>
      <c r="E538" s="3">
        <v>4</v>
      </c>
      <c r="F538" s="4" t="str">
        <f>HYPERLINK("http://141.218.60.56/~jnz1568/getInfo.php?workbook=01_01.xlsx&amp;sheet=U0&amp;row=538&amp;col=6&amp;number=4&amp;sourceID=16","4")</f>
        <v>4</v>
      </c>
      <c r="G538" s="4" t="str">
        <f>HYPERLINK("http://141.218.60.56/~jnz1568/getInfo.php?workbook=01_01.xlsx&amp;sheet=U0&amp;row=538&amp;col=7&amp;number=0.0512&amp;sourceID=16","0.0512")</f>
        <v>0.0512</v>
      </c>
      <c r="H538" s="4" t="str">
        <f>HYPERLINK("http://141.218.60.56/~jnz1568/getInfo.php?workbook=01_01.xlsx&amp;sheet=U0&amp;row=538&amp;col=8&amp;number=4.764&amp;sourceID=17","4.764")</f>
        <v>4.764</v>
      </c>
      <c r="I538" s="4" t="str">
        <f>HYPERLINK("http://141.218.60.56/~jnz1568/getInfo.php?workbook=01_01.xlsx&amp;sheet=U0&amp;row=538&amp;col=9&amp;number=0.0275&amp;sourceID=17","0.0275")</f>
        <v>0.0275</v>
      </c>
    </row>
    <row r="539" spans="1:9">
      <c r="A539" s="3"/>
      <c r="B539" s="3"/>
      <c r="C539" s="3"/>
      <c r="D539" s="3"/>
      <c r="E539" s="3">
        <v>5</v>
      </c>
      <c r="F539" s="4" t="str">
        <f>HYPERLINK("http://141.218.60.56/~jnz1568/getInfo.php?workbook=01_01.xlsx&amp;sheet=U0&amp;row=539&amp;col=6&amp;number=4.176&amp;sourceID=16","4.176")</f>
        <v>4.176</v>
      </c>
      <c r="G539" s="4" t="str">
        <f>HYPERLINK("http://141.218.60.56/~jnz1568/getInfo.php?workbook=01_01.xlsx&amp;sheet=U0&amp;row=539&amp;col=7&amp;number=0.0581&amp;sourceID=16","0.0581")</f>
        <v>0.0581</v>
      </c>
      <c r="H539" s="4" t="str">
        <f>HYPERLINK("http://141.218.60.56/~jnz1568/getInfo.php?workbook=01_01.xlsx&amp;sheet=U0&amp;row=539&amp;col=8&amp;number=5.064&amp;sourceID=17","5.064")</f>
        <v>5.064</v>
      </c>
      <c r="I539" s="4" t="str">
        <f>HYPERLINK("http://141.218.60.56/~jnz1568/getInfo.php?workbook=01_01.xlsx&amp;sheet=U0&amp;row=539&amp;col=9&amp;number=0.0313&amp;sourceID=17","0.0313")</f>
        <v>0.0313</v>
      </c>
    </row>
    <row r="540" spans="1:9">
      <c r="A540" s="3"/>
      <c r="B540" s="3"/>
      <c r="C540" s="3"/>
      <c r="D540" s="3"/>
      <c r="E540" s="3">
        <v>6</v>
      </c>
      <c r="F540" s="4" t="str">
        <f>HYPERLINK("http://141.218.60.56/~jnz1568/getInfo.php?workbook=01_01.xlsx&amp;sheet=U0&amp;row=540&amp;col=6&amp;number=4.301&amp;sourceID=16","4.301")</f>
        <v>4.301</v>
      </c>
      <c r="G540" s="4" t="str">
        <f>HYPERLINK("http://141.218.60.56/~jnz1568/getInfo.php?workbook=01_01.xlsx&amp;sheet=U0&amp;row=540&amp;col=7&amp;number=0.06194&amp;sourceID=16","0.06194")</f>
        <v>0.06194</v>
      </c>
      <c r="H540" s="4" t="str">
        <f>HYPERLINK("http://141.218.60.56/~jnz1568/getInfo.php?workbook=01_01.xlsx&amp;sheet=U0&amp;row=540&amp;col=8&amp;number=5.241&amp;sourceID=17","5.241")</f>
        <v>5.241</v>
      </c>
      <c r="I540" s="4" t="str">
        <f>HYPERLINK("http://141.218.60.56/~jnz1568/getInfo.php?workbook=01_01.xlsx&amp;sheet=U0&amp;row=540&amp;col=9&amp;number=0.033&amp;sourceID=17","0.033")</f>
        <v>0.033</v>
      </c>
    </row>
    <row r="541" spans="1:9">
      <c r="A541" s="3"/>
      <c r="B541" s="3"/>
      <c r="C541" s="3"/>
      <c r="D541" s="3"/>
      <c r="E541" s="3">
        <v>7</v>
      </c>
      <c r="F541" s="4" t="str">
        <f>HYPERLINK("http://141.218.60.56/~jnz1568/getInfo.php?workbook=01_01.xlsx&amp;sheet=U0&amp;row=541&amp;col=6&amp;number=4.477&amp;sourceID=16","4.477")</f>
        <v>4.477</v>
      </c>
      <c r="G541" s="4" t="str">
        <f>HYPERLINK("http://141.218.60.56/~jnz1568/getInfo.php?workbook=01_01.xlsx&amp;sheet=U0&amp;row=541&amp;col=7&amp;number=0.06498&amp;sourceID=16","0.06498")</f>
        <v>0.06498</v>
      </c>
      <c r="H541" s="4" t="str">
        <f>HYPERLINK("http://141.218.60.56/~jnz1568/getInfo.php?workbook=01_01.xlsx&amp;sheet=U0&amp;row=541&amp;col=8&amp;number=5.366&amp;sourceID=17","5.366")</f>
        <v>5.366</v>
      </c>
      <c r="I541" s="4" t="str">
        <f>HYPERLINK("http://141.218.60.56/~jnz1568/getInfo.php?workbook=01_01.xlsx&amp;sheet=U0&amp;row=541&amp;col=9&amp;number=0.0339&amp;sourceID=17","0.0339")</f>
        <v>0.0339</v>
      </c>
    </row>
    <row r="542" spans="1:9">
      <c r="A542" s="3"/>
      <c r="B542" s="3"/>
      <c r="C542" s="3"/>
      <c r="D542" s="3"/>
      <c r="E542" s="3">
        <v>8</v>
      </c>
      <c r="F542" s="4" t="str">
        <f>HYPERLINK("http://141.218.60.56/~jnz1568/getInfo.php?workbook=01_01.xlsx&amp;sheet=U0&amp;row=542&amp;col=6&amp;number=4.602&amp;sourceID=16","4.602")</f>
        <v>4.602</v>
      </c>
      <c r="G542" s="4" t="str">
        <f>HYPERLINK("http://141.218.60.56/~jnz1568/getInfo.php?workbook=01_01.xlsx&amp;sheet=U0&amp;row=542&amp;col=7&amp;number=0.06534&amp;sourceID=16","0.06534")</f>
        <v>0.06534</v>
      </c>
      <c r="H542" s="4" t="str">
        <f>HYPERLINK("http://141.218.60.56/~jnz1568/getInfo.php?workbook=01_01.xlsx&amp;sheet=U0&amp;row=542&amp;col=8&amp;number=5.463&amp;sourceID=17","5.463")</f>
        <v>5.463</v>
      </c>
      <c r="I542" s="4" t="str">
        <f>HYPERLINK("http://141.218.60.56/~jnz1568/getInfo.php?workbook=01_01.xlsx&amp;sheet=U0&amp;row=542&amp;col=9&amp;number=0.0344&amp;sourceID=17","0.0344")</f>
        <v>0.0344</v>
      </c>
    </row>
    <row r="543" spans="1:9">
      <c r="A543" s="3"/>
      <c r="B543" s="3"/>
      <c r="C543" s="3"/>
      <c r="D543" s="3"/>
      <c r="E543" s="3">
        <v>9</v>
      </c>
      <c r="F543" s="4" t="str">
        <f>HYPERLINK("http://141.218.60.56/~jnz1568/getInfo.php?workbook=01_01.xlsx&amp;sheet=U0&amp;row=543&amp;col=6&amp;number=4.699&amp;sourceID=16","4.699")</f>
        <v>4.699</v>
      </c>
      <c r="G543" s="4" t="str">
        <f>HYPERLINK("http://141.218.60.56/~jnz1568/getInfo.php?workbook=01_01.xlsx&amp;sheet=U0&amp;row=543&amp;col=7&amp;number=0.06441&amp;sourceID=16","0.06441")</f>
        <v>0.06441</v>
      </c>
      <c r="H543" s="4" t="str">
        <f>HYPERLINK("http://141.218.60.56/~jnz1568/getInfo.php?workbook=01_01.xlsx&amp;sheet=U0&amp;row=543&amp;col=8&amp;number=&amp;sourceID=17","")</f>
        <v/>
      </c>
      <c r="I543" s="4" t="str">
        <f>HYPERLINK("http://141.218.60.56/~jnz1568/getInfo.php?workbook=01_01.xlsx&amp;sheet=U0&amp;row=543&amp;col=9&amp;number=&amp;sourceID=17","")</f>
        <v/>
      </c>
    </row>
    <row r="544" spans="1:9">
      <c r="A544" s="3">
        <v>1</v>
      </c>
      <c r="B544" s="3">
        <v>1</v>
      </c>
      <c r="C544" s="3">
        <v>13</v>
      </c>
      <c r="D544" s="3">
        <v>2</v>
      </c>
      <c r="E544" s="3">
        <v>1</v>
      </c>
      <c r="F544" s="4" t="str">
        <f>HYPERLINK("http://141.218.60.56/~jnz1568/getInfo.php?workbook=01_01.xlsx&amp;sheet=U0&amp;row=544&amp;col=6&amp;number==LOG10(2500)&amp;sourceID=16","=LOG10(2500)")</f>
        <v>=LOG10(2500)</v>
      </c>
      <c r="G544" s="4" t="str">
        <f>HYPERLINK("http://141.218.60.56/~jnz1568/getInfo.php?workbook=01_01.xlsx&amp;sheet=U0&amp;row=544&amp;col=7&amp;number=0.5197&amp;sourceID=16","0.5197")</f>
        <v>0.5197</v>
      </c>
      <c r="H544" s="4" t="str">
        <f>HYPERLINK("http://141.218.60.56/~jnz1568/getInfo.php?workbook=01_01.xlsx&amp;sheet=U0&amp;row=544&amp;col=8&amp;number=3.764&amp;sourceID=17","3.764")</f>
        <v>3.764</v>
      </c>
      <c r="I544" s="4" t="str">
        <f>HYPERLINK("http://141.218.60.56/~jnz1568/getInfo.php?workbook=01_01.xlsx&amp;sheet=U0&amp;row=544&amp;col=9&amp;number=0.435&amp;sourceID=17","0.435")</f>
        <v>0.435</v>
      </c>
    </row>
    <row r="545" spans="1:9">
      <c r="A545" s="3"/>
      <c r="B545" s="3"/>
      <c r="C545" s="3"/>
      <c r="D545" s="3"/>
      <c r="E545" s="3">
        <v>2</v>
      </c>
      <c r="F545" s="4" t="str">
        <f>HYPERLINK("http://141.218.60.56/~jnz1568/getInfo.php?workbook=01_01.xlsx&amp;sheet=U0&amp;row=545&amp;col=6&amp;number=3.699&amp;sourceID=16","3.699")</f>
        <v>3.699</v>
      </c>
      <c r="G545" s="4" t="str">
        <f>HYPERLINK("http://141.218.60.56/~jnz1568/getInfo.php?workbook=01_01.xlsx&amp;sheet=U0&amp;row=545&amp;col=7&amp;number=0.737&amp;sourceID=16","0.737")</f>
        <v>0.737</v>
      </c>
      <c r="H545" s="4" t="str">
        <f>HYPERLINK("http://141.218.60.56/~jnz1568/getInfo.php?workbook=01_01.xlsx&amp;sheet=U0&amp;row=545&amp;col=8&amp;number=4.064&amp;sourceID=17","4.064")</f>
        <v>4.064</v>
      </c>
      <c r="I545" s="4" t="str">
        <f>HYPERLINK("http://141.218.60.56/~jnz1568/getInfo.php?workbook=01_01.xlsx&amp;sheet=U0&amp;row=545&amp;col=9&amp;number=0.487&amp;sourceID=17","0.487")</f>
        <v>0.487</v>
      </c>
    </row>
    <row r="546" spans="1:9">
      <c r="A546" s="3"/>
      <c r="B546" s="3"/>
      <c r="C546" s="3"/>
      <c r="D546" s="3"/>
      <c r="E546" s="3">
        <v>3</v>
      </c>
      <c r="F546" s="4" t="str">
        <f>HYPERLINK("http://141.218.60.56/~jnz1568/getInfo.php?workbook=01_01.xlsx&amp;sheet=U0&amp;row=546&amp;col=6&amp;number=3.875&amp;sourceID=16","3.875")</f>
        <v>3.875</v>
      </c>
      <c r="G546" s="4" t="str">
        <f>HYPERLINK("http://141.218.60.56/~jnz1568/getInfo.php?workbook=01_01.xlsx&amp;sheet=U0&amp;row=546&amp;col=7&amp;number=0.9035&amp;sourceID=16","0.9035")</f>
        <v>0.9035</v>
      </c>
      <c r="H546" s="4" t="str">
        <f>HYPERLINK("http://141.218.60.56/~jnz1568/getInfo.php?workbook=01_01.xlsx&amp;sheet=U0&amp;row=546&amp;col=8&amp;number=4.542&amp;sourceID=17","4.542")</f>
        <v>4.542</v>
      </c>
      <c r="I546" s="4" t="str">
        <f>HYPERLINK("http://141.218.60.56/~jnz1568/getInfo.php?workbook=01_01.xlsx&amp;sheet=U0&amp;row=546&amp;col=9&amp;number=0.556&amp;sourceID=17","0.556")</f>
        <v>0.556</v>
      </c>
    </row>
    <row r="547" spans="1:9">
      <c r="A547" s="3"/>
      <c r="B547" s="3"/>
      <c r="C547" s="3"/>
      <c r="D547" s="3"/>
      <c r="E547" s="3">
        <v>4</v>
      </c>
      <c r="F547" s="4" t="str">
        <f>HYPERLINK("http://141.218.60.56/~jnz1568/getInfo.php?workbook=01_01.xlsx&amp;sheet=U0&amp;row=547&amp;col=6&amp;number=4&amp;sourceID=16","4")</f>
        <v>4</v>
      </c>
      <c r="G547" s="4" t="str">
        <f>HYPERLINK("http://141.218.60.56/~jnz1568/getInfo.php?workbook=01_01.xlsx&amp;sheet=U0&amp;row=547&amp;col=7&amp;number=1.044&amp;sourceID=16","1.044")</f>
        <v>1.044</v>
      </c>
      <c r="H547" s="4" t="str">
        <f>HYPERLINK("http://141.218.60.56/~jnz1568/getInfo.php?workbook=01_01.xlsx&amp;sheet=U0&amp;row=547&amp;col=8&amp;number=4.764&amp;sourceID=17","4.764")</f>
        <v>4.764</v>
      </c>
      <c r="I547" s="4" t="str">
        <f>HYPERLINK("http://141.218.60.56/~jnz1568/getInfo.php?workbook=01_01.xlsx&amp;sheet=U0&amp;row=547&amp;col=9&amp;number=0.609&amp;sourceID=17","0.609")</f>
        <v>0.609</v>
      </c>
    </row>
    <row r="548" spans="1:9">
      <c r="A548" s="3"/>
      <c r="B548" s="3"/>
      <c r="C548" s="3"/>
      <c r="D548" s="3"/>
      <c r="E548" s="3">
        <v>5</v>
      </c>
      <c r="F548" s="4" t="str">
        <f>HYPERLINK("http://141.218.60.56/~jnz1568/getInfo.php?workbook=01_01.xlsx&amp;sheet=U0&amp;row=548&amp;col=6&amp;number=4.176&amp;sourceID=16","4.176")</f>
        <v>4.176</v>
      </c>
      <c r="G548" s="4" t="str">
        <f>HYPERLINK("http://141.218.60.56/~jnz1568/getInfo.php?workbook=01_01.xlsx&amp;sheet=U0&amp;row=548&amp;col=7&amp;number=1.261&amp;sourceID=16","1.261")</f>
        <v>1.261</v>
      </c>
      <c r="H548" s="4" t="str">
        <f>HYPERLINK("http://141.218.60.56/~jnz1568/getInfo.php?workbook=01_01.xlsx&amp;sheet=U0&amp;row=548&amp;col=8&amp;number=5.064&amp;sourceID=17","5.064")</f>
        <v>5.064</v>
      </c>
      <c r="I548" s="4" t="str">
        <f>HYPERLINK("http://141.218.60.56/~jnz1568/getInfo.php?workbook=01_01.xlsx&amp;sheet=U0&amp;row=548&amp;col=9&amp;number=0.718&amp;sourceID=17","0.718")</f>
        <v>0.718</v>
      </c>
    </row>
    <row r="549" spans="1:9">
      <c r="A549" s="3"/>
      <c r="B549" s="3"/>
      <c r="C549" s="3"/>
      <c r="D549" s="3"/>
      <c r="E549" s="3">
        <v>6</v>
      </c>
      <c r="F549" s="4" t="str">
        <f>HYPERLINK("http://141.218.60.56/~jnz1568/getInfo.php?workbook=01_01.xlsx&amp;sheet=U0&amp;row=549&amp;col=6&amp;number=4.301&amp;sourceID=16","4.301")</f>
        <v>4.301</v>
      </c>
      <c r="G549" s="4" t="str">
        <f>HYPERLINK("http://141.218.60.56/~jnz1568/getInfo.php?workbook=01_01.xlsx&amp;sheet=U0&amp;row=549&amp;col=7&amp;number=1.411&amp;sourceID=16","1.411")</f>
        <v>1.411</v>
      </c>
      <c r="H549" s="4" t="str">
        <f>HYPERLINK("http://141.218.60.56/~jnz1568/getInfo.php?workbook=01_01.xlsx&amp;sheet=U0&amp;row=549&amp;col=8&amp;number=5.241&amp;sourceID=17","5.241")</f>
        <v>5.241</v>
      </c>
      <c r="I549" s="4" t="str">
        <f>HYPERLINK("http://141.218.60.56/~jnz1568/getInfo.php?workbook=01_01.xlsx&amp;sheet=U0&amp;row=549&amp;col=9&amp;number=0.796&amp;sourceID=17","0.796")</f>
        <v>0.796</v>
      </c>
    </row>
    <row r="550" spans="1:9">
      <c r="A550" s="3"/>
      <c r="B550" s="3"/>
      <c r="C550" s="3"/>
      <c r="D550" s="3"/>
      <c r="E550" s="3">
        <v>7</v>
      </c>
      <c r="F550" s="4" t="str">
        <f>HYPERLINK("http://141.218.60.56/~jnz1568/getInfo.php?workbook=01_01.xlsx&amp;sheet=U0&amp;row=550&amp;col=6&amp;number=4.477&amp;sourceID=16","4.477")</f>
        <v>4.477</v>
      </c>
      <c r="G550" s="4" t="str">
        <f>HYPERLINK("http://141.218.60.56/~jnz1568/getInfo.php?workbook=01_01.xlsx&amp;sheet=U0&amp;row=550&amp;col=7&amp;number=1.594&amp;sourceID=16","1.594")</f>
        <v>1.594</v>
      </c>
      <c r="H550" s="4" t="str">
        <f>HYPERLINK("http://141.218.60.56/~jnz1568/getInfo.php?workbook=01_01.xlsx&amp;sheet=U0&amp;row=550&amp;col=8&amp;number=5.366&amp;sourceID=17","5.366")</f>
        <v>5.366</v>
      </c>
      <c r="I550" s="4" t="str">
        <f>HYPERLINK("http://141.218.60.56/~jnz1568/getInfo.php?workbook=01_01.xlsx&amp;sheet=U0&amp;row=550&amp;col=9&amp;number=0.855&amp;sourceID=17","0.855")</f>
        <v>0.855</v>
      </c>
    </row>
    <row r="551" spans="1:9">
      <c r="A551" s="3"/>
      <c r="B551" s="3"/>
      <c r="C551" s="3"/>
      <c r="D551" s="3"/>
      <c r="E551" s="3">
        <v>8</v>
      </c>
      <c r="F551" s="4" t="str">
        <f>HYPERLINK("http://141.218.60.56/~jnz1568/getInfo.php?workbook=01_01.xlsx&amp;sheet=U0&amp;row=551&amp;col=6&amp;number=4.602&amp;sourceID=16","4.602")</f>
        <v>4.602</v>
      </c>
      <c r="G551" s="4" t="str">
        <f>HYPERLINK("http://141.218.60.56/~jnz1568/getInfo.php?workbook=01_01.xlsx&amp;sheet=U0&amp;row=551&amp;col=7&amp;number=1.694&amp;sourceID=16","1.694")</f>
        <v>1.694</v>
      </c>
      <c r="H551" s="4" t="str">
        <f>HYPERLINK("http://141.218.60.56/~jnz1568/getInfo.php?workbook=01_01.xlsx&amp;sheet=U0&amp;row=551&amp;col=8&amp;number=5.463&amp;sourceID=17","5.463")</f>
        <v>5.463</v>
      </c>
      <c r="I551" s="4" t="str">
        <f>HYPERLINK("http://141.218.60.56/~jnz1568/getInfo.php?workbook=01_01.xlsx&amp;sheet=U0&amp;row=551&amp;col=9&amp;number=0.901&amp;sourceID=17","0.901")</f>
        <v>0.901</v>
      </c>
    </row>
    <row r="552" spans="1:9">
      <c r="A552" s="3"/>
      <c r="B552" s="3"/>
      <c r="C552" s="3"/>
      <c r="D552" s="3"/>
      <c r="E552" s="3">
        <v>9</v>
      </c>
      <c r="F552" s="4" t="str">
        <f>HYPERLINK("http://141.218.60.56/~jnz1568/getInfo.php?workbook=01_01.xlsx&amp;sheet=U0&amp;row=552&amp;col=6&amp;number=4.699&amp;sourceID=16","4.699")</f>
        <v>4.699</v>
      </c>
      <c r="G552" s="4" t="str">
        <f>HYPERLINK("http://141.218.60.56/~jnz1568/getInfo.php?workbook=01_01.xlsx&amp;sheet=U0&amp;row=552&amp;col=7&amp;number=1.74&amp;sourceID=16","1.74")</f>
        <v>1.74</v>
      </c>
      <c r="H552" s="4" t="str">
        <f>HYPERLINK("http://141.218.60.56/~jnz1568/getInfo.php?workbook=01_01.xlsx&amp;sheet=U0&amp;row=552&amp;col=8&amp;number=&amp;sourceID=17","")</f>
        <v/>
      </c>
      <c r="I552" s="4" t="str">
        <f>HYPERLINK("http://141.218.60.56/~jnz1568/getInfo.php?workbook=01_01.xlsx&amp;sheet=U0&amp;row=552&amp;col=9&amp;number=&amp;sourceID=17","")</f>
        <v/>
      </c>
    </row>
    <row r="553" spans="1:9">
      <c r="A553" s="3">
        <v>1</v>
      </c>
      <c r="B553" s="3">
        <v>1</v>
      </c>
      <c r="C553" s="3">
        <v>13</v>
      </c>
      <c r="D553" s="3">
        <v>3</v>
      </c>
      <c r="E553" s="3">
        <v>1</v>
      </c>
      <c r="F553" s="4" t="str">
        <f>HYPERLINK("http://141.218.60.56/~jnz1568/getInfo.php?workbook=01_01.xlsx&amp;sheet=U0&amp;row=553&amp;col=6&amp;number==LOG10(2500)&amp;sourceID=16","=LOG10(2500)")</f>
        <v>=LOG10(2500)</v>
      </c>
      <c r="G553" s="4" t="str">
        <f>HYPERLINK("http://141.218.60.56/~jnz1568/getInfo.php?workbook=01_01.xlsx&amp;sheet=U0&amp;row=553&amp;col=7&amp;number=2.788&amp;sourceID=16","2.788")</f>
        <v>2.788</v>
      </c>
      <c r="H553" s="4" t="str">
        <f>HYPERLINK("http://141.218.60.56/~jnz1568/getInfo.php?workbook=01_01.xlsx&amp;sheet=U0&amp;row=553&amp;col=8&amp;number=3.764&amp;sourceID=17","3.764")</f>
        <v>3.764</v>
      </c>
      <c r="I553" s="4" t="str">
        <f>HYPERLINK("http://141.218.60.56/~jnz1568/getInfo.php?workbook=01_01.xlsx&amp;sheet=U0&amp;row=553&amp;col=9&amp;number=2.07&amp;sourceID=17","2.07")</f>
        <v>2.07</v>
      </c>
    </row>
    <row r="554" spans="1:9">
      <c r="A554" s="3"/>
      <c r="B554" s="3"/>
      <c r="C554" s="3"/>
      <c r="D554" s="3"/>
      <c r="E554" s="3">
        <v>2</v>
      </c>
      <c r="F554" s="4" t="str">
        <f>HYPERLINK("http://141.218.60.56/~jnz1568/getInfo.php?workbook=01_01.xlsx&amp;sheet=U0&amp;row=554&amp;col=6&amp;number=3.699&amp;sourceID=16","3.699")</f>
        <v>3.699</v>
      </c>
      <c r="G554" s="4" t="str">
        <f>HYPERLINK("http://141.218.60.56/~jnz1568/getInfo.php?workbook=01_01.xlsx&amp;sheet=U0&amp;row=554&amp;col=7&amp;number=4.005&amp;sourceID=16","4.005")</f>
        <v>4.005</v>
      </c>
      <c r="H554" s="4" t="str">
        <f>HYPERLINK("http://141.218.60.56/~jnz1568/getInfo.php?workbook=01_01.xlsx&amp;sheet=U0&amp;row=554&amp;col=8&amp;number=4.064&amp;sourceID=17","4.064")</f>
        <v>4.064</v>
      </c>
      <c r="I554" s="4" t="str">
        <f>HYPERLINK("http://141.218.60.56/~jnz1568/getInfo.php?workbook=01_01.xlsx&amp;sheet=U0&amp;row=554&amp;col=9&amp;number=2.48&amp;sourceID=17","2.48")</f>
        <v>2.48</v>
      </c>
    </row>
    <row r="555" spans="1:9">
      <c r="A555" s="3"/>
      <c r="B555" s="3"/>
      <c r="C555" s="3"/>
      <c r="D555" s="3"/>
      <c r="E555" s="3">
        <v>3</v>
      </c>
      <c r="F555" s="4" t="str">
        <f>HYPERLINK("http://141.218.60.56/~jnz1568/getInfo.php?workbook=01_01.xlsx&amp;sheet=U0&amp;row=555&amp;col=6&amp;number=3.875&amp;sourceID=16","3.875")</f>
        <v>3.875</v>
      </c>
      <c r="G555" s="4" t="str">
        <f>HYPERLINK("http://141.218.60.56/~jnz1568/getInfo.php?workbook=01_01.xlsx&amp;sheet=U0&amp;row=555&amp;col=7&amp;number=4.9&amp;sourceID=16","4.9")</f>
        <v>4.9</v>
      </c>
      <c r="H555" s="4" t="str">
        <f>HYPERLINK("http://141.218.60.56/~jnz1568/getInfo.php?workbook=01_01.xlsx&amp;sheet=U0&amp;row=555&amp;col=8&amp;number=4.542&amp;sourceID=17","4.542")</f>
        <v>4.542</v>
      </c>
      <c r="I555" s="4" t="str">
        <f>HYPERLINK("http://141.218.60.56/~jnz1568/getInfo.php?workbook=01_01.xlsx&amp;sheet=U0&amp;row=555&amp;col=9&amp;number=3.44&amp;sourceID=17","3.44")</f>
        <v>3.44</v>
      </c>
    </row>
    <row r="556" spans="1:9">
      <c r="A556" s="3"/>
      <c r="B556" s="3"/>
      <c r="C556" s="3"/>
      <c r="D556" s="3"/>
      <c r="E556" s="3">
        <v>4</v>
      </c>
      <c r="F556" s="4" t="str">
        <f>HYPERLINK("http://141.218.60.56/~jnz1568/getInfo.php?workbook=01_01.xlsx&amp;sheet=U0&amp;row=556&amp;col=6&amp;number=4&amp;sourceID=16","4")</f>
        <v>4</v>
      </c>
      <c r="G556" s="4" t="str">
        <f>HYPERLINK("http://141.218.60.56/~jnz1568/getInfo.php?workbook=01_01.xlsx&amp;sheet=U0&amp;row=556&amp;col=7&amp;number=5.655&amp;sourceID=16","5.655")</f>
        <v>5.655</v>
      </c>
      <c r="H556" s="4" t="str">
        <f>HYPERLINK("http://141.218.60.56/~jnz1568/getInfo.php?workbook=01_01.xlsx&amp;sheet=U0&amp;row=556&amp;col=8&amp;number=4.764&amp;sourceID=17","4.764")</f>
        <v>4.764</v>
      </c>
      <c r="I556" s="4" t="str">
        <f>HYPERLINK("http://141.218.60.56/~jnz1568/getInfo.php?workbook=01_01.xlsx&amp;sheet=U0&amp;row=556&amp;col=9&amp;number=4.27&amp;sourceID=17","4.27")</f>
        <v>4.27</v>
      </c>
    </row>
    <row r="557" spans="1:9">
      <c r="A557" s="3"/>
      <c r="B557" s="3"/>
      <c r="C557" s="3"/>
      <c r="D557" s="3"/>
      <c r="E557" s="3">
        <v>5</v>
      </c>
      <c r="F557" s="4" t="str">
        <f>HYPERLINK("http://141.218.60.56/~jnz1568/getInfo.php?workbook=01_01.xlsx&amp;sheet=U0&amp;row=557&amp;col=6&amp;number=4.176&amp;sourceID=16","4.176")</f>
        <v>4.176</v>
      </c>
      <c r="G557" s="4" t="str">
        <f>HYPERLINK("http://141.218.60.56/~jnz1568/getInfo.php?workbook=01_01.xlsx&amp;sheet=U0&amp;row=557&amp;col=7&amp;number=6.849&amp;sourceID=16","6.849")</f>
        <v>6.849</v>
      </c>
      <c r="H557" s="4" t="str">
        <f>HYPERLINK("http://141.218.60.56/~jnz1568/getInfo.php?workbook=01_01.xlsx&amp;sheet=U0&amp;row=557&amp;col=8&amp;number=5.064&amp;sourceID=17","5.064")</f>
        <v>5.064</v>
      </c>
      <c r="I557" s="4" t="str">
        <f>HYPERLINK("http://141.218.60.56/~jnz1568/getInfo.php?workbook=01_01.xlsx&amp;sheet=U0&amp;row=557&amp;col=9&amp;number=5.9&amp;sourceID=17","5.9")</f>
        <v>5.9</v>
      </c>
    </row>
    <row r="558" spans="1:9">
      <c r="A558" s="3"/>
      <c r="B558" s="3"/>
      <c r="C558" s="3"/>
      <c r="D558" s="3"/>
      <c r="E558" s="3">
        <v>6</v>
      </c>
      <c r="F558" s="4" t="str">
        <f>HYPERLINK("http://141.218.60.56/~jnz1568/getInfo.php?workbook=01_01.xlsx&amp;sheet=U0&amp;row=558&amp;col=6&amp;number=4.301&amp;sourceID=16","4.301")</f>
        <v>4.301</v>
      </c>
      <c r="G558" s="4" t="str">
        <f>HYPERLINK("http://141.218.60.56/~jnz1568/getInfo.php?workbook=01_01.xlsx&amp;sheet=U0&amp;row=558&amp;col=7&amp;number=7.757&amp;sourceID=16","7.757")</f>
        <v>7.757</v>
      </c>
      <c r="H558" s="4" t="str">
        <f>HYPERLINK("http://141.218.60.56/~jnz1568/getInfo.php?workbook=01_01.xlsx&amp;sheet=U0&amp;row=558&amp;col=8&amp;number=5.241&amp;sourceID=17","5.241")</f>
        <v>5.241</v>
      </c>
      <c r="I558" s="4" t="str">
        <f>HYPERLINK("http://141.218.60.56/~jnz1568/getInfo.php?workbook=01_01.xlsx&amp;sheet=U0&amp;row=558&amp;col=9&amp;number=7.08&amp;sourceID=17","7.08")</f>
        <v>7.08</v>
      </c>
    </row>
    <row r="559" spans="1:9">
      <c r="A559" s="3"/>
      <c r="B559" s="3"/>
      <c r="C559" s="3"/>
      <c r="D559" s="3"/>
      <c r="E559" s="3">
        <v>7</v>
      </c>
      <c r="F559" s="4" t="str">
        <f>HYPERLINK("http://141.218.60.56/~jnz1568/getInfo.php?workbook=01_01.xlsx&amp;sheet=U0&amp;row=559&amp;col=6&amp;number=4.477&amp;sourceID=16","4.477")</f>
        <v>4.477</v>
      </c>
      <c r="G559" s="4" t="str">
        <f>HYPERLINK("http://141.218.60.56/~jnz1568/getInfo.php?workbook=01_01.xlsx&amp;sheet=U0&amp;row=559&amp;col=7&amp;number=9.088&amp;sourceID=16","9.088")</f>
        <v>9.088</v>
      </c>
      <c r="H559" s="4" t="str">
        <f>HYPERLINK("http://141.218.60.56/~jnz1568/getInfo.php?workbook=01_01.xlsx&amp;sheet=U0&amp;row=559&amp;col=8&amp;number=5.366&amp;sourceID=17","5.366")</f>
        <v>5.366</v>
      </c>
      <c r="I559" s="4" t="str">
        <f>HYPERLINK("http://141.218.60.56/~jnz1568/getInfo.php?workbook=01_01.xlsx&amp;sheet=U0&amp;row=559&amp;col=9&amp;number=8.01&amp;sourceID=17","8.01")</f>
        <v>8.01</v>
      </c>
    </row>
    <row r="560" spans="1:9">
      <c r="A560" s="3"/>
      <c r="B560" s="3"/>
      <c r="C560" s="3"/>
      <c r="D560" s="3"/>
      <c r="E560" s="3">
        <v>8</v>
      </c>
      <c r="F560" s="4" t="str">
        <f>HYPERLINK("http://141.218.60.56/~jnz1568/getInfo.php?workbook=01_01.xlsx&amp;sheet=U0&amp;row=560&amp;col=6&amp;number=4.602&amp;sourceID=16","4.602")</f>
        <v>4.602</v>
      </c>
      <c r="G560" s="4" t="str">
        <f>HYPERLINK("http://141.218.60.56/~jnz1568/getInfo.php?workbook=01_01.xlsx&amp;sheet=U0&amp;row=560&amp;col=7&amp;number=10.05&amp;sourceID=16","10.05")</f>
        <v>10.05</v>
      </c>
      <c r="H560" s="4" t="str">
        <f>HYPERLINK("http://141.218.60.56/~jnz1568/getInfo.php?workbook=01_01.xlsx&amp;sheet=U0&amp;row=560&amp;col=8&amp;number=5.463&amp;sourceID=17","5.463")</f>
        <v>5.463</v>
      </c>
      <c r="I560" s="4" t="str">
        <f>HYPERLINK("http://141.218.60.56/~jnz1568/getInfo.php?workbook=01_01.xlsx&amp;sheet=U0&amp;row=560&amp;col=9&amp;number=8.77&amp;sourceID=17","8.77")</f>
        <v>8.77</v>
      </c>
    </row>
    <row r="561" spans="1:9">
      <c r="A561" s="3"/>
      <c r="B561" s="3"/>
      <c r="C561" s="3"/>
      <c r="D561" s="3"/>
      <c r="E561" s="3">
        <v>9</v>
      </c>
      <c r="F561" s="4" t="str">
        <f>HYPERLINK("http://141.218.60.56/~jnz1568/getInfo.php?workbook=01_01.xlsx&amp;sheet=U0&amp;row=561&amp;col=6&amp;number=4.699&amp;sourceID=16","4.699")</f>
        <v>4.699</v>
      </c>
      <c r="G561" s="4" t="str">
        <f>HYPERLINK("http://141.218.60.56/~jnz1568/getInfo.php?workbook=01_01.xlsx&amp;sheet=U0&amp;row=561&amp;col=7&amp;number=10.79&amp;sourceID=16","10.79")</f>
        <v>10.79</v>
      </c>
      <c r="H561" s="4" t="str">
        <f>HYPERLINK("http://141.218.60.56/~jnz1568/getInfo.php?workbook=01_01.xlsx&amp;sheet=U0&amp;row=561&amp;col=8&amp;number=&amp;sourceID=17","")</f>
        <v/>
      </c>
      <c r="I561" s="4" t="str">
        <f>HYPERLINK("http://141.218.60.56/~jnz1568/getInfo.php?workbook=01_01.xlsx&amp;sheet=U0&amp;row=561&amp;col=9&amp;number=&amp;sourceID=17","")</f>
        <v/>
      </c>
    </row>
    <row r="562" spans="1:9">
      <c r="A562" s="3">
        <v>1</v>
      </c>
      <c r="B562" s="3">
        <v>1</v>
      </c>
      <c r="C562" s="3">
        <v>13</v>
      </c>
      <c r="D562" s="3">
        <v>4</v>
      </c>
      <c r="E562" s="3">
        <v>1</v>
      </c>
      <c r="F562" s="4" t="str">
        <f>HYPERLINK("http://141.218.60.56/~jnz1568/getInfo.php?workbook=01_01.xlsx&amp;sheet=U0&amp;row=562&amp;col=6&amp;number==LOG10(2500)&amp;sourceID=16","=LOG10(2500)")</f>
        <v>=LOG10(2500)</v>
      </c>
      <c r="G562" s="4" t="str">
        <f>HYPERLINK("http://141.218.60.56/~jnz1568/getInfo.php?workbook=01_01.xlsx&amp;sheet=U0&amp;row=562&amp;col=7&amp;number=3.706&amp;sourceID=16","3.706")</f>
        <v>3.706</v>
      </c>
      <c r="H562" s="4" t="str">
        <f>HYPERLINK("http://141.218.60.56/~jnz1568/getInfo.php?workbook=01_01.xlsx&amp;sheet=U0&amp;row=562&amp;col=8&amp;number=3.764&amp;sourceID=17","3.764")</f>
        <v>3.764</v>
      </c>
      <c r="I562" s="4" t="str">
        <f>HYPERLINK("http://141.218.60.56/~jnz1568/getInfo.php?workbook=01_01.xlsx&amp;sheet=U0&amp;row=562&amp;col=9&amp;number=3.38&amp;sourceID=17","3.38")</f>
        <v>3.38</v>
      </c>
    </row>
    <row r="563" spans="1:9">
      <c r="A563" s="3"/>
      <c r="B563" s="3"/>
      <c r="C563" s="3"/>
      <c r="D563" s="3"/>
      <c r="E563" s="3">
        <v>2</v>
      </c>
      <c r="F563" s="4" t="str">
        <f>HYPERLINK("http://141.218.60.56/~jnz1568/getInfo.php?workbook=01_01.xlsx&amp;sheet=U0&amp;row=563&amp;col=6&amp;number=3.699&amp;sourceID=16","3.699")</f>
        <v>3.699</v>
      </c>
      <c r="G563" s="4" t="str">
        <f>HYPERLINK("http://141.218.60.56/~jnz1568/getInfo.php?workbook=01_01.xlsx&amp;sheet=U0&amp;row=563&amp;col=7&amp;number=5.364&amp;sourceID=16","5.364")</f>
        <v>5.364</v>
      </c>
      <c r="H563" s="4" t="str">
        <f>HYPERLINK("http://141.218.60.56/~jnz1568/getInfo.php?workbook=01_01.xlsx&amp;sheet=U0&amp;row=563&amp;col=8&amp;number=4.064&amp;sourceID=17","4.064")</f>
        <v>4.064</v>
      </c>
      <c r="I563" s="4" t="str">
        <f>HYPERLINK("http://141.218.60.56/~jnz1568/getInfo.php?workbook=01_01.xlsx&amp;sheet=U0&amp;row=563&amp;col=9&amp;number=4.26&amp;sourceID=17","4.26")</f>
        <v>4.26</v>
      </c>
    </row>
    <row r="564" spans="1:9">
      <c r="A564" s="3"/>
      <c r="B564" s="3"/>
      <c r="C564" s="3"/>
      <c r="D564" s="3"/>
      <c r="E564" s="3">
        <v>3</v>
      </c>
      <c r="F564" s="4" t="str">
        <f>HYPERLINK("http://141.218.60.56/~jnz1568/getInfo.php?workbook=01_01.xlsx&amp;sheet=U0&amp;row=564&amp;col=6&amp;number=3.875&amp;sourceID=16","3.875")</f>
        <v>3.875</v>
      </c>
      <c r="G564" s="4" t="str">
        <f>HYPERLINK("http://141.218.60.56/~jnz1568/getInfo.php?workbook=01_01.xlsx&amp;sheet=U0&amp;row=564&amp;col=7&amp;number=6.551&amp;sourceID=16","6.551")</f>
        <v>6.551</v>
      </c>
      <c r="H564" s="4" t="str">
        <f>HYPERLINK("http://141.218.60.56/~jnz1568/getInfo.php?workbook=01_01.xlsx&amp;sheet=U0&amp;row=564&amp;col=8&amp;number=4.542&amp;sourceID=17","4.542")</f>
        <v>4.542</v>
      </c>
      <c r="I564" s="4" t="str">
        <f>HYPERLINK("http://141.218.60.56/~jnz1568/getInfo.php?workbook=01_01.xlsx&amp;sheet=U0&amp;row=564&amp;col=9&amp;number=6.14&amp;sourceID=17","6.14")</f>
        <v>6.14</v>
      </c>
    </row>
    <row r="565" spans="1:9">
      <c r="A565" s="3"/>
      <c r="B565" s="3"/>
      <c r="C565" s="3"/>
      <c r="D565" s="3"/>
      <c r="E565" s="3">
        <v>4</v>
      </c>
      <c r="F565" s="4" t="str">
        <f>HYPERLINK("http://141.218.60.56/~jnz1568/getInfo.php?workbook=01_01.xlsx&amp;sheet=U0&amp;row=565&amp;col=6&amp;number=4&amp;sourceID=16","4")</f>
        <v>4</v>
      </c>
      <c r="G565" s="4" t="str">
        <f>HYPERLINK("http://141.218.60.56/~jnz1568/getInfo.php?workbook=01_01.xlsx&amp;sheet=U0&amp;row=565&amp;col=7&amp;number=7.55&amp;sourceID=16","7.55")</f>
        <v>7.55</v>
      </c>
      <c r="H565" s="4" t="str">
        <f>HYPERLINK("http://141.218.60.56/~jnz1568/getInfo.php?workbook=01_01.xlsx&amp;sheet=U0&amp;row=565&amp;col=8&amp;number=4.764&amp;sourceID=17","4.764")</f>
        <v>4.764</v>
      </c>
      <c r="I565" s="4" t="str">
        <f>HYPERLINK("http://141.218.60.56/~jnz1568/getInfo.php?workbook=01_01.xlsx&amp;sheet=U0&amp;row=565&amp;col=9&amp;number=7.14&amp;sourceID=17","7.14")</f>
        <v>7.14</v>
      </c>
    </row>
    <row r="566" spans="1:9">
      <c r="A566" s="3"/>
      <c r="B566" s="3"/>
      <c r="C566" s="3"/>
      <c r="D566" s="3"/>
      <c r="E566" s="3">
        <v>5</v>
      </c>
      <c r="F566" s="4" t="str">
        <f>HYPERLINK("http://141.218.60.56/~jnz1568/getInfo.php?workbook=01_01.xlsx&amp;sheet=U0&amp;row=566&amp;col=6&amp;number=4.176&amp;sourceID=16","4.176")</f>
        <v>4.176</v>
      </c>
      <c r="G566" s="4" t="str">
        <f>HYPERLINK("http://141.218.60.56/~jnz1568/getInfo.php?workbook=01_01.xlsx&amp;sheet=U0&amp;row=566&amp;col=7&amp;number=9.13&amp;sourceID=16","9.13")</f>
        <v>9.13</v>
      </c>
      <c r="H566" s="4" t="str">
        <f>HYPERLINK("http://141.218.60.56/~jnz1568/getInfo.php?workbook=01_01.xlsx&amp;sheet=U0&amp;row=566&amp;col=8&amp;number=5.064&amp;sourceID=17","5.064")</f>
        <v>5.064</v>
      </c>
      <c r="I566" s="4" t="str">
        <f>HYPERLINK("http://141.218.60.56/~jnz1568/getInfo.php?workbook=01_01.xlsx&amp;sheet=U0&amp;row=566&amp;col=9&amp;number=8.66&amp;sourceID=17","8.66")</f>
        <v>8.66</v>
      </c>
    </row>
    <row r="567" spans="1:9">
      <c r="A567" s="3"/>
      <c r="B567" s="3"/>
      <c r="C567" s="3"/>
      <c r="D567" s="3"/>
      <c r="E567" s="3">
        <v>6</v>
      </c>
      <c r="F567" s="4" t="str">
        <f>HYPERLINK("http://141.218.60.56/~jnz1568/getInfo.php?workbook=01_01.xlsx&amp;sheet=U0&amp;row=567&amp;col=6&amp;number=4.301&amp;sourceID=16","4.301")</f>
        <v>4.301</v>
      </c>
      <c r="G567" s="4" t="str">
        <f>HYPERLINK("http://141.218.60.56/~jnz1568/getInfo.php?workbook=01_01.xlsx&amp;sheet=U0&amp;row=567&amp;col=7&amp;number=10.31&amp;sourceID=16","10.31")</f>
        <v>10.31</v>
      </c>
      <c r="H567" s="4" t="str">
        <f>HYPERLINK("http://141.218.60.56/~jnz1568/getInfo.php?workbook=01_01.xlsx&amp;sheet=U0&amp;row=567&amp;col=8&amp;number=5.241&amp;sourceID=17","5.241")</f>
        <v>5.241</v>
      </c>
      <c r="I567" s="4" t="str">
        <f>HYPERLINK("http://141.218.60.56/~jnz1568/getInfo.php?workbook=01_01.xlsx&amp;sheet=U0&amp;row=567&amp;col=9&amp;number=9.61&amp;sourceID=17","9.61")</f>
        <v>9.61</v>
      </c>
    </row>
    <row r="568" spans="1:9">
      <c r="A568" s="3"/>
      <c r="B568" s="3"/>
      <c r="C568" s="3"/>
      <c r="D568" s="3"/>
      <c r="E568" s="3">
        <v>7</v>
      </c>
      <c r="F568" s="4" t="str">
        <f>HYPERLINK("http://141.218.60.56/~jnz1568/getInfo.php?workbook=01_01.xlsx&amp;sheet=U0&amp;row=568&amp;col=6&amp;number=4.477&amp;sourceID=16","4.477")</f>
        <v>4.477</v>
      </c>
      <c r="G568" s="4" t="str">
        <f>HYPERLINK("http://141.218.60.56/~jnz1568/getInfo.php?workbook=01_01.xlsx&amp;sheet=U0&amp;row=568&amp;col=7&amp;number=11.96&amp;sourceID=16","11.96")</f>
        <v>11.96</v>
      </c>
      <c r="H568" s="4" t="str">
        <f>HYPERLINK("http://141.218.60.56/~jnz1568/getInfo.php?workbook=01_01.xlsx&amp;sheet=U0&amp;row=568&amp;col=8&amp;number=5.366&amp;sourceID=17","5.366")</f>
        <v>5.366</v>
      </c>
      <c r="I568" s="4" t="str">
        <f>HYPERLINK("http://141.218.60.56/~jnz1568/getInfo.php?workbook=01_01.xlsx&amp;sheet=U0&amp;row=568&amp;col=9&amp;number=10.3&amp;sourceID=17","10.3")</f>
        <v>10.3</v>
      </c>
    </row>
    <row r="569" spans="1:9">
      <c r="A569" s="3"/>
      <c r="B569" s="3"/>
      <c r="C569" s="3"/>
      <c r="D569" s="3"/>
      <c r="E569" s="3">
        <v>8</v>
      </c>
      <c r="F569" s="4" t="str">
        <f>HYPERLINK("http://141.218.60.56/~jnz1568/getInfo.php?workbook=01_01.xlsx&amp;sheet=U0&amp;row=569&amp;col=6&amp;number=4.602&amp;sourceID=16","4.602")</f>
        <v>4.602</v>
      </c>
      <c r="G569" s="4" t="str">
        <f>HYPERLINK("http://141.218.60.56/~jnz1568/getInfo.php?workbook=01_01.xlsx&amp;sheet=U0&amp;row=569&amp;col=7&amp;number=13.07&amp;sourceID=16","13.07")</f>
        <v>13.07</v>
      </c>
      <c r="H569" s="4" t="str">
        <f>HYPERLINK("http://141.218.60.56/~jnz1568/getInfo.php?workbook=01_01.xlsx&amp;sheet=U0&amp;row=569&amp;col=8&amp;number=5.463&amp;sourceID=17","5.463")</f>
        <v>5.463</v>
      </c>
      <c r="I569" s="4" t="str">
        <f>HYPERLINK("http://141.218.60.56/~jnz1568/getInfo.php?workbook=01_01.xlsx&amp;sheet=U0&amp;row=569&amp;col=9&amp;number=10.8&amp;sourceID=17","10.8")</f>
        <v>10.8</v>
      </c>
    </row>
    <row r="570" spans="1:9">
      <c r="A570" s="3"/>
      <c r="B570" s="3"/>
      <c r="C570" s="3"/>
      <c r="D570" s="3"/>
      <c r="E570" s="3">
        <v>9</v>
      </c>
      <c r="F570" s="4" t="str">
        <f>HYPERLINK("http://141.218.60.56/~jnz1568/getInfo.php?workbook=01_01.xlsx&amp;sheet=U0&amp;row=570&amp;col=6&amp;number=4.699&amp;sourceID=16","4.699")</f>
        <v>4.699</v>
      </c>
      <c r="G570" s="4" t="str">
        <f>HYPERLINK("http://141.218.60.56/~jnz1568/getInfo.php?workbook=01_01.xlsx&amp;sheet=U0&amp;row=570&amp;col=7&amp;number=13.87&amp;sourceID=16","13.87")</f>
        <v>13.87</v>
      </c>
      <c r="H570" s="4" t="str">
        <f>HYPERLINK("http://141.218.60.56/~jnz1568/getInfo.php?workbook=01_01.xlsx&amp;sheet=U0&amp;row=570&amp;col=8&amp;number=&amp;sourceID=17","")</f>
        <v/>
      </c>
      <c r="I570" s="4" t="str">
        <f>HYPERLINK("http://141.218.60.56/~jnz1568/getInfo.php?workbook=01_01.xlsx&amp;sheet=U0&amp;row=570&amp;col=9&amp;number=&amp;sourceID=17","")</f>
        <v/>
      </c>
    </row>
    <row r="571" spans="1:9">
      <c r="A571" s="3">
        <v>1</v>
      </c>
      <c r="B571" s="3">
        <v>1</v>
      </c>
      <c r="C571" s="3">
        <v>13</v>
      </c>
      <c r="D571" s="3">
        <v>5</v>
      </c>
      <c r="E571" s="3">
        <v>1</v>
      </c>
      <c r="F571" s="4" t="str">
        <f>HYPERLINK("http://141.218.60.56/~jnz1568/getInfo.php?workbook=01_01.xlsx&amp;sheet=U0&amp;row=571&amp;col=6&amp;number==LOG10(2500)&amp;sourceID=16","=LOG10(2500)")</f>
        <v>=LOG10(2500)</v>
      </c>
      <c r="G571" s="4" t="str">
        <f>HYPERLINK("http://141.218.60.56/~jnz1568/getInfo.php?workbook=01_01.xlsx&amp;sheet=U0&amp;row=571&amp;col=7&amp;number=12.36&amp;sourceID=16","12.36")</f>
        <v>12.36</v>
      </c>
      <c r="H571" s="4" t="str">
        <f>HYPERLINK("http://141.218.60.56/~jnz1568/getInfo.php?workbook=01_01.xlsx&amp;sheet=U0&amp;row=571&amp;col=8&amp;number=3.764&amp;sourceID=17","3.764")</f>
        <v>3.764</v>
      </c>
      <c r="I571" s="4" t="str">
        <f>HYPERLINK("http://141.218.60.56/~jnz1568/getInfo.php?workbook=01_01.xlsx&amp;sheet=U0&amp;row=571&amp;col=9&amp;number=11.5&amp;sourceID=17","11.5")</f>
        <v>11.5</v>
      </c>
    </row>
    <row r="572" spans="1:9">
      <c r="A572" s="3"/>
      <c r="B572" s="3"/>
      <c r="C572" s="3"/>
      <c r="D572" s="3"/>
      <c r="E572" s="3">
        <v>2</v>
      </c>
      <c r="F572" s="4" t="str">
        <f>HYPERLINK("http://141.218.60.56/~jnz1568/getInfo.php?workbook=01_01.xlsx&amp;sheet=U0&amp;row=572&amp;col=6&amp;number=3.699&amp;sourceID=16","3.699")</f>
        <v>3.699</v>
      </c>
      <c r="G572" s="4" t="str">
        <f>HYPERLINK("http://141.218.60.56/~jnz1568/getInfo.php?workbook=01_01.xlsx&amp;sheet=U0&amp;row=572&amp;col=7&amp;number=18.28&amp;sourceID=16","18.28")</f>
        <v>18.28</v>
      </c>
      <c r="H572" s="4" t="str">
        <f>HYPERLINK("http://141.218.60.56/~jnz1568/getInfo.php?workbook=01_01.xlsx&amp;sheet=U0&amp;row=572&amp;col=8&amp;number=4.064&amp;sourceID=17","4.064")</f>
        <v>4.064</v>
      </c>
      <c r="I572" s="4" t="str">
        <f>HYPERLINK("http://141.218.60.56/~jnz1568/getInfo.php?workbook=01_01.xlsx&amp;sheet=U0&amp;row=572&amp;col=9&amp;number=15.3&amp;sourceID=17","15.3")</f>
        <v>15.3</v>
      </c>
    </row>
    <row r="573" spans="1:9">
      <c r="A573" s="3"/>
      <c r="B573" s="3"/>
      <c r="C573" s="3"/>
      <c r="D573" s="3"/>
      <c r="E573" s="3">
        <v>3</v>
      </c>
      <c r="F573" s="4" t="str">
        <f>HYPERLINK("http://141.218.60.56/~jnz1568/getInfo.php?workbook=01_01.xlsx&amp;sheet=U0&amp;row=573&amp;col=6&amp;number=3.875&amp;sourceID=16","3.875")</f>
        <v>3.875</v>
      </c>
      <c r="G573" s="4" t="str">
        <f>HYPERLINK("http://141.218.60.56/~jnz1568/getInfo.php?workbook=01_01.xlsx&amp;sheet=U0&amp;row=573&amp;col=7&amp;number=22.79&amp;sourceID=16","22.79")</f>
        <v>22.79</v>
      </c>
      <c r="H573" s="4" t="str">
        <f>HYPERLINK("http://141.218.60.56/~jnz1568/getInfo.php?workbook=01_01.xlsx&amp;sheet=U0&amp;row=573&amp;col=8&amp;number=4.542&amp;sourceID=17","4.542")</f>
        <v>4.542</v>
      </c>
      <c r="I573" s="4" t="str">
        <f>HYPERLINK("http://141.218.60.56/~jnz1568/getInfo.php?workbook=01_01.xlsx&amp;sheet=U0&amp;row=573&amp;col=9&amp;number=26.7&amp;sourceID=17","26.7")</f>
        <v>26.7</v>
      </c>
    </row>
    <row r="574" spans="1:9">
      <c r="A574" s="3"/>
      <c r="B574" s="3"/>
      <c r="C574" s="3"/>
      <c r="D574" s="3"/>
      <c r="E574" s="3">
        <v>4</v>
      </c>
      <c r="F574" s="4" t="str">
        <f>HYPERLINK("http://141.218.60.56/~jnz1568/getInfo.php?workbook=01_01.xlsx&amp;sheet=U0&amp;row=574&amp;col=6&amp;number=4&amp;sourceID=16","4")</f>
        <v>4</v>
      </c>
      <c r="G574" s="4" t="str">
        <f>HYPERLINK("http://141.218.60.56/~jnz1568/getInfo.php?workbook=01_01.xlsx&amp;sheet=U0&amp;row=574&amp;col=7&amp;number=26.62&amp;sourceID=16","26.62")</f>
        <v>26.62</v>
      </c>
      <c r="H574" s="4" t="str">
        <f>HYPERLINK("http://141.218.60.56/~jnz1568/getInfo.php?workbook=01_01.xlsx&amp;sheet=U0&amp;row=574&amp;col=8&amp;number=4.764&amp;sourceID=17","4.764")</f>
        <v>4.764</v>
      </c>
      <c r="I574" s="4" t="str">
        <f>HYPERLINK("http://141.218.60.56/~jnz1568/getInfo.php?workbook=01_01.xlsx&amp;sheet=U0&amp;row=574&amp;col=9&amp;number=35.6&amp;sourceID=17","35.6")</f>
        <v>35.6</v>
      </c>
    </row>
    <row r="575" spans="1:9">
      <c r="A575" s="3"/>
      <c r="B575" s="3"/>
      <c r="C575" s="3"/>
      <c r="D575" s="3"/>
      <c r="E575" s="3">
        <v>5</v>
      </c>
      <c r="F575" s="4" t="str">
        <f>HYPERLINK("http://141.218.60.56/~jnz1568/getInfo.php?workbook=01_01.xlsx&amp;sheet=U0&amp;row=575&amp;col=6&amp;number=4.176&amp;sourceID=16","4.176")</f>
        <v>4.176</v>
      </c>
      <c r="G575" s="4" t="str">
        <f>HYPERLINK("http://141.218.60.56/~jnz1568/getInfo.php?workbook=01_01.xlsx&amp;sheet=U0&amp;row=575&amp;col=7&amp;number=32.85&amp;sourceID=16","32.85")</f>
        <v>32.85</v>
      </c>
      <c r="H575" s="4" t="str">
        <f>HYPERLINK("http://141.218.60.56/~jnz1568/getInfo.php?workbook=01_01.xlsx&amp;sheet=U0&amp;row=575&amp;col=8&amp;number=5.064&amp;sourceID=17","5.064")</f>
        <v>5.064</v>
      </c>
      <c r="I575" s="4" t="str">
        <f>HYPERLINK("http://141.218.60.56/~jnz1568/getInfo.php?workbook=01_01.xlsx&amp;sheet=U0&amp;row=575&amp;col=9&amp;number=52.1&amp;sourceID=17","52.1")</f>
        <v>52.1</v>
      </c>
    </row>
    <row r="576" spans="1:9">
      <c r="A576" s="3"/>
      <c r="B576" s="3"/>
      <c r="C576" s="3"/>
      <c r="D576" s="3"/>
      <c r="E576" s="3">
        <v>6</v>
      </c>
      <c r="F576" s="4" t="str">
        <f>HYPERLINK("http://141.218.60.56/~jnz1568/getInfo.php?workbook=01_01.xlsx&amp;sheet=U0&amp;row=576&amp;col=6&amp;number=4.301&amp;sourceID=16","4.301")</f>
        <v>4.301</v>
      </c>
      <c r="G576" s="4" t="str">
        <f>HYPERLINK("http://141.218.60.56/~jnz1568/getInfo.php?workbook=01_01.xlsx&amp;sheet=U0&amp;row=576&amp;col=7&amp;number=37.84&amp;sourceID=16","37.84")</f>
        <v>37.84</v>
      </c>
      <c r="H576" s="4" t="str">
        <f>HYPERLINK("http://141.218.60.56/~jnz1568/getInfo.php?workbook=01_01.xlsx&amp;sheet=U0&amp;row=576&amp;col=8&amp;number=5.241&amp;sourceID=17","5.241")</f>
        <v>5.241</v>
      </c>
      <c r="I576" s="4" t="str">
        <f>HYPERLINK("http://141.218.60.56/~jnz1568/getInfo.php?workbook=01_01.xlsx&amp;sheet=U0&amp;row=576&amp;col=9&amp;number=64.1&amp;sourceID=17","64.1")</f>
        <v>64.1</v>
      </c>
    </row>
    <row r="577" spans="1:9">
      <c r="A577" s="3"/>
      <c r="B577" s="3"/>
      <c r="C577" s="3"/>
      <c r="D577" s="3"/>
      <c r="E577" s="3">
        <v>7</v>
      </c>
      <c r="F577" s="4" t="str">
        <f>HYPERLINK("http://141.218.60.56/~jnz1568/getInfo.php?workbook=01_01.xlsx&amp;sheet=U0&amp;row=577&amp;col=6&amp;number=4.477&amp;sourceID=16","4.477")</f>
        <v>4.477</v>
      </c>
      <c r="G577" s="4" t="str">
        <f>HYPERLINK("http://141.218.60.56/~jnz1568/getInfo.php?workbook=01_01.xlsx&amp;sheet=U0&amp;row=577&amp;col=7&amp;number=45.88&amp;sourceID=16","45.88")</f>
        <v>45.88</v>
      </c>
      <c r="H577" s="4" t="str">
        <f>HYPERLINK("http://141.218.60.56/~jnz1568/getInfo.php?workbook=01_01.xlsx&amp;sheet=U0&amp;row=577&amp;col=8&amp;number=5.366&amp;sourceID=17","5.366")</f>
        <v>5.366</v>
      </c>
      <c r="I577" s="4" t="str">
        <f>HYPERLINK("http://141.218.60.56/~jnz1568/getInfo.php?workbook=01_01.xlsx&amp;sheet=U0&amp;row=577&amp;col=9&amp;number=73.6&amp;sourceID=17","73.6")</f>
        <v>73.6</v>
      </c>
    </row>
    <row r="578" spans="1:9">
      <c r="A578" s="3"/>
      <c r="B578" s="3"/>
      <c r="C578" s="3"/>
      <c r="D578" s="3"/>
      <c r="E578" s="3">
        <v>8</v>
      </c>
      <c r="F578" s="4" t="str">
        <f>HYPERLINK("http://141.218.60.56/~jnz1568/getInfo.php?workbook=01_01.xlsx&amp;sheet=U0&amp;row=578&amp;col=6&amp;number=4.602&amp;sourceID=16","4.602")</f>
        <v>4.602</v>
      </c>
      <c r="G578" s="4" t="str">
        <f>HYPERLINK("http://141.218.60.56/~jnz1568/getInfo.php?workbook=01_01.xlsx&amp;sheet=U0&amp;row=578&amp;col=7&amp;number=52.4&amp;sourceID=16","52.4")</f>
        <v>52.4</v>
      </c>
      <c r="H578" s="4" t="str">
        <f>HYPERLINK("http://141.218.60.56/~jnz1568/getInfo.php?workbook=01_01.xlsx&amp;sheet=U0&amp;row=578&amp;col=8&amp;number=5.463&amp;sourceID=17","5.463")</f>
        <v>5.463</v>
      </c>
      <c r="I578" s="4" t="str">
        <f>HYPERLINK("http://141.218.60.56/~jnz1568/getInfo.php?workbook=01_01.xlsx&amp;sheet=U0&amp;row=578&amp;col=9&amp;number=81.3&amp;sourceID=17","81.3")</f>
        <v>81.3</v>
      </c>
    </row>
    <row r="579" spans="1:9">
      <c r="A579" s="3"/>
      <c r="B579" s="3"/>
      <c r="C579" s="3"/>
      <c r="D579" s="3"/>
      <c r="E579" s="3">
        <v>9</v>
      </c>
      <c r="F579" s="4" t="str">
        <f>HYPERLINK("http://141.218.60.56/~jnz1568/getInfo.php?workbook=01_01.xlsx&amp;sheet=U0&amp;row=579&amp;col=6&amp;number=4.699&amp;sourceID=16","4.699")</f>
        <v>4.699</v>
      </c>
      <c r="G579" s="4" t="str">
        <f>HYPERLINK("http://141.218.60.56/~jnz1568/getInfo.php?workbook=01_01.xlsx&amp;sheet=U0&amp;row=579&amp;col=7&amp;number=57.88&amp;sourceID=16","57.88")</f>
        <v>57.88</v>
      </c>
      <c r="H579" s="4" t="str">
        <f>HYPERLINK("http://141.218.60.56/~jnz1568/getInfo.php?workbook=01_01.xlsx&amp;sheet=U0&amp;row=579&amp;col=8&amp;number=&amp;sourceID=17","")</f>
        <v/>
      </c>
      <c r="I579" s="4" t="str">
        <f>HYPERLINK("http://141.218.60.56/~jnz1568/getInfo.php?workbook=01_01.xlsx&amp;sheet=U0&amp;row=579&amp;col=9&amp;number=&amp;sourceID=17","")</f>
        <v/>
      </c>
    </row>
    <row r="580" spans="1:9">
      <c r="A580" s="3">
        <v>1</v>
      </c>
      <c r="B580" s="3">
        <v>1</v>
      </c>
      <c r="C580" s="3">
        <v>13</v>
      </c>
      <c r="D580" s="3">
        <v>6</v>
      </c>
      <c r="E580" s="3">
        <v>1</v>
      </c>
      <c r="F580" s="4" t="str">
        <f>HYPERLINK("http://141.218.60.56/~jnz1568/getInfo.php?workbook=01_01.xlsx&amp;sheet=U0&amp;row=580&amp;col=6&amp;number==LOG10(2500)&amp;sourceID=16","=LOG10(2500)")</f>
        <v>=LOG10(2500)</v>
      </c>
      <c r="G580" s="4" t="str">
        <f>HYPERLINK("http://141.218.60.56/~jnz1568/getInfo.php?workbook=01_01.xlsx&amp;sheet=U0&amp;row=580&amp;col=7&amp;number=20.82&amp;sourceID=16","20.82")</f>
        <v>20.82</v>
      </c>
      <c r="H580" s="4" t="str">
        <f>HYPERLINK("http://141.218.60.56/~jnz1568/getInfo.php?workbook=01_01.xlsx&amp;sheet=U0&amp;row=580&amp;col=8&amp;number=3.764&amp;sourceID=17","3.764")</f>
        <v>3.764</v>
      </c>
      <c r="I580" s="4" t="str">
        <f>HYPERLINK("http://141.218.60.56/~jnz1568/getInfo.php?workbook=01_01.xlsx&amp;sheet=U0&amp;row=580&amp;col=9&amp;number=16.9&amp;sourceID=17","16.9")</f>
        <v>16.9</v>
      </c>
    </row>
    <row r="581" spans="1:9">
      <c r="A581" s="3"/>
      <c r="B581" s="3"/>
      <c r="C581" s="3"/>
      <c r="D581" s="3"/>
      <c r="E581" s="3">
        <v>2</v>
      </c>
      <c r="F581" s="4" t="str">
        <f>HYPERLINK("http://141.218.60.56/~jnz1568/getInfo.php?workbook=01_01.xlsx&amp;sheet=U0&amp;row=581&amp;col=6&amp;number=3.699&amp;sourceID=16","3.699")</f>
        <v>3.699</v>
      </c>
      <c r="G581" s="4" t="str">
        <f>HYPERLINK("http://141.218.60.56/~jnz1568/getInfo.php?workbook=01_01.xlsx&amp;sheet=U0&amp;row=581&amp;col=7&amp;number=29.38&amp;sourceID=16","29.38")</f>
        <v>29.38</v>
      </c>
      <c r="H581" s="4" t="str">
        <f>HYPERLINK("http://141.218.60.56/~jnz1568/getInfo.php?workbook=01_01.xlsx&amp;sheet=U0&amp;row=581&amp;col=8&amp;number=4.064&amp;sourceID=17","4.064")</f>
        <v>4.064</v>
      </c>
      <c r="I581" s="4" t="str">
        <f>HYPERLINK("http://141.218.60.56/~jnz1568/getInfo.php?workbook=01_01.xlsx&amp;sheet=U0&amp;row=581&amp;col=9&amp;number=21&amp;sourceID=17","21")</f>
        <v>21</v>
      </c>
    </row>
    <row r="582" spans="1:9">
      <c r="A582" s="3"/>
      <c r="B582" s="3"/>
      <c r="C582" s="3"/>
      <c r="D582" s="3"/>
      <c r="E582" s="3">
        <v>3</v>
      </c>
      <c r="F582" s="4" t="str">
        <f>HYPERLINK("http://141.218.60.56/~jnz1568/getInfo.php?workbook=01_01.xlsx&amp;sheet=U0&amp;row=582&amp;col=6&amp;number=3.875&amp;sourceID=16","3.875")</f>
        <v>3.875</v>
      </c>
      <c r="G582" s="4" t="str">
        <f>HYPERLINK("http://141.218.60.56/~jnz1568/getInfo.php?workbook=01_01.xlsx&amp;sheet=U0&amp;row=582&amp;col=7&amp;number=34.68&amp;sourceID=16","34.68")</f>
        <v>34.68</v>
      </c>
      <c r="H582" s="4" t="str">
        <f>HYPERLINK("http://141.218.60.56/~jnz1568/getInfo.php?workbook=01_01.xlsx&amp;sheet=U0&amp;row=582&amp;col=8&amp;number=4.542&amp;sourceID=17","4.542")</f>
        <v>4.542</v>
      </c>
      <c r="I582" s="4" t="str">
        <f>HYPERLINK("http://141.218.60.56/~jnz1568/getInfo.php?workbook=01_01.xlsx&amp;sheet=U0&amp;row=582&amp;col=9&amp;number=27.3&amp;sourceID=17","27.3")</f>
        <v>27.3</v>
      </c>
    </row>
    <row r="583" spans="1:9">
      <c r="A583" s="3"/>
      <c r="B583" s="3"/>
      <c r="C583" s="3"/>
      <c r="D583" s="3"/>
      <c r="E583" s="3">
        <v>4</v>
      </c>
      <c r="F583" s="4" t="str">
        <f>HYPERLINK("http://141.218.60.56/~jnz1568/getInfo.php?workbook=01_01.xlsx&amp;sheet=U0&amp;row=583&amp;col=6&amp;number=4&amp;sourceID=16","4")</f>
        <v>4</v>
      </c>
      <c r="G583" s="4" t="str">
        <f>HYPERLINK("http://141.218.60.56/~jnz1568/getInfo.php?workbook=01_01.xlsx&amp;sheet=U0&amp;row=583&amp;col=7&amp;number=38.76&amp;sourceID=16","38.76")</f>
        <v>38.76</v>
      </c>
      <c r="H583" s="4" t="str">
        <f>HYPERLINK("http://141.218.60.56/~jnz1568/getInfo.php?workbook=01_01.xlsx&amp;sheet=U0&amp;row=583&amp;col=8&amp;number=4.764&amp;sourceID=17","4.764")</f>
        <v>4.764</v>
      </c>
      <c r="I583" s="4" t="str">
        <f>HYPERLINK("http://141.218.60.56/~jnz1568/getInfo.php?workbook=01_01.xlsx&amp;sheet=U0&amp;row=583&amp;col=9&amp;number=29.4&amp;sourceID=17","29.4")</f>
        <v>29.4</v>
      </c>
    </row>
    <row r="584" spans="1:9">
      <c r="A584" s="3"/>
      <c r="B584" s="3"/>
      <c r="C584" s="3"/>
      <c r="D584" s="3"/>
      <c r="E584" s="3">
        <v>5</v>
      </c>
      <c r="F584" s="4" t="str">
        <f>HYPERLINK("http://141.218.60.56/~jnz1568/getInfo.php?workbook=01_01.xlsx&amp;sheet=U0&amp;row=584&amp;col=6&amp;number=4.176&amp;sourceID=16","4.176")</f>
        <v>4.176</v>
      </c>
      <c r="G584" s="4" t="str">
        <f>HYPERLINK("http://141.218.60.56/~jnz1568/getInfo.php?workbook=01_01.xlsx&amp;sheet=U0&amp;row=584&amp;col=7&amp;number=44.81&amp;sourceID=16","44.81")</f>
        <v>44.81</v>
      </c>
      <c r="H584" s="4" t="str">
        <f>HYPERLINK("http://141.218.60.56/~jnz1568/getInfo.php?workbook=01_01.xlsx&amp;sheet=U0&amp;row=584&amp;col=8&amp;number=5.064&amp;sourceID=17","5.064")</f>
        <v>5.064</v>
      </c>
      <c r="I584" s="4" t="str">
        <f>HYPERLINK("http://141.218.60.56/~jnz1568/getInfo.php?workbook=01_01.xlsx&amp;sheet=U0&amp;row=584&amp;col=9&amp;number=32&amp;sourceID=17","32")</f>
        <v>32</v>
      </c>
    </row>
    <row r="585" spans="1:9">
      <c r="A585" s="3"/>
      <c r="B585" s="3"/>
      <c r="C585" s="3"/>
      <c r="D585" s="3"/>
      <c r="E585" s="3">
        <v>6</v>
      </c>
      <c r="F585" s="4" t="str">
        <f>HYPERLINK("http://141.218.60.56/~jnz1568/getInfo.php?workbook=01_01.xlsx&amp;sheet=U0&amp;row=585&amp;col=6&amp;number=4.301&amp;sourceID=16","4.301")</f>
        <v>4.301</v>
      </c>
      <c r="G585" s="4" t="str">
        <f>HYPERLINK("http://141.218.60.56/~jnz1568/getInfo.php?workbook=01_01.xlsx&amp;sheet=U0&amp;row=585&amp;col=7&amp;number=49.16&amp;sourceID=16","49.16")</f>
        <v>49.16</v>
      </c>
      <c r="H585" s="4" t="str">
        <f>HYPERLINK("http://141.218.60.56/~jnz1568/getInfo.php?workbook=01_01.xlsx&amp;sheet=U0&amp;row=585&amp;col=8&amp;number=5.241&amp;sourceID=17","5.241")</f>
        <v>5.241</v>
      </c>
      <c r="I585" s="4" t="str">
        <f>HYPERLINK("http://141.218.60.56/~jnz1568/getInfo.php?workbook=01_01.xlsx&amp;sheet=U0&amp;row=585&amp;col=9&amp;number=33.3&amp;sourceID=17","33.3")</f>
        <v>33.3</v>
      </c>
    </row>
    <row r="586" spans="1:9">
      <c r="A586" s="3"/>
      <c r="B586" s="3"/>
      <c r="C586" s="3"/>
      <c r="D586" s="3"/>
      <c r="E586" s="3">
        <v>7</v>
      </c>
      <c r="F586" s="4" t="str">
        <f>HYPERLINK("http://141.218.60.56/~jnz1568/getInfo.php?workbook=01_01.xlsx&amp;sheet=U0&amp;row=586&amp;col=6&amp;number=4.477&amp;sourceID=16","4.477")</f>
        <v>4.477</v>
      </c>
      <c r="G586" s="4" t="str">
        <f>HYPERLINK("http://141.218.60.56/~jnz1568/getInfo.php?workbook=01_01.xlsx&amp;sheet=U0&amp;row=586&amp;col=7&amp;number=55.15&amp;sourceID=16","55.15")</f>
        <v>55.15</v>
      </c>
      <c r="H586" s="4" t="str">
        <f>HYPERLINK("http://141.218.60.56/~jnz1568/getInfo.php?workbook=01_01.xlsx&amp;sheet=U0&amp;row=586&amp;col=8&amp;number=5.366&amp;sourceID=17","5.366")</f>
        <v>5.366</v>
      </c>
      <c r="I586" s="4" t="str">
        <f>HYPERLINK("http://141.218.60.56/~jnz1568/getInfo.php?workbook=01_01.xlsx&amp;sheet=U0&amp;row=586&amp;col=9&amp;number=34.2&amp;sourceID=17","34.2")</f>
        <v>34.2</v>
      </c>
    </row>
    <row r="587" spans="1:9">
      <c r="A587" s="3"/>
      <c r="B587" s="3"/>
      <c r="C587" s="3"/>
      <c r="D587" s="3"/>
      <c r="E587" s="3">
        <v>8</v>
      </c>
      <c r="F587" s="4" t="str">
        <f>HYPERLINK("http://141.218.60.56/~jnz1568/getInfo.php?workbook=01_01.xlsx&amp;sheet=U0&amp;row=587&amp;col=6&amp;number=4.602&amp;sourceID=16","4.602")</f>
        <v>4.602</v>
      </c>
      <c r="G587" s="4" t="str">
        <f>HYPERLINK("http://141.218.60.56/~jnz1568/getInfo.php?workbook=01_01.xlsx&amp;sheet=U0&amp;row=587&amp;col=7&amp;number=59.13&amp;sourceID=16","59.13")</f>
        <v>59.13</v>
      </c>
      <c r="H587" s="4" t="str">
        <f>HYPERLINK("http://141.218.60.56/~jnz1568/getInfo.php?workbook=01_01.xlsx&amp;sheet=U0&amp;row=587&amp;col=8&amp;number=5.463&amp;sourceID=17","5.463")</f>
        <v>5.463</v>
      </c>
      <c r="I587" s="4" t="str">
        <f>HYPERLINK("http://141.218.60.56/~jnz1568/getInfo.php?workbook=01_01.xlsx&amp;sheet=U0&amp;row=587&amp;col=9&amp;number=34.8&amp;sourceID=17","34.8")</f>
        <v>34.8</v>
      </c>
    </row>
    <row r="588" spans="1:9">
      <c r="A588" s="3"/>
      <c r="B588" s="3"/>
      <c r="C588" s="3"/>
      <c r="D588" s="3"/>
      <c r="E588" s="3">
        <v>9</v>
      </c>
      <c r="F588" s="4" t="str">
        <f>HYPERLINK("http://141.218.60.56/~jnz1568/getInfo.php?workbook=01_01.xlsx&amp;sheet=U0&amp;row=588&amp;col=6&amp;number=4.699&amp;sourceID=16","4.699")</f>
        <v>4.699</v>
      </c>
      <c r="G588" s="4" t="str">
        <f>HYPERLINK("http://141.218.60.56/~jnz1568/getInfo.php?workbook=01_01.xlsx&amp;sheet=U0&amp;row=588&amp;col=7&amp;number=61.93&amp;sourceID=16","61.93")</f>
        <v>61.93</v>
      </c>
      <c r="H588" s="4" t="str">
        <f>HYPERLINK("http://141.218.60.56/~jnz1568/getInfo.php?workbook=01_01.xlsx&amp;sheet=U0&amp;row=588&amp;col=8&amp;number=&amp;sourceID=17","")</f>
        <v/>
      </c>
      <c r="I588" s="4" t="str">
        <f>HYPERLINK("http://141.218.60.56/~jnz1568/getInfo.php?workbook=01_01.xlsx&amp;sheet=U0&amp;row=588&amp;col=9&amp;number=&amp;sourceID=17","")</f>
        <v/>
      </c>
    </row>
    <row r="589" spans="1:9">
      <c r="A589" s="3">
        <v>1</v>
      </c>
      <c r="B589" s="3">
        <v>1</v>
      </c>
      <c r="C589" s="3">
        <v>13</v>
      </c>
      <c r="D589" s="3">
        <v>7</v>
      </c>
      <c r="E589" s="3">
        <v>1</v>
      </c>
      <c r="F589" s="4" t="str">
        <f>HYPERLINK("http://141.218.60.56/~jnz1568/getInfo.php?workbook=01_01.xlsx&amp;sheet=U0&amp;row=589&amp;col=6&amp;number==LOG10(2500)&amp;sourceID=16","=LOG10(2500)")</f>
        <v>=LOG10(2500)</v>
      </c>
      <c r="G589" s="4" t="str">
        <f>HYPERLINK("http://141.218.60.56/~jnz1568/getInfo.php?workbook=01_01.xlsx&amp;sheet=U0&amp;row=589&amp;col=7&amp;number=10.02&amp;sourceID=16","10.02")</f>
        <v>10.02</v>
      </c>
      <c r="H589" s="4" t="str">
        <f>HYPERLINK("http://141.218.60.56/~jnz1568/getInfo.php?workbook=01_01.xlsx&amp;sheet=U0&amp;row=589&amp;col=8&amp;number=3.764&amp;sourceID=17","3.764")</f>
        <v>3.764</v>
      </c>
      <c r="I589" s="4" t="str">
        <f>HYPERLINK("http://141.218.60.56/~jnz1568/getInfo.php?workbook=01_01.xlsx&amp;sheet=U0&amp;row=589&amp;col=9&amp;number=14.3&amp;sourceID=17","14.3")</f>
        <v>14.3</v>
      </c>
    </row>
    <row r="590" spans="1:9">
      <c r="A590" s="3"/>
      <c r="B590" s="3"/>
      <c r="C590" s="3"/>
      <c r="D590" s="3"/>
      <c r="E590" s="3">
        <v>2</v>
      </c>
      <c r="F590" s="4" t="str">
        <f>HYPERLINK("http://141.218.60.56/~jnz1568/getInfo.php?workbook=01_01.xlsx&amp;sheet=U0&amp;row=590&amp;col=6&amp;number=3.699&amp;sourceID=16","3.699")</f>
        <v>3.699</v>
      </c>
      <c r="G590" s="4" t="str">
        <f>HYPERLINK("http://141.218.60.56/~jnz1568/getInfo.php?workbook=01_01.xlsx&amp;sheet=U0&amp;row=590&amp;col=7&amp;number=15.73&amp;sourceID=16","15.73")</f>
        <v>15.73</v>
      </c>
      <c r="H590" s="4" t="str">
        <f>HYPERLINK("http://141.218.60.56/~jnz1568/getInfo.php?workbook=01_01.xlsx&amp;sheet=U0&amp;row=590&amp;col=8&amp;number=4.064&amp;sourceID=17","4.064")</f>
        <v>4.064</v>
      </c>
      <c r="I590" s="4" t="str">
        <f>HYPERLINK("http://141.218.60.56/~jnz1568/getInfo.php?workbook=01_01.xlsx&amp;sheet=U0&amp;row=590&amp;col=9&amp;number=25.4&amp;sourceID=17","25.4")</f>
        <v>25.4</v>
      </c>
    </row>
    <row r="591" spans="1:9">
      <c r="A591" s="3"/>
      <c r="B591" s="3"/>
      <c r="C591" s="3"/>
      <c r="D591" s="3"/>
      <c r="E591" s="3">
        <v>3</v>
      </c>
      <c r="F591" s="4" t="str">
        <f>HYPERLINK("http://141.218.60.56/~jnz1568/getInfo.php?workbook=01_01.xlsx&amp;sheet=U0&amp;row=591&amp;col=6&amp;number=3.875&amp;sourceID=16","3.875")</f>
        <v>3.875</v>
      </c>
      <c r="G591" s="4" t="str">
        <f>HYPERLINK("http://141.218.60.56/~jnz1568/getInfo.php?workbook=01_01.xlsx&amp;sheet=U0&amp;row=591&amp;col=7&amp;number=21.45&amp;sourceID=16","21.45")</f>
        <v>21.45</v>
      </c>
      <c r="H591" s="4" t="str">
        <f>HYPERLINK("http://141.218.60.56/~jnz1568/getInfo.php?workbook=01_01.xlsx&amp;sheet=U0&amp;row=591&amp;col=8&amp;number=4.542&amp;sourceID=17","4.542")</f>
        <v>4.542</v>
      </c>
      <c r="I591" s="4" t="str">
        <f>HYPERLINK("http://141.218.60.56/~jnz1568/getInfo.php?workbook=01_01.xlsx&amp;sheet=U0&amp;row=591&amp;col=9&amp;number=61.6&amp;sourceID=17","61.6")</f>
        <v>61.6</v>
      </c>
    </row>
    <row r="592" spans="1:9">
      <c r="A592" s="3"/>
      <c r="B592" s="3"/>
      <c r="C592" s="3"/>
      <c r="D592" s="3"/>
      <c r="E592" s="3">
        <v>4</v>
      </c>
      <c r="F592" s="4" t="str">
        <f>HYPERLINK("http://141.218.60.56/~jnz1568/getInfo.php?workbook=01_01.xlsx&amp;sheet=U0&amp;row=592&amp;col=6&amp;number=4&amp;sourceID=16","4")</f>
        <v>4</v>
      </c>
      <c r="G592" s="4" t="str">
        <f>HYPERLINK("http://141.218.60.56/~jnz1568/getInfo.php?workbook=01_01.xlsx&amp;sheet=U0&amp;row=592&amp;col=7&amp;number=27.4&amp;sourceID=16","27.4")</f>
        <v>27.4</v>
      </c>
      <c r="H592" s="4" t="str">
        <f>HYPERLINK("http://141.218.60.56/~jnz1568/getInfo.php?workbook=01_01.xlsx&amp;sheet=U0&amp;row=592&amp;col=8&amp;number=4.764&amp;sourceID=17","4.764")</f>
        <v>4.764</v>
      </c>
      <c r="I592" s="4" t="str">
        <f>HYPERLINK("http://141.218.60.56/~jnz1568/getInfo.php?workbook=01_01.xlsx&amp;sheet=U0&amp;row=592&amp;col=9&amp;number=84.3&amp;sourceID=17","84.3")</f>
        <v>84.3</v>
      </c>
    </row>
    <row r="593" spans="1:9">
      <c r="A593" s="3"/>
      <c r="B593" s="3"/>
      <c r="C593" s="3"/>
      <c r="D593" s="3"/>
      <c r="E593" s="3">
        <v>5</v>
      </c>
      <c r="F593" s="4" t="str">
        <f>HYPERLINK("http://141.218.60.56/~jnz1568/getInfo.php?workbook=01_01.xlsx&amp;sheet=U0&amp;row=593&amp;col=6&amp;number=4.176&amp;sourceID=16","4.176")</f>
        <v>4.176</v>
      </c>
      <c r="G593" s="4" t="str">
        <f>HYPERLINK("http://141.218.60.56/~jnz1568/getInfo.php?workbook=01_01.xlsx&amp;sheet=U0&amp;row=593&amp;col=7&amp;number=39.22&amp;sourceID=16","39.22")</f>
        <v>39.22</v>
      </c>
      <c r="H593" s="4" t="str">
        <f>HYPERLINK("http://141.218.60.56/~jnz1568/getInfo.php?workbook=01_01.xlsx&amp;sheet=U0&amp;row=593&amp;col=8&amp;number=5.064&amp;sourceID=17","5.064")</f>
        <v>5.064</v>
      </c>
      <c r="I593" s="4" t="str">
        <f>HYPERLINK("http://141.218.60.56/~jnz1568/getInfo.php?workbook=01_01.xlsx&amp;sheet=U0&amp;row=593&amp;col=9&amp;number=115&amp;sourceID=17","115")</f>
        <v>115</v>
      </c>
    </row>
    <row r="594" spans="1:9">
      <c r="A594" s="3"/>
      <c r="B594" s="3"/>
      <c r="C594" s="3"/>
      <c r="D594" s="3"/>
      <c r="E594" s="3">
        <v>6</v>
      </c>
      <c r="F594" s="4" t="str">
        <f>HYPERLINK("http://141.218.60.56/~jnz1568/getInfo.php?workbook=01_01.xlsx&amp;sheet=U0&amp;row=594&amp;col=6&amp;number=4.301&amp;sourceID=16","4.301")</f>
        <v>4.301</v>
      </c>
      <c r="G594" s="4" t="str">
        <f>HYPERLINK("http://141.218.60.56/~jnz1568/getInfo.php?workbook=01_01.xlsx&amp;sheet=U0&amp;row=594&amp;col=7&amp;number=50.43&amp;sourceID=16","50.43")</f>
        <v>50.43</v>
      </c>
      <c r="H594" s="4" t="str">
        <f>HYPERLINK("http://141.218.60.56/~jnz1568/getInfo.php?workbook=01_01.xlsx&amp;sheet=U0&amp;row=594&amp;col=8&amp;number=5.241&amp;sourceID=17","5.241")</f>
        <v>5.241</v>
      </c>
      <c r="I594" s="4" t="str">
        <f>HYPERLINK("http://141.218.60.56/~jnz1568/getInfo.php?workbook=01_01.xlsx&amp;sheet=U0&amp;row=594&amp;col=9&amp;number=132&amp;sourceID=17","132")</f>
        <v>132</v>
      </c>
    </row>
    <row r="595" spans="1:9">
      <c r="A595" s="3"/>
      <c r="B595" s="3"/>
      <c r="C595" s="3"/>
      <c r="D595" s="3"/>
      <c r="E595" s="3">
        <v>7</v>
      </c>
      <c r="F595" s="4" t="str">
        <f>HYPERLINK("http://141.218.60.56/~jnz1568/getInfo.php?workbook=01_01.xlsx&amp;sheet=U0&amp;row=595&amp;col=6&amp;number=4.477&amp;sourceID=16","4.477")</f>
        <v>4.477</v>
      </c>
      <c r="G595" s="4" t="str">
        <f>HYPERLINK("http://141.218.60.56/~jnz1568/getInfo.php?workbook=01_01.xlsx&amp;sheet=U0&amp;row=595&amp;col=7&amp;number=70.64&amp;sourceID=16","70.64")</f>
        <v>70.64</v>
      </c>
      <c r="H595" s="4" t="str">
        <f>HYPERLINK("http://141.218.60.56/~jnz1568/getInfo.php?workbook=01_01.xlsx&amp;sheet=U0&amp;row=595&amp;col=8&amp;number=5.366&amp;sourceID=17","5.366")</f>
        <v>5.366</v>
      </c>
      <c r="I595" s="4" t="str">
        <f>HYPERLINK("http://141.218.60.56/~jnz1568/getInfo.php?workbook=01_01.xlsx&amp;sheet=U0&amp;row=595&amp;col=9&amp;number=142&amp;sourceID=17","142")</f>
        <v>142</v>
      </c>
    </row>
    <row r="596" spans="1:9">
      <c r="A596" s="3"/>
      <c r="B596" s="3"/>
      <c r="C596" s="3"/>
      <c r="D596" s="3"/>
      <c r="E596" s="3">
        <v>8</v>
      </c>
      <c r="F596" s="4" t="str">
        <f>HYPERLINK("http://141.218.60.56/~jnz1568/getInfo.php?workbook=01_01.xlsx&amp;sheet=U0&amp;row=596&amp;col=6&amp;number=4.602&amp;sourceID=16","4.602")</f>
        <v>4.602</v>
      </c>
      <c r="G596" s="4" t="str">
        <f>HYPERLINK("http://141.218.60.56/~jnz1568/getInfo.php?workbook=01_01.xlsx&amp;sheet=U0&amp;row=596&amp;col=7&amp;number=87.74&amp;sourceID=16","87.74")</f>
        <v>87.74</v>
      </c>
      <c r="H596" s="4" t="str">
        <f>HYPERLINK("http://141.218.60.56/~jnz1568/getInfo.php?workbook=01_01.xlsx&amp;sheet=U0&amp;row=596&amp;col=8&amp;number=5.463&amp;sourceID=17","5.463")</f>
        <v>5.463</v>
      </c>
      <c r="I596" s="4" t="str">
        <f>HYPERLINK("http://141.218.60.56/~jnz1568/getInfo.php?workbook=01_01.xlsx&amp;sheet=U0&amp;row=596&amp;col=9&amp;number=150&amp;sourceID=17","150")</f>
        <v>150</v>
      </c>
    </row>
    <row r="597" spans="1:9">
      <c r="A597" s="3"/>
      <c r="B597" s="3"/>
      <c r="C597" s="3"/>
      <c r="D597" s="3"/>
      <c r="E597" s="3">
        <v>9</v>
      </c>
      <c r="F597" s="4" t="str">
        <f>HYPERLINK("http://141.218.60.56/~jnz1568/getInfo.php?workbook=01_01.xlsx&amp;sheet=U0&amp;row=597&amp;col=6&amp;number=4.699&amp;sourceID=16","4.699")</f>
        <v>4.699</v>
      </c>
      <c r="G597" s="4" t="str">
        <f>HYPERLINK("http://141.218.60.56/~jnz1568/getInfo.php?workbook=01_01.xlsx&amp;sheet=U0&amp;row=597&amp;col=7&amp;number=102.7&amp;sourceID=16","102.7")</f>
        <v>102.7</v>
      </c>
      <c r="H597" s="4" t="str">
        <f>HYPERLINK("http://141.218.60.56/~jnz1568/getInfo.php?workbook=01_01.xlsx&amp;sheet=U0&amp;row=597&amp;col=8&amp;number=&amp;sourceID=17","")</f>
        <v/>
      </c>
      <c r="I597" s="4" t="str">
        <f>HYPERLINK("http://141.218.60.56/~jnz1568/getInfo.php?workbook=01_01.xlsx&amp;sheet=U0&amp;row=597&amp;col=9&amp;number=&amp;sourceID=17","")</f>
        <v/>
      </c>
    </row>
    <row r="598" spans="1:9">
      <c r="A598" s="3">
        <v>1</v>
      </c>
      <c r="B598" s="3">
        <v>1</v>
      </c>
      <c r="C598" s="3">
        <v>13</v>
      </c>
      <c r="D598" s="3">
        <v>8</v>
      </c>
      <c r="E598" s="3">
        <v>1</v>
      </c>
      <c r="F598" s="4" t="str">
        <f>HYPERLINK("http://141.218.60.56/~jnz1568/getInfo.php?workbook=01_01.xlsx&amp;sheet=U0&amp;row=598&amp;col=6&amp;number==LOG10(2500)&amp;sourceID=16","=LOG10(2500)")</f>
        <v>=LOG10(2500)</v>
      </c>
      <c r="G598" s="4" t="str">
        <f>HYPERLINK("http://141.218.60.56/~jnz1568/getInfo.php?workbook=01_01.xlsx&amp;sheet=U0&amp;row=598&amp;col=7&amp;number=31.53&amp;sourceID=16","31.53")</f>
        <v>31.53</v>
      </c>
      <c r="H598" s="4" t="str">
        <f>HYPERLINK("http://141.218.60.56/~jnz1568/getInfo.php?workbook=01_01.xlsx&amp;sheet=U0&amp;row=598&amp;col=8&amp;number=3.764&amp;sourceID=17","3.764")</f>
        <v>3.764</v>
      </c>
      <c r="I598" s="4" t="str">
        <f>HYPERLINK("http://141.218.60.56/~jnz1568/getInfo.php?workbook=01_01.xlsx&amp;sheet=U0&amp;row=598&amp;col=9&amp;number=41.2&amp;sourceID=17","41.2")</f>
        <v>41.2</v>
      </c>
    </row>
    <row r="599" spans="1:9">
      <c r="A599" s="3"/>
      <c r="B599" s="3"/>
      <c r="C599" s="3"/>
      <c r="D599" s="3"/>
      <c r="E599" s="3">
        <v>2</v>
      </c>
      <c r="F599" s="4" t="str">
        <f>HYPERLINK("http://141.218.60.56/~jnz1568/getInfo.php?workbook=01_01.xlsx&amp;sheet=U0&amp;row=599&amp;col=6&amp;number=3.699&amp;sourceID=16","3.699")</f>
        <v>3.699</v>
      </c>
      <c r="G599" s="4" t="str">
        <f>HYPERLINK("http://141.218.60.56/~jnz1568/getInfo.php?workbook=01_01.xlsx&amp;sheet=U0&amp;row=599&amp;col=7&amp;number=47.5&amp;sourceID=16","47.5")</f>
        <v>47.5</v>
      </c>
      <c r="H599" s="4" t="str">
        <f>HYPERLINK("http://141.218.60.56/~jnz1568/getInfo.php?workbook=01_01.xlsx&amp;sheet=U0&amp;row=599&amp;col=8&amp;number=4.064&amp;sourceID=17","4.064")</f>
        <v>4.064</v>
      </c>
      <c r="I599" s="4" t="str">
        <f>HYPERLINK("http://141.218.60.56/~jnz1568/getInfo.php?workbook=01_01.xlsx&amp;sheet=U0&amp;row=599&amp;col=9&amp;number=70.5&amp;sourceID=17","70.5")</f>
        <v>70.5</v>
      </c>
    </row>
    <row r="600" spans="1:9">
      <c r="A600" s="3"/>
      <c r="B600" s="3"/>
      <c r="C600" s="3"/>
      <c r="D600" s="3"/>
      <c r="E600" s="3">
        <v>3</v>
      </c>
      <c r="F600" s="4" t="str">
        <f>HYPERLINK("http://141.218.60.56/~jnz1568/getInfo.php?workbook=01_01.xlsx&amp;sheet=U0&amp;row=600&amp;col=6&amp;number=3.875&amp;sourceID=16","3.875")</f>
        <v>3.875</v>
      </c>
      <c r="G600" s="4" t="str">
        <f>HYPERLINK("http://141.218.60.56/~jnz1568/getInfo.php?workbook=01_01.xlsx&amp;sheet=U0&amp;row=600&amp;col=7&amp;number=63.02&amp;sourceID=16","63.02")</f>
        <v>63.02</v>
      </c>
      <c r="H600" s="4" t="str">
        <f>HYPERLINK("http://141.218.60.56/~jnz1568/getInfo.php?workbook=01_01.xlsx&amp;sheet=U0&amp;row=600&amp;col=8&amp;number=4.542&amp;sourceID=17","4.542")</f>
        <v>4.542</v>
      </c>
      <c r="I600" s="4" t="str">
        <f>HYPERLINK("http://141.218.60.56/~jnz1568/getInfo.php?workbook=01_01.xlsx&amp;sheet=U0&amp;row=600&amp;col=9&amp;number=186&amp;sourceID=17","186")</f>
        <v>186</v>
      </c>
    </row>
    <row r="601" spans="1:9">
      <c r="A601" s="3"/>
      <c r="B601" s="3"/>
      <c r="C601" s="3"/>
      <c r="D601" s="3"/>
      <c r="E601" s="3">
        <v>4</v>
      </c>
      <c r="F601" s="4" t="str">
        <f>HYPERLINK("http://141.218.60.56/~jnz1568/getInfo.php?workbook=01_01.xlsx&amp;sheet=U0&amp;row=601&amp;col=6&amp;number=4&amp;sourceID=16","4")</f>
        <v>4</v>
      </c>
      <c r="G601" s="4" t="str">
        <f>HYPERLINK("http://141.218.60.56/~jnz1568/getInfo.php?workbook=01_01.xlsx&amp;sheet=U0&amp;row=601&amp;col=7&amp;number=79.47&amp;sourceID=16","79.47")</f>
        <v>79.47</v>
      </c>
      <c r="H601" s="4" t="str">
        <f>HYPERLINK("http://141.218.60.56/~jnz1568/getInfo.php?workbook=01_01.xlsx&amp;sheet=U0&amp;row=601&amp;col=8&amp;number=4.764&amp;sourceID=17","4.764")</f>
        <v>4.764</v>
      </c>
      <c r="I601" s="4" t="str">
        <f>HYPERLINK("http://141.218.60.56/~jnz1568/getInfo.php?workbook=01_01.xlsx&amp;sheet=U0&amp;row=601&amp;col=9&amp;number=279&amp;sourceID=17","279")</f>
        <v>279</v>
      </c>
    </row>
    <row r="602" spans="1:9">
      <c r="A602" s="3"/>
      <c r="B602" s="3"/>
      <c r="C602" s="3"/>
      <c r="D602" s="3"/>
      <c r="E602" s="3">
        <v>5</v>
      </c>
      <c r="F602" s="4" t="str">
        <f>HYPERLINK("http://141.218.60.56/~jnz1568/getInfo.php?workbook=01_01.xlsx&amp;sheet=U0&amp;row=602&amp;col=6&amp;number=4.176&amp;sourceID=16","4.176")</f>
        <v>4.176</v>
      </c>
      <c r="G602" s="4" t="str">
        <f>HYPERLINK("http://141.218.60.56/~jnz1568/getInfo.php?workbook=01_01.xlsx&amp;sheet=U0&amp;row=602&amp;col=7&amp;number=113.5&amp;sourceID=16","113.5")</f>
        <v>113.5</v>
      </c>
      <c r="H602" s="4" t="str">
        <f>HYPERLINK("http://141.218.60.56/~jnz1568/getInfo.php?workbook=01_01.xlsx&amp;sheet=U0&amp;row=602&amp;col=8&amp;number=5.064&amp;sourceID=17","5.064")</f>
        <v>5.064</v>
      </c>
      <c r="I602" s="4" t="str">
        <f>HYPERLINK("http://141.218.60.56/~jnz1568/getInfo.php?workbook=01_01.xlsx&amp;sheet=U0&amp;row=602&amp;col=9&amp;number=455&amp;sourceID=17","455")</f>
        <v>455</v>
      </c>
    </row>
    <row r="603" spans="1:9">
      <c r="A603" s="3"/>
      <c r="B603" s="3"/>
      <c r="C603" s="3"/>
      <c r="D603" s="3"/>
      <c r="E603" s="3">
        <v>6</v>
      </c>
      <c r="F603" s="4" t="str">
        <f>HYPERLINK("http://141.218.60.56/~jnz1568/getInfo.php?workbook=01_01.xlsx&amp;sheet=U0&amp;row=603&amp;col=6&amp;number=4.301&amp;sourceID=16","4.301")</f>
        <v>4.301</v>
      </c>
      <c r="G603" s="4" t="str">
        <f>HYPERLINK("http://141.218.60.56/~jnz1568/getInfo.php?workbook=01_01.xlsx&amp;sheet=U0&amp;row=603&amp;col=7&amp;number=147.9&amp;sourceID=16","147.9")</f>
        <v>147.9</v>
      </c>
      <c r="H603" s="4" t="str">
        <f>HYPERLINK("http://141.218.60.56/~jnz1568/getInfo.php?workbook=01_01.xlsx&amp;sheet=U0&amp;row=603&amp;col=8&amp;number=5.241&amp;sourceID=17","5.241")</f>
        <v>5.241</v>
      </c>
      <c r="I603" s="4" t="str">
        <f>HYPERLINK("http://141.218.60.56/~jnz1568/getInfo.php?workbook=01_01.xlsx&amp;sheet=U0&amp;row=603&amp;col=9&amp;number=592&amp;sourceID=17","592")</f>
        <v>592</v>
      </c>
    </row>
    <row r="604" spans="1:9">
      <c r="A604" s="3"/>
      <c r="B604" s="3"/>
      <c r="C604" s="3"/>
      <c r="D604" s="3"/>
      <c r="E604" s="3">
        <v>7</v>
      </c>
      <c r="F604" s="4" t="str">
        <f>HYPERLINK("http://141.218.60.56/~jnz1568/getInfo.php?workbook=01_01.xlsx&amp;sheet=U0&amp;row=604&amp;col=6&amp;number=4.477&amp;sourceID=16","4.477")</f>
        <v>4.477</v>
      </c>
      <c r="G604" s="4" t="str">
        <f>HYPERLINK("http://141.218.60.56/~jnz1568/getInfo.php?workbook=01_01.xlsx&amp;sheet=U0&amp;row=604&amp;col=7&amp;number=215.8&amp;sourceID=16","215.8")</f>
        <v>215.8</v>
      </c>
      <c r="H604" s="4" t="str">
        <f>HYPERLINK("http://141.218.60.56/~jnz1568/getInfo.php?workbook=01_01.xlsx&amp;sheet=U0&amp;row=604&amp;col=8&amp;number=5.366&amp;sourceID=17","5.366")</f>
        <v>5.366</v>
      </c>
      <c r="I604" s="4" t="str">
        <f>HYPERLINK("http://141.218.60.56/~jnz1568/getInfo.php?workbook=01_01.xlsx&amp;sheet=U0&amp;row=604&amp;col=9&amp;number=705&amp;sourceID=17","705")</f>
        <v>705</v>
      </c>
    </row>
    <row r="605" spans="1:9">
      <c r="A605" s="3"/>
      <c r="B605" s="3"/>
      <c r="C605" s="3"/>
      <c r="D605" s="3"/>
      <c r="E605" s="3">
        <v>8</v>
      </c>
      <c r="F605" s="4" t="str">
        <f>HYPERLINK("http://141.218.60.56/~jnz1568/getInfo.php?workbook=01_01.xlsx&amp;sheet=U0&amp;row=605&amp;col=6&amp;number=4.602&amp;sourceID=16","4.602")</f>
        <v>4.602</v>
      </c>
      <c r="G605" s="4" t="str">
        <f>HYPERLINK("http://141.218.60.56/~jnz1568/getInfo.php?workbook=01_01.xlsx&amp;sheet=U0&amp;row=605&amp;col=7&amp;number=279.7&amp;sourceID=16","279.7")</f>
        <v>279.7</v>
      </c>
      <c r="H605" s="4" t="str">
        <f>HYPERLINK("http://141.218.60.56/~jnz1568/getInfo.php?workbook=01_01.xlsx&amp;sheet=U0&amp;row=605&amp;col=8&amp;number=5.463&amp;sourceID=17","5.463")</f>
        <v>5.463</v>
      </c>
      <c r="I605" s="4" t="str">
        <f>HYPERLINK("http://141.218.60.56/~jnz1568/getInfo.php?workbook=01_01.xlsx&amp;sheet=U0&amp;row=605&amp;col=9&amp;number=801&amp;sourceID=17","801")</f>
        <v>801</v>
      </c>
    </row>
    <row r="606" spans="1:9">
      <c r="A606" s="3"/>
      <c r="B606" s="3"/>
      <c r="C606" s="3"/>
      <c r="D606" s="3"/>
      <c r="E606" s="3">
        <v>9</v>
      </c>
      <c r="F606" s="4" t="str">
        <f>HYPERLINK("http://141.218.60.56/~jnz1568/getInfo.php?workbook=01_01.xlsx&amp;sheet=U0&amp;row=606&amp;col=6&amp;number=4.699&amp;sourceID=16","4.699")</f>
        <v>4.699</v>
      </c>
      <c r="G606" s="4" t="str">
        <f>HYPERLINK("http://141.218.60.56/~jnz1568/getInfo.php?workbook=01_01.xlsx&amp;sheet=U0&amp;row=606&amp;col=7&amp;number=340.1&amp;sourceID=16","340.1")</f>
        <v>340.1</v>
      </c>
      <c r="H606" s="4" t="str">
        <f>HYPERLINK("http://141.218.60.56/~jnz1568/getInfo.php?workbook=01_01.xlsx&amp;sheet=U0&amp;row=606&amp;col=8&amp;number=&amp;sourceID=17","")</f>
        <v/>
      </c>
      <c r="I606" s="4" t="str">
        <f>HYPERLINK("http://141.218.60.56/~jnz1568/getInfo.php?workbook=01_01.xlsx&amp;sheet=U0&amp;row=606&amp;col=9&amp;number=&amp;sourceID=17","")</f>
        <v/>
      </c>
    </row>
    <row r="607" spans="1:9">
      <c r="A607" s="3">
        <v>1</v>
      </c>
      <c r="B607" s="3">
        <v>1</v>
      </c>
      <c r="C607" s="3">
        <v>13</v>
      </c>
      <c r="D607" s="3">
        <v>9</v>
      </c>
      <c r="E607" s="3">
        <v>1</v>
      </c>
      <c r="F607" s="4" t="str">
        <f>HYPERLINK("http://141.218.60.56/~jnz1568/getInfo.php?workbook=01_01.xlsx&amp;sheet=U0&amp;row=607&amp;col=6&amp;number==LOG10(2500)&amp;sourceID=16","=LOG10(2500)")</f>
        <v>=LOG10(2500)</v>
      </c>
      <c r="G607" s="4" t="str">
        <f>HYPERLINK("http://141.218.60.56/~jnz1568/getInfo.php?workbook=01_01.xlsx&amp;sheet=U0&amp;row=607&amp;col=7&amp;number=71.51&amp;sourceID=16","71.51")</f>
        <v>71.51</v>
      </c>
      <c r="H607" s="4" t="str">
        <f>HYPERLINK("http://141.218.60.56/~jnz1568/getInfo.php?workbook=01_01.xlsx&amp;sheet=U0&amp;row=607&amp;col=8&amp;number=3.764&amp;sourceID=17","3.764")</f>
        <v>3.764</v>
      </c>
      <c r="I607" s="4" t="str">
        <f>HYPERLINK("http://141.218.60.56/~jnz1568/getInfo.php?workbook=01_01.xlsx&amp;sheet=U0&amp;row=607&amp;col=9&amp;number=89.7&amp;sourceID=17","89.7")</f>
        <v>89.7</v>
      </c>
    </row>
    <row r="608" spans="1:9">
      <c r="A608" s="3"/>
      <c r="B608" s="3"/>
      <c r="C608" s="3"/>
      <c r="D608" s="3"/>
      <c r="E608" s="3">
        <v>2</v>
      </c>
      <c r="F608" s="4" t="str">
        <f>HYPERLINK("http://141.218.60.56/~jnz1568/getInfo.php?workbook=01_01.xlsx&amp;sheet=U0&amp;row=608&amp;col=6&amp;number=3.699&amp;sourceID=16","3.699")</f>
        <v>3.699</v>
      </c>
      <c r="G608" s="4" t="str">
        <f>HYPERLINK("http://141.218.60.56/~jnz1568/getInfo.php?workbook=01_01.xlsx&amp;sheet=U0&amp;row=608&amp;col=7&amp;number=120.2&amp;sourceID=16","120.2")</f>
        <v>120.2</v>
      </c>
      <c r="H608" s="4" t="str">
        <f>HYPERLINK("http://141.218.60.56/~jnz1568/getInfo.php?workbook=01_01.xlsx&amp;sheet=U0&amp;row=608&amp;col=8&amp;number=4.064&amp;sourceID=17","4.064")</f>
        <v>4.064</v>
      </c>
      <c r="I608" s="4" t="str">
        <f>HYPERLINK("http://141.218.60.56/~jnz1568/getInfo.php?workbook=01_01.xlsx&amp;sheet=U0&amp;row=608&amp;col=9&amp;number=159&amp;sourceID=17","159")</f>
        <v>159</v>
      </c>
    </row>
    <row r="609" spans="1:9">
      <c r="A609" s="3"/>
      <c r="B609" s="3"/>
      <c r="C609" s="3"/>
      <c r="D609" s="3"/>
      <c r="E609" s="3">
        <v>3</v>
      </c>
      <c r="F609" s="4" t="str">
        <f>HYPERLINK("http://141.218.60.56/~jnz1568/getInfo.php?workbook=01_01.xlsx&amp;sheet=U0&amp;row=609&amp;col=6&amp;number=3.875&amp;sourceID=16","3.875")</f>
        <v>3.875</v>
      </c>
      <c r="G609" s="4" t="str">
        <f>HYPERLINK("http://141.218.60.56/~jnz1568/getInfo.php?workbook=01_01.xlsx&amp;sheet=U0&amp;row=609&amp;col=7&amp;number=163.7&amp;sourceID=16","163.7")</f>
        <v>163.7</v>
      </c>
      <c r="H609" s="4" t="str">
        <f>HYPERLINK("http://141.218.60.56/~jnz1568/getInfo.php?workbook=01_01.xlsx&amp;sheet=U0&amp;row=609&amp;col=8&amp;number=4.542&amp;sourceID=17","4.542")</f>
        <v>4.542</v>
      </c>
      <c r="I609" s="4" t="str">
        <f>HYPERLINK("http://141.218.60.56/~jnz1568/getInfo.php?workbook=01_01.xlsx&amp;sheet=U0&amp;row=609&amp;col=9&amp;number=335&amp;sourceID=17","335")</f>
        <v>335</v>
      </c>
    </row>
    <row r="610" spans="1:9">
      <c r="A610" s="3"/>
      <c r="B610" s="3"/>
      <c r="C610" s="3"/>
      <c r="D610" s="3"/>
      <c r="E610" s="3">
        <v>4</v>
      </c>
      <c r="F610" s="4" t="str">
        <f>HYPERLINK("http://141.218.60.56/~jnz1568/getInfo.php?workbook=01_01.xlsx&amp;sheet=U0&amp;row=610&amp;col=6&amp;number=4&amp;sourceID=16","4")</f>
        <v>4</v>
      </c>
      <c r="G610" s="4" t="str">
        <f>HYPERLINK("http://141.218.60.56/~jnz1568/getInfo.php?workbook=01_01.xlsx&amp;sheet=U0&amp;row=610&amp;col=7&amp;number=205.1&amp;sourceID=16","205.1")</f>
        <v>205.1</v>
      </c>
      <c r="H610" s="4" t="str">
        <f>HYPERLINK("http://141.218.60.56/~jnz1568/getInfo.php?workbook=01_01.xlsx&amp;sheet=U0&amp;row=610&amp;col=8&amp;number=4.764&amp;sourceID=17","4.764")</f>
        <v>4.764</v>
      </c>
      <c r="I610" s="4" t="str">
        <f>HYPERLINK("http://141.218.60.56/~jnz1568/getInfo.php?workbook=01_01.xlsx&amp;sheet=U0&amp;row=610&amp;col=9&amp;number=418&amp;sourceID=17","418")</f>
        <v>418</v>
      </c>
    </row>
    <row r="611" spans="1:9">
      <c r="A611" s="3"/>
      <c r="B611" s="3"/>
      <c r="C611" s="3"/>
      <c r="D611" s="3"/>
      <c r="E611" s="3">
        <v>5</v>
      </c>
      <c r="F611" s="4" t="str">
        <f>HYPERLINK("http://141.218.60.56/~jnz1568/getInfo.php?workbook=01_01.xlsx&amp;sheet=U0&amp;row=611&amp;col=6&amp;number=4.176&amp;sourceID=16","4.176")</f>
        <v>4.176</v>
      </c>
      <c r="G611" s="4" t="str">
        <f>HYPERLINK("http://141.218.60.56/~jnz1568/getInfo.php?workbook=01_01.xlsx&amp;sheet=U0&amp;row=611&amp;col=7&amp;number=280.4&amp;sourceID=16","280.4")</f>
        <v>280.4</v>
      </c>
      <c r="H611" s="4" t="str">
        <f>HYPERLINK("http://141.218.60.56/~jnz1568/getInfo.php?workbook=01_01.xlsx&amp;sheet=U0&amp;row=611&amp;col=8&amp;number=5.064&amp;sourceID=17","5.064")</f>
        <v>5.064</v>
      </c>
      <c r="I611" s="4" t="str">
        <f>HYPERLINK("http://141.218.60.56/~jnz1568/getInfo.php?workbook=01_01.xlsx&amp;sheet=U0&amp;row=611&amp;col=9&amp;number=510&amp;sourceID=17","510")</f>
        <v>510</v>
      </c>
    </row>
    <row r="612" spans="1:9">
      <c r="A612" s="3"/>
      <c r="B612" s="3"/>
      <c r="C612" s="3"/>
      <c r="D612" s="3"/>
      <c r="E612" s="3">
        <v>6</v>
      </c>
      <c r="F612" s="4" t="str">
        <f>HYPERLINK("http://141.218.60.56/~jnz1568/getInfo.php?workbook=01_01.xlsx&amp;sheet=U0&amp;row=612&amp;col=6&amp;number=4.301&amp;sourceID=16","4.301")</f>
        <v>4.301</v>
      </c>
      <c r="G612" s="4" t="str">
        <f>HYPERLINK("http://141.218.60.56/~jnz1568/getInfo.php?workbook=01_01.xlsx&amp;sheet=U0&amp;row=612&amp;col=7&amp;number=347&amp;sourceID=16","347")</f>
        <v>347</v>
      </c>
      <c r="H612" s="4" t="str">
        <f>HYPERLINK("http://141.218.60.56/~jnz1568/getInfo.php?workbook=01_01.xlsx&amp;sheet=U0&amp;row=612&amp;col=8&amp;number=5.241&amp;sourceID=17","5.241")</f>
        <v>5.241</v>
      </c>
      <c r="I612" s="4" t="str">
        <f>HYPERLINK("http://141.218.60.56/~jnz1568/getInfo.php?workbook=01_01.xlsx&amp;sheet=U0&amp;row=612&amp;col=9&amp;number=553&amp;sourceID=17","553")</f>
        <v>553</v>
      </c>
    </row>
    <row r="613" spans="1:9">
      <c r="A613" s="3"/>
      <c r="B613" s="3"/>
      <c r="C613" s="3"/>
      <c r="D613" s="3"/>
      <c r="E613" s="3">
        <v>7</v>
      </c>
      <c r="F613" s="4" t="str">
        <f>HYPERLINK("http://141.218.60.56/~jnz1568/getInfo.php?workbook=01_01.xlsx&amp;sheet=U0&amp;row=613&amp;col=6&amp;number=4.477&amp;sourceID=16","4.477")</f>
        <v>4.477</v>
      </c>
      <c r="G613" s="4" t="str">
        <f>HYPERLINK("http://141.218.60.56/~jnz1568/getInfo.php?workbook=01_01.xlsx&amp;sheet=U0&amp;row=613&amp;col=7&amp;number=460.8&amp;sourceID=16","460.8")</f>
        <v>460.8</v>
      </c>
      <c r="H613" s="4" t="str">
        <f>HYPERLINK("http://141.218.60.56/~jnz1568/getInfo.php?workbook=01_01.xlsx&amp;sheet=U0&amp;row=613&amp;col=8&amp;number=5.366&amp;sourceID=17","5.366")</f>
        <v>5.366</v>
      </c>
      <c r="I613" s="4" t="str">
        <f>HYPERLINK("http://141.218.60.56/~jnz1568/getInfo.php?workbook=01_01.xlsx&amp;sheet=U0&amp;row=613&amp;col=9&amp;number=578&amp;sourceID=17","578")</f>
        <v>578</v>
      </c>
    </row>
    <row r="614" spans="1:9">
      <c r="A614" s="3"/>
      <c r="B614" s="3"/>
      <c r="C614" s="3"/>
      <c r="D614" s="3"/>
      <c r="E614" s="3">
        <v>8</v>
      </c>
      <c r="F614" s="4" t="str">
        <f>HYPERLINK("http://141.218.60.56/~jnz1568/getInfo.php?workbook=01_01.xlsx&amp;sheet=U0&amp;row=614&amp;col=6&amp;number=4.602&amp;sourceID=16","4.602")</f>
        <v>4.602</v>
      </c>
      <c r="G614" s="4" t="str">
        <f>HYPERLINK("http://141.218.60.56/~jnz1568/getInfo.php?workbook=01_01.xlsx&amp;sheet=U0&amp;row=614&amp;col=7&amp;number=554&amp;sourceID=16","554")</f>
        <v>554</v>
      </c>
      <c r="H614" s="4" t="str">
        <f>HYPERLINK("http://141.218.60.56/~jnz1568/getInfo.php?workbook=01_01.xlsx&amp;sheet=U0&amp;row=614&amp;col=8&amp;number=5.463&amp;sourceID=17","5.463")</f>
        <v>5.463</v>
      </c>
      <c r="I614" s="4" t="str">
        <f>HYPERLINK("http://141.218.60.56/~jnz1568/getInfo.php?workbook=01_01.xlsx&amp;sheet=U0&amp;row=614&amp;col=9&amp;number=596&amp;sourceID=17","596")</f>
        <v>596</v>
      </c>
    </row>
    <row r="615" spans="1:9">
      <c r="A615" s="3"/>
      <c r="B615" s="3"/>
      <c r="C615" s="3"/>
      <c r="D615" s="3"/>
      <c r="E615" s="3">
        <v>9</v>
      </c>
      <c r="F615" s="4" t="str">
        <f>HYPERLINK("http://141.218.60.56/~jnz1568/getInfo.php?workbook=01_01.xlsx&amp;sheet=U0&amp;row=615&amp;col=6&amp;number=4.699&amp;sourceID=16","4.699")</f>
        <v>4.699</v>
      </c>
      <c r="G615" s="4" t="str">
        <f>HYPERLINK("http://141.218.60.56/~jnz1568/getInfo.php?workbook=01_01.xlsx&amp;sheet=U0&amp;row=615&amp;col=7&amp;number=635&amp;sourceID=16","635")</f>
        <v>635</v>
      </c>
      <c r="H615" s="4" t="str">
        <f>HYPERLINK("http://141.218.60.56/~jnz1568/getInfo.php?workbook=01_01.xlsx&amp;sheet=U0&amp;row=615&amp;col=8&amp;number=&amp;sourceID=17","")</f>
        <v/>
      </c>
      <c r="I615" s="4" t="str">
        <f>HYPERLINK("http://141.218.60.56/~jnz1568/getInfo.php?workbook=01_01.xlsx&amp;sheet=U0&amp;row=615&amp;col=9&amp;number=&amp;sourceID=17","")</f>
        <v/>
      </c>
    </row>
    <row r="616" spans="1:9">
      <c r="A616" s="3">
        <v>1</v>
      </c>
      <c r="B616" s="3">
        <v>1</v>
      </c>
      <c r="C616" s="3">
        <v>13</v>
      </c>
      <c r="D616" s="3">
        <v>10</v>
      </c>
      <c r="E616" s="3">
        <v>1</v>
      </c>
      <c r="F616" s="4" t="str">
        <f>HYPERLINK("http://141.218.60.56/~jnz1568/getInfo.php?workbook=01_01.xlsx&amp;sheet=U0&amp;row=616&amp;col=6&amp;number==LOG10(2500)&amp;sourceID=16","=LOG10(2500)")</f>
        <v>=LOG10(2500)</v>
      </c>
      <c r="G616" s="4" t="str">
        <f>HYPERLINK("http://141.218.60.56/~jnz1568/getInfo.php?workbook=01_01.xlsx&amp;sheet=U0&amp;row=616&amp;col=7&amp;number=69.46&amp;sourceID=16","69.46")</f>
        <v>69.46</v>
      </c>
      <c r="H616" s="4" t="str">
        <f>HYPERLINK("http://141.218.60.56/~jnz1568/getInfo.php?workbook=01_01.xlsx&amp;sheet=U0&amp;row=616&amp;col=8&amp;number=3.764&amp;sourceID=17","3.764")</f>
        <v>3.764</v>
      </c>
      <c r="I616" s="4" t="str">
        <f>HYPERLINK("http://141.218.60.56/~jnz1568/getInfo.php?workbook=01_01.xlsx&amp;sheet=U0&amp;row=616&amp;col=9&amp;number=75.1&amp;sourceID=17","75.1")</f>
        <v>75.1</v>
      </c>
    </row>
    <row r="617" spans="1:9">
      <c r="A617" s="3"/>
      <c r="B617" s="3"/>
      <c r="C617" s="3"/>
      <c r="D617" s="3"/>
      <c r="E617" s="3">
        <v>2</v>
      </c>
      <c r="F617" s="4" t="str">
        <f>HYPERLINK("http://141.218.60.56/~jnz1568/getInfo.php?workbook=01_01.xlsx&amp;sheet=U0&amp;row=617&amp;col=6&amp;number=3.699&amp;sourceID=16","3.699")</f>
        <v>3.699</v>
      </c>
      <c r="G617" s="4" t="str">
        <f>HYPERLINK("http://141.218.60.56/~jnz1568/getInfo.php?workbook=01_01.xlsx&amp;sheet=U0&amp;row=617&amp;col=7&amp;number=105.3&amp;sourceID=16","105.3")</f>
        <v>105.3</v>
      </c>
      <c r="H617" s="4" t="str">
        <f>HYPERLINK("http://141.218.60.56/~jnz1568/getInfo.php?workbook=01_01.xlsx&amp;sheet=U0&amp;row=617&amp;col=8&amp;number=4.064&amp;sourceID=17","4.064")</f>
        <v>4.064</v>
      </c>
      <c r="I617" s="4" t="str">
        <f>HYPERLINK("http://141.218.60.56/~jnz1568/getInfo.php?workbook=01_01.xlsx&amp;sheet=U0&amp;row=617&amp;col=9&amp;number=103&amp;sourceID=17","103")</f>
        <v>103</v>
      </c>
    </row>
    <row r="618" spans="1:9">
      <c r="A618" s="3"/>
      <c r="B618" s="3"/>
      <c r="C618" s="3"/>
      <c r="D618" s="3"/>
      <c r="E618" s="3">
        <v>3</v>
      </c>
      <c r="F618" s="4" t="str">
        <f>HYPERLINK("http://141.218.60.56/~jnz1568/getInfo.php?workbook=01_01.xlsx&amp;sheet=U0&amp;row=618&amp;col=6&amp;number=3.875&amp;sourceID=16","3.875")</f>
        <v>3.875</v>
      </c>
      <c r="G618" s="4" t="str">
        <f>HYPERLINK("http://141.218.60.56/~jnz1568/getInfo.php?workbook=01_01.xlsx&amp;sheet=U0&amp;row=618&amp;col=7&amp;number=127.3&amp;sourceID=16","127.3")</f>
        <v>127.3</v>
      </c>
      <c r="H618" s="4" t="str">
        <f>HYPERLINK("http://141.218.60.56/~jnz1568/getInfo.php?workbook=01_01.xlsx&amp;sheet=U0&amp;row=618&amp;col=8&amp;number=4.542&amp;sourceID=17","4.542")</f>
        <v>4.542</v>
      </c>
      <c r="I618" s="4" t="str">
        <f>HYPERLINK("http://141.218.60.56/~jnz1568/getInfo.php?workbook=01_01.xlsx&amp;sheet=U0&amp;row=618&amp;col=9&amp;number=132&amp;sourceID=17","132")</f>
        <v>132</v>
      </c>
    </row>
    <row r="619" spans="1:9">
      <c r="A619" s="3"/>
      <c r="B619" s="3"/>
      <c r="C619" s="3"/>
      <c r="D619" s="3"/>
      <c r="E619" s="3">
        <v>4</v>
      </c>
      <c r="F619" s="4" t="str">
        <f>HYPERLINK("http://141.218.60.56/~jnz1568/getInfo.php?workbook=01_01.xlsx&amp;sheet=U0&amp;row=619&amp;col=6&amp;number=4&amp;sourceID=16","4")</f>
        <v>4</v>
      </c>
      <c r="G619" s="4" t="str">
        <f>HYPERLINK("http://141.218.60.56/~jnz1568/getInfo.php?workbook=01_01.xlsx&amp;sheet=U0&amp;row=619&amp;col=7&amp;number=143.3&amp;sourceID=16","143.3")</f>
        <v>143.3</v>
      </c>
      <c r="H619" s="4" t="str">
        <f>HYPERLINK("http://141.218.60.56/~jnz1568/getInfo.php?workbook=01_01.xlsx&amp;sheet=U0&amp;row=619&amp;col=8&amp;number=4.764&amp;sourceID=17","4.764")</f>
        <v>4.764</v>
      </c>
      <c r="I619" s="4" t="str">
        <f>HYPERLINK("http://141.218.60.56/~jnz1568/getInfo.php?workbook=01_01.xlsx&amp;sheet=U0&amp;row=619&amp;col=9&amp;number=132&amp;sourceID=17","132")</f>
        <v>132</v>
      </c>
    </row>
    <row r="620" spans="1:9">
      <c r="A620" s="3"/>
      <c r="B620" s="3"/>
      <c r="C620" s="3"/>
      <c r="D620" s="3"/>
      <c r="E620" s="3">
        <v>5</v>
      </c>
      <c r="F620" s="4" t="str">
        <f>HYPERLINK("http://141.218.60.56/~jnz1568/getInfo.php?workbook=01_01.xlsx&amp;sheet=U0&amp;row=620&amp;col=6&amp;number=4.176&amp;sourceID=16","4.176")</f>
        <v>4.176</v>
      </c>
      <c r="G620" s="4" t="str">
        <f>HYPERLINK("http://141.218.60.56/~jnz1568/getInfo.php?workbook=01_01.xlsx&amp;sheet=U0&amp;row=620&amp;col=7&amp;number=164.8&amp;sourceID=16","164.8")</f>
        <v>164.8</v>
      </c>
      <c r="H620" s="4" t="str">
        <f>HYPERLINK("http://141.218.60.56/~jnz1568/getInfo.php?workbook=01_01.xlsx&amp;sheet=U0&amp;row=620&amp;col=8&amp;number=5.064&amp;sourceID=17","5.064")</f>
        <v>5.064</v>
      </c>
      <c r="I620" s="4" t="str">
        <f>HYPERLINK("http://141.218.60.56/~jnz1568/getInfo.php?workbook=01_01.xlsx&amp;sheet=U0&amp;row=620&amp;col=9&amp;number=126&amp;sourceID=17","126")</f>
        <v>126</v>
      </c>
    </row>
    <row r="621" spans="1:9">
      <c r="A621" s="3"/>
      <c r="B621" s="3"/>
      <c r="C621" s="3"/>
      <c r="D621" s="3"/>
      <c r="E621" s="3">
        <v>6</v>
      </c>
      <c r="F621" s="4" t="str">
        <f>HYPERLINK("http://141.218.60.56/~jnz1568/getInfo.php?workbook=01_01.xlsx&amp;sheet=U0&amp;row=621&amp;col=6&amp;number=4.301&amp;sourceID=16","4.301")</f>
        <v>4.301</v>
      </c>
      <c r="G621" s="4" t="str">
        <f>HYPERLINK("http://141.218.60.56/~jnz1568/getInfo.php?workbook=01_01.xlsx&amp;sheet=U0&amp;row=621&amp;col=7&amp;number=182.4&amp;sourceID=16","182.4")</f>
        <v>182.4</v>
      </c>
      <c r="H621" s="4" t="str">
        <f>HYPERLINK("http://141.218.60.56/~jnz1568/getInfo.php?workbook=01_01.xlsx&amp;sheet=U0&amp;row=621&amp;col=8&amp;number=5.241&amp;sourceID=17","5.241")</f>
        <v>5.241</v>
      </c>
      <c r="I621" s="4" t="str">
        <f>HYPERLINK("http://141.218.60.56/~jnz1568/getInfo.php?workbook=01_01.xlsx&amp;sheet=U0&amp;row=621&amp;col=9&amp;number=122&amp;sourceID=17","122")</f>
        <v>122</v>
      </c>
    </row>
    <row r="622" spans="1:9">
      <c r="A622" s="3"/>
      <c r="B622" s="3"/>
      <c r="C622" s="3"/>
      <c r="D622" s="3"/>
      <c r="E622" s="3">
        <v>7</v>
      </c>
      <c r="F622" s="4" t="str">
        <f>HYPERLINK("http://141.218.60.56/~jnz1568/getInfo.php?workbook=01_01.xlsx&amp;sheet=U0&amp;row=622&amp;col=6&amp;number=4.477&amp;sourceID=16","4.477")</f>
        <v>4.477</v>
      </c>
      <c r="G622" s="4" t="str">
        <f>HYPERLINK("http://141.218.60.56/~jnz1568/getInfo.php?workbook=01_01.xlsx&amp;sheet=U0&amp;row=622&amp;col=7&amp;number=202.8&amp;sourceID=16","202.8")</f>
        <v>202.8</v>
      </c>
      <c r="H622" s="4" t="str">
        <f>HYPERLINK("http://141.218.60.56/~jnz1568/getInfo.php?workbook=01_01.xlsx&amp;sheet=U0&amp;row=622&amp;col=8&amp;number=5.366&amp;sourceID=17","5.366")</f>
        <v>5.366</v>
      </c>
      <c r="I622" s="4" t="str">
        <f>HYPERLINK("http://141.218.60.56/~jnz1568/getInfo.php?workbook=01_01.xlsx&amp;sheet=U0&amp;row=622&amp;col=9&amp;number=122&amp;sourceID=17","122")</f>
        <v>122</v>
      </c>
    </row>
    <row r="623" spans="1:9">
      <c r="A623" s="3"/>
      <c r="B623" s="3"/>
      <c r="C623" s="3"/>
      <c r="D623" s="3"/>
      <c r="E623" s="3">
        <v>8</v>
      </c>
      <c r="F623" s="4" t="str">
        <f>HYPERLINK("http://141.218.60.56/~jnz1568/getInfo.php?workbook=01_01.xlsx&amp;sheet=U0&amp;row=623&amp;col=6&amp;number=4.602&amp;sourceID=16","4.602")</f>
        <v>4.602</v>
      </c>
      <c r="G623" s="4" t="str">
        <f>HYPERLINK("http://141.218.60.56/~jnz1568/getInfo.php?workbook=01_01.xlsx&amp;sheet=U0&amp;row=623&amp;col=7&amp;number=214.3&amp;sourceID=16","214.3")</f>
        <v>214.3</v>
      </c>
      <c r="H623" s="4" t="str">
        <f>HYPERLINK("http://141.218.60.56/~jnz1568/getInfo.php?workbook=01_01.xlsx&amp;sheet=U0&amp;row=623&amp;col=8&amp;number=5.463&amp;sourceID=17","5.463")</f>
        <v>5.463</v>
      </c>
      <c r="I623" s="4" t="str">
        <f>HYPERLINK("http://141.218.60.56/~jnz1568/getInfo.php?workbook=01_01.xlsx&amp;sheet=U0&amp;row=623&amp;col=9&amp;number=122&amp;sourceID=17","122")</f>
        <v>122</v>
      </c>
    </row>
    <row r="624" spans="1:9">
      <c r="A624" s="3"/>
      <c r="B624" s="3"/>
      <c r="C624" s="3"/>
      <c r="D624" s="3"/>
      <c r="E624" s="3">
        <v>9</v>
      </c>
      <c r="F624" s="4" t="str">
        <f>HYPERLINK("http://141.218.60.56/~jnz1568/getInfo.php?workbook=01_01.xlsx&amp;sheet=U0&amp;row=624&amp;col=6&amp;number=4.699&amp;sourceID=16","4.699")</f>
        <v>4.699</v>
      </c>
      <c r="G624" s="4" t="str">
        <f>HYPERLINK("http://141.218.60.56/~jnz1568/getInfo.php?workbook=01_01.xlsx&amp;sheet=U0&amp;row=624&amp;col=7&amp;number=200.7&amp;sourceID=16","200.7")</f>
        <v>200.7</v>
      </c>
      <c r="H624" s="4" t="str">
        <f>HYPERLINK("http://141.218.60.56/~jnz1568/getInfo.php?workbook=01_01.xlsx&amp;sheet=U0&amp;row=624&amp;col=8&amp;number=&amp;sourceID=17","")</f>
        <v/>
      </c>
      <c r="I624" s="4" t="str">
        <f>HYPERLINK("http://141.218.60.56/~jnz1568/getInfo.php?workbook=01_01.xlsx&amp;sheet=U0&amp;row=624&amp;col=9&amp;number=&amp;sourceID=17","")</f>
        <v/>
      </c>
    </row>
    <row r="625" spans="1:9">
      <c r="A625" s="3">
        <v>1</v>
      </c>
      <c r="B625" s="3">
        <v>1</v>
      </c>
      <c r="C625" s="3">
        <v>13</v>
      </c>
      <c r="D625" s="3">
        <v>11</v>
      </c>
      <c r="E625" s="3">
        <v>1</v>
      </c>
      <c r="F625" s="4" t="str">
        <f>HYPERLINK("http://141.218.60.56/~jnz1568/getInfo.php?workbook=01_01.xlsx&amp;sheet=U0&amp;row=625&amp;col=6&amp;number==LOG10(2500)&amp;sourceID=16","=LOG10(2500)")</f>
        <v>=LOG10(2500)</v>
      </c>
      <c r="G625" s="4" t="str">
        <f>HYPERLINK("http://141.218.60.56/~jnz1568/getInfo.php?workbook=01_01.xlsx&amp;sheet=U0&amp;row=625&amp;col=7&amp;number=1364&amp;sourceID=16","1364")</f>
        <v>1364</v>
      </c>
      <c r="H625" s="4" t="str">
        <f>HYPERLINK("http://141.218.60.56/~jnz1568/getInfo.php?workbook=01_01.xlsx&amp;sheet=U0&amp;row=625&amp;col=8&amp;number=&amp;sourceID=17","")</f>
        <v/>
      </c>
      <c r="I625" s="4" t="str">
        <f>HYPERLINK("http://141.218.60.56/~jnz1568/getInfo.php?workbook=01_01.xlsx&amp;sheet=U0&amp;row=625&amp;col=9&amp;number=&amp;sourceID=17","")</f>
        <v/>
      </c>
    </row>
    <row r="626" spans="1:9">
      <c r="A626" s="3"/>
      <c r="B626" s="3"/>
      <c r="C626" s="3"/>
      <c r="D626" s="3"/>
      <c r="E626" s="3">
        <v>2</v>
      </c>
      <c r="F626" s="4" t="str">
        <f>HYPERLINK("http://141.218.60.56/~jnz1568/getInfo.php?workbook=01_01.xlsx&amp;sheet=U0&amp;row=626&amp;col=6&amp;number=3.699&amp;sourceID=16","3.699")</f>
        <v>3.699</v>
      </c>
      <c r="G626" s="4" t="str">
        <f>HYPERLINK("http://141.218.60.56/~jnz1568/getInfo.php?workbook=01_01.xlsx&amp;sheet=U0&amp;row=626&amp;col=7&amp;number=1434&amp;sourceID=16","1434")</f>
        <v>1434</v>
      </c>
      <c r="H626" s="4" t="str">
        <f>HYPERLINK("http://141.218.60.56/~jnz1568/getInfo.php?workbook=01_01.xlsx&amp;sheet=U0&amp;row=626&amp;col=8&amp;number=&amp;sourceID=17","")</f>
        <v/>
      </c>
      <c r="I626" s="4" t="str">
        <f>HYPERLINK("http://141.218.60.56/~jnz1568/getInfo.php?workbook=01_01.xlsx&amp;sheet=U0&amp;row=626&amp;col=9&amp;number=&amp;sourceID=17","")</f>
        <v/>
      </c>
    </row>
    <row r="627" spans="1:9">
      <c r="A627" s="3"/>
      <c r="B627" s="3"/>
      <c r="C627" s="3"/>
      <c r="D627" s="3"/>
      <c r="E627" s="3">
        <v>3</v>
      </c>
      <c r="F627" s="4" t="str">
        <f>HYPERLINK("http://141.218.60.56/~jnz1568/getInfo.php?workbook=01_01.xlsx&amp;sheet=U0&amp;row=627&amp;col=6&amp;number=3.875&amp;sourceID=16","3.875")</f>
        <v>3.875</v>
      </c>
      <c r="G627" s="4" t="str">
        <f>HYPERLINK("http://141.218.60.56/~jnz1568/getInfo.php?workbook=01_01.xlsx&amp;sheet=U0&amp;row=627&amp;col=7&amp;number=1436&amp;sourceID=16","1436")</f>
        <v>1436</v>
      </c>
      <c r="H627" s="4" t="str">
        <f>HYPERLINK("http://141.218.60.56/~jnz1568/getInfo.php?workbook=01_01.xlsx&amp;sheet=U0&amp;row=627&amp;col=8&amp;number=&amp;sourceID=17","")</f>
        <v/>
      </c>
      <c r="I627" s="4" t="str">
        <f>HYPERLINK("http://141.218.60.56/~jnz1568/getInfo.php?workbook=01_01.xlsx&amp;sheet=U0&amp;row=627&amp;col=9&amp;number=&amp;sourceID=17","")</f>
        <v/>
      </c>
    </row>
    <row r="628" spans="1:9">
      <c r="A628" s="3"/>
      <c r="B628" s="3"/>
      <c r="C628" s="3"/>
      <c r="D628" s="3"/>
      <c r="E628" s="3">
        <v>4</v>
      </c>
      <c r="F628" s="4" t="str">
        <f>HYPERLINK("http://141.218.60.56/~jnz1568/getInfo.php?workbook=01_01.xlsx&amp;sheet=U0&amp;row=628&amp;col=6&amp;number=4&amp;sourceID=16","4")</f>
        <v>4</v>
      </c>
      <c r="G628" s="4" t="str">
        <f>HYPERLINK("http://141.218.60.56/~jnz1568/getInfo.php?workbook=01_01.xlsx&amp;sheet=U0&amp;row=628&amp;col=7&amp;number=1433&amp;sourceID=16","1433")</f>
        <v>1433</v>
      </c>
      <c r="H628" s="4" t="str">
        <f>HYPERLINK("http://141.218.60.56/~jnz1568/getInfo.php?workbook=01_01.xlsx&amp;sheet=U0&amp;row=628&amp;col=8&amp;number=&amp;sourceID=17","")</f>
        <v/>
      </c>
      <c r="I628" s="4" t="str">
        <f>HYPERLINK("http://141.218.60.56/~jnz1568/getInfo.php?workbook=01_01.xlsx&amp;sheet=U0&amp;row=628&amp;col=9&amp;number=&amp;sourceID=17","")</f>
        <v/>
      </c>
    </row>
    <row r="629" spans="1:9">
      <c r="A629" s="3"/>
      <c r="B629" s="3"/>
      <c r="C629" s="3"/>
      <c r="D629" s="3"/>
      <c r="E629" s="3">
        <v>5</v>
      </c>
      <c r="F629" s="4" t="str">
        <f>HYPERLINK("http://141.218.60.56/~jnz1568/getInfo.php?workbook=01_01.xlsx&amp;sheet=U0&amp;row=629&amp;col=6&amp;number=4.176&amp;sourceID=16","4.176")</f>
        <v>4.176</v>
      </c>
      <c r="G629" s="4" t="str">
        <f>HYPERLINK("http://141.218.60.56/~jnz1568/getInfo.php?workbook=01_01.xlsx&amp;sheet=U0&amp;row=629&amp;col=7&amp;number=1426&amp;sourceID=16","1426")</f>
        <v>1426</v>
      </c>
      <c r="H629" s="4" t="str">
        <f>HYPERLINK("http://141.218.60.56/~jnz1568/getInfo.php?workbook=01_01.xlsx&amp;sheet=U0&amp;row=629&amp;col=8&amp;number=&amp;sourceID=17","")</f>
        <v/>
      </c>
      <c r="I629" s="4" t="str">
        <f>HYPERLINK("http://141.218.60.56/~jnz1568/getInfo.php?workbook=01_01.xlsx&amp;sheet=U0&amp;row=629&amp;col=9&amp;number=&amp;sourceID=17","")</f>
        <v/>
      </c>
    </row>
    <row r="630" spans="1:9">
      <c r="A630" s="3"/>
      <c r="B630" s="3"/>
      <c r="C630" s="3"/>
      <c r="D630" s="3"/>
      <c r="E630" s="3">
        <v>6</v>
      </c>
      <c r="F630" s="4" t="str">
        <f>HYPERLINK("http://141.218.60.56/~jnz1568/getInfo.php?workbook=01_01.xlsx&amp;sheet=U0&amp;row=630&amp;col=6&amp;number=4.301&amp;sourceID=16","4.301")</f>
        <v>4.301</v>
      </c>
      <c r="G630" s="4" t="str">
        <f>HYPERLINK("http://141.218.60.56/~jnz1568/getInfo.php?workbook=01_01.xlsx&amp;sheet=U0&amp;row=630&amp;col=7&amp;number=1419&amp;sourceID=16","1419")</f>
        <v>1419</v>
      </c>
      <c r="H630" s="4" t="str">
        <f>HYPERLINK("http://141.218.60.56/~jnz1568/getInfo.php?workbook=01_01.xlsx&amp;sheet=U0&amp;row=630&amp;col=8&amp;number=&amp;sourceID=17","")</f>
        <v/>
      </c>
      <c r="I630" s="4" t="str">
        <f>HYPERLINK("http://141.218.60.56/~jnz1568/getInfo.php?workbook=01_01.xlsx&amp;sheet=U0&amp;row=630&amp;col=9&amp;number=&amp;sourceID=17","")</f>
        <v/>
      </c>
    </row>
    <row r="631" spans="1:9">
      <c r="A631" s="3"/>
      <c r="B631" s="3"/>
      <c r="C631" s="3"/>
      <c r="D631" s="3"/>
      <c r="E631" s="3">
        <v>7</v>
      </c>
      <c r="F631" s="4" t="str">
        <f>HYPERLINK("http://141.218.60.56/~jnz1568/getInfo.php?workbook=01_01.xlsx&amp;sheet=U0&amp;row=631&amp;col=6&amp;number=4.477&amp;sourceID=16","4.477")</f>
        <v>4.477</v>
      </c>
      <c r="G631" s="4" t="str">
        <f>HYPERLINK("http://141.218.60.56/~jnz1568/getInfo.php?workbook=01_01.xlsx&amp;sheet=U0&amp;row=631&amp;col=7&amp;number=1406&amp;sourceID=16","1406")</f>
        <v>1406</v>
      </c>
      <c r="H631" s="4" t="str">
        <f>HYPERLINK("http://141.218.60.56/~jnz1568/getInfo.php?workbook=01_01.xlsx&amp;sheet=U0&amp;row=631&amp;col=8&amp;number=&amp;sourceID=17","")</f>
        <v/>
      </c>
      <c r="I631" s="4" t="str">
        <f>HYPERLINK("http://141.218.60.56/~jnz1568/getInfo.php?workbook=01_01.xlsx&amp;sheet=U0&amp;row=631&amp;col=9&amp;number=&amp;sourceID=17","")</f>
        <v/>
      </c>
    </row>
    <row r="632" spans="1:9">
      <c r="A632" s="3"/>
      <c r="B632" s="3"/>
      <c r="C632" s="3"/>
      <c r="D632" s="3"/>
      <c r="E632" s="3">
        <v>8</v>
      </c>
      <c r="F632" s="4" t="str">
        <f>HYPERLINK("http://141.218.60.56/~jnz1568/getInfo.php?workbook=01_01.xlsx&amp;sheet=U0&amp;row=632&amp;col=6&amp;number=4.602&amp;sourceID=16","4.602")</f>
        <v>4.602</v>
      </c>
      <c r="G632" s="4" t="str">
        <f>HYPERLINK("http://141.218.60.56/~jnz1568/getInfo.php?workbook=01_01.xlsx&amp;sheet=U0&amp;row=632&amp;col=7&amp;number=1394&amp;sourceID=16","1394")</f>
        <v>1394</v>
      </c>
      <c r="H632" s="4" t="str">
        <f>HYPERLINK("http://141.218.60.56/~jnz1568/getInfo.php?workbook=01_01.xlsx&amp;sheet=U0&amp;row=632&amp;col=8&amp;number=&amp;sourceID=17","")</f>
        <v/>
      </c>
      <c r="I632" s="4" t="str">
        <f>HYPERLINK("http://141.218.60.56/~jnz1568/getInfo.php?workbook=01_01.xlsx&amp;sheet=U0&amp;row=632&amp;col=9&amp;number=&amp;sourceID=17","")</f>
        <v/>
      </c>
    </row>
    <row r="633" spans="1:9">
      <c r="A633" s="3"/>
      <c r="B633" s="3"/>
      <c r="C633" s="3"/>
      <c r="D633" s="3"/>
      <c r="E633" s="3">
        <v>9</v>
      </c>
      <c r="F633" s="4" t="str">
        <f>HYPERLINK("http://141.218.60.56/~jnz1568/getInfo.php?workbook=01_01.xlsx&amp;sheet=U0&amp;row=633&amp;col=6&amp;number=4.699&amp;sourceID=16","4.699")</f>
        <v>4.699</v>
      </c>
      <c r="G633" s="4" t="str">
        <f>HYPERLINK("http://141.218.60.56/~jnz1568/getInfo.php?workbook=01_01.xlsx&amp;sheet=U0&amp;row=633&amp;col=7&amp;number=1377&amp;sourceID=16","1377")</f>
        <v>1377</v>
      </c>
      <c r="H633" s="4" t="str">
        <f>HYPERLINK("http://141.218.60.56/~jnz1568/getInfo.php?workbook=01_01.xlsx&amp;sheet=U0&amp;row=633&amp;col=8&amp;number=&amp;sourceID=17","")</f>
        <v/>
      </c>
      <c r="I633" s="4" t="str">
        <f>HYPERLINK("http://141.218.60.56/~jnz1568/getInfo.php?workbook=01_01.xlsx&amp;sheet=U0&amp;row=633&amp;col=9&amp;number=&amp;sourceID=17","")</f>
        <v/>
      </c>
    </row>
    <row r="634" spans="1:9">
      <c r="A634" s="3">
        <v>1</v>
      </c>
      <c r="B634" s="3">
        <v>1</v>
      </c>
      <c r="C634" s="3">
        <v>14</v>
      </c>
      <c r="D634" s="3">
        <v>1</v>
      </c>
      <c r="E634" s="3">
        <v>1</v>
      </c>
      <c r="F634" s="4" t="str">
        <f>HYPERLINK("http://141.218.60.56/~jnz1568/getInfo.php?workbook=01_01.xlsx&amp;sheet=U0&amp;row=634&amp;col=6&amp;number==LOG10(2500)&amp;sourceID=16","=LOG10(2500)")</f>
        <v>=LOG10(2500)</v>
      </c>
      <c r="G634" s="4" t="str">
        <f>HYPERLINK("http://141.218.60.56/~jnz1568/getInfo.php?workbook=01_01.xlsx&amp;sheet=U0&amp;row=634&amp;col=7&amp;number=0.01292&amp;sourceID=16","0.01292")</f>
        <v>0.01292</v>
      </c>
      <c r="H634" s="4" t="str">
        <f>HYPERLINK("http://141.218.60.56/~jnz1568/getInfo.php?workbook=01_01.xlsx&amp;sheet=U0&amp;row=634&amp;col=8&amp;number=3.764&amp;sourceID=17","3.764")</f>
        <v>3.764</v>
      </c>
      <c r="I634" s="4" t="str">
        <f>HYPERLINK("http://141.218.60.56/~jnz1568/getInfo.php?workbook=01_01.xlsx&amp;sheet=U0&amp;row=634&amp;col=9&amp;number=0.00919&amp;sourceID=17","0.00919")</f>
        <v>0.00919</v>
      </c>
    </row>
    <row r="635" spans="1:9">
      <c r="A635" s="3"/>
      <c r="B635" s="3"/>
      <c r="C635" s="3"/>
      <c r="D635" s="3"/>
      <c r="E635" s="3">
        <v>2</v>
      </c>
      <c r="F635" s="4" t="str">
        <f>HYPERLINK("http://141.218.60.56/~jnz1568/getInfo.php?workbook=01_01.xlsx&amp;sheet=U0&amp;row=635&amp;col=6&amp;number=3.699&amp;sourceID=16","3.699")</f>
        <v>3.699</v>
      </c>
      <c r="G635" s="4" t="str">
        <f>HYPERLINK("http://141.218.60.56/~jnz1568/getInfo.php?workbook=01_01.xlsx&amp;sheet=U0&amp;row=635&amp;col=7&amp;number=0.01504&amp;sourceID=16","0.01504")</f>
        <v>0.01504</v>
      </c>
      <c r="H635" s="4" t="str">
        <f>HYPERLINK("http://141.218.60.56/~jnz1568/getInfo.php?workbook=01_01.xlsx&amp;sheet=U0&amp;row=635&amp;col=8&amp;number=4.064&amp;sourceID=17","4.064")</f>
        <v>4.064</v>
      </c>
      <c r="I635" s="4" t="str">
        <f>HYPERLINK("http://141.218.60.56/~jnz1568/getInfo.php?workbook=01_01.xlsx&amp;sheet=U0&amp;row=635&amp;col=9&amp;number=0.00914&amp;sourceID=17","0.00914")</f>
        <v>0.00914</v>
      </c>
    </row>
    <row r="636" spans="1:9">
      <c r="A636" s="3"/>
      <c r="B636" s="3"/>
      <c r="C636" s="3"/>
      <c r="D636" s="3"/>
      <c r="E636" s="3">
        <v>3</v>
      </c>
      <c r="F636" s="4" t="str">
        <f>HYPERLINK("http://141.218.60.56/~jnz1568/getInfo.php?workbook=01_01.xlsx&amp;sheet=U0&amp;row=636&amp;col=6&amp;number=3.875&amp;sourceID=16","3.875")</f>
        <v>3.875</v>
      </c>
      <c r="G636" s="4" t="str">
        <f>HYPERLINK("http://141.218.60.56/~jnz1568/getInfo.php?workbook=01_01.xlsx&amp;sheet=U0&amp;row=636&amp;col=7&amp;number=0.01565&amp;sourceID=16","0.01565")</f>
        <v>0.01565</v>
      </c>
      <c r="H636" s="4" t="str">
        <f>HYPERLINK("http://141.218.60.56/~jnz1568/getInfo.php?workbook=01_01.xlsx&amp;sheet=U0&amp;row=636&amp;col=8&amp;number=4.542&amp;sourceID=17","4.542")</f>
        <v>4.542</v>
      </c>
      <c r="I636" s="4" t="str">
        <f>HYPERLINK("http://141.218.60.56/~jnz1568/getInfo.php?workbook=01_01.xlsx&amp;sheet=U0&amp;row=636&amp;col=9&amp;number=0.00952&amp;sourceID=17","0.00952")</f>
        <v>0.00952</v>
      </c>
    </row>
    <row r="637" spans="1:9">
      <c r="A637" s="3"/>
      <c r="B637" s="3"/>
      <c r="C637" s="3"/>
      <c r="D637" s="3"/>
      <c r="E637" s="3">
        <v>4</v>
      </c>
      <c r="F637" s="4" t="str">
        <f>HYPERLINK("http://141.218.60.56/~jnz1568/getInfo.php?workbook=01_01.xlsx&amp;sheet=U0&amp;row=637&amp;col=6&amp;number=4&amp;sourceID=16","4")</f>
        <v>4</v>
      </c>
      <c r="G637" s="4" t="str">
        <f>HYPERLINK("http://141.218.60.56/~jnz1568/getInfo.php?workbook=01_01.xlsx&amp;sheet=U0&amp;row=637&amp;col=7&amp;number=0.01593&amp;sourceID=16","0.01593")</f>
        <v>0.01593</v>
      </c>
      <c r="H637" s="4" t="str">
        <f>HYPERLINK("http://141.218.60.56/~jnz1568/getInfo.php?workbook=01_01.xlsx&amp;sheet=U0&amp;row=637&amp;col=8&amp;number=4.764&amp;sourceID=17","4.764")</f>
        <v>4.764</v>
      </c>
      <c r="I637" s="4" t="str">
        <f>HYPERLINK("http://141.218.60.56/~jnz1568/getInfo.php?workbook=01_01.xlsx&amp;sheet=U0&amp;row=637&amp;col=9&amp;number=0.00992&amp;sourceID=17","0.00992")</f>
        <v>0.00992</v>
      </c>
    </row>
    <row r="638" spans="1:9">
      <c r="A638" s="3"/>
      <c r="B638" s="3"/>
      <c r="C638" s="3"/>
      <c r="D638" s="3"/>
      <c r="E638" s="3">
        <v>5</v>
      </c>
      <c r="F638" s="4" t="str">
        <f>HYPERLINK("http://141.218.60.56/~jnz1568/getInfo.php?workbook=01_01.xlsx&amp;sheet=U0&amp;row=638&amp;col=6&amp;number=4.176&amp;sourceID=16","4.176")</f>
        <v>4.176</v>
      </c>
      <c r="G638" s="4" t="str">
        <f>HYPERLINK("http://141.218.60.56/~jnz1568/getInfo.php?workbook=01_01.xlsx&amp;sheet=U0&amp;row=638&amp;col=7&amp;number=0.01602&amp;sourceID=16","0.01602")</f>
        <v>0.01602</v>
      </c>
      <c r="H638" s="4" t="str">
        <f>HYPERLINK("http://141.218.60.56/~jnz1568/getInfo.php?workbook=01_01.xlsx&amp;sheet=U0&amp;row=638&amp;col=8&amp;number=5.064&amp;sourceID=17","5.064")</f>
        <v>5.064</v>
      </c>
      <c r="I638" s="4" t="str">
        <f>HYPERLINK("http://141.218.60.56/~jnz1568/getInfo.php?workbook=01_01.xlsx&amp;sheet=U0&amp;row=638&amp;col=9&amp;number=0.0103&amp;sourceID=17","0.0103")</f>
        <v>0.0103</v>
      </c>
    </row>
    <row r="639" spans="1:9">
      <c r="A639" s="3"/>
      <c r="B639" s="3"/>
      <c r="C639" s="3"/>
      <c r="D639" s="3"/>
      <c r="E639" s="3">
        <v>6</v>
      </c>
      <c r="F639" s="4" t="str">
        <f>HYPERLINK("http://141.218.60.56/~jnz1568/getInfo.php?workbook=01_01.xlsx&amp;sheet=U0&amp;row=639&amp;col=6&amp;number=4.301&amp;sourceID=16","4.301")</f>
        <v>4.301</v>
      </c>
      <c r="G639" s="4" t="str">
        <f>HYPERLINK("http://141.218.60.56/~jnz1568/getInfo.php?workbook=01_01.xlsx&amp;sheet=U0&amp;row=639&amp;col=7&amp;number=0.0163&amp;sourceID=16","0.0163")</f>
        <v>0.0163</v>
      </c>
      <c r="H639" s="4" t="str">
        <f>HYPERLINK("http://141.218.60.56/~jnz1568/getInfo.php?workbook=01_01.xlsx&amp;sheet=U0&amp;row=639&amp;col=8&amp;number=5.241&amp;sourceID=17","5.241")</f>
        <v>5.241</v>
      </c>
      <c r="I639" s="4" t="str">
        <f>HYPERLINK("http://141.218.60.56/~jnz1568/getInfo.php?workbook=01_01.xlsx&amp;sheet=U0&amp;row=639&amp;col=9&amp;number=0.0102&amp;sourceID=17","0.0102")</f>
        <v>0.0102</v>
      </c>
    </row>
    <row r="640" spans="1:9">
      <c r="A640" s="3"/>
      <c r="B640" s="3"/>
      <c r="C640" s="3"/>
      <c r="D640" s="3"/>
      <c r="E640" s="3">
        <v>7</v>
      </c>
      <c r="F640" s="4" t="str">
        <f>HYPERLINK("http://141.218.60.56/~jnz1568/getInfo.php?workbook=01_01.xlsx&amp;sheet=U0&amp;row=640&amp;col=6&amp;number=4.477&amp;sourceID=16","4.477")</f>
        <v>4.477</v>
      </c>
      <c r="G640" s="4" t="str">
        <f>HYPERLINK("http://141.218.60.56/~jnz1568/getInfo.php?workbook=01_01.xlsx&amp;sheet=U0&amp;row=640&amp;col=7&amp;number=0.01623&amp;sourceID=16","0.01623")</f>
        <v>0.01623</v>
      </c>
      <c r="H640" s="4" t="str">
        <f>HYPERLINK("http://141.218.60.56/~jnz1568/getInfo.php?workbook=01_01.xlsx&amp;sheet=U0&amp;row=640&amp;col=8&amp;number=5.366&amp;sourceID=17","5.366")</f>
        <v>5.366</v>
      </c>
      <c r="I640" s="4" t="str">
        <f>HYPERLINK("http://141.218.60.56/~jnz1568/getInfo.php?workbook=01_01.xlsx&amp;sheet=U0&amp;row=640&amp;col=9&amp;number=0.00996&amp;sourceID=17","0.00996")</f>
        <v>0.00996</v>
      </c>
    </row>
    <row r="641" spans="1:9">
      <c r="A641" s="3"/>
      <c r="B641" s="3"/>
      <c r="C641" s="3"/>
      <c r="D641" s="3"/>
      <c r="E641" s="3">
        <v>8</v>
      </c>
      <c r="F641" s="4" t="str">
        <f>HYPERLINK("http://141.218.60.56/~jnz1568/getInfo.php?workbook=01_01.xlsx&amp;sheet=U0&amp;row=641&amp;col=6&amp;number=4.602&amp;sourceID=16","4.602")</f>
        <v>4.602</v>
      </c>
      <c r="G641" s="4" t="str">
        <f>HYPERLINK("http://141.218.60.56/~jnz1568/getInfo.php?workbook=01_01.xlsx&amp;sheet=U0&amp;row=641&amp;col=7&amp;number=0.01597&amp;sourceID=16","0.01597")</f>
        <v>0.01597</v>
      </c>
      <c r="H641" s="4" t="str">
        <f>HYPERLINK("http://141.218.60.56/~jnz1568/getInfo.php?workbook=01_01.xlsx&amp;sheet=U0&amp;row=641&amp;col=8&amp;number=5.463&amp;sourceID=17","5.463")</f>
        <v>5.463</v>
      </c>
      <c r="I641" s="4" t="str">
        <f>HYPERLINK("http://141.218.60.56/~jnz1568/getInfo.php?workbook=01_01.xlsx&amp;sheet=U0&amp;row=641&amp;col=9&amp;number=0.00966&amp;sourceID=17","0.00966")</f>
        <v>0.00966</v>
      </c>
    </row>
    <row r="642" spans="1:9">
      <c r="A642" s="3"/>
      <c r="B642" s="3"/>
      <c r="C642" s="3"/>
      <c r="D642" s="3"/>
      <c r="E642" s="3">
        <v>9</v>
      </c>
      <c r="F642" s="4" t="str">
        <f>HYPERLINK("http://141.218.60.56/~jnz1568/getInfo.php?workbook=01_01.xlsx&amp;sheet=U0&amp;row=642&amp;col=6&amp;number=4.699&amp;sourceID=16","4.699")</f>
        <v>4.699</v>
      </c>
      <c r="G642" s="4" t="str">
        <f>HYPERLINK("http://141.218.60.56/~jnz1568/getInfo.php?workbook=01_01.xlsx&amp;sheet=U0&amp;row=642&amp;col=7&amp;number=0.01549&amp;sourceID=16","0.01549")</f>
        <v>0.01549</v>
      </c>
      <c r="H642" s="4" t="str">
        <f>HYPERLINK("http://141.218.60.56/~jnz1568/getInfo.php?workbook=01_01.xlsx&amp;sheet=U0&amp;row=642&amp;col=8&amp;number=&amp;sourceID=17","")</f>
        <v/>
      </c>
      <c r="I642" s="4" t="str">
        <f>HYPERLINK("http://141.218.60.56/~jnz1568/getInfo.php?workbook=01_01.xlsx&amp;sheet=U0&amp;row=642&amp;col=9&amp;number=&amp;sourceID=17","")</f>
        <v/>
      </c>
    </row>
    <row r="643" spans="1:9">
      <c r="A643" s="3">
        <v>1</v>
      </c>
      <c r="B643" s="3">
        <v>1</v>
      </c>
      <c r="C643" s="3">
        <v>14</v>
      </c>
      <c r="D643" s="3">
        <v>2</v>
      </c>
      <c r="E643" s="3">
        <v>1</v>
      </c>
      <c r="F643" s="4" t="str">
        <f>HYPERLINK("http://141.218.60.56/~jnz1568/getInfo.php?workbook=01_01.xlsx&amp;sheet=U0&amp;row=643&amp;col=6&amp;number==LOG10(2500)&amp;sourceID=16","=LOG10(2500)")</f>
        <v>=LOG10(2500)</v>
      </c>
      <c r="G643" s="4" t="str">
        <f>HYPERLINK("http://141.218.60.56/~jnz1568/getInfo.php?workbook=01_01.xlsx&amp;sheet=U0&amp;row=643&amp;col=7&amp;number=0.3871&amp;sourceID=16","0.3871")</f>
        <v>0.3871</v>
      </c>
      <c r="H643" s="4" t="str">
        <f>HYPERLINK("http://141.218.60.56/~jnz1568/getInfo.php?workbook=01_01.xlsx&amp;sheet=U0&amp;row=643&amp;col=8&amp;number=3.764&amp;sourceID=17","3.764")</f>
        <v>3.764</v>
      </c>
      <c r="I643" s="4" t="str">
        <f>HYPERLINK("http://141.218.60.56/~jnz1568/getInfo.php?workbook=01_01.xlsx&amp;sheet=U0&amp;row=643&amp;col=9&amp;number=0.391&amp;sourceID=17","0.391")</f>
        <v>0.391</v>
      </c>
    </row>
    <row r="644" spans="1:9">
      <c r="A644" s="3"/>
      <c r="B644" s="3"/>
      <c r="C644" s="3"/>
      <c r="D644" s="3"/>
      <c r="E644" s="3">
        <v>2</v>
      </c>
      <c r="F644" s="4" t="str">
        <f>HYPERLINK("http://141.218.60.56/~jnz1568/getInfo.php?workbook=01_01.xlsx&amp;sheet=U0&amp;row=644&amp;col=6&amp;number=3.699&amp;sourceID=16","3.699")</f>
        <v>3.699</v>
      </c>
      <c r="G644" s="4" t="str">
        <f>HYPERLINK("http://141.218.60.56/~jnz1568/getInfo.php?workbook=01_01.xlsx&amp;sheet=U0&amp;row=644&amp;col=7&amp;number=0.5956&amp;sourceID=16","0.5956")</f>
        <v>0.5956</v>
      </c>
      <c r="H644" s="4" t="str">
        <f>HYPERLINK("http://141.218.60.56/~jnz1568/getInfo.php?workbook=01_01.xlsx&amp;sheet=U0&amp;row=644&amp;col=8&amp;number=4.064&amp;sourceID=17","4.064")</f>
        <v>4.064</v>
      </c>
      <c r="I644" s="4" t="str">
        <f>HYPERLINK("http://141.218.60.56/~jnz1568/getInfo.php?workbook=01_01.xlsx&amp;sheet=U0&amp;row=644&amp;col=9&amp;number=0.461&amp;sourceID=17","0.461")</f>
        <v>0.461</v>
      </c>
    </row>
    <row r="645" spans="1:9">
      <c r="A645" s="3"/>
      <c r="B645" s="3"/>
      <c r="C645" s="3"/>
      <c r="D645" s="3"/>
      <c r="E645" s="3">
        <v>3</v>
      </c>
      <c r="F645" s="4" t="str">
        <f>HYPERLINK("http://141.218.60.56/~jnz1568/getInfo.php?workbook=01_01.xlsx&amp;sheet=U0&amp;row=645&amp;col=6&amp;number=3.875&amp;sourceID=16","3.875")</f>
        <v>3.875</v>
      </c>
      <c r="G645" s="4" t="str">
        <f>HYPERLINK("http://141.218.60.56/~jnz1568/getInfo.php?workbook=01_01.xlsx&amp;sheet=U0&amp;row=645&amp;col=7&amp;number=0.7524&amp;sourceID=16","0.7524")</f>
        <v>0.7524</v>
      </c>
      <c r="H645" s="4" t="str">
        <f>HYPERLINK("http://141.218.60.56/~jnz1568/getInfo.php?workbook=01_01.xlsx&amp;sheet=U0&amp;row=645&amp;col=8&amp;number=4.542&amp;sourceID=17","4.542")</f>
        <v>4.542</v>
      </c>
      <c r="I645" s="4" t="str">
        <f>HYPERLINK("http://141.218.60.56/~jnz1568/getInfo.php?workbook=01_01.xlsx&amp;sheet=U0&amp;row=645&amp;col=9&amp;number=0.676&amp;sourceID=17","0.676")</f>
        <v>0.676</v>
      </c>
    </row>
    <row r="646" spans="1:9">
      <c r="A646" s="3"/>
      <c r="B646" s="3"/>
      <c r="C646" s="3"/>
      <c r="D646" s="3"/>
      <c r="E646" s="3">
        <v>4</v>
      </c>
      <c r="F646" s="4" t="str">
        <f>HYPERLINK("http://141.218.60.56/~jnz1568/getInfo.php?workbook=01_01.xlsx&amp;sheet=U0&amp;row=646&amp;col=6&amp;number=4&amp;sourceID=16","4")</f>
        <v>4</v>
      </c>
      <c r="G646" s="4" t="str">
        <f>HYPERLINK("http://141.218.60.56/~jnz1568/getInfo.php?workbook=01_01.xlsx&amp;sheet=U0&amp;row=646&amp;col=7&amp;number=0.8719&amp;sourceID=16","0.8719")</f>
        <v>0.8719</v>
      </c>
      <c r="H646" s="4" t="str">
        <f>HYPERLINK("http://141.218.60.56/~jnz1568/getInfo.php?workbook=01_01.xlsx&amp;sheet=U0&amp;row=646&amp;col=8&amp;number=4.764&amp;sourceID=17","4.764")</f>
        <v>4.764</v>
      </c>
      <c r="I646" s="4" t="str">
        <f>HYPERLINK("http://141.218.60.56/~jnz1568/getInfo.php?workbook=01_01.xlsx&amp;sheet=U0&amp;row=646&amp;col=9&amp;number=0.814&amp;sourceID=17","0.814")</f>
        <v>0.814</v>
      </c>
    </row>
    <row r="647" spans="1:9">
      <c r="A647" s="3"/>
      <c r="B647" s="3"/>
      <c r="C647" s="3"/>
      <c r="D647" s="3"/>
      <c r="E647" s="3">
        <v>5</v>
      </c>
      <c r="F647" s="4" t="str">
        <f>HYPERLINK("http://141.218.60.56/~jnz1568/getInfo.php?workbook=01_01.xlsx&amp;sheet=U0&amp;row=647&amp;col=6&amp;number=4.176&amp;sourceID=16","4.176")</f>
        <v>4.176</v>
      </c>
      <c r="G647" s="4" t="str">
        <f>HYPERLINK("http://141.218.60.56/~jnz1568/getInfo.php?workbook=01_01.xlsx&amp;sheet=U0&amp;row=647&amp;col=7&amp;number=1.035&amp;sourceID=16","1.035")</f>
        <v>1.035</v>
      </c>
      <c r="H647" s="4" t="str">
        <f>HYPERLINK("http://141.218.60.56/~jnz1568/getInfo.php?workbook=01_01.xlsx&amp;sheet=U0&amp;row=647&amp;col=8&amp;number=5.064&amp;sourceID=17","5.064")</f>
        <v>5.064</v>
      </c>
      <c r="I647" s="4" t="str">
        <f>HYPERLINK("http://141.218.60.56/~jnz1568/getInfo.php?workbook=01_01.xlsx&amp;sheet=U0&amp;row=647&amp;col=9&amp;number=0.977&amp;sourceID=17","0.977")</f>
        <v>0.977</v>
      </c>
    </row>
    <row r="648" spans="1:9">
      <c r="A648" s="3"/>
      <c r="B648" s="3"/>
      <c r="C648" s="3"/>
      <c r="D648" s="3"/>
      <c r="E648" s="3">
        <v>6</v>
      </c>
      <c r="F648" s="4" t="str">
        <f>HYPERLINK("http://141.218.60.56/~jnz1568/getInfo.php?workbook=01_01.xlsx&amp;sheet=U0&amp;row=648&amp;col=6&amp;number=4.301&amp;sourceID=16","4.301")</f>
        <v>4.301</v>
      </c>
      <c r="G648" s="4" t="str">
        <f>HYPERLINK("http://141.218.60.56/~jnz1568/getInfo.php?workbook=01_01.xlsx&amp;sheet=U0&amp;row=648&amp;col=7&amp;number=1.139&amp;sourceID=16","1.139")</f>
        <v>1.139</v>
      </c>
      <c r="H648" s="4" t="str">
        <f>HYPERLINK("http://141.218.60.56/~jnz1568/getInfo.php?workbook=01_01.xlsx&amp;sheet=U0&amp;row=648&amp;col=8&amp;number=5.241&amp;sourceID=17","5.241")</f>
        <v>5.241</v>
      </c>
      <c r="I648" s="4" t="str">
        <f>HYPERLINK("http://141.218.60.56/~jnz1568/getInfo.php?workbook=01_01.xlsx&amp;sheet=U0&amp;row=648&amp;col=9&amp;number=1.04&amp;sourceID=17","1.04")</f>
        <v>1.04</v>
      </c>
    </row>
    <row r="649" spans="1:9">
      <c r="A649" s="3"/>
      <c r="B649" s="3"/>
      <c r="C649" s="3"/>
      <c r="D649" s="3"/>
      <c r="E649" s="3">
        <v>7</v>
      </c>
      <c r="F649" s="4" t="str">
        <f>HYPERLINK("http://141.218.60.56/~jnz1568/getInfo.php?workbook=01_01.xlsx&amp;sheet=U0&amp;row=649&amp;col=6&amp;number=4.477&amp;sourceID=16","4.477")</f>
        <v>4.477</v>
      </c>
      <c r="G649" s="4" t="str">
        <f>HYPERLINK("http://141.218.60.56/~jnz1568/getInfo.php?workbook=01_01.xlsx&amp;sheet=U0&amp;row=649&amp;col=7&amp;number=1.268&amp;sourceID=16","1.268")</f>
        <v>1.268</v>
      </c>
      <c r="H649" s="4" t="str">
        <f>HYPERLINK("http://141.218.60.56/~jnz1568/getInfo.php?workbook=01_01.xlsx&amp;sheet=U0&amp;row=649&amp;col=8&amp;number=5.366&amp;sourceID=17","5.366")</f>
        <v>5.366</v>
      </c>
      <c r="I649" s="4" t="str">
        <f>HYPERLINK("http://141.218.60.56/~jnz1568/getInfo.php?workbook=01_01.xlsx&amp;sheet=U0&amp;row=649&amp;col=9&amp;number=1.07&amp;sourceID=17","1.07")</f>
        <v>1.07</v>
      </c>
    </row>
    <row r="650" spans="1:9">
      <c r="A650" s="3"/>
      <c r="B650" s="3"/>
      <c r="C650" s="3"/>
      <c r="D650" s="3"/>
      <c r="E650" s="3">
        <v>8</v>
      </c>
      <c r="F650" s="4" t="str">
        <f>HYPERLINK("http://141.218.60.56/~jnz1568/getInfo.php?workbook=01_01.xlsx&amp;sheet=U0&amp;row=650&amp;col=6&amp;number=4.602&amp;sourceID=16","4.602")</f>
        <v>4.602</v>
      </c>
      <c r="G650" s="4" t="str">
        <f>HYPERLINK("http://141.218.60.56/~jnz1568/getInfo.php?workbook=01_01.xlsx&amp;sheet=U0&amp;row=650&amp;col=7&amp;number=1.348&amp;sourceID=16","1.348")</f>
        <v>1.348</v>
      </c>
      <c r="H650" s="4" t="str">
        <f>HYPERLINK("http://141.218.60.56/~jnz1568/getInfo.php?workbook=01_01.xlsx&amp;sheet=U0&amp;row=650&amp;col=8&amp;number=5.463&amp;sourceID=17","5.463")</f>
        <v>5.463</v>
      </c>
      <c r="I650" s="4" t="str">
        <f>HYPERLINK("http://141.218.60.56/~jnz1568/getInfo.php?workbook=01_01.xlsx&amp;sheet=U0&amp;row=650&amp;col=9&amp;number=1.09&amp;sourceID=17","1.09")</f>
        <v>1.09</v>
      </c>
    </row>
    <row r="651" spans="1:9">
      <c r="A651" s="3"/>
      <c r="B651" s="3"/>
      <c r="C651" s="3"/>
      <c r="D651" s="3"/>
      <c r="E651" s="3">
        <v>9</v>
      </c>
      <c r="F651" s="4" t="str">
        <f>HYPERLINK("http://141.218.60.56/~jnz1568/getInfo.php?workbook=01_01.xlsx&amp;sheet=U0&amp;row=651&amp;col=6&amp;number=4.699&amp;sourceID=16","4.699")</f>
        <v>4.699</v>
      </c>
      <c r="G651" s="4" t="str">
        <f>HYPERLINK("http://141.218.60.56/~jnz1568/getInfo.php?workbook=01_01.xlsx&amp;sheet=U0&amp;row=651&amp;col=7&amp;number=1.402&amp;sourceID=16","1.402")</f>
        <v>1.402</v>
      </c>
      <c r="H651" s="4" t="str">
        <f>HYPERLINK("http://141.218.60.56/~jnz1568/getInfo.php?workbook=01_01.xlsx&amp;sheet=U0&amp;row=651&amp;col=8&amp;number=&amp;sourceID=17","")</f>
        <v/>
      </c>
      <c r="I651" s="4" t="str">
        <f>HYPERLINK("http://141.218.60.56/~jnz1568/getInfo.php?workbook=01_01.xlsx&amp;sheet=U0&amp;row=651&amp;col=9&amp;number=&amp;sourceID=17","")</f>
        <v/>
      </c>
    </row>
    <row r="652" spans="1:9">
      <c r="A652" s="3">
        <v>1</v>
      </c>
      <c r="B652" s="3">
        <v>1</v>
      </c>
      <c r="C652" s="3">
        <v>14</v>
      </c>
      <c r="D652" s="3">
        <v>3</v>
      </c>
      <c r="E652" s="3">
        <v>1</v>
      </c>
      <c r="F652" s="4" t="str">
        <f>HYPERLINK("http://141.218.60.56/~jnz1568/getInfo.php?workbook=01_01.xlsx&amp;sheet=U0&amp;row=652&amp;col=6&amp;number==LOG10(2500)&amp;sourceID=16","=LOG10(2500)")</f>
        <v>=LOG10(2500)</v>
      </c>
      <c r="G652" s="4" t="str">
        <f>HYPERLINK("http://141.218.60.56/~jnz1568/getInfo.php?workbook=01_01.xlsx&amp;sheet=U0&amp;row=652&amp;col=7&amp;number=2.384&amp;sourceID=16","2.384")</f>
        <v>2.384</v>
      </c>
      <c r="H652" s="4" t="str">
        <f>HYPERLINK("http://141.218.60.56/~jnz1568/getInfo.php?workbook=01_01.xlsx&amp;sheet=U0&amp;row=652&amp;col=8&amp;number=3.764&amp;sourceID=17","3.764")</f>
        <v>3.764</v>
      </c>
      <c r="I652" s="4" t="str">
        <f>HYPERLINK("http://141.218.60.56/~jnz1568/getInfo.php?workbook=01_01.xlsx&amp;sheet=U0&amp;row=652&amp;col=9&amp;number=1.71&amp;sourceID=17","1.71")</f>
        <v>1.71</v>
      </c>
    </row>
    <row r="653" spans="1:9">
      <c r="A653" s="3"/>
      <c r="B653" s="3"/>
      <c r="C653" s="3"/>
      <c r="D653" s="3"/>
      <c r="E653" s="3">
        <v>2</v>
      </c>
      <c r="F653" s="4" t="str">
        <f>HYPERLINK("http://141.218.60.56/~jnz1568/getInfo.php?workbook=01_01.xlsx&amp;sheet=U0&amp;row=653&amp;col=6&amp;number=3.699&amp;sourceID=16","3.699")</f>
        <v>3.699</v>
      </c>
      <c r="G653" s="4" t="str">
        <f>HYPERLINK("http://141.218.60.56/~jnz1568/getInfo.php?workbook=01_01.xlsx&amp;sheet=U0&amp;row=653&amp;col=7&amp;number=3.262&amp;sourceID=16","3.262")</f>
        <v>3.262</v>
      </c>
      <c r="H653" s="4" t="str">
        <f>HYPERLINK("http://141.218.60.56/~jnz1568/getInfo.php?workbook=01_01.xlsx&amp;sheet=U0&amp;row=653&amp;col=8&amp;number=4.064&amp;sourceID=17","4.064")</f>
        <v>4.064</v>
      </c>
      <c r="I653" s="4" t="str">
        <f>HYPERLINK("http://141.218.60.56/~jnz1568/getInfo.php?workbook=01_01.xlsx&amp;sheet=U0&amp;row=653&amp;col=9&amp;number=2.02&amp;sourceID=17","2.02")</f>
        <v>2.02</v>
      </c>
    </row>
    <row r="654" spans="1:9">
      <c r="A654" s="3"/>
      <c r="B654" s="3"/>
      <c r="C654" s="3"/>
      <c r="D654" s="3"/>
      <c r="E654" s="3">
        <v>3</v>
      </c>
      <c r="F654" s="4" t="str">
        <f>HYPERLINK("http://141.218.60.56/~jnz1568/getInfo.php?workbook=01_01.xlsx&amp;sheet=U0&amp;row=654&amp;col=6&amp;number=3.875&amp;sourceID=16","3.875")</f>
        <v>3.875</v>
      </c>
      <c r="G654" s="4" t="str">
        <f>HYPERLINK("http://141.218.60.56/~jnz1568/getInfo.php?workbook=01_01.xlsx&amp;sheet=U0&amp;row=654&amp;col=7&amp;number=3.788&amp;sourceID=16","3.788")</f>
        <v>3.788</v>
      </c>
      <c r="H654" s="4" t="str">
        <f>HYPERLINK("http://141.218.60.56/~jnz1568/getInfo.php?workbook=01_01.xlsx&amp;sheet=U0&amp;row=654&amp;col=8&amp;number=4.542&amp;sourceID=17","4.542")</f>
        <v>4.542</v>
      </c>
      <c r="I654" s="4" t="str">
        <f>HYPERLINK("http://141.218.60.56/~jnz1568/getInfo.php?workbook=01_01.xlsx&amp;sheet=U0&amp;row=654&amp;col=9&amp;number=2.9&amp;sourceID=17","2.9")</f>
        <v>2.9</v>
      </c>
    </row>
    <row r="655" spans="1:9">
      <c r="A655" s="3"/>
      <c r="B655" s="3"/>
      <c r="C655" s="3"/>
      <c r="D655" s="3"/>
      <c r="E655" s="3">
        <v>4</v>
      </c>
      <c r="F655" s="4" t="str">
        <f>HYPERLINK("http://141.218.60.56/~jnz1568/getInfo.php?workbook=01_01.xlsx&amp;sheet=U0&amp;row=655&amp;col=6&amp;number=4&amp;sourceID=16","4")</f>
        <v>4</v>
      </c>
      <c r="G655" s="4" t="str">
        <f>HYPERLINK("http://141.218.60.56/~jnz1568/getInfo.php?workbook=01_01.xlsx&amp;sheet=U0&amp;row=655&amp;col=7&amp;number=4.154&amp;sourceID=16","4.154")</f>
        <v>4.154</v>
      </c>
      <c r="H655" s="4" t="str">
        <f>HYPERLINK("http://141.218.60.56/~jnz1568/getInfo.php?workbook=01_01.xlsx&amp;sheet=U0&amp;row=655&amp;col=8&amp;number=4.764&amp;sourceID=17","4.764")</f>
        <v>4.764</v>
      </c>
      <c r="I655" s="4" t="str">
        <f>HYPERLINK("http://141.218.60.56/~jnz1568/getInfo.php?workbook=01_01.xlsx&amp;sheet=U0&amp;row=655&amp;col=9&amp;number=3.47&amp;sourceID=17","3.47")</f>
        <v>3.47</v>
      </c>
    </row>
    <row r="656" spans="1:9">
      <c r="A656" s="3"/>
      <c r="B656" s="3"/>
      <c r="C656" s="3"/>
      <c r="D656" s="3"/>
      <c r="E656" s="3">
        <v>5</v>
      </c>
      <c r="F656" s="4" t="str">
        <f>HYPERLINK("http://141.218.60.56/~jnz1568/getInfo.php?workbook=01_01.xlsx&amp;sheet=U0&amp;row=656&amp;col=6&amp;number=4.176&amp;sourceID=16","4.176")</f>
        <v>4.176</v>
      </c>
      <c r="G656" s="4" t="str">
        <f>HYPERLINK("http://141.218.60.56/~jnz1568/getInfo.php?workbook=01_01.xlsx&amp;sheet=U0&amp;row=656&amp;col=7&amp;number=4.617&amp;sourceID=16","4.617")</f>
        <v>4.617</v>
      </c>
      <c r="H656" s="4" t="str">
        <f>HYPERLINK("http://141.218.60.56/~jnz1568/getInfo.php?workbook=01_01.xlsx&amp;sheet=U0&amp;row=656&amp;col=8&amp;number=5.064&amp;sourceID=17","5.064")</f>
        <v>5.064</v>
      </c>
      <c r="I656" s="4" t="str">
        <f>HYPERLINK("http://141.218.60.56/~jnz1568/getInfo.php?workbook=01_01.xlsx&amp;sheet=U0&amp;row=656&amp;col=9&amp;number=4.17&amp;sourceID=17","4.17")</f>
        <v>4.17</v>
      </c>
    </row>
    <row r="657" spans="1:9">
      <c r="A657" s="3"/>
      <c r="B657" s="3"/>
      <c r="C657" s="3"/>
      <c r="D657" s="3"/>
      <c r="E657" s="3">
        <v>6</v>
      </c>
      <c r="F657" s="4" t="str">
        <f>HYPERLINK("http://141.218.60.56/~jnz1568/getInfo.php?workbook=01_01.xlsx&amp;sheet=U0&amp;row=657&amp;col=6&amp;number=4.301&amp;sourceID=16","4.301")</f>
        <v>4.301</v>
      </c>
      <c r="G657" s="4" t="str">
        <f>HYPERLINK("http://141.218.60.56/~jnz1568/getInfo.php?workbook=01_01.xlsx&amp;sheet=U0&amp;row=657&amp;col=7&amp;number=4.888&amp;sourceID=16","4.888")</f>
        <v>4.888</v>
      </c>
      <c r="H657" s="4" t="str">
        <f>HYPERLINK("http://141.218.60.56/~jnz1568/getInfo.php?workbook=01_01.xlsx&amp;sheet=U0&amp;row=657&amp;col=8&amp;number=5.241&amp;sourceID=17","5.241")</f>
        <v>5.241</v>
      </c>
      <c r="I657" s="4" t="str">
        <f>HYPERLINK("http://141.218.60.56/~jnz1568/getInfo.php?workbook=01_01.xlsx&amp;sheet=U0&amp;row=657&amp;col=9&amp;number=4.46&amp;sourceID=17","4.46")</f>
        <v>4.46</v>
      </c>
    </row>
    <row r="658" spans="1:9">
      <c r="A658" s="3"/>
      <c r="B658" s="3"/>
      <c r="C658" s="3"/>
      <c r="D658" s="3"/>
      <c r="E658" s="3">
        <v>7</v>
      </c>
      <c r="F658" s="4" t="str">
        <f>HYPERLINK("http://141.218.60.56/~jnz1568/getInfo.php?workbook=01_01.xlsx&amp;sheet=U0&amp;row=658&amp;col=6&amp;number=4.477&amp;sourceID=16","4.477")</f>
        <v>4.477</v>
      </c>
      <c r="G658" s="4" t="str">
        <f>HYPERLINK("http://141.218.60.56/~jnz1568/getInfo.php?workbook=01_01.xlsx&amp;sheet=U0&amp;row=658&amp;col=7&amp;number=5.197&amp;sourceID=16","5.197")</f>
        <v>5.197</v>
      </c>
      <c r="H658" s="4" t="str">
        <f>HYPERLINK("http://141.218.60.56/~jnz1568/getInfo.php?workbook=01_01.xlsx&amp;sheet=U0&amp;row=658&amp;col=8&amp;number=5.366&amp;sourceID=17","5.366")</f>
        <v>5.366</v>
      </c>
      <c r="I658" s="4" t="str">
        <f>HYPERLINK("http://141.218.60.56/~jnz1568/getInfo.php?workbook=01_01.xlsx&amp;sheet=U0&amp;row=658&amp;col=9&amp;number=4.6&amp;sourceID=17","4.6")</f>
        <v>4.6</v>
      </c>
    </row>
    <row r="659" spans="1:9">
      <c r="A659" s="3"/>
      <c r="B659" s="3"/>
      <c r="C659" s="3"/>
      <c r="D659" s="3"/>
      <c r="E659" s="3">
        <v>8</v>
      </c>
      <c r="F659" s="4" t="str">
        <f>HYPERLINK("http://141.218.60.56/~jnz1568/getInfo.php?workbook=01_01.xlsx&amp;sheet=U0&amp;row=659&amp;col=6&amp;number=4.602&amp;sourceID=16","4.602")</f>
        <v>4.602</v>
      </c>
      <c r="G659" s="4" t="str">
        <f>HYPERLINK("http://141.218.60.56/~jnz1568/getInfo.php?workbook=01_01.xlsx&amp;sheet=U0&amp;row=659&amp;col=7&amp;number=5.378&amp;sourceID=16","5.378")</f>
        <v>5.378</v>
      </c>
      <c r="H659" s="4" t="str">
        <f>HYPERLINK("http://141.218.60.56/~jnz1568/getInfo.php?workbook=01_01.xlsx&amp;sheet=U0&amp;row=659&amp;col=8&amp;number=5.463&amp;sourceID=17","5.463")</f>
        <v>5.463</v>
      </c>
      <c r="I659" s="4" t="str">
        <f>HYPERLINK("http://141.218.60.56/~jnz1568/getInfo.php?workbook=01_01.xlsx&amp;sheet=U0&amp;row=659&amp;col=9&amp;number=4.68&amp;sourceID=17","4.68")</f>
        <v>4.68</v>
      </c>
    </row>
    <row r="660" spans="1:9">
      <c r="A660" s="3"/>
      <c r="B660" s="3"/>
      <c r="C660" s="3"/>
      <c r="D660" s="3"/>
      <c r="E660" s="3">
        <v>9</v>
      </c>
      <c r="F660" s="4" t="str">
        <f>HYPERLINK("http://141.218.60.56/~jnz1568/getInfo.php?workbook=01_01.xlsx&amp;sheet=U0&amp;row=660&amp;col=6&amp;number=4.699&amp;sourceID=16","4.699")</f>
        <v>4.699</v>
      </c>
      <c r="G660" s="4" t="str">
        <f>HYPERLINK("http://141.218.60.56/~jnz1568/getInfo.php?workbook=01_01.xlsx&amp;sheet=U0&amp;row=660&amp;col=7&amp;number=5.497&amp;sourceID=16","5.497")</f>
        <v>5.497</v>
      </c>
      <c r="H660" s="4" t="str">
        <f>HYPERLINK("http://141.218.60.56/~jnz1568/getInfo.php?workbook=01_01.xlsx&amp;sheet=U0&amp;row=660&amp;col=8&amp;number=&amp;sourceID=17","")</f>
        <v/>
      </c>
      <c r="I660" s="4" t="str">
        <f>HYPERLINK("http://141.218.60.56/~jnz1568/getInfo.php?workbook=01_01.xlsx&amp;sheet=U0&amp;row=660&amp;col=9&amp;number=&amp;sourceID=17","")</f>
        <v/>
      </c>
    </row>
    <row r="661" spans="1:9">
      <c r="A661" s="3">
        <v>1</v>
      </c>
      <c r="B661" s="3">
        <v>1</v>
      </c>
      <c r="C661" s="3">
        <v>14</v>
      </c>
      <c r="D661" s="3">
        <v>4</v>
      </c>
      <c r="E661" s="3">
        <v>1</v>
      </c>
      <c r="F661" s="4" t="str">
        <f>HYPERLINK("http://141.218.60.56/~jnz1568/getInfo.php?workbook=01_01.xlsx&amp;sheet=U0&amp;row=661&amp;col=6&amp;number==LOG10(2500)&amp;sourceID=16","=LOG10(2500)")</f>
        <v>=LOG10(2500)</v>
      </c>
      <c r="G661" s="4" t="str">
        <f>HYPERLINK("http://141.218.60.56/~jnz1568/getInfo.php?workbook=01_01.xlsx&amp;sheet=U0&amp;row=661&amp;col=7&amp;number=2.759&amp;sourceID=16","2.759")</f>
        <v>2.759</v>
      </c>
      <c r="H661" s="4" t="str">
        <f>HYPERLINK("http://141.218.60.56/~jnz1568/getInfo.php?workbook=01_01.xlsx&amp;sheet=U0&amp;row=661&amp;col=8&amp;number=3.764&amp;sourceID=17","3.764")</f>
        <v>3.764</v>
      </c>
      <c r="I661" s="4" t="str">
        <f>HYPERLINK("http://141.218.60.56/~jnz1568/getInfo.php?workbook=01_01.xlsx&amp;sheet=U0&amp;row=661&amp;col=9&amp;number=2.94&amp;sourceID=17","2.94")</f>
        <v>2.94</v>
      </c>
    </row>
    <row r="662" spans="1:9">
      <c r="A662" s="3"/>
      <c r="B662" s="3"/>
      <c r="C662" s="3"/>
      <c r="D662" s="3"/>
      <c r="E662" s="3">
        <v>2</v>
      </c>
      <c r="F662" s="4" t="str">
        <f>HYPERLINK("http://141.218.60.56/~jnz1568/getInfo.php?workbook=01_01.xlsx&amp;sheet=U0&amp;row=662&amp;col=6&amp;number=3.699&amp;sourceID=16","3.699")</f>
        <v>3.699</v>
      </c>
      <c r="G662" s="4" t="str">
        <f>HYPERLINK("http://141.218.60.56/~jnz1568/getInfo.php?workbook=01_01.xlsx&amp;sheet=U0&amp;row=662&amp;col=7&amp;number=4.077&amp;sourceID=16","4.077")</f>
        <v>4.077</v>
      </c>
      <c r="H662" s="4" t="str">
        <f>HYPERLINK("http://141.218.60.56/~jnz1568/getInfo.php?workbook=01_01.xlsx&amp;sheet=U0&amp;row=662&amp;col=8&amp;number=4.064&amp;sourceID=17","4.064")</f>
        <v>4.064</v>
      </c>
      <c r="I662" s="4" t="str">
        <f>HYPERLINK("http://141.218.60.56/~jnz1568/getInfo.php?workbook=01_01.xlsx&amp;sheet=U0&amp;row=662&amp;col=9&amp;number=3.41&amp;sourceID=17","3.41")</f>
        <v>3.41</v>
      </c>
    </row>
    <row r="663" spans="1:9">
      <c r="A663" s="3"/>
      <c r="B663" s="3"/>
      <c r="C663" s="3"/>
      <c r="D663" s="3"/>
      <c r="E663" s="3">
        <v>3</v>
      </c>
      <c r="F663" s="4" t="str">
        <f>HYPERLINK("http://141.218.60.56/~jnz1568/getInfo.php?workbook=01_01.xlsx&amp;sheet=U0&amp;row=663&amp;col=6&amp;number=3.875&amp;sourceID=16","3.875")</f>
        <v>3.875</v>
      </c>
      <c r="G663" s="4" t="str">
        <f>HYPERLINK("http://141.218.60.56/~jnz1568/getInfo.php?workbook=01_01.xlsx&amp;sheet=U0&amp;row=663&amp;col=7&amp;number=4.997&amp;sourceID=16","4.997")</f>
        <v>4.997</v>
      </c>
      <c r="H663" s="4" t="str">
        <f>HYPERLINK("http://141.218.60.56/~jnz1568/getInfo.php?workbook=01_01.xlsx&amp;sheet=U0&amp;row=663&amp;col=8&amp;number=4.542&amp;sourceID=17","4.542")</f>
        <v>4.542</v>
      </c>
      <c r="I663" s="4" t="str">
        <f>HYPERLINK("http://141.218.60.56/~jnz1568/getInfo.php?workbook=01_01.xlsx&amp;sheet=U0&amp;row=663&amp;col=9&amp;number=4.12&amp;sourceID=17","4.12")</f>
        <v>4.12</v>
      </c>
    </row>
    <row r="664" spans="1:9">
      <c r="A664" s="3"/>
      <c r="B664" s="3"/>
      <c r="C664" s="3"/>
      <c r="D664" s="3"/>
      <c r="E664" s="3">
        <v>4</v>
      </c>
      <c r="F664" s="4" t="str">
        <f>HYPERLINK("http://141.218.60.56/~jnz1568/getInfo.php?workbook=01_01.xlsx&amp;sheet=U0&amp;row=664&amp;col=6&amp;number=4&amp;sourceID=16","4")</f>
        <v>4</v>
      </c>
      <c r="G664" s="4" t="str">
        <f>HYPERLINK("http://141.218.60.56/~jnz1568/getInfo.php?workbook=01_01.xlsx&amp;sheet=U0&amp;row=664&amp;col=7&amp;number=5.696&amp;sourceID=16","5.696")</f>
        <v>5.696</v>
      </c>
      <c r="H664" s="4" t="str">
        <f>HYPERLINK("http://141.218.60.56/~jnz1568/getInfo.php?workbook=01_01.xlsx&amp;sheet=U0&amp;row=664&amp;col=8&amp;number=4.764&amp;sourceID=17","4.764")</f>
        <v>4.764</v>
      </c>
      <c r="I664" s="4" t="str">
        <f>HYPERLINK("http://141.218.60.56/~jnz1568/getInfo.php?workbook=01_01.xlsx&amp;sheet=U0&amp;row=664&amp;col=9&amp;number=4.45&amp;sourceID=17","4.45")</f>
        <v>4.45</v>
      </c>
    </row>
    <row r="665" spans="1:9">
      <c r="A665" s="3"/>
      <c r="B665" s="3"/>
      <c r="C665" s="3"/>
      <c r="D665" s="3"/>
      <c r="E665" s="3">
        <v>5</v>
      </c>
      <c r="F665" s="4" t="str">
        <f>HYPERLINK("http://141.218.60.56/~jnz1568/getInfo.php?workbook=01_01.xlsx&amp;sheet=U0&amp;row=665&amp;col=6&amp;number=4.176&amp;sourceID=16","4.176")</f>
        <v>4.176</v>
      </c>
      <c r="G665" s="4" t="str">
        <f>HYPERLINK("http://141.218.60.56/~jnz1568/getInfo.php?workbook=01_01.xlsx&amp;sheet=U0&amp;row=665&amp;col=7&amp;number=6.622&amp;sourceID=16","6.622")</f>
        <v>6.622</v>
      </c>
      <c r="H665" s="4" t="str">
        <f>HYPERLINK("http://141.218.60.56/~jnz1568/getInfo.php?workbook=01_01.xlsx&amp;sheet=U0&amp;row=665&amp;col=8&amp;number=5.064&amp;sourceID=17","5.064")</f>
        <v>5.064</v>
      </c>
      <c r="I665" s="4" t="str">
        <f>HYPERLINK("http://141.218.60.56/~jnz1568/getInfo.php?workbook=01_01.xlsx&amp;sheet=U0&amp;row=665&amp;col=9&amp;number=4.73&amp;sourceID=17","4.73")</f>
        <v>4.73</v>
      </c>
    </row>
    <row r="666" spans="1:9">
      <c r="A666" s="3"/>
      <c r="B666" s="3"/>
      <c r="C666" s="3"/>
      <c r="D666" s="3"/>
      <c r="E666" s="3">
        <v>6</v>
      </c>
      <c r="F666" s="4" t="str">
        <f>HYPERLINK("http://141.218.60.56/~jnz1568/getInfo.php?workbook=01_01.xlsx&amp;sheet=U0&amp;row=666&amp;col=6&amp;number=4.301&amp;sourceID=16","4.301")</f>
        <v>4.301</v>
      </c>
      <c r="G666" s="4" t="str">
        <f>HYPERLINK("http://141.218.60.56/~jnz1568/getInfo.php?workbook=01_01.xlsx&amp;sheet=U0&amp;row=666&amp;col=7&amp;number=7.16&amp;sourceID=16","7.16")</f>
        <v>7.16</v>
      </c>
      <c r="H666" s="4" t="str">
        <f>HYPERLINK("http://141.218.60.56/~jnz1568/getInfo.php?workbook=01_01.xlsx&amp;sheet=U0&amp;row=666&amp;col=8&amp;number=5.241&amp;sourceID=17","5.241")</f>
        <v>5.241</v>
      </c>
      <c r="I666" s="4" t="str">
        <f>HYPERLINK("http://141.218.60.56/~jnz1568/getInfo.php?workbook=01_01.xlsx&amp;sheet=U0&amp;row=666&amp;col=9&amp;number=4.79&amp;sourceID=17","4.79")</f>
        <v>4.79</v>
      </c>
    </row>
    <row r="667" spans="1:9">
      <c r="A667" s="3"/>
      <c r="B667" s="3"/>
      <c r="C667" s="3"/>
      <c r="D667" s="3"/>
      <c r="E667" s="3">
        <v>7</v>
      </c>
      <c r="F667" s="4" t="str">
        <f>HYPERLINK("http://141.218.60.56/~jnz1568/getInfo.php?workbook=01_01.xlsx&amp;sheet=U0&amp;row=667&amp;col=6&amp;number=4.477&amp;sourceID=16","4.477")</f>
        <v>4.477</v>
      </c>
      <c r="G667" s="4" t="str">
        <f>HYPERLINK("http://141.218.60.56/~jnz1568/getInfo.php?workbook=01_01.xlsx&amp;sheet=U0&amp;row=667&amp;col=7&amp;number=7.697&amp;sourceID=16","7.697")</f>
        <v>7.697</v>
      </c>
      <c r="H667" s="4" t="str">
        <f>HYPERLINK("http://141.218.60.56/~jnz1568/getInfo.php?workbook=01_01.xlsx&amp;sheet=U0&amp;row=667&amp;col=8&amp;number=5.366&amp;sourceID=17","5.366")</f>
        <v>5.366</v>
      </c>
      <c r="I667" s="4" t="str">
        <f>HYPERLINK("http://141.218.60.56/~jnz1568/getInfo.php?workbook=01_01.xlsx&amp;sheet=U0&amp;row=667&amp;col=9&amp;number=4.78&amp;sourceID=17","4.78")</f>
        <v>4.78</v>
      </c>
    </row>
    <row r="668" spans="1:9">
      <c r="A668" s="3"/>
      <c r="B668" s="3"/>
      <c r="C668" s="3"/>
      <c r="D668" s="3"/>
      <c r="E668" s="3">
        <v>8</v>
      </c>
      <c r="F668" s="4" t="str">
        <f>HYPERLINK("http://141.218.60.56/~jnz1568/getInfo.php?workbook=01_01.xlsx&amp;sheet=U0&amp;row=668&amp;col=6&amp;number=4.602&amp;sourceID=16","4.602")</f>
        <v>4.602</v>
      </c>
      <c r="G668" s="4" t="str">
        <f>HYPERLINK("http://141.218.60.56/~jnz1568/getInfo.php?workbook=01_01.xlsx&amp;sheet=U0&amp;row=668&amp;col=7&amp;number=7.924&amp;sourceID=16","7.924")</f>
        <v>7.924</v>
      </c>
      <c r="H668" s="4" t="str">
        <f>HYPERLINK("http://141.218.60.56/~jnz1568/getInfo.php?workbook=01_01.xlsx&amp;sheet=U0&amp;row=668&amp;col=8&amp;number=5.463&amp;sourceID=17","5.463")</f>
        <v>5.463</v>
      </c>
      <c r="I668" s="4" t="str">
        <f>HYPERLINK("http://141.218.60.56/~jnz1568/getInfo.php?workbook=01_01.xlsx&amp;sheet=U0&amp;row=668&amp;col=9&amp;number=4.76&amp;sourceID=17","4.76")</f>
        <v>4.76</v>
      </c>
    </row>
    <row r="669" spans="1:9">
      <c r="A669" s="3"/>
      <c r="B669" s="3"/>
      <c r="C669" s="3"/>
      <c r="D669" s="3"/>
      <c r="E669" s="3">
        <v>9</v>
      </c>
      <c r="F669" s="4" t="str">
        <f>HYPERLINK("http://141.218.60.56/~jnz1568/getInfo.php?workbook=01_01.xlsx&amp;sheet=U0&amp;row=669&amp;col=6&amp;number=4.699&amp;sourceID=16","4.699")</f>
        <v>4.699</v>
      </c>
      <c r="G669" s="4" t="str">
        <f>HYPERLINK("http://141.218.60.56/~jnz1568/getInfo.php?workbook=01_01.xlsx&amp;sheet=U0&amp;row=669&amp;col=7&amp;number=7.998&amp;sourceID=16","7.998")</f>
        <v>7.998</v>
      </c>
      <c r="H669" s="4" t="str">
        <f>HYPERLINK("http://141.218.60.56/~jnz1568/getInfo.php?workbook=01_01.xlsx&amp;sheet=U0&amp;row=669&amp;col=8&amp;number=&amp;sourceID=17","")</f>
        <v/>
      </c>
      <c r="I669" s="4" t="str">
        <f>HYPERLINK("http://141.218.60.56/~jnz1568/getInfo.php?workbook=01_01.xlsx&amp;sheet=U0&amp;row=669&amp;col=9&amp;number=&amp;sourceID=17","")</f>
        <v/>
      </c>
    </row>
    <row r="670" spans="1:9">
      <c r="A670" s="3">
        <v>1</v>
      </c>
      <c r="B670" s="3">
        <v>1</v>
      </c>
      <c r="C670" s="3">
        <v>14</v>
      </c>
      <c r="D670" s="3">
        <v>5</v>
      </c>
      <c r="E670" s="3">
        <v>1</v>
      </c>
      <c r="F670" s="4" t="str">
        <f>HYPERLINK("http://141.218.60.56/~jnz1568/getInfo.php?workbook=01_01.xlsx&amp;sheet=U0&amp;row=670&amp;col=6&amp;number==LOG10(2500)&amp;sourceID=16","=LOG10(2500)")</f>
        <v>=LOG10(2500)</v>
      </c>
      <c r="G670" s="4" t="str">
        <f>HYPERLINK("http://141.218.60.56/~jnz1568/getInfo.php?workbook=01_01.xlsx&amp;sheet=U0&amp;row=670&amp;col=7&amp;number=11.05&amp;sourceID=16","11.05")</f>
        <v>11.05</v>
      </c>
      <c r="H670" s="4" t="str">
        <f>HYPERLINK("http://141.218.60.56/~jnz1568/getInfo.php?workbook=01_01.xlsx&amp;sheet=U0&amp;row=670&amp;col=8&amp;number=3.764&amp;sourceID=17","3.764")</f>
        <v>3.764</v>
      </c>
      <c r="I670" s="4" t="str">
        <f>HYPERLINK("http://141.218.60.56/~jnz1568/getInfo.php?workbook=01_01.xlsx&amp;sheet=U0&amp;row=670&amp;col=9&amp;number=10.4&amp;sourceID=17","10.4")</f>
        <v>10.4</v>
      </c>
    </row>
    <row r="671" spans="1:9">
      <c r="A671" s="3"/>
      <c r="B671" s="3"/>
      <c r="C671" s="3"/>
      <c r="D671" s="3"/>
      <c r="E671" s="3">
        <v>2</v>
      </c>
      <c r="F671" s="4" t="str">
        <f>HYPERLINK("http://141.218.60.56/~jnz1568/getInfo.php?workbook=01_01.xlsx&amp;sheet=U0&amp;row=671&amp;col=6&amp;number=3.699&amp;sourceID=16","3.699")</f>
        <v>3.699</v>
      </c>
      <c r="G671" s="4" t="str">
        <f>HYPERLINK("http://141.218.60.56/~jnz1568/getInfo.php?workbook=01_01.xlsx&amp;sheet=U0&amp;row=671&amp;col=7&amp;number=16.4&amp;sourceID=16","16.4")</f>
        <v>16.4</v>
      </c>
      <c r="H671" s="4" t="str">
        <f>HYPERLINK("http://141.218.60.56/~jnz1568/getInfo.php?workbook=01_01.xlsx&amp;sheet=U0&amp;row=671&amp;col=8&amp;number=4.064&amp;sourceID=17","4.064")</f>
        <v>4.064</v>
      </c>
      <c r="I671" s="4" t="str">
        <f>HYPERLINK("http://141.218.60.56/~jnz1568/getInfo.php?workbook=01_01.xlsx&amp;sheet=U0&amp;row=671&amp;col=9&amp;number=12.5&amp;sourceID=17","12.5")</f>
        <v>12.5</v>
      </c>
    </row>
    <row r="672" spans="1:9">
      <c r="A672" s="3"/>
      <c r="B672" s="3"/>
      <c r="C672" s="3"/>
      <c r="D672" s="3"/>
      <c r="E672" s="3">
        <v>3</v>
      </c>
      <c r="F672" s="4" t="str">
        <f>HYPERLINK("http://141.218.60.56/~jnz1568/getInfo.php?workbook=01_01.xlsx&amp;sheet=U0&amp;row=672&amp;col=6&amp;number=3.875&amp;sourceID=16","3.875")</f>
        <v>3.875</v>
      </c>
      <c r="G672" s="4" t="str">
        <f>HYPERLINK("http://141.218.60.56/~jnz1568/getInfo.php?workbook=01_01.xlsx&amp;sheet=U0&amp;row=672&amp;col=7&amp;number=20.19&amp;sourceID=16","20.19")</f>
        <v>20.19</v>
      </c>
      <c r="H672" s="4" t="str">
        <f>HYPERLINK("http://141.218.60.56/~jnz1568/getInfo.php?workbook=01_01.xlsx&amp;sheet=U0&amp;row=672&amp;col=8&amp;number=4.542&amp;sourceID=17","4.542")</f>
        <v>4.542</v>
      </c>
      <c r="I672" s="4" t="str">
        <f>HYPERLINK("http://141.218.60.56/~jnz1568/getInfo.php?workbook=01_01.xlsx&amp;sheet=U0&amp;row=672&amp;col=9&amp;number=16.5&amp;sourceID=17","16.5")</f>
        <v>16.5</v>
      </c>
    </row>
    <row r="673" spans="1:9">
      <c r="A673" s="3"/>
      <c r="B673" s="3"/>
      <c r="C673" s="3"/>
      <c r="D673" s="3"/>
      <c r="E673" s="3">
        <v>4</v>
      </c>
      <c r="F673" s="4" t="str">
        <f>HYPERLINK("http://141.218.60.56/~jnz1568/getInfo.php?workbook=01_01.xlsx&amp;sheet=U0&amp;row=673&amp;col=6&amp;number=4&amp;sourceID=16","4")</f>
        <v>4</v>
      </c>
      <c r="G673" s="4" t="str">
        <f>HYPERLINK("http://141.218.60.56/~jnz1568/getInfo.php?workbook=01_01.xlsx&amp;sheet=U0&amp;row=673&amp;col=7&amp;number=23.09&amp;sourceID=16","23.09")</f>
        <v>23.09</v>
      </c>
      <c r="H673" s="4" t="str">
        <f>HYPERLINK("http://141.218.60.56/~jnz1568/getInfo.php?workbook=01_01.xlsx&amp;sheet=U0&amp;row=673&amp;col=8&amp;number=4.764&amp;sourceID=17","4.764")</f>
        <v>4.764</v>
      </c>
      <c r="I673" s="4" t="str">
        <f>HYPERLINK("http://141.218.60.56/~jnz1568/getInfo.php?workbook=01_01.xlsx&amp;sheet=U0&amp;row=673&amp;col=9&amp;number=18.3&amp;sourceID=17","18.3")</f>
        <v>18.3</v>
      </c>
    </row>
    <row r="674" spans="1:9">
      <c r="A674" s="3"/>
      <c r="B674" s="3"/>
      <c r="C674" s="3"/>
      <c r="D674" s="3"/>
      <c r="E674" s="3">
        <v>5</v>
      </c>
      <c r="F674" s="4" t="str">
        <f>HYPERLINK("http://141.218.60.56/~jnz1568/getInfo.php?workbook=01_01.xlsx&amp;sheet=U0&amp;row=674&amp;col=6&amp;number=4.176&amp;sourceID=16","4.176")</f>
        <v>4.176</v>
      </c>
      <c r="G674" s="4" t="str">
        <f>HYPERLINK("http://141.218.60.56/~jnz1568/getInfo.php?workbook=01_01.xlsx&amp;sheet=U0&amp;row=674&amp;col=7&amp;number=27.08&amp;sourceID=16","27.08")</f>
        <v>27.08</v>
      </c>
      <c r="H674" s="4" t="str">
        <f>HYPERLINK("http://141.218.60.56/~jnz1568/getInfo.php?workbook=01_01.xlsx&amp;sheet=U0&amp;row=674&amp;col=8&amp;number=5.064&amp;sourceID=17","5.064")</f>
        <v>5.064</v>
      </c>
      <c r="I674" s="4" t="str">
        <f>HYPERLINK("http://141.218.60.56/~jnz1568/getInfo.php?workbook=01_01.xlsx&amp;sheet=U0&amp;row=674&amp;col=9&amp;number=20.4&amp;sourceID=17","20.4")</f>
        <v>20.4</v>
      </c>
    </row>
    <row r="675" spans="1:9">
      <c r="A675" s="3"/>
      <c r="B675" s="3"/>
      <c r="C675" s="3"/>
      <c r="D675" s="3"/>
      <c r="E675" s="3">
        <v>6</v>
      </c>
      <c r="F675" s="4" t="str">
        <f>HYPERLINK("http://141.218.60.56/~jnz1568/getInfo.php?workbook=01_01.xlsx&amp;sheet=U0&amp;row=675&amp;col=6&amp;number=4.301&amp;sourceID=16","4.301")</f>
        <v>4.301</v>
      </c>
      <c r="G675" s="4" t="str">
        <f>HYPERLINK("http://141.218.60.56/~jnz1568/getInfo.php?workbook=01_01.xlsx&amp;sheet=U0&amp;row=675&amp;col=7&amp;number=29.57&amp;sourceID=16","29.57")</f>
        <v>29.57</v>
      </c>
      <c r="H675" s="4" t="str">
        <f>HYPERLINK("http://141.218.60.56/~jnz1568/getInfo.php?workbook=01_01.xlsx&amp;sheet=U0&amp;row=675&amp;col=8&amp;number=5.241&amp;sourceID=17","5.241")</f>
        <v>5.241</v>
      </c>
      <c r="I675" s="4" t="str">
        <f>HYPERLINK("http://141.218.60.56/~jnz1568/getInfo.php?workbook=01_01.xlsx&amp;sheet=U0&amp;row=675&amp;col=9&amp;number=21.4&amp;sourceID=17","21.4")</f>
        <v>21.4</v>
      </c>
    </row>
    <row r="676" spans="1:9">
      <c r="A676" s="3"/>
      <c r="B676" s="3"/>
      <c r="C676" s="3"/>
      <c r="D676" s="3"/>
      <c r="E676" s="3">
        <v>7</v>
      </c>
      <c r="F676" s="4" t="str">
        <f>HYPERLINK("http://141.218.60.56/~jnz1568/getInfo.php?workbook=01_01.xlsx&amp;sheet=U0&amp;row=676&amp;col=6&amp;number=4.477&amp;sourceID=16","4.477")</f>
        <v>4.477</v>
      </c>
      <c r="G676" s="4" t="str">
        <f>HYPERLINK("http://141.218.60.56/~jnz1568/getInfo.php?workbook=01_01.xlsx&amp;sheet=U0&amp;row=676&amp;col=7&amp;number=32.43&amp;sourceID=16","32.43")</f>
        <v>32.43</v>
      </c>
      <c r="H676" s="4" t="str">
        <f>HYPERLINK("http://141.218.60.56/~jnz1568/getInfo.php?workbook=01_01.xlsx&amp;sheet=U0&amp;row=676&amp;col=8&amp;number=5.366&amp;sourceID=17","5.366")</f>
        <v>5.366</v>
      </c>
      <c r="I676" s="4" t="str">
        <f>HYPERLINK("http://141.218.60.56/~jnz1568/getInfo.php?workbook=01_01.xlsx&amp;sheet=U0&amp;row=676&amp;col=9&amp;number=22&amp;sourceID=17","22")</f>
        <v>22</v>
      </c>
    </row>
    <row r="677" spans="1:9">
      <c r="A677" s="3"/>
      <c r="B677" s="3"/>
      <c r="C677" s="3"/>
      <c r="D677" s="3"/>
      <c r="E677" s="3">
        <v>8</v>
      </c>
      <c r="F677" s="4" t="str">
        <f>HYPERLINK("http://141.218.60.56/~jnz1568/getInfo.php?workbook=01_01.xlsx&amp;sheet=U0&amp;row=677&amp;col=6&amp;number=4.602&amp;sourceID=16","4.602")</f>
        <v>4.602</v>
      </c>
      <c r="G677" s="4" t="str">
        <f>HYPERLINK("http://141.218.60.56/~jnz1568/getInfo.php?workbook=01_01.xlsx&amp;sheet=U0&amp;row=677&amp;col=7&amp;number=33.98&amp;sourceID=16","33.98")</f>
        <v>33.98</v>
      </c>
      <c r="H677" s="4" t="str">
        <f>HYPERLINK("http://141.218.60.56/~jnz1568/getInfo.php?workbook=01_01.xlsx&amp;sheet=U0&amp;row=677&amp;col=8&amp;number=5.463&amp;sourceID=17","5.463")</f>
        <v>5.463</v>
      </c>
      <c r="I677" s="4" t="str">
        <f>HYPERLINK("http://141.218.60.56/~jnz1568/getInfo.php?workbook=01_01.xlsx&amp;sheet=U0&amp;row=677&amp;col=9&amp;number=22.4&amp;sourceID=17","22.4")</f>
        <v>22.4</v>
      </c>
    </row>
    <row r="678" spans="1:9">
      <c r="A678" s="3"/>
      <c r="B678" s="3"/>
      <c r="C678" s="3"/>
      <c r="D678" s="3"/>
      <c r="E678" s="3">
        <v>9</v>
      </c>
      <c r="F678" s="4" t="str">
        <f>HYPERLINK("http://141.218.60.56/~jnz1568/getInfo.php?workbook=01_01.xlsx&amp;sheet=U0&amp;row=678&amp;col=6&amp;number=4.699&amp;sourceID=16","4.699")</f>
        <v>4.699</v>
      </c>
      <c r="G678" s="4" t="str">
        <f>HYPERLINK("http://141.218.60.56/~jnz1568/getInfo.php?workbook=01_01.xlsx&amp;sheet=U0&amp;row=678&amp;col=7&amp;number=34.84&amp;sourceID=16","34.84")</f>
        <v>34.84</v>
      </c>
      <c r="H678" s="4" t="str">
        <f>HYPERLINK("http://141.218.60.56/~jnz1568/getInfo.php?workbook=01_01.xlsx&amp;sheet=U0&amp;row=678&amp;col=8&amp;number=&amp;sourceID=17","")</f>
        <v/>
      </c>
      <c r="I678" s="4" t="str">
        <f>HYPERLINK("http://141.218.60.56/~jnz1568/getInfo.php?workbook=01_01.xlsx&amp;sheet=U0&amp;row=678&amp;col=9&amp;number=&amp;sourceID=17","")</f>
        <v/>
      </c>
    </row>
    <row r="679" spans="1:9">
      <c r="A679" s="3">
        <v>1</v>
      </c>
      <c r="B679" s="3">
        <v>1</v>
      </c>
      <c r="C679" s="3">
        <v>14</v>
      </c>
      <c r="D679" s="3">
        <v>6</v>
      </c>
      <c r="E679" s="3">
        <v>1</v>
      </c>
      <c r="F679" s="4" t="str">
        <f>HYPERLINK("http://141.218.60.56/~jnz1568/getInfo.php?workbook=01_01.xlsx&amp;sheet=U0&amp;row=679&amp;col=6&amp;number==LOG10(2500)&amp;sourceID=16","=LOG10(2500)")</f>
        <v>=LOG10(2500)</v>
      </c>
      <c r="G679" s="4" t="str">
        <f>HYPERLINK("http://141.218.60.56/~jnz1568/getInfo.php?workbook=01_01.xlsx&amp;sheet=U0&amp;row=679&amp;col=7&amp;number=39.49&amp;sourceID=16","39.49")</f>
        <v>39.49</v>
      </c>
      <c r="H679" s="4" t="str">
        <f>HYPERLINK("http://141.218.60.56/~jnz1568/getInfo.php?workbook=01_01.xlsx&amp;sheet=U0&amp;row=679&amp;col=8&amp;number=3.764&amp;sourceID=17","3.764")</f>
        <v>3.764</v>
      </c>
      <c r="I679" s="4" t="str">
        <f>HYPERLINK("http://141.218.60.56/~jnz1568/getInfo.php?workbook=01_01.xlsx&amp;sheet=U0&amp;row=679&amp;col=9&amp;number=28.5&amp;sourceID=17","28.5")</f>
        <v>28.5</v>
      </c>
    </row>
    <row r="680" spans="1:9">
      <c r="A680" s="3"/>
      <c r="B680" s="3"/>
      <c r="C680" s="3"/>
      <c r="D680" s="3"/>
      <c r="E680" s="3">
        <v>2</v>
      </c>
      <c r="F680" s="4" t="str">
        <f>HYPERLINK("http://141.218.60.56/~jnz1568/getInfo.php?workbook=01_01.xlsx&amp;sheet=U0&amp;row=680&amp;col=6&amp;number=3.699&amp;sourceID=16","3.699")</f>
        <v>3.699</v>
      </c>
      <c r="G680" s="4" t="str">
        <f>HYPERLINK("http://141.218.60.56/~jnz1568/getInfo.php?workbook=01_01.xlsx&amp;sheet=U0&amp;row=680&amp;col=7&amp;number=59.15&amp;sourceID=16","59.15")</f>
        <v>59.15</v>
      </c>
      <c r="H680" s="4" t="str">
        <f>HYPERLINK("http://141.218.60.56/~jnz1568/getInfo.php?workbook=01_01.xlsx&amp;sheet=U0&amp;row=680&amp;col=8&amp;number=4.064&amp;sourceID=17","4.064")</f>
        <v>4.064</v>
      </c>
      <c r="I680" s="4" t="str">
        <f>HYPERLINK("http://141.218.60.56/~jnz1568/getInfo.php?workbook=01_01.xlsx&amp;sheet=U0&amp;row=680&amp;col=9&amp;number=40.1&amp;sourceID=17","40.1")</f>
        <v>40.1</v>
      </c>
    </row>
    <row r="681" spans="1:9">
      <c r="A681" s="3"/>
      <c r="B681" s="3"/>
      <c r="C681" s="3"/>
      <c r="D681" s="3"/>
      <c r="E681" s="3">
        <v>3</v>
      </c>
      <c r="F681" s="4" t="str">
        <f>HYPERLINK("http://141.218.60.56/~jnz1568/getInfo.php?workbook=01_01.xlsx&amp;sheet=U0&amp;row=681&amp;col=6&amp;number=3.875&amp;sourceID=16","3.875")</f>
        <v>3.875</v>
      </c>
      <c r="G681" s="4" t="str">
        <f>HYPERLINK("http://141.218.60.56/~jnz1568/getInfo.php?workbook=01_01.xlsx&amp;sheet=U0&amp;row=681&amp;col=7&amp;number=71.93&amp;sourceID=16","71.93")</f>
        <v>71.93</v>
      </c>
      <c r="H681" s="4" t="str">
        <f>HYPERLINK("http://141.218.60.56/~jnz1568/getInfo.php?workbook=01_01.xlsx&amp;sheet=U0&amp;row=681&amp;col=8&amp;number=4.542&amp;sourceID=17","4.542")</f>
        <v>4.542</v>
      </c>
      <c r="I681" s="4" t="str">
        <f>HYPERLINK("http://141.218.60.56/~jnz1568/getInfo.php?workbook=01_01.xlsx&amp;sheet=U0&amp;row=681&amp;col=9&amp;number=78.1&amp;sourceID=17","78.1")</f>
        <v>78.1</v>
      </c>
    </row>
    <row r="682" spans="1:9">
      <c r="A682" s="3"/>
      <c r="B682" s="3"/>
      <c r="C682" s="3"/>
      <c r="D682" s="3"/>
      <c r="E682" s="3">
        <v>4</v>
      </c>
      <c r="F682" s="4" t="str">
        <f>HYPERLINK("http://141.218.60.56/~jnz1568/getInfo.php?workbook=01_01.xlsx&amp;sheet=U0&amp;row=682&amp;col=6&amp;number=4&amp;sourceID=16","4")</f>
        <v>4</v>
      </c>
      <c r="G682" s="4" t="str">
        <f>HYPERLINK("http://141.218.60.56/~jnz1568/getInfo.php?workbook=01_01.xlsx&amp;sheet=U0&amp;row=682&amp;col=7&amp;number=82.74&amp;sourceID=16","82.74")</f>
        <v>82.74</v>
      </c>
      <c r="H682" s="4" t="str">
        <f>HYPERLINK("http://141.218.60.56/~jnz1568/getInfo.php?workbook=01_01.xlsx&amp;sheet=U0&amp;row=682&amp;col=8&amp;number=4.764&amp;sourceID=17","4.764")</f>
        <v>4.764</v>
      </c>
      <c r="I682" s="4" t="str">
        <f>HYPERLINK("http://141.218.60.56/~jnz1568/getInfo.php?workbook=01_01.xlsx&amp;sheet=U0&amp;row=682&amp;col=9&amp;number=106&amp;sourceID=17","106")</f>
        <v>106</v>
      </c>
    </row>
    <row r="683" spans="1:9">
      <c r="A683" s="3"/>
      <c r="B683" s="3"/>
      <c r="C683" s="3"/>
      <c r="D683" s="3"/>
      <c r="E683" s="3">
        <v>5</v>
      </c>
      <c r="F683" s="4" t="str">
        <f>HYPERLINK("http://141.218.60.56/~jnz1568/getInfo.php?workbook=01_01.xlsx&amp;sheet=U0&amp;row=683&amp;col=6&amp;number=4.176&amp;sourceID=16","4.176")</f>
        <v>4.176</v>
      </c>
      <c r="G683" s="4" t="str">
        <f>HYPERLINK("http://141.218.60.56/~jnz1568/getInfo.php?workbook=01_01.xlsx&amp;sheet=U0&amp;row=683&amp;col=7&amp;number=100.8&amp;sourceID=16","100.8")</f>
        <v>100.8</v>
      </c>
      <c r="H683" s="4" t="str">
        <f>HYPERLINK("http://141.218.60.56/~jnz1568/getInfo.php?workbook=01_01.xlsx&amp;sheet=U0&amp;row=683&amp;col=8&amp;number=5.064&amp;sourceID=17","5.064")</f>
        <v>5.064</v>
      </c>
      <c r="I683" s="4" t="str">
        <f>HYPERLINK("http://141.218.60.56/~jnz1568/getInfo.php?workbook=01_01.xlsx&amp;sheet=U0&amp;row=683&amp;col=9&amp;number=150&amp;sourceID=17","150")</f>
        <v>150</v>
      </c>
    </row>
    <row r="684" spans="1:9">
      <c r="A684" s="3"/>
      <c r="B684" s="3"/>
      <c r="C684" s="3"/>
      <c r="D684" s="3"/>
      <c r="E684" s="3">
        <v>6</v>
      </c>
      <c r="F684" s="4" t="str">
        <f>HYPERLINK("http://141.218.60.56/~jnz1568/getInfo.php?workbook=01_01.xlsx&amp;sheet=U0&amp;row=684&amp;col=6&amp;number=4.301&amp;sourceID=16","4.301")</f>
        <v>4.301</v>
      </c>
      <c r="G684" s="4" t="str">
        <f>HYPERLINK("http://141.218.60.56/~jnz1568/getInfo.php?workbook=01_01.xlsx&amp;sheet=U0&amp;row=684&amp;col=7&amp;number=115.6&amp;sourceID=16","115.6")</f>
        <v>115.6</v>
      </c>
      <c r="H684" s="4" t="str">
        <f>HYPERLINK("http://141.218.60.56/~jnz1568/getInfo.php?workbook=01_01.xlsx&amp;sheet=U0&amp;row=684&amp;col=8&amp;number=5.241&amp;sourceID=17","5.241")</f>
        <v>5.241</v>
      </c>
      <c r="I684" s="4" t="str">
        <f>HYPERLINK("http://141.218.60.56/~jnz1568/getInfo.php?workbook=01_01.xlsx&amp;sheet=U0&amp;row=684&amp;col=9&amp;number=179&amp;sourceID=17","179")</f>
        <v>179</v>
      </c>
    </row>
    <row r="685" spans="1:9">
      <c r="A685" s="3"/>
      <c r="B685" s="3"/>
      <c r="C685" s="3"/>
      <c r="D685" s="3"/>
      <c r="E685" s="3">
        <v>7</v>
      </c>
      <c r="F685" s="4" t="str">
        <f>HYPERLINK("http://141.218.60.56/~jnz1568/getInfo.php?workbook=01_01.xlsx&amp;sheet=U0&amp;row=685&amp;col=6&amp;number=4.477&amp;sourceID=16","4.477")</f>
        <v>4.477</v>
      </c>
      <c r="G685" s="4" t="str">
        <f>HYPERLINK("http://141.218.60.56/~jnz1568/getInfo.php?workbook=01_01.xlsx&amp;sheet=U0&amp;row=685&amp;col=7&amp;number=139.4&amp;sourceID=16","139.4")</f>
        <v>139.4</v>
      </c>
      <c r="H685" s="4" t="str">
        <f>HYPERLINK("http://141.218.60.56/~jnz1568/getInfo.php?workbook=01_01.xlsx&amp;sheet=U0&amp;row=685&amp;col=8&amp;number=5.366&amp;sourceID=17","5.366")</f>
        <v>5.366</v>
      </c>
      <c r="I685" s="4" t="str">
        <f>HYPERLINK("http://141.218.60.56/~jnz1568/getInfo.php?workbook=01_01.xlsx&amp;sheet=U0&amp;row=685&amp;col=9&amp;number=200&amp;sourceID=17","200")</f>
        <v>200</v>
      </c>
    </row>
    <row r="686" spans="1:9">
      <c r="A686" s="3"/>
      <c r="B686" s="3"/>
      <c r="C686" s="3"/>
      <c r="D686" s="3"/>
      <c r="E686" s="3">
        <v>8</v>
      </c>
      <c r="F686" s="4" t="str">
        <f>HYPERLINK("http://141.218.60.56/~jnz1568/getInfo.php?workbook=01_01.xlsx&amp;sheet=U0&amp;row=686&amp;col=6&amp;number=4.602&amp;sourceID=16","4.602")</f>
        <v>4.602</v>
      </c>
      <c r="G686" s="4" t="str">
        <f>HYPERLINK("http://141.218.60.56/~jnz1568/getInfo.php?workbook=01_01.xlsx&amp;sheet=U0&amp;row=686&amp;col=7&amp;number=158.1&amp;sourceID=16","158.1")</f>
        <v>158.1</v>
      </c>
      <c r="H686" s="4" t="str">
        <f>HYPERLINK("http://141.218.60.56/~jnz1568/getInfo.php?workbook=01_01.xlsx&amp;sheet=U0&amp;row=686&amp;col=8&amp;number=5.463&amp;sourceID=17","5.463")</f>
        <v>5.463</v>
      </c>
      <c r="I686" s="4" t="str">
        <f>HYPERLINK("http://141.218.60.56/~jnz1568/getInfo.php?workbook=01_01.xlsx&amp;sheet=U0&amp;row=686&amp;col=9&amp;number=217&amp;sourceID=17","217")</f>
        <v>217</v>
      </c>
    </row>
    <row r="687" spans="1:9">
      <c r="A687" s="3"/>
      <c r="B687" s="3"/>
      <c r="C687" s="3"/>
      <c r="D687" s="3"/>
      <c r="E687" s="3">
        <v>9</v>
      </c>
      <c r="F687" s="4" t="str">
        <f>HYPERLINK("http://141.218.60.56/~jnz1568/getInfo.php?workbook=01_01.xlsx&amp;sheet=U0&amp;row=687&amp;col=6&amp;number=4.699&amp;sourceID=16","4.699")</f>
        <v>4.699</v>
      </c>
      <c r="G687" s="4" t="str">
        <f>HYPERLINK("http://141.218.60.56/~jnz1568/getInfo.php?workbook=01_01.xlsx&amp;sheet=U0&amp;row=687&amp;col=7&amp;number=173&amp;sourceID=16","173")</f>
        <v>173</v>
      </c>
      <c r="H687" s="4" t="str">
        <f>HYPERLINK("http://141.218.60.56/~jnz1568/getInfo.php?workbook=01_01.xlsx&amp;sheet=U0&amp;row=687&amp;col=8&amp;number=&amp;sourceID=17","")</f>
        <v/>
      </c>
      <c r="I687" s="4" t="str">
        <f>HYPERLINK("http://141.218.60.56/~jnz1568/getInfo.php?workbook=01_01.xlsx&amp;sheet=U0&amp;row=687&amp;col=9&amp;number=&amp;sourceID=17","")</f>
        <v/>
      </c>
    </row>
    <row r="688" spans="1:9">
      <c r="A688" s="3">
        <v>1</v>
      </c>
      <c r="B688" s="3">
        <v>1</v>
      </c>
      <c r="C688" s="3">
        <v>14</v>
      </c>
      <c r="D688" s="3">
        <v>7</v>
      </c>
      <c r="E688" s="3">
        <v>1</v>
      </c>
      <c r="F688" s="4" t="str">
        <f>HYPERLINK("http://141.218.60.56/~jnz1568/getInfo.php?workbook=01_01.xlsx&amp;sheet=U0&amp;row=688&amp;col=6&amp;number==LOG10(2500)&amp;sourceID=16","=LOG10(2500)")</f>
        <v>=LOG10(2500)</v>
      </c>
      <c r="G688" s="4" t="str">
        <f>HYPERLINK("http://141.218.60.56/~jnz1568/getInfo.php?workbook=01_01.xlsx&amp;sheet=U0&amp;row=688&amp;col=7&amp;number=16.04&amp;sourceID=16","16.04")</f>
        <v>16.04</v>
      </c>
      <c r="H688" s="4" t="str">
        <f>HYPERLINK("http://141.218.60.56/~jnz1568/getInfo.php?workbook=01_01.xlsx&amp;sheet=U0&amp;row=688&amp;col=8&amp;number=3.764&amp;sourceID=17","3.764")</f>
        <v>3.764</v>
      </c>
      <c r="I688" s="4" t="str">
        <f>HYPERLINK("http://141.218.60.56/~jnz1568/getInfo.php?workbook=01_01.xlsx&amp;sheet=U0&amp;row=688&amp;col=9&amp;number=22.2&amp;sourceID=17","22.2")</f>
        <v>22.2</v>
      </c>
    </row>
    <row r="689" spans="1:9">
      <c r="A689" s="3"/>
      <c r="B689" s="3"/>
      <c r="C689" s="3"/>
      <c r="D689" s="3"/>
      <c r="E689" s="3">
        <v>2</v>
      </c>
      <c r="F689" s="4" t="str">
        <f>HYPERLINK("http://141.218.60.56/~jnz1568/getInfo.php?workbook=01_01.xlsx&amp;sheet=U0&amp;row=689&amp;col=6&amp;number=3.699&amp;sourceID=16","3.699")</f>
        <v>3.699</v>
      </c>
      <c r="G689" s="4" t="str">
        <f>HYPERLINK("http://141.218.60.56/~jnz1568/getInfo.php?workbook=01_01.xlsx&amp;sheet=U0&amp;row=689&amp;col=7&amp;number=28.68&amp;sourceID=16","28.68")</f>
        <v>28.68</v>
      </c>
      <c r="H689" s="4" t="str">
        <f>HYPERLINK("http://141.218.60.56/~jnz1568/getInfo.php?workbook=01_01.xlsx&amp;sheet=U0&amp;row=689&amp;col=8&amp;number=4.064&amp;sourceID=17","4.064")</f>
        <v>4.064</v>
      </c>
      <c r="I689" s="4" t="str">
        <f>HYPERLINK("http://141.218.60.56/~jnz1568/getInfo.php?workbook=01_01.xlsx&amp;sheet=U0&amp;row=689&amp;col=9&amp;number=34.8&amp;sourceID=17","34.8")</f>
        <v>34.8</v>
      </c>
    </row>
    <row r="690" spans="1:9">
      <c r="A690" s="3"/>
      <c r="B690" s="3"/>
      <c r="C690" s="3"/>
      <c r="D690" s="3"/>
      <c r="E690" s="3">
        <v>3</v>
      </c>
      <c r="F690" s="4" t="str">
        <f>HYPERLINK("http://141.218.60.56/~jnz1568/getInfo.php?workbook=01_01.xlsx&amp;sheet=U0&amp;row=690&amp;col=6&amp;number=3.875&amp;sourceID=16","3.875")</f>
        <v>3.875</v>
      </c>
      <c r="G690" s="4" t="str">
        <f>HYPERLINK("http://141.218.60.56/~jnz1568/getInfo.php?workbook=01_01.xlsx&amp;sheet=U0&amp;row=690&amp;col=7&amp;number=38.98&amp;sourceID=16","38.98")</f>
        <v>38.98</v>
      </c>
      <c r="H690" s="4" t="str">
        <f>HYPERLINK("http://141.218.60.56/~jnz1568/getInfo.php?workbook=01_01.xlsx&amp;sheet=U0&amp;row=690&amp;col=8&amp;number=4.542&amp;sourceID=17","4.542")</f>
        <v>4.542</v>
      </c>
      <c r="I690" s="4" t="str">
        <f>HYPERLINK("http://141.218.60.56/~jnz1568/getInfo.php?workbook=01_01.xlsx&amp;sheet=U0&amp;row=690&amp;col=9&amp;number=63&amp;sourceID=17","63")</f>
        <v>63</v>
      </c>
    </row>
    <row r="691" spans="1:9">
      <c r="A691" s="3"/>
      <c r="B691" s="3"/>
      <c r="C691" s="3"/>
      <c r="D691" s="3"/>
      <c r="E691" s="3">
        <v>4</v>
      </c>
      <c r="F691" s="4" t="str">
        <f>HYPERLINK("http://141.218.60.56/~jnz1568/getInfo.php?workbook=01_01.xlsx&amp;sheet=U0&amp;row=691&amp;col=6&amp;number=4&amp;sourceID=16","4")</f>
        <v>4</v>
      </c>
      <c r="G691" s="4" t="str">
        <f>HYPERLINK("http://141.218.60.56/~jnz1568/getInfo.php?workbook=01_01.xlsx&amp;sheet=U0&amp;row=691&amp;col=7&amp;number=47.8&amp;sourceID=16","47.8")</f>
        <v>47.8</v>
      </c>
      <c r="H691" s="4" t="str">
        <f>HYPERLINK("http://141.218.60.56/~jnz1568/getInfo.php?workbook=01_01.xlsx&amp;sheet=U0&amp;row=691&amp;col=8&amp;number=4.764&amp;sourceID=17","4.764")</f>
        <v>4.764</v>
      </c>
      <c r="I691" s="4" t="str">
        <f>HYPERLINK("http://141.218.60.56/~jnz1568/getInfo.php?workbook=01_01.xlsx&amp;sheet=U0&amp;row=691&amp;col=9&amp;number=76.3&amp;sourceID=17","76.3")</f>
        <v>76.3</v>
      </c>
    </row>
    <row r="692" spans="1:9">
      <c r="A692" s="3"/>
      <c r="B692" s="3"/>
      <c r="C692" s="3"/>
      <c r="D692" s="3"/>
      <c r="E692" s="3">
        <v>5</v>
      </c>
      <c r="F692" s="4" t="str">
        <f>HYPERLINK("http://141.218.60.56/~jnz1568/getInfo.php?workbook=01_01.xlsx&amp;sheet=U0&amp;row=692&amp;col=6&amp;number=4.176&amp;sourceID=16","4.176")</f>
        <v>4.176</v>
      </c>
      <c r="G692" s="4" t="str">
        <f>HYPERLINK("http://141.218.60.56/~jnz1568/getInfo.php?workbook=01_01.xlsx&amp;sheet=U0&amp;row=692&amp;col=7&amp;number=61.8&amp;sourceID=16","61.8")</f>
        <v>61.8</v>
      </c>
      <c r="H692" s="4" t="str">
        <f>HYPERLINK("http://141.218.60.56/~jnz1568/getInfo.php?workbook=01_01.xlsx&amp;sheet=U0&amp;row=692&amp;col=8&amp;number=5.064&amp;sourceID=17","5.064")</f>
        <v>5.064</v>
      </c>
      <c r="I692" s="4" t="str">
        <f>HYPERLINK("http://141.218.60.56/~jnz1568/getInfo.php?workbook=01_01.xlsx&amp;sheet=U0&amp;row=692&amp;col=9&amp;number=90.8&amp;sourceID=17","90.8")</f>
        <v>90.8</v>
      </c>
    </row>
    <row r="693" spans="1:9">
      <c r="A693" s="3"/>
      <c r="B693" s="3"/>
      <c r="C693" s="3"/>
      <c r="D693" s="3"/>
      <c r="E693" s="3">
        <v>6</v>
      </c>
      <c r="F693" s="4" t="str">
        <f>HYPERLINK("http://141.218.60.56/~jnz1568/getInfo.php?workbook=01_01.xlsx&amp;sheet=U0&amp;row=693&amp;col=6&amp;number=4.301&amp;sourceID=16","4.301")</f>
        <v>4.301</v>
      </c>
      <c r="G693" s="4" t="str">
        <f>HYPERLINK("http://141.218.60.56/~jnz1568/getInfo.php?workbook=01_01.xlsx&amp;sheet=U0&amp;row=693&amp;col=7&amp;number=72.31&amp;sourceID=16","72.31")</f>
        <v>72.31</v>
      </c>
      <c r="H693" s="4" t="str">
        <f>HYPERLINK("http://141.218.60.56/~jnz1568/getInfo.php?workbook=01_01.xlsx&amp;sheet=U0&amp;row=693&amp;col=8&amp;number=5.241&amp;sourceID=17","5.241")</f>
        <v>5.241</v>
      </c>
      <c r="I693" s="4" t="str">
        <f>HYPERLINK("http://141.218.60.56/~jnz1568/getInfo.php?workbook=01_01.xlsx&amp;sheet=U0&amp;row=693&amp;col=9&amp;number=96.9&amp;sourceID=17","96.9")</f>
        <v>96.9</v>
      </c>
    </row>
    <row r="694" spans="1:9">
      <c r="A694" s="3"/>
      <c r="B694" s="3"/>
      <c r="C694" s="3"/>
      <c r="D694" s="3"/>
      <c r="E694" s="3">
        <v>7</v>
      </c>
      <c r="F694" s="4" t="str">
        <f>HYPERLINK("http://141.218.60.56/~jnz1568/getInfo.php?workbook=01_01.xlsx&amp;sheet=U0&amp;row=694&amp;col=6&amp;number=4.477&amp;sourceID=16","4.477")</f>
        <v>4.477</v>
      </c>
      <c r="G694" s="4" t="str">
        <f>HYPERLINK("http://141.218.60.56/~jnz1568/getInfo.php?workbook=01_01.xlsx&amp;sheet=U0&amp;row=694&amp;col=7&amp;number=87.13&amp;sourceID=16","87.13")</f>
        <v>87.13</v>
      </c>
      <c r="H694" s="4" t="str">
        <f>HYPERLINK("http://141.218.60.56/~jnz1568/getInfo.php?workbook=01_01.xlsx&amp;sheet=U0&amp;row=694&amp;col=8&amp;number=5.366&amp;sourceID=17","5.366")</f>
        <v>5.366</v>
      </c>
      <c r="I694" s="4" t="str">
        <f>HYPERLINK("http://141.218.60.56/~jnz1568/getInfo.php?workbook=01_01.xlsx&amp;sheet=U0&amp;row=694&amp;col=9&amp;number=100&amp;sourceID=17","100")</f>
        <v>100</v>
      </c>
    </row>
    <row r="695" spans="1:9">
      <c r="A695" s="3"/>
      <c r="B695" s="3"/>
      <c r="C695" s="3"/>
      <c r="D695" s="3"/>
      <c r="E695" s="3">
        <v>8</v>
      </c>
      <c r="F695" s="4" t="str">
        <f>HYPERLINK("http://141.218.60.56/~jnz1568/getInfo.php?workbook=01_01.xlsx&amp;sheet=U0&amp;row=695&amp;col=6&amp;number=4.602&amp;sourceID=16","4.602")</f>
        <v>4.602</v>
      </c>
      <c r="G695" s="4" t="str">
        <f>HYPERLINK("http://141.218.60.56/~jnz1568/getInfo.php?workbook=01_01.xlsx&amp;sheet=U0&amp;row=695&amp;col=7&amp;number=97.17&amp;sourceID=16","97.17")</f>
        <v>97.17</v>
      </c>
      <c r="H695" s="4" t="str">
        <f>HYPERLINK("http://141.218.60.56/~jnz1568/getInfo.php?workbook=01_01.xlsx&amp;sheet=U0&amp;row=695&amp;col=8&amp;number=5.463&amp;sourceID=17","5.463")</f>
        <v>5.463</v>
      </c>
      <c r="I695" s="4" t="str">
        <f>HYPERLINK("http://141.218.60.56/~jnz1568/getInfo.php?workbook=01_01.xlsx&amp;sheet=U0&amp;row=695&amp;col=9&amp;number=102&amp;sourceID=17","102")</f>
        <v>102</v>
      </c>
    </row>
    <row r="696" spans="1:9">
      <c r="A696" s="3"/>
      <c r="B696" s="3"/>
      <c r="C696" s="3"/>
      <c r="D696" s="3"/>
      <c r="E696" s="3">
        <v>9</v>
      </c>
      <c r="F696" s="4" t="str">
        <f>HYPERLINK("http://141.218.60.56/~jnz1568/getInfo.php?workbook=01_01.xlsx&amp;sheet=U0&amp;row=696&amp;col=6&amp;number=4.699&amp;sourceID=16","4.699")</f>
        <v>4.699</v>
      </c>
      <c r="G696" s="4" t="str">
        <f>HYPERLINK("http://141.218.60.56/~jnz1568/getInfo.php?workbook=01_01.xlsx&amp;sheet=U0&amp;row=696&amp;col=7&amp;number=104.1&amp;sourceID=16","104.1")</f>
        <v>104.1</v>
      </c>
      <c r="H696" s="4" t="str">
        <f>HYPERLINK("http://141.218.60.56/~jnz1568/getInfo.php?workbook=01_01.xlsx&amp;sheet=U0&amp;row=696&amp;col=8&amp;number=&amp;sourceID=17","")</f>
        <v/>
      </c>
      <c r="I696" s="4" t="str">
        <f>HYPERLINK("http://141.218.60.56/~jnz1568/getInfo.php?workbook=01_01.xlsx&amp;sheet=U0&amp;row=696&amp;col=9&amp;number=&amp;sourceID=17","")</f>
        <v/>
      </c>
    </row>
    <row r="697" spans="1:9">
      <c r="A697" s="3">
        <v>1</v>
      </c>
      <c r="B697" s="3">
        <v>1</v>
      </c>
      <c r="C697" s="3">
        <v>14</v>
      </c>
      <c r="D697" s="3">
        <v>8</v>
      </c>
      <c r="E697" s="3">
        <v>1</v>
      </c>
      <c r="F697" s="4" t="str">
        <f>HYPERLINK("http://141.218.60.56/~jnz1568/getInfo.php?workbook=01_01.xlsx&amp;sheet=U0&amp;row=697&amp;col=6&amp;number==LOG10(2500)&amp;sourceID=16","=LOG10(2500)")</f>
        <v>=LOG10(2500)</v>
      </c>
      <c r="G697" s="4" t="str">
        <f>HYPERLINK("http://141.218.60.56/~jnz1568/getInfo.php?workbook=01_01.xlsx&amp;sheet=U0&amp;row=697&amp;col=7&amp;number=47.63&amp;sourceID=16","47.63")</f>
        <v>47.63</v>
      </c>
      <c r="H697" s="4" t="str">
        <f>HYPERLINK("http://141.218.60.56/~jnz1568/getInfo.php?workbook=01_01.xlsx&amp;sheet=U0&amp;row=697&amp;col=8&amp;number=3.764&amp;sourceID=17","3.764")</f>
        <v>3.764</v>
      </c>
      <c r="I697" s="4" t="str">
        <f>HYPERLINK("http://141.218.60.56/~jnz1568/getInfo.php?workbook=01_01.xlsx&amp;sheet=U0&amp;row=697&amp;col=9&amp;number=69.1&amp;sourceID=17","69.1")</f>
        <v>69.1</v>
      </c>
    </row>
    <row r="698" spans="1:9">
      <c r="A698" s="3"/>
      <c r="B698" s="3"/>
      <c r="C698" s="3"/>
      <c r="D698" s="3"/>
      <c r="E698" s="3">
        <v>2</v>
      </c>
      <c r="F698" s="4" t="str">
        <f>HYPERLINK("http://141.218.60.56/~jnz1568/getInfo.php?workbook=01_01.xlsx&amp;sheet=U0&amp;row=698&amp;col=6&amp;number=3.699&amp;sourceID=16","3.699")</f>
        <v>3.699</v>
      </c>
      <c r="G698" s="4" t="str">
        <f>HYPERLINK("http://141.218.60.56/~jnz1568/getInfo.php?workbook=01_01.xlsx&amp;sheet=U0&amp;row=698&amp;col=7&amp;number=83.06&amp;sourceID=16","83.06")</f>
        <v>83.06</v>
      </c>
      <c r="H698" s="4" t="str">
        <f>HYPERLINK("http://141.218.60.56/~jnz1568/getInfo.php?workbook=01_01.xlsx&amp;sheet=U0&amp;row=698&amp;col=8&amp;number=4.064&amp;sourceID=17","4.064")</f>
        <v>4.064</v>
      </c>
      <c r="I698" s="4" t="str">
        <f>HYPERLINK("http://141.218.60.56/~jnz1568/getInfo.php?workbook=01_01.xlsx&amp;sheet=U0&amp;row=698&amp;col=9&amp;number=115&amp;sourceID=17","115")</f>
        <v>115</v>
      </c>
    </row>
    <row r="699" spans="1:9">
      <c r="A699" s="3"/>
      <c r="B699" s="3"/>
      <c r="C699" s="3"/>
      <c r="D699" s="3"/>
      <c r="E699" s="3">
        <v>3</v>
      </c>
      <c r="F699" s="4" t="str">
        <f>HYPERLINK("http://141.218.60.56/~jnz1568/getInfo.php?workbook=01_01.xlsx&amp;sheet=U0&amp;row=699&amp;col=6&amp;number=3.875&amp;sourceID=16","3.875")</f>
        <v>3.875</v>
      </c>
      <c r="G699" s="4" t="str">
        <f>HYPERLINK("http://141.218.60.56/~jnz1568/getInfo.php?workbook=01_01.xlsx&amp;sheet=U0&amp;row=699&amp;col=7&amp;number=114.1&amp;sourceID=16","114.1")</f>
        <v>114.1</v>
      </c>
      <c r="H699" s="4" t="str">
        <f>HYPERLINK("http://141.218.60.56/~jnz1568/getInfo.php?workbook=01_01.xlsx&amp;sheet=U0&amp;row=699&amp;col=8&amp;number=4.542&amp;sourceID=17","4.542")</f>
        <v>4.542</v>
      </c>
      <c r="I699" s="4" t="str">
        <f>HYPERLINK("http://141.218.60.56/~jnz1568/getInfo.php?workbook=01_01.xlsx&amp;sheet=U0&amp;row=699&amp;col=9&amp;number=241&amp;sourceID=17","241")</f>
        <v>241</v>
      </c>
    </row>
    <row r="700" spans="1:9">
      <c r="A700" s="3"/>
      <c r="B700" s="3"/>
      <c r="C700" s="3"/>
      <c r="D700" s="3"/>
      <c r="E700" s="3">
        <v>4</v>
      </c>
      <c r="F700" s="4" t="str">
        <f>HYPERLINK("http://141.218.60.56/~jnz1568/getInfo.php?workbook=01_01.xlsx&amp;sheet=U0&amp;row=700&amp;col=6&amp;number=4&amp;sourceID=16","4")</f>
        <v>4</v>
      </c>
      <c r="G700" s="4" t="str">
        <f>HYPERLINK("http://141.218.60.56/~jnz1568/getInfo.php?workbook=01_01.xlsx&amp;sheet=U0&amp;row=700&amp;col=7&amp;number=142.6&amp;sourceID=16","142.6")</f>
        <v>142.6</v>
      </c>
      <c r="H700" s="4" t="str">
        <f>HYPERLINK("http://141.218.60.56/~jnz1568/getInfo.php?workbook=01_01.xlsx&amp;sheet=U0&amp;row=700&amp;col=8&amp;number=4.764&amp;sourceID=17","4.764")</f>
        <v>4.764</v>
      </c>
      <c r="I700" s="4" t="str">
        <f>HYPERLINK("http://141.218.60.56/~jnz1568/getInfo.php?workbook=01_01.xlsx&amp;sheet=U0&amp;row=700&amp;col=9&amp;number=315&amp;sourceID=17","315")</f>
        <v>315</v>
      </c>
    </row>
    <row r="701" spans="1:9">
      <c r="A701" s="3"/>
      <c r="B701" s="3"/>
      <c r="C701" s="3"/>
      <c r="D701" s="3"/>
      <c r="E701" s="3">
        <v>5</v>
      </c>
      <c r="F701" s="4" t="str">
        <f>HYPERLINK("http://141.218.60.56/~jnz1568/getInfo.php?workbook=01_01.xlsx&amp;sheet=U0&amp;row=701&amp;col=6&amp;number=4.176&amp;sourceID=16","4.176")</f>
        <v>4.176</v>
      </c>
      <c r="G701" s="4" t="str">
        <f>HYPERLINK("http://141.218.60.56/~jnz1568/getInfo.php?workbook=01_01.xlsx&amp;sheet=U0&amp;row=701&amp;col=7&amp;number=192.7&amp;sourceID=16","192.7")</f>
        <v>192.7</v>
      </c>
      <c r="H701" s="4" t="str">
        <f>HYPERLINK("http://141.218.60.56/~jnz1568/getInfo.php?workbook=01_01.xlsx&amp;sheet=U0&amp;row=701&amp;col=8&amp;number=5.064&amp;sourceID=17","5.064")</f>
        <v>5.064</v>
      </c>
      <c r="I701" s="4" t="str">
        <f>HYPERLINK("http://141.218.60.56/~jnz1568/getInfo.php?workbook=01_01.xlsx&amp;sheet=U0&amp;row=701&amp;col=9&amp;number=414&amp;sourceID=17","414")</f>
        <v>414</v>
      </c>
    </row>
    <row r="702" spans="1:9">
      <c r="A702" s="3"/>
      <c r="B702" s="3"/>
      <c r="C702" s="3"/>
      <c r="D702" s="3"/>
      <c r="E702" s="3">
        <v>6</v>
      </c>
      <c r="F702" s="4" t="str">
        <f>HYPERLINK("http://141.218.60.56/~jnz1568/getInfo.php?workbook=01_01.xlsx&amp;sheet=U0&amp;row=702&amp;col=6&amp;number=4.301&amp;sourceID=16","4.301")</f>
        <v>4.301</v>
      </c>
      <c r="G702" s="4" t="str">
        <f>HYPERLINK("http://141.218.60.56/~jnz1568/getInfo.php?workbook=01_01.xlsx&amp;sheet=U0&amp;row=702&amp;col=7&amp;number=235.2&amp;sourceID=16","235.2")</f>
        <v>235.2</v>
      </c>
      <c r="H702" s="4" t="str">
        <f>HYPERLINK("http://141.218.60.56/~jnz1568/getInfo.php?workbook=01_01.xlsx&amp;sheet=U0&amp;row=702&amp;col=8&amp;number=5.241&amp;sourceID=17","5.241")</f>
        <v>5.241</v>
      </c>
      <c r="I702" s="4" t="str">
        <f>HYPERLINK("http://141.218.60.56/~jnz1568/getInfo.php?workbook=01_01.xlsx&amp;sheet=U0&amp;row=702&amp;col=9&amp;number=465&amp;sourceID=17","465")</f>
        <v>465</v>
      </c>
    </row>
    <row r="703" spans="1:9">
      <c r="A703" s="3"/>
      <c r="B703" s="3"/>
      <c r="C703" s="3"/>
      <c r="D703" s="3"/>
      <c r="E703" s="3">
        <v>7</v>
      </c>
      <c r="F703" s="4" t="str">
        <f>HYPERLINK("http://141.218.60.56/~jnz1568/getInfo.php?workbook=01_01.xlsx&amp;sheet=U0&amp;row=703&amp;col=6&amp;number=4.477&amp;sourceID=16","4.477")</f>
        <v>4.477</v>
      </c>
      <c r="G703" s="4" t="str">
        <f>HYPERLINK("http://141.218.60.56/~jnz1568/getInfo.php?workbook=01_01.xlsx&amp;sheet=U0&amp;row=703&amp;col=7&amp;number=304.4&amp;sourceID=16","304.4")</f>
        <v>304.4</v>
      </c>
      <c r="H703" s="4" t="str">
        <f>HYPERLINK("http://141.218.60.56/~jnz1568/getInfo.php?workbook=01_01.xlsx&amp;sheet=U0&amp;row=703&amp;col=8&amp;number=5.366&amp;sourceID=17","5.366")</f>
        <v>5.366</v>
      </c>
      <c r="I703" s="4" t="str">
        <f>HYPERLINK("http://141.218.60.56/~jnz1568/getInfo.php?workbook=01_01.xlsx&amp;sheet=U0&amp;row=703&amp;col=9&amp;number=498&amp;sourceID=17","498")</f>
        <v>498</v>
      </c>
    </row>
    <row r="704" spans="1:9">
      <c r="A704" s="3"/>
      <c r="B704" s="3"/>
      <c r="C704" s="3"/>
      <c r="D704" s="3"/>
      <c r="E704" s="3">
        <v>8</v>
      </c>
      <c r="F704" s="4" t="str">
        <f>HYPERLINK("http://141.218.60.56/~jnz1568/getInfo.php?workbook=01_01.xlsx&amp;sheet=U0&amp;row=704&amp;col=6&amp;number=4.602&amp;sourceID=16","4.602")</f>
        <v>4.602</v>
      </c>
      <c r="G704" s="4" t="str">
        <f>HYPERLINK("http://141.218.60.56/~jnz1568/getInfo.php?workbook=01_01.xlsx&amp;sheet=U0&amp;row=704&amp;col=7&amp;number=358.3&amp;sourceID=16","358.3")</f>
        <v>358.3</v>
      </c>
      <c r="H704" s="4" t="str">
        <f>HYPERLINK("http://141.218.60.56/~jnz1568/getInfo.php?workbook=01_01.xlsx&amp;sheet=U0&amp;row=704&amp;col=8&amp;number=5.463&amp;sourceID=17","5.463")</f>
        <v>5.463</v>
      </c>
      <c r="I704" s="4" t="str">
        <f>HYPERLINK("http://141.218.60.56/~jnz1568/getInfo.php?workbook=01_01.xlsx&amp;sheet=U0&amp;row=704&amp;col=9&amp;number=521&amp;sourceID=17","521")</f>
        <v>521</v>
      </c>
    </row>
    <row r="705" spans="1:9">
      <c r="A705" s="3"/>
      <c r="B705" s="3"/>
      <c r="C705" s="3"/>
      <c r="D705" s="3"/>
      <c r="E705" s="3">
        <v>9</v>
      </c>
      <c r="F705" s="4" t="str">
        <f>HYPERLINK("http://141.218.60.56/~jnz1568/getInfo.php?workbook=01_01.xlsx&amp;sheet=U0&amp;row=705&amp;col=6&amp;number=4.699&amp;sourceID=16","4.699")</f>
        <v>4.699</v>
      </c>
      <c r="G705" s="4" t="str">
        <f>HYPERLINK("http://141.218.60.56/~jnz1568/getInfo.php?workbook=01_01.xlsx&amp;sheet=U0&amp;row=705&amp;col=7&amp;number=401&amp;sourceID=16","401")</f>
        <v>401</v>
      </c>
      <c r="H705" s="4" t="str">
        <f>HYPERLINK("http://141.218.60.56/~jnz1568/getInfo.php?workbook=01_01.xlsx&amp;sheet=U0&amp;row=705&amp;col=8&amp;number=&amp;sourceID=17","")</f>
        <v/>
      </c>
      <c r="I705" s="4" t="str">
        <f>HYPERLINK("http://141.218.60.56/~jnz1568/getInfo.php?workbook=01_01.xlsx&amp;sheet=U0&amp;row=705&amp;col=9&amp;number=&amp;sourceID=17","")</f>
        <v/>
      </c>
    </row>
    <row r="706" spans="1:9">
      <c r="A706" s="3">
        <v>1</v>
      </c>
      <c r="B706" s="3">
        <v>1</v>
      </c>
      <c r="C706" s="3">
        <v>14</v>
      </c>
      <c r="D706" s="3">
        <v>9</v>
      </c>
      <c r="E706" s="3">
        <v>1</v>
      </c>
      <c r="F706" s="4" t="str">
        <f>HYPERLINK("http://141.218.60.56/~jnz1568/getInfo.php?workbook=01_01.xlsx&amp;sheet=U0&amp;row=706&amp;col=6&amp;number==LOG10(2500)&amp;sourceID=16","=LOG10(2500)")</f>
        <v>=LOG10(2500)</v>
      </c>
      <c r="G706" s="4" t="str">
        <f>HYPERLINK("http://141.218.60.56/~jnz1568/getInfo.php?workbook=01_01.xlsx&amp;sheet=U0&amp;row=706&amp;col=7&amp;number=62.32&amp;sourceID=16","62.32")</f>
        <v>62.32</v>
      </c>
      <c r="H706" s="4" t="str">
        <f>HYPERLINK("http://141.218.60.56/~jnz1568/getInfo.php?workbook=01_01.xlsx&amp;sheet=U0&amp;row=706&amp;col=8&amp;number=3.764&amp;sourceID=17","3.764")</f>
        <v>3.764</v>
      </c>
      <c r="I706" s="4" t="str">
        <f>HYPERLINK("http://141.218.60.56/~jnz1568/getInfo.php?workbook=01_01.xlsx&amp;sheet=U0&amp;row=706&amp;col=9&amp;number=107&amp;sourceID=17","107")</f>
        <v>107</v>
      </c>
    </row>
    <row r="707" spans="1:9">
      <c r="A707" s="3"/>
      <c r="B707" s="3"/>
      <c r="C707" s="3"/>
      <c r="D707" s="3"/>
      <c r="E707" s="3">
        <v>2</v>
      </c>
      <c r="F707" s="4" t="str">
        <f>HYPERLINK("http://141.218.60.56/~jnz1568/getInfo.php?workbook=01_01.xlsx&amp;sheet=U0&amp;row=707&amp;col=6&amp;number=3.699&amp;sourceID=16","3.699")</f>
        <v>3.699</v>
      </c>
      <c r="G707" s="4" t="str">
        <f>HYPERLINK("http://141.218.60.56/~jnz1568/getInfo.php?workbook=01_01.xlsx&amp;sheet=U0&amp;row=707&amp;col=7&amp;number=108&amp;sourceID=16","108")</f>
        <v>108</v>
      </c>
      <c r="H707" s="4" t="str">
        <f>HYPERLINK("http://141.218.60.56/~jnz1568/getInfo.php?workbook=01_01.xlsx&amp;sheet=U0&amp;row=707&amp;col=8&amp;number=4.064&amp;sourceID=17","4.064")</f>
        <v>4.064</v>
      </c>
      <c r="I707" s="4" t="str">
        <f>HYPERLINK("http://141.218.60.56/~jnz1568/getInfo.php?workbook=01_01.xlsx&amp;sheet=U0&amp;row=707&amp;col=9&amp;number=195&amp;sourceID=17","195")</f>
        <v>195</v>
      </c>
    </row>
    <row r="708" spans="1:9">
      <c r="A708" s="3"/>
      <c r="B708" s="3"/>
      <c r="C708" s="3"/>
      <c r="D708" s="3"/>
      <c r="E708" s="3">
        <v>3</v>
      </c>
      <c r="F708" s="4" t="str">
        <f>HYPERLINK("http://141.218.60.56/~jnz1568/getInfo.php?workbook=01_01.xlsx&amp;sheet=U0&amp;row=708&amp;col=6&amp;number=3.875&amp;sourceID=16","3.875")</f>
        <v>3.875</v>
      </c>
      <c r="G708" s="4" t="str">
        <f>HYPERLINK("http://141.218.60.56/~jnz1568/getInfo.php?workbook=01_01.xlsx&amp;sheet=U0&amp;row=708&amp;col=7&amp;number=157&amp;sourceID=16","157")</f>
        <v>157</v>
      </c>
      <c r="H708" s="4" t="str">
        <f>HYPERLINK("http://141.218.60.56/~jnz1568/getInfo.php?workbook=01_01.xlsx&amp;sheet=U0&amp;row=708&amp;col=8&amp;number=4.542&amp;sourceID=17","4.542")</f>
        <v>4.542</v>
      </c>
      <c r="I708" s="4" t="str">
        <f>HYPERLINK("http://141.218.60.56/~jnz1568/getInfo.php?workbook=01_01.xlsx&amp;sheet=U0&amp;row=708&amp;col=9&amp;number=537&amp;sourceID=17","537")</f>
        <v>537</v>
      </c>
    </row>
    <row r="709" spans="1:9">
      <c r="A709" s="3"/>
      <c r="B709" s="3"/>
      <c r="C709" s="3"/>
      <c r="D709" s="3"/>
      <c r="E709" s="3">
        <v>4</v>
      </c>
      <c r="F709" s="4" t="str">
        <f>HYPERLINK("http://141.218.60.56/~jnz1568/getInfo.php?workbook=01_01.xlsx&amp;sheet=U0&amp;row=709&amp;col=6&amp;number=4&amp;sourceID=16","4")</f>
        <v>4</v>
      </c>
      <c r="G709" s="4" t="str">
        <f>HYPERLINK("http://141.218.60.56/~jnz1568/getInfo.php?workbook=01_01.xlsx&amp;sheet=U0&amp;row=709&amp;col=7&amp;number=209&amp;sourceID=16","209")</f>
        <v>209</v>
      </c>
      <c r="H709" s="4" t="str">
        <f>HYPERLINK("http://141.218.60.56/~jnz1568/getInfo.php?workbook=01_01.xlsx&amp;sheet=U0&amp;row=709&amp;col=8&amp;number=4.764&amp;sourceID=17","4.764")</f>
        <v>4.764</v>
      </c>
      <c r="I709" s="4" t="str">
        <f>HYPERLINK("http://141.218.60.56/~jnz1568/getInfo.php?workbook=01_01.xlsx&amp;sheet=U0&amp;row=709&amp;col=9&amp;number=810&amp;sourceID=17","810")</f>
        <v>810</v>
      </c>
    </row>
    <row r="710" spans="1:9">
      <c r="A710" s="3"/>
      <c r="B710" s="3"/>
      <c r="C710" s="3"/>
      <c r="D710" s="3"/>
      <c r="E710" s="3">
        <v>5</v>
      </c>
      <c r="F710" s="4" t="str">
        <f>HYPERLINK("http://141.218.60.56/~jnz1568/getInfo.php?workbook=01_01.xlsx&amp;sheet=U0&amp;row=710&amp;col=6&amp;number=4.176&amp;sourceID=16","4.176")</f>
        <v>4.176</v>
      </c>
      <c r="G710" s="4" t="str">
        <f>HYPERLINK("http://141.218.60.56/~jnz1568/getInfo.php?workbook=01_01.xlsx&amp;sheet=U0&amp;row=710&amp;col=7&amp;number=316.1&amp;sourceID=16","316.1")</f>
        <v>316.1</v>
      </c>
      <c r="H710" s="4" t="str">
        <f>HYPERLINK("http://141.218.60.56/~jnz1568/getInfo.php?workbook=01_01.xlsx&amp;sheet=U0&amp;row=710&amp;col=8&amp;number=5.064&amp;sourceID=17","5.064")</f>
        <v>5.064</v>
      </c>
      <c r="I710" s="4" t="str">
        <f>HYPERLINK("http://141.218.60.56/~jnz1568/getInfo.php?workbook=01_01.xlsx&amp;sheet=U0&amp;row=710&amp;col=9&amp;number=1300&amp;sourceID=17","1300")</f>
        <v>1300</v>
      </c>
    </row>
    <row r="711" spans="1:9">
      <c r="A711" s="3"/>
      <c r="B711" s="3"/>
      <c r="C711" s="3"/>
      <c r="D711" s="3"/>
      <c r="E711" s="3">
        <v>6</v>
      </c>
      <c r="F711" s="4" t="str">
        <f>HYPERLINK("http://141.218.60.56/~jnz1568/getInfo.php?workbook=01_01.xlsx&amp;sheet=U0&amp;row=711&amp;col=6&amp;number=4.301&amp;sourceID=16","4.301")</f>
        <v>4.301</v>
      </c>
      <c r="G711" s="4" t="str">
        <f>HYPERLINK("http://141.218.60.56/~jnz1568/getInfo.php?workbook=01_01.xlsx&amp;sheet=U0&amp;row=711&amp;col=7&amp;number=424.4&amp;sourceID=16","424.4")</f>
        <v>424.4</v>
      </c>
      <c r="H711" s="4" t="str">
        <f>HYPERLINK("http://141.218.60.56/~jnz1568/getInfo.php?workbook=01_01.xlsx&amp;sheet=U0&amp;row=711&amp;col=8&amp;number=5.241&amp;sourceID=17","5.241")</f>
        <v>5.241</v>
      </c>
      <c r="I711" s="4" t="str">
        <f>HYPERLINK("http://141.218.60.56/~jnz1568/getInfo.php?workbook=01_01.xlsx&amp;sheet=U0&amp;row=711&amp;col=9&amp;number=1670&amp;sourceID=17","1670")</f>
        <v>1670</v>
      </c>
    </row>
    <row r="712" spans="1:9">
      <c r="A712" s="3"/>
      <c r="B712" s="3"/>
      <c r="C712" s="3"/>
      <c r="D712" s="3"/>
      <c r="E712" s="3">
        <v>7</v>
      </c>
      <c r="F712" s="4" t="str">
        <f>HYPERLINK("http://141.218.60.56/~jnz1568/getInfo.php?workbook=01_01.xlsx&amp;sheet=U0&amp;row=712&amp;col=6&amp;number=4.477&amp;sourceID=16","4.477")</f>
        <v>4.477</v>
      </c>
      <c r="G712" s="4" t="str">
        <f>HYPERLINK("http://141.218.60.56/~jnz1568/getInfo.php?workbook=01_01.xlsx&amp;sheet=U0&amp;row=712&amp;col=7&amp;number=636.8&amp;sourceID=16","636.8")</f>
        <v>636.8</v>
      </c>
      <c r="H712" s="4" t="str">
        <f>HYPERLINK("http://141.218.60.56/~jnz1568/getInfo.php?workbook=01_01.xlsx&amp;sheet=U0&amp;row=712&amp;col=8&amp;number=5.366&amp;sourceID=17","5.366")</f>
        <v>5.366</v>
      </c>
      <c r="I712" s="4" t="str">
        <f>HYPERLINK("http://141.218.60.56/~jnz1568/getInfo.php?workbook=01_01.xlsx&amp;sheet=U0&amp;row=712&amp;col=9&amp;number=1960&amp;sourceID=17","1960")</f>
        <v>1960</v>
      </c>
    </row>
    <row r="713" spans="1:9">
      <c r="A713" s="3"/>
      <c r="B713" s="3"/>
      <c r="C713" s="3"/>
      <c r="D713" s="3"/>
      <c r="E713" s="3">
        <v>8</v>
      </c>
      <c r="F713" s="4" t="str">
        <f>HYPERLINK("http://141.218.60.56/~jnz1568/getInfo.php?workbook=01_01.xlsx&amp;sheet=U0&amp;row=713&amp;col=6&amp;number=4.602&amp;sourceID=16","4.602")</f>
        <v>4.602</v>
      </c>
      <c r="G713" s="4" t="str">
        <f>HYPERLINK("http://141.218.60.56/~jnz1568/getInfo.php?workbook=01_01.xlsx&amp;sheet=U0&amp;row=713&amp;col=7&amp;number=831.8&amp;sourceID=16","831.8")</f>
        <v>831.8</v>
      </c>
      <c r="H713" s="4" t="str">
        <f>HYPERLINK("http://141.218.60.56/~jnz1568/getInfo.php?workbook=01_01.xlsx&amp;sheet=U0&amp;row=713&amp;col=8&amp;number=5.463&amp;sourceID=17","5.463")</f>
        <v>5.463</v>
      </c>
      <c r="I713" s="4" t="str">
        <f>HYPERLINK("http://141.218.60.56/~jnz1568/getInfo.php?workbook=01_01.xlsx&amp;sheet=U0&amp;row=713&amp;col=9&amp;number=2210&amp;sourceID=17","2210")</f>
        <v>2210</v>
      </c>
    </row>
    <row r="714" spans="1:9">
      <c r="A714" s="3"/>
      <c r="B714" s="3"/>
      <c r="C714" s="3"/>
      <c r="D714" s="3"/>
      <c r="E714" s="3">
        <v>9</v>
      </c>
      <c r="F714" s="4" t="str">
        <f>HYPERLINK("http://141.218.60.56/~jnz1568/getInfo.php?workbook=01_01.xlsx&amp;sheet=U0&amp;row=714&amp;col=6&amp;number=4.699&amp;sourceID=16","4.699")</f>
        <v>4.699</v>
      </c>
      <c r="G714" s="4" t="str">
        <f>HYPERLINK("http://141.218.60.56/~jnz1568/getInfo.php?workbook=01_01.xlsx&amp;sheet=U0&amp;row=714&amp;col=7&amp;number=1022&amp;sourceID=16","1022")</f>
        <v>1022</v>
      </c>
      <c r="H714" s="4" t="str">
        <f>HYPERLINK("http://141.218.60.56/~jnz1568/getInfo.php?workbook=01_01.xlsx&amp;sheet=U0&amp;row=714&amp;col=8&amp;number=&amp;sourceID=17","")</f>
        <v/>
      </c>
      <c r="I714" s="4" t="str">
        <f>HYPERLINK("http://141.218.60.56/~jnz1568/getInfo.php?workbook=01_01.xlsx&amp;sheet=U0&amp;row=714&amp;col=9&amp;number=&amp;sourceID=17","")</f>
        <v/>
      </c>
    </row>
    <row r="715" spans="1:9">
      <c r="A715" s="3">
        <v>1</v>
      </c>
      <c r="B715" s="3">
        <v>1</v>
      </c>
      <c r="C715" s="3">
        <v>14</v>
      </c>
      <c r="D715" s="3">
        <v>10</v>
      </c>
      <c r="E715" s="3">
        <v>1</v>
      </c>
      <c r="F715" s="4" t="str">
        <f>HYPERLINK("http://141.218.60.56/~jnz1568/getInfo.php?workbook=01_01.xlsx&amp;sheet=U0&amp;row=715&amp;col=6&amp;number==LOG10(2500)&amp;sourceID=16","=LOG10(2500)")</f>
        <v>=LOG10(2500)</v>
      </c>
      <c r="G715" s="4" t="str">
        <f>HYPERLINK("http://141.218.60.56/~jnz1568/getInfo.php?workbook=01_01.xlsx&amp;sheet=U0&amp;row=715&amp;col=7&amp;number=151.1&amp;sourceID=16","151.1")</f>
        <v>151.1</v>
      </c>
      <c r="H715" s="4" t="str">
        <f>HYPERLINK("http://141.218.60.56/~jnz1568/getInfo.php?workbook=01_01.xlsx&amp;sheet=U0&amp;row=715&amp;col=8&amp;number=3.764&amp;sourceID=17","3.764")</f>
        <v>3.764</v>
      </c>
      <c r="I715" s="4" t="str">
        <f>HYPERLINK("http://141.218.60.56/~jnz1568/getInfo.php?workbook=01_01.xlsx&amp;sheet=U0&amp;row=715&amp;col=9&amp;number=167&amp;sourceID=17","167")</f>
        <v>167</v>
      </c>
    </row>
    <row r="716" spans="1:9">
      <c r="A716" s="3"/>
      <c r="B716" s="3"/>
      <c r="C716" s="3"/>
      <c r="D716" s="3"/>
      <c r="E716" s="3">
        <v>2</v>
      </c>
      <c r="F716" s="4" t="str">
        <f>HYPERLINK("http://141.218.60.56/~jnz1568/getInfo.php?workbook=01_01.xlsx&amp;sheet=U0&amp;row=716&amp;col=6&amp;number=3.699&amp;sourceID=16","3.699")</f>
        <v>3.699</v>
      </c>
      <c r="G716" s="4" t="str">
        <f>HYPERLINK("http://141.218.60.56/~jnz1568/getInfo.php?workbook=01_01.xlsx&amp;sheet=U0&amp;row=716&amp;col=7&amp;number=252.2&amp;sourceID=16","252.2")</f>
        <v>252.2</v>
      </c>
      <c r="H716" s="4" t="str">
        <f>HYPERLINK("http://141.218.60.56/~jnz1568/getInfo.php?workbook=01_01.xlsx&amp;sheet=U0&amp;row=716&amp;col=8&amp;number=4.064&amp;sourceID=17","4.064")</f>
        <v>4.064</v>
      </c>
      <c r="I716" s="4" t="str">
        <f>HYPERLINK("http://141.218.60.56/~jnz1568/getInfo.php?workbook=01_01.xlsx&amp;sheet=U0&amp;row=716&amp;col=9&amp;number=271&amp;sourceID=17","271")</f>
        <v>271</v>
      </c>
    </row>
    <row r="717" spans="1:9">
      <c r="A717" s="3"/>
      <c r="B717" s="3"/>
      <c r="C717" s="3"/>
      <c r="D717" s="3"/>
      <c r="E717" s="3">
        <v>3</v>
      </c>
      <c r="F717" s="4" t="str">
        <f>HYPERLINK("http://141.218.60.56/~jnz1568/getInfo.php?workbook=01_01.xlsx&amp;sheet=U0&amp;row=717&amp;col=6&amp;number=3.875&amp;sourceID=16","3.875")</f>
        <v>3.875</v>
      </c>
      <c r="G717" s="4" t="str">
        <f>HYPERLINK("http://141.218.60.56/~jnz1568/getInfo.php?workbook=01_01.xlsx&amp;sheet=U0&amp;row=717&amp;col=7&amp;number=330.5&amp;sourceID=16","330.5")</f>
        <v>330.5</v>
      </c>
      <c r="H717" s="4" t="str">
        <f>HYPERLINK("http://141.218.60.56/~jnz1568/getInfo.php?workbook=01_01.xlsx&amp;sheet=U0&amp;row=717&amp;col=8&amp;number=4.542&amp;sourceID=17","4.542")</f>
        <v>4.542</v>
      </c>
      <c r="I717" s="4" t="str">
        <f>HYPERLINK("http://141.218.60.56/~jnz1568/getInfo.php?workbook=01_01.xlsx&amp;sheet=U0&amp;row=717&amp;col=9&amp;number=528&amp;sourceID=17","528")</f>
        <v>528</v>
      </c>
    </row>
    <row r="718" spans="1:9">
      <c r="A718" s="3"/>
      <c r="B718" s="3"/>
      <c r="C718" s="3"/>
      <c r="D718" s="3"/>
      <c r="E718" s="3">
        <v>4</v>
      </c>
      <c r="F718" s="4" t="str">
        <f>HYPERLINK("http://141.218.60.56/~jnz1568/getInfo.php?workbook=01_01.xlsx&amp;sheet=U0&amp;row=718&amp;col=6&amp;number=4&amp;sourceID=16","4")</f>
        <v>4</v>
      </c>
      <c r="G718" s="4" t="str">
        <f>HYPERLINK("http://141.218.60.56/~jnz1568/getInfo.php?workbook=01_01.xlsx&amp;sheet=U0&amp;row=718&amp;col=7&amp;number=398.2&amp;sourceID=16","398.2")</f>
        <v>398.2</v>
      </c>
      <c r="H718" s="4" t="str">
        <f>HYPERLINK("http://141.218.60.56/~jnz1568/getInfo.php?workbook=01_01.xlsx&amp;sheet=U0&amp;row=718&amp;col=8&amp;number=4.764&amp;sourceID=17","4.764")</f>
        <v>4.764</v>
      </c>
      <c r="I718" s="4" t="str">
        <f>HYPERLINK("http://141.218.60.56/~jnz1568/getInfo.php?workbook=01_01.xlsx&amp;sheet=U0&amp;row=718&amp;col=9&amp;number=650&amp;sourceID=17","650")</f>
        <v>650</v>
      </c>
    </row>
    <row r="719" spans="1:9">
      <c r="A719" s="3"/>
      <c r="B719" s="3"/>
      <c r="C719" s="3"/>
      <c r="D719" s="3"/>
      <c r="E719" s="3">
        <v>5</v>
      </c>
      <c r="F719" s="4" t="str">
        <f>HYPERLINK("http://141.218.60.56/~jnz1568/getInfo.php?workbook=01_01.xlsx&amp;sheet=U0&amp;row=719&amp;col=6&amp;number=4.176&amp;sourceID=16","4.176")</f>
        <v>4.176</v>
      </c>
      <c r="G719" s="4" t="str">
        <f>HYPERLINK("http://141.218.60.56/~jnz1568/getInfo.php?workbook=01_01.xlsx&amp;sheet=U0&amp;row=719&amp;col=7&amp;number=509.9&amp;sourceID=16","509.9")</f>
        <v>509.9</v>
      </c>
      <c r="H719" s="4" t="str">
        <f>HYPERLINK("http://141.218.60.56/~jnz1568/getInfo.php?workbook=01_01.xlsx&amp;sheet=U0&amp;row=719&amp;col=8&amp;number=5.064&amp;sourceID=17","5.064")</f>
        <v>5.064</v>
      </c>
      <c r="I719" s="4" t="str">
        <f>HYPERLINK("http://141.218.60.56/~jnz1568/getInfo.php?workbook=01_01.xlsx&amp;sheet=U0&amp;row=719&amp;col=9&amp;number=764&amp;sourceID=17","764")</f>
        <v>764</v>
      </c>
    </row>
    <row r="720" spans="1:9">
      <c r="A720" s="3"/>
      <c r="B720" s="3"/>
      <c r="C720" s="3"/>
      <c r="D720" s="3"/>
      <c r="E720" s="3">
        <v>6</v>
      </c>
      <c r="F720" s="4" t="str">
        <f>HYPERLINK("http://141.218.60.56/~jnz1568/getInfo.php?workbook=01_01.xlsx&amp;sheet=U0&amp;row=720&amp;col=6&amp;number=4.301&amp;sourceID=16","4.301")</f>
        <v>4.301</v>
      </c>
      <c r="G720" s="4" t="str">
        <f>HYPERLINK("http://141.218.60.56/~jnz1568/getInfo.php?workbook=01_01.xlsx&amp;sheet=U0&amp;row=720&amp;col=7&amp;number=599.4&amp;sourceID=16","599.4")</f>
        <v>599.4</v>
      </c>
      <c r="H720" s="4" t="str">
        <f>HYPERLINK("http://141.218.60.56/~jnz1568/getInfo.php?workbook=01_01.xlsx&amp;sheet=U0&amp;row=720&amp;col=8&amp;number=5.241&amp;sourceID=17","5.241")</f>
        <v>5.241</v>
      </c>
      <c r="I720" s="4" t="str">
        <f>HYPERLINK("http://141.218.60.56/~jnz1568/getInfo.php?workbook=01_01.xlsx&amp;sheet=U0&amp;row=720&amp;col=9&amp;number=801&amp;sourceID=17","801")</f>
        <v>801</v>
      </c>
    </row>
    <row r="721" spans="1:9">
      <c r="A721" s="3"/>
      <c r="B721" s="3"/>
      <c r="C721" s="3"/>
      <c r="D721" s="3"/>
      <c r="E721" s="3">
        <v>7</v>
      </c>
      <c r="F721" s="4" t="str">
        <f>HYPERLINK("http://141.218.60.56/~jnz1568/getInfo.php?workbook=01_01.xlsx&amp;sheet=U0&amp;row=721&amp;col=6&amp;number=4.477&amp;sourceID=16","4.477")</f>
        <v>4.477</v>
      </c>
      <c r="G721" s="4" t="str">
        <f>HYPERLINK("http://141.218.60.56/~jnz1568/getInfo.php?workbook=01_01.xlsx&amp;sheet=U0&amp;row=721&amp;col=7&amp;number=738.3&amp;sourceID=16","738.3")</f>
        <v>738.3</v>
      </c>
      <c r="H721" s="4" t="str">
        <f>HYPERLINK("http://141.218.60.56/~jnz1568/getInfo.php?workbook=01_01.xlsx&amp;sheet=U0&amp;row=721&amp;col=8&amp;number=5.366&amp;sourceID=17","5.366")</f>
        <v>5.366</v>
      </c>
      <c r="I721" s="4" t="str">
        <f>HYPERLINK("http://141.218.60.56/~jnz1568/getInfo.php?workbook=01_01.xlsx&amp;sheet=U0&amp;row=721&amp;col=9&amp;number=815&amp;sourceID=17","815")</f>
        <v>815</v>
      </c>
    </row>
    <row r="722" spans="1:9">
      <c r="A722" s="3"/>
      <c r="B722" s="3"/>
      <c r="C722" s="3"/>
      <c r="D722" s="3"/>
      <c r="E722" s="3">
        <v>8</v>
      </c>
      <c r="F722" s="4" t="str">
        <f>HYPERLINK("http://141.218.60.56/~jnz1568/getInfo.php?workbook=01_01.xlsx&amp;sheet=U0&amp;row=722&amp;col=6&amp;number=4.602&amp;sourceID=16","4.602")</f>
        <v>4.602</v>
      </c>
      <c r="G722" s="4" t="str">
        <f>HYPERLINK("http://141.218.60.56/~jnz1568/getInfo.php?workbook=01_01.xlsx&amp;sheet=U0&amp;row=722&amp;col=7&amp;number=843.5&amp;sourceID=16","843.5")</f>
        <v>843.5</v>
      </c>
      <c r="H722" s="4" t="str">
        <f>HYPERLINK("http://141.218.60.56/~jnz1568/getInfo.php?workbook=01_01.xlsx&amp;sheet=U0&amp;row=722&amp;col=8&amp;number=5.463&amp;sourceID=17","5.463")</f>
        <v>5.463</v>
      </c>
      <c r="I722" s="4" t="str">
        <f>HYPERLINK("http://141.218.60.56/~jnz1568/getInfo.php?workbook=01_01.xlsx&amp;sheet=U0&amp;row=722&amp;col=9&amp;number=821&amp;sourceID=17","821")</f>
        <v>821</v>
      </c>
    </row>
    <row r="723" spans="1:9">
      <c r="A723" s="3"/>
      <c r="B723" s="3"/>
      <c r="C723" s="3"/>
      <c r="D723" s="3"/>
      <c r="E723" s="3">
        <v>9</v>
      </c>
      <c r="F723" s="4" t="str">
        <f>HYPERLINK("http://141.218.60.56/~jnz1568/getInfo.php?workbook=01_01.xlsx&amp;sheet=U0&amp;row=723&amp;col=6&amp;number=4.699&amp;sourceID=16","4.699")</f>
        <v>4.699</v>
      </c>
      <c r="G723" s="4" t="str">
        <f>HYPERLINK("http://141.218.60.56/~jnz1568/getInfo.php?workbook=01_01.xlsx&amp;sheet=U0&amp;row=723&amp;col=7&amp;number=928.8&amp;sourceID=16","928.8")</f>
        <v>928.8</v>
      </c>
      <c r="H723" s="4" t="str">
        <f>HYPERLINK("http://141.218.60.56/~jnz1568/getInfo.php?workbook=01_01.xlsx&amp;sheet=U0&amp;row=723&amp;col=8&amp;number=&amp;sourceID=17","")</f>
        <v/>
      </c>
      <c r="I723" s="4" t="str">
        <f>HYPERLINK("http://141.218.60.56/~jnz1568/getInfo.php?workbook=01_01.xlsx&amp;sheet=U0&amp;row=723&amp;col=9&amp;number=&amp;sourceID=17","")</f>
        <v/>
      </c>
    </row>
    <row r="724" spans="1:9">
      <c r="A724" s="3">
        <v>1</v>
      </c>
      <c r="B724" s="3">
        <v>1</v>
      </c>
      <c r="C724" s="3">
        <v>14</v>
      </c>
      <c r="D724" s="3">
        <v>11</v>
      </c>
      <c r="E724" s="3">
        <v>1</v>
      </c>
      <c r="F724" s="4" t="str">
        <f>HYPERLINK("http://141.218.60.56/~jnz1568/getInfo.php?workbook=01_01.xlsx&amp;sheet=U0&amp;row=724&amp;col=6&amp;number==LOG10(2500)&amp;sourceID=16","=LOG10(2500)")</f>
        <v>=LOG10(2500)</v>
      </c>
      <c r="G724" s="4" t="str">
        <f>HYPERLINK("http://141.218.60.56/~jnz1568/getInfo.php?workbook=01_01.xlsx&amp;sheet=U0&amp;row=724&amp;col=7&amp;number=431.9&amp;sourceID=16","431.9")</f>
        <v>431.9</v>
      </c>
      <c r="H724" s="4" t="str">
        <f>HYPERLINK("http://141.218.60.56/~jnz1568/getInfo.php?workbook=01_01.xlsx&amp;sheet=U0&amp;row=724&amp;col=8&amp;number=&amp;sourceID=17","")</f>
        <v/>
      </c>
      <c r="I724" s="4" t="str">
        <f>HYPERLINK("http://141.218.60.56/~jnz1568/getInfo.php?workbook=01_01.xlsx&amp;sheet=U0&amp;row=724&amp;col=9&amp;number=&amp;sourceID=17","")</f>
        <v/>
      </c>
    </row>
    <row r="725" spans="1:9">
      <c r="A725" s="3"/>
      <c r="B725" s="3"/>
      <c r="C725" s="3"/>
      <c r="D725" s="3"/>
      <c r="E725" s="3">
        <v>2</v>
      </c>
      <c r="F725" s="4" t="str">
        <f>HYPERLINK("http://141.218.60.56/~jnz1568/getInfo.php?workbook=01_01.xlsx&amp;sheet=U0&amp;row=725&amp;col=6&amp;number=3.699&amp;sourceID=16","3.699")</f>
        <v>3.699</v>
      </c>
      <c r="G725" s="4" t="str">
        <f>HYPERLINK("http://141.218.60.56/~jnz1568/getInfo.php?workbook=01_01.xlsx&amp;sheet=U0&amp;row=725&amp;col=7&amp;number=445.1&amp;sourceID=16","445.1")</f>
        <v>445.1</v>
      </c>
      <c r="H725" s="4" t="str">
        <f>HYPERLINK("http://141.218.60.56/~jnz1568/getInfo.php?workbook=01_01.xlsx&amp;sheet=U0&amp;row=725&amp;col=8&amp;number=&amp;sourceID=17","")</f>
        <v/>
      </c>
      <c r="I725" s="4" t="str">
        <f>HYPERLINK("http://141.218.60.56/~jnz1568/getInfo.php?workbook=01_01.xlsx&amp;sheet=U0&amp;row=725&amp;col=9&amp;number=&amp;sourceID=17","")</f>
        <v/>
      </c>
    </row>
    <row r="726" spans="1:9">
      <c r="A726" s="3"/>
      <c r="B726" s="3"/>
      <c r="C726" s="3"/>
      <c r="D726" s="3"/>
      <c r="E726" s="3">
        <v>3</v>
      </c>
      <c r="F726" s="4" t="str">
        <f>HYPERLINK("http://141.218.60.56/~jnz1568/getInfo.php?workbook=01_01.xlsx&amp;sheet=U0&amp;row=726&amp;col=6&amp;number=3.875&amp;sourceID=16","3.875")</f>
        <v>3.875</v>
      </c>
      <c r="G726" s="4" t="str">
        <f>HYPERLINK("http://141.218.60.56/~jnz1568/getInfo.php?workbook=01_01.xlsx&amp;sheet=U0&amp;row=726&amp;col=7&amp;number=439.8&amp;sourceID=16","439.8")</f>
        <v>439.8</v>
      </c>
      <c r="H726" s="4" t="str">
        <f>HYPERLINK("http://141.218.60.56/~jnz1568/getInfo.php?workbook=01_01.xlsx&amp;sheet=U0&amp;row=726&amp;col=8&amp;number=&amp;sourceID=17","")</f>
        <v/>
      </c>
      <c r="I726" s="4" t="str">
        <f>HYPERLINK("http://141.218.60.56/~jnz1568/getInfo.php?workbook=01_01.xlsx&amp;sheet=U0&amp;row=726&amp;col=9&amp;number=&amp;sourceID=17","")</f>
        <v/>
      </c>
    </row>
    <row r="727" spans="1:9">
      <c r="A727" s="3"/>
      <c r="B727" s="3"/>
      <c r="C727" s="3"/>
      <c r="D727" s="3"/>
      <c r="E727" s="3">
        <v>4</v>
      </c>
      <c r="F727" s="4" t="str">
        <f>HYPERLINK("http://141.218.60.56/~jnz1568/getInfo.php?workbook=01_01.xlsx&amp;sheet=U0&amp;row=727&amp;col=6&amp;number=4&amp;sourceID=16","4")</f>
        <v>4</v>
      </c>
      <c r="G727" s="4" t="str">
        <f>HYPERLINK("http://141.218.60.56/~jnz1568/getInfo.php?workbook=01_01.xlsx&amp;sheet=U0&amp;row=727&amp;col=7&amp;number=434.3&amp;sourceID=16","434.3")</f>
        <v>434.3</v>
      </c>
      <c r="H727" s="4" t="str">
        <f>HYPERLINK("http://141.218.60.56/~jnz1568/getInfo.php?workbook=01_01.xlsx&amp;sheet=U0&amp;row=727&amp;col=8&amp;number=&amp;sourceID=17","")</f>
        <v/>
      </c>
      <c r="I727" s="4" t="str">
        <f>HYPERLINK("http://141.218.60.56/~jnz1568/getInfo.php?workbook=01_01.xlsx&amp;sheet=U0&amp;row=727&amp;col=9&amp;number=&amp;sourceID=17","")</f>
        <v/>
      </c>
    </row>
    <row r="728" spans="1:9">
      <c r="A728" s="3"/>
      <c r="B728" s="3"/>
      <c r="C728" s="3"/>
      <c r="D728" s="3"/>
      <c r="E728" s="3">
        <v>5</v>
      </c>
      <c r="F728" s="4" t="str">
        <f>HYPERLINK("http://141.218.60.56/~jnz1568/getInfo.php?workbook=01_01.xlsx&amp;sheet=U0&amp;row=728&amp;col=6&amp;number=4.176&amp;sourceID=16","4.176")</f>
        <v>4.176</v>
      </c>
      <c r="G728" s="4" t="str">
        <f>HYPERLINK("http://141.218.60.56/~jnz1568/getInfo.php?workbook=01_01.xlsx&amp;sheet=U0&amp;row=728&amp;col=7&amp;number=426&amp;sourceID=16","426")</f>
        <v>426</v>
      </c>
      <c r="H728" s="4" t="str">
        <f>HYPERLINK("http://141.218.60.56/~jnz1568/getInfo.php?workbook=01_01.xlsx&amp;sheet=U0&amp;row=728&amp;col=8&amp;number=&amp;sourceID=17","")</f>
        <v/>
      </c>
      <c r="I728" s="4" t="str">
        <f>HYPERLINK("http://141.218.60.56/~jnz1568/getInfo.php?workbook=01_01.xlsx&amp;sheet=U0&amp;row=728&amp;col=9&amp;number=&amp;sourceID=17","")</f>
        <v/>
      </c>
    </row>
    <row r="729" spans="1:9">
      <c r="A729" s="3"/>
      <c r="B729" s="3"/>
      <c r="C729" s="3"/>
      <c r="D729" s="3"/>
      <c r="E729" s="3">
        <v>6</v>
      </c>
      <c r="F729" s="4" t="str">
        <f>HYPERLINK("http://141.218.60.56/~jnz1568/getInfo.php?workbook=01_01.xlsx&amp;sheet=U0&amp;row=729&amp;col=6&amp;number=4.301&amp;sourceID=16","4.301")</f>
        <v>4.301</v>
      </c>
      <c r="G729" s="4" t="str">
        <f>HYPERLINK("http://141.218.60.56/~jnz1568/getInfo.php?workbook=01_01.xlsx&amp;sheet=U0&amp;row=729&amp;col=7&amp;number=420.1&amp;sourceID=16","420.1")</f>
        <v>420.1</v>
      </c>
      <c r="H729" s="4" t="str">
        <f>HYPERLINK("http://141.218.60.56/~jnz1568/getInfo.php?workbook=01_01.xlsx&amp;sheet=U0&amp;row=729&amp;col=8&amp;number=&amp;sourceID=17","")</f>
        <v/>
      </c>
      <c r="I729" s="4" t="str">
        <f>HYPERLINK("http://141.218.60.56/~jnz1568/getInfo.php?workbook=01_01.xlsx&amp;sheet=U0&amp;row=729&amp;col=9&amp;number=&amp;sourceID=17","")</f>
        <v/>
      </c>
    </row>
    <row r="730" spans="1:9">
      <c r="A730" s="3"/>
      <c r="B730" s="3"/>
      <c r="C730" s="3"/>
      <c r="D730" s="3"/>
      <c r="E730" s="3">
        <v>7</v>
      </c>
      <c r="F730" s="4" t="str">
        <f>HYPERLINK("http://141.218.60.56/~jnz1568/getInfo.php?workbook=01_01.xlsx&amp;sheet=U0&amp;row=730&amp;col=6&amp;number=4.477&amp;sourceID=16","4.477")</f>
        <v>4.477</v>
      </c>
      <c r="G730" s="4" t="str">
        <f>HYPERLINK("http://141.218.60.56/~jnz1568/getInfo.php?workbook=01_01.xlsx&amp;sheet=U0&amp;row=730&amp;col=7&amp;number=412.3&amp;sourceID=16","412.3")</f>
        <v>412.3</v>
      </c>
      <c r="H730" s="4" t="str">
        <f>HYPERLINK("http://141.218.60.56/~jnz1568/getInfo.php?workbook=01_01.xlsx&amp;sheet=U0&amp;row=730&amp;col=8&amp;number=&amp;sourceID=17","")</f>
        <v/>
      </c>
      <c r="I730" s="4" t="str">
        <f>HYPERLINK("http://141.218.60.56/~jnz1568/getInfo.php?workbook=01_01.xlsx&amp;sheet=U0&amp;row=730&amp;col=9&amp;number=&amp;sourceID=17","")</f>
        <v/>
      </c>
    </row>
    <row r="731" spans="1:9">
      <c r="A731" s="3"/>
      <c r="B731" s="3"/>
      <c r="C731" s="3"/>
      <c r="D731" s="3"/>
      <c r="E731" s="3">
        <v>8</v>
      </c>
      <c r="F731" s="4" t="str">
        <f>HYPERLINK("http://141.218.60.56/~jnz1568/getInfo.php?workbook=01_01.xlsx&amp;sheet=U0&amp;row=731&amp;col=6&amp;number=4.602&amp;sourceID=16","4.602")</f>
        <v>4.602</v>
      </c>
      <c r="G731" s="4" t="str">
        <f>HYPERLINK("http://141.218.60.56/~jnz1568/getInfo.php?workbook=01_01.xlsx&amp;sheet=U0&amp;row=731&amp;col=7&amp;number=407.1&amp;sourceID=16","407.1")</f>
        <v>407.1</v>
      </c>
      <c r="H731" s="4" t="str">
        <f>HYPERLINK("http://141.218.60.56/~jnz1568/getInfo.php?workbook=01_01.xlsx&amp;sheet=U0&amp;row=731&amp;col=8&amp;number=&amp;sourceID=17","")</f>
        <v/>
      </c>
      <c r="I731" s="4" t="str">
        <f>HYPERLINK("http://141.218.60.56/~jnz1568/getInfo.php?workbook=01_01.xlsx&amp;sheet=U0&amp;row=731&amp;col=9&amp;number=&amp;sourceID=17","")</f>
        <v/>
      </c>
    </row>
    <row r="732" spans="1:9">
      <c r="A732" s="3"/>
      <c r="B732" s="3"/>
      <c r="C732" s="3"/>
      <c r="D732" s="3"/>
      <c r="E732" s="3">
        <v>9</v>
      </c>
      <c r="F732" s="4" t="str">
        <f>HYPERLINK("http://141.218.60.56/~jnz1568/getInfo.php?workbook=01_01.xlsx&amp;sheet=U0&amp;row=732&amp;col=6&amp;number=4.699&amp;sourceID=16","4.699")</f>
        <v>4.699</v>
      </c>
      <c r="G732" s="4" t="str">
        <f>HYPERLINK("http://141.218.60.56/~jnz1568/getInfo.php?workbook=01_01.xlsx&amp;sheet=U0&amp;row=732&amp;col=7&amp;number=403.1&amp;sourceID=16","403.1")</f>
        <v>403.1</v>
      </c>
      <c r="H732" s="4" t="str">
        <f>HYPERLINK("http://141.218.60.56/~jnz1568/getInfo.php?workbook=01_01.xlsx&amp;sheet=U0&amp;row=732&amp;col=8&amp;number=&amp;sourceID=17","")</f>
        <v/>
      </c>
      <c r="I732" s="4" t="str">
        <f>HYPERLINK("http://141.218.60.56/~jnz1568/getInfo.php?workbook=01_01.xlsx&amp;sheet=U0&amp;row=732&amp;col=9&amp;number=&amp;sourceID=17","")</f>
        <v/>
      </c>
    </row>
    <row r="733" spans="1:9">
      <c r="A733" s="3">
        <v>1</v>
      </c>
      <c r="B733" s="3">
        <v>1</v>
      </c>
      <c r="C733" s="3">
        <v>14</v>
      </c>
      <c r="D733" s="3">
        <v>12</v>
      </c>
      <c r="E733" s="3">
        <v>1</v>
      </c>
      <c r="F733" s="4" t="str">
        <f>HYPERLINK("http://141.218.60.56/~jnz1568/getInfo.php?workbook=01_01.xlsx&amp;sheet=U0&amp;row=733&amp;col=6&amp;number==LOG10(2500)&amp;sourceID=16","=LOG10(2500)")</f>
        <v>=LOG10(2500)</v>
      </c>
      <c r="G733" s="4" t="str">
        <f>HYPERLINK("http://141.218.60.56/~jnz1568/getInfo.php?workbook=01_01.xlsx&amp;sheet=U0&amp;row=733&amp;col=7&amp;number=2443&amp;sourceID=16","2443")</f>
        <v>2443</v>
      </c>
      <c r="H733" s="4" t="str">
        <f>HYPERLINK("http://141.218.60.56/~jnz1568/getInfo.php?workbook=01_01.xlsx&amp;sheet=U0&amp;row=733&amp;col=8&amp;number=&amp;sourceID=17","")</f>
        <v/>
      </c>
      <c r="I733" s="4" t="str">
        <f>HYPERLINK("http://141.218.60.56/~jnz1568/getInfo.php?workbook=01_01.xlsx&amp;sheet=U0&amp;row=733&amp;col=9&amp;number=&amp;sourceID=17","")</f>
        <v/>
      </c>
    </row>
    <row r="734" spans="1:9">
      <c r="A734" s="3"/>
      <c r="B734" s="3"/>
      <c r="C734" s="3"/>
      <c r="D734" s="3"/>
      <c r="E734" s="3">
        <v>2</v>
      </c>
      <c r="F734" s="4" t="str">
        <f>HYPERLINK("http://141.218.60.56/~jnz1568/getInfo.php?workbook=01_01.xlsx&amp;sheet=U0&amp;row=734&amp;col=6&amp;number=3.699&amp;sourceID=16","3.699")</f>
        <v>3.699</v>
      </c>
      <c r="G734" s="4" t="str">
        <f>HYPERLINK("http://141.218.60.56/~jnz1568/getInfo.php?workbook=01_01.xlsx&amp;sheet=U0&amp;row=734&amp;col=7&amp;number=2517&amp;sourceID=16","2517")</f>
        <v>2517</v>
      </c>
      <c r="H734" s="4" t="str">
        <f>HYPERLINK("http://141.218.60.56/~jnz1568/getInfo.php?workbook=01_01.xlsx&amp;sheet=U0&amp;row=734&amp;col=8&amp;number=&amp;sourceID=17","")</f>
        <v/>
      </c>
      <c r="I734" s="4" t="str">
        <f>HYPERLINK("http://141.218.60.56/~jnz1568/getInfo.php?workbook=01_01.xlsx&amp;sheet=U0&amp;row=734&amp;col=9&amp;number=&amp;sourceID=17","")</f>
        <v/>
      </c>
    </row>
    <row r="735" spans="1:9">
      <c r="A735" s="3"/>
      <c r="B735" s="3"/>
      <c r="C735" s="3"/>
      <c r="D735" s="3"/>
      <c r="E735" s="3">
        <v>3</v>
      </c>
      <c r="F735" s="4" t="str">
        <f>HYPERLINK("http://141.218.60.56/~jnz1568/getInfo.php?workbook=01_01.xlsx&amp;sheet=U0&amp;row=735&amp;col=6&amp;number=3.875&amp;sourceID=16","3.875")</f>
        <v>3.875</v>
      </c>
      <c r="G735" s="4" t="str">
        <f>HYPERLINK("http://141.218.60.56/~jnz1568/getInfo.php?workbook=01_01.xlsx&amp;sheet=U0&amp;row=735&amp;col=7&amp;number=2488&amp;sourceID=16","2488")</f>
        <v>2488</v>
      </c>
      <c r="H735" s="4" t="str">
        <f>HYPERLINK("http://141.218.60.56/~jnz1568/getInfo.php?workbook=01_01.xlsx&amp;sheet=U0&amp;row=735&amp;col=8&amp;number=&amp;sourceID=17","")</f>
        <v/>
      </c>
      <c r="I735" s="4" t="str">
        <f>HYPERLINK("http://141.218.60.56/~jnz1568/getInfo.php?workbook=01_01.xlsx&amp;sheet=U0&amp;row=735&amp;col=9&amp;number=&amp;sourceID=17","")</f>
        <v/>
      </c>
    </row>
    <row r="736" spans="1:9">
      <c r="A736" s="3"/>
      <c r="B736" s="3"/>
      <c r="C736" s="3"/>
      <c r="D736" s="3"/>
      <c r="E736" s="3">
        <v>4</v>
      </c>
      <c r="F736" s="4" t="str">
        <f>HYPERLINK("http://141.218.60.56/~jnz1568/getInfo.php?workbook=01_01.xlsx&amp;sheet=U0&amp;row=736&amp;col=6&amp;number=4&amp;sourceID=16","4")</f>
        <v>4</v>
      </c>
      <c r="G736" s="4" t="str">
        <f>HYPERLINK("http://141.218.60.56/~jnz1568/getInfo.php?workbook=01_01.xlsx&amp;sheet=U0&amp;row=736&amp;col=7&amp;number=2458&amp;sourceID=16","2458")</f>
        <v>2458</v>
      </c>
      <c r="H736" s="4" t="str">
        <f>HYPERLINK("http://141.218.60.56/~jnz1568/getInfo.php?workbook=01_01.xlsx&amp;sheet=U0&amp;row=736&amp;col=8&amp;number=&amp;sourceID=17","")</f>
        <v/>
      </c>
      <c r="I736" s="4" t="str">
        <f>HYPERLINK("http://141.218.60.56/~jnz1568/getInfo.php?workbook=01_01.xlsx&amp;sheet=U0&amp;row=736&amp;col=9&amp;number=&amp;sourceID=17","")</f>
        <v/>
      </c>
    </row>
    <row r="737" spans="1:9">
      <c r="A737" s="3"/>
      <c r="B737" s="3"/>
      <c r="C737" s="3"/>
      <c r="D737" s="3"/>
      <c r="E737" s="3">
        <v>5</v>
      </c>
      <c r="F737" s="4" t="str">
        <f>HYPERLINK("http://141.218.60.56/~jnz1568/getInfo.php?workbook=01_01.xlsx&amp;sheet=U0&amp;row=737&amp;col=6&amp;number=4.176&amp;sourceID=16","4.176")</f>
        <v>4.176</v>
      </c>
      <c r="G737" s="4" t="str">
        <f>HYPERLINK("http://141.218.60.56/~jnz1568/getInfo.php?workbook=01_01.xlsx&amp;sheet=U0&amp;row=737&amp;col=7&amp;number=2413&amp;sourceID=16","2413")</f>
        <v>2413</v>
      </c>
      <c r="H737" s="4" t="str">
        <f>HYPERLINK("http://141.218.60.56/~jnz1568/getInfo.php?workbook=01_01.xlsx&amp;sheet=U0&amp;row=737&amp;col=8&amp;number=&amp;sourceID=17","")</f>
        <v/>
      </c>
      <c r="I737" s="4" t="str">
        <f>HYPERLINK("http://141.218.60.56/~jnz1568/getInfo.php?workbook=01_01.xlsx&amp;sheet=U0&amp;row=737&amp;col=9&amp;number=&amp;sourceID=17","")</f>
        <v/>
      </c>
    </row>
    <row r="738" spans="1:9">
      <c r="A738" s="3"/>
      <c r="B738" s="3"/>
      <c r="C738" s="3"/>
      <c r="D738" s="3"/>
      <c r="E738" s="3">
        <v>6</v>
      </c>
      <c r="F738" s="4" t="str">
        <f>HYPERLINK("http://141.218.60.56/~jnz1568/getInfo.php?workbook=01_01.xlsx&amp;sheet=U0&amp;row=738&amp;col=6&amp;number=4.301&amp;sourceID=16","4.301")</f>
        <v>4.301</v>
      </c>
      <c r="G738" s="4" t="str">
        <f>HYPERLINK("http://141.218.60.56/~jnz1568/getInfo.php?workbook=01_01.xlsx&amp;sheet=U0&amp;row=738&amp;col=7&amp;number=2379&amp;sourceID=16","2379")</f>
        <v>2379</v>
      </c>
      <c r="H738" s="4" t="str">
        <f>HYPERLINK("http://141.218.60.56/~jnz1568/getInfo.php?workbook=01_01.xlsx&amp;sheet=U0&amp;row=738&amp;col=8&amp;number=&amp;sourceID=17","")</f>
        <v/>
      </c>
      <c r="I738" s="4" t="str">
        <f>HYPERLINK("http://141.218.60.56/~jnz1568/getInfo.php?workbook=01_01.xlsx&amp;sheet=U0&amp;row=738&amp;col=9&amp;number=&amp;sourceID=17","")</f>
        <v/>
      </c>
    </row>
    <row r="739" spans="1:9">
      <c r="A739" s="3"/>
      <c r="B739" s="3"/>
      <c r="C739" s="3"/>
      <c r="D739" s="3"/>
      <c r="E739" s="3">
        <v>7</v>
      </c>
      <c r="F739" s="4" t="str">
        <f>HYPERLINK("http://141.218.60.56/~jnz1568/getInfo.php?workbook=01_01.xlsx&amp;sheet=U0&amp;row=739&amp;col=6&amp;number=4.477&amp;sourceID=16","4.477")</f>
        <v>4.477</v>
      </c>
      <c r="G739" s="4" t="str">
        <f>HYPERLINK("http://141.218.60.56/~jnz1568/getInfo.php?workbook=01_01.xlsx&amp;sheet=U0&amp;row=739&amp;col=7&amp;number=2328&amp;sourceID=16","2328")</f>
        <v>2328</v>
      </c>
      <c r="H739" s="4" t="str">
        <f>HYPERLINK("http://141.218.60.56/~jnz1568/getInfo.php?workbook=01_01.xlsx&amp;sheet=U0&amp;row=739&amp;col=8&amp;number=&amp;sourceID=17","")</f>
        <v/>
      </c>
      <c r="I739" s="4" t="str">
        <f>HYPERLINK("http://141.218.60.56/~jnz1568/getInfo.php?workbook=01_01.xlsx&amp;sheet=U0&amp;row=739&amp;col=9&amp;number=&amp;sourceID=17","")</f>
        <v/>
      </c>
    </row>
    <row r="740" spans="1:9">
      <c r="A740" s="3"/>
      <c r="B740" s="3"/>
      <c r="C740" s="3"/>
      <c r="D740" s="3"/>
      <c r="E740" s="3">
        <v>8</v>
      </c>
      <c r="F740" s="4" t="str">
        <f>HYPERLINK("http://141.218.60.56/~jnz1568/getInfo.php?workbook=01_01.xlsx&amp;sheet=U0&amp;row=740&amp;col=6&amp;number=4.602&amp;sourceID=16","4.602")</f>
        <v>4.602</v>
      </c>
      <c r="G740" s="4" t="str">
        <f>HYPERLINK("http://141.218.60.56/~jnz1568/getInfo.php?workbook=01_01.xlsx&amp;sheet=U0&amp;row=740&amp;col=7&amp;number=2292&amp;sourceID=16","2292")</f>
        <v>2292</v>
      </c>
      <c r="H740" s="4" t="str">
        <f>HYPERLINK("http://141.218.60.56/~jnz1568/getInfo.php?workbook=01_01.xlsx&amp;sheet=U0&amp;row=740&amp;col=8&amp;number=&amp;sourceID=17","")</f>
        <v/>
      </c>
      <c r="I740" s="4" t="str">
        <f>HYPERLINK("http://141.218.60.56/~jnz1568/getInfo.php?workbook=01_01.xlsx&amp;sheet=U0&amp;row=740&amp;col=9&amp;number=&amp;sourceID=17","")</f>
        <v/>
      </c>
    </row>
    <row r="741" spans="1:9">
      <c r="A741" s="3"/>
      <c r="B741" s="3"/>
      <c r="C741" s="3"/>
      <c r="D741" s="3"/>
      <c r="E741" s="3">
        <v>9</v>
      </c>
      <c r="F741" s="4" t="str">
        <f>HYPERLINK("http://141.218.60.56/~jnz1568/getInfo.php?workbook=01_01.xlsx&amp;sheet=U0&amp;row=741&amp;col=6&amp;number=4.699&amp;sourceID=16","4.699")</f>
        <v>4.699</v>
      </c>
      <c r="G741" s="4" t="str">
        <f>HYPERLINK("http://141.218.60.56/~jnz1568/getInfo.php?workbook=01_01.xlsx&amp;sheet=U0&amp;row=741&amp;col=7&amp;number=2262&amp;sourceID=16","2262")</f>
        <v>2262</v>
      </c>
      <c r="H741" s="4" t="str">
        <f>HYPERLINK("http://141.218.60.56/~jnz1568/getInfo.php?workbook=01_01.xlsx&amp;sheet=U0&amp;row=741&amp;col=8&amp;number=&amp;sourceID=17","")</f>
        <v/>
      </c>
      <c r="I741" s="4" t="str">
        <f>HYPERLINK("http://141.218.60.56/~jnz1568/getInfo.php?workbook=01_01.xlsx&amp;sheet=U0&amp;row=741&amp;col=9&amp;number=&amp;sourceID=17","")</f>
        <v/>
      </c>
    </row>
    <row r="742" spans="1:9">
      <c r="A742" s="3">
        <v>1</v>
      </c>
      <c r="B742" s="3">
        <v>1</v>
      </c>
      <c r="C742" s="3">
        <v>15</v>
      </c>
      <c r="D742" s="3">
        <v>1</v>
      </c>
      <c r="E742" s="3">
        <v>1</v>
      </c>
      <c r="F742" s="4" t="str">
        <f>HYPERLINK("http://141.218.60.56/~jnz1568/getInfo.php?workbook=01_01.xlsx&amp;sheet=U0&amp;row=742&amp;col=6&amp;number==LOG10(2500)&amp;sourceID=16","=LOG10(2500)")</f>
        <v>=LOG10(2500)</v>
      </c>
      <c r="G742" s="4" t="str">
        <f>HYPERLINK("http://141.218.60.56/~jnz1568/getInfo.php?workbook=01_01.xlsx&amp;sheet=U0&amp;row=742&amp;col=7&amp;number=0.002313&amp;sourceID=16","0.002313")</f>
        <v>0.002313</v>
      </c>
      <c r="H742" s="4" t="str">
        <f>HYPERLINK("http://141.218.60.56/~jnz1568/getInfo.php?workbook=01_01.xlsx&amp;sheet=U0&amp;row=742&amp;col=8&amp;number=3.764&amp;sourceID=17","3.764")</f>
        <v>3.764</v>
      </c>
      <c r="I742" s="4" t="str">
        <f>HYPERLINK("http://141.218.60.56/~jnz1568/getInfo.php?workbook=01_01.xlsx&amp;sheet=U0&amp;row=742&amp;col=9&amp;number=0.00466&amp;sourceID=17","0.00466")</f>
        <v>0.00466</v>
      </c>
    </row>
    <row r="743" spans="1:9">
      <c r="A743" s="3"/>
      <c r="B743" s="3"/>
      <c r="C743" s="3"/>
      <c r="D743" s="3"/>
      <c r="E743" s="3">
        <v>2</v>
      </c>
      <c r="F743" s="4" t="str">
        <f>HYPERLINK("http://141.218.60.56/~jnz1568/getInfo.php?workbook=01_01.xlsx&amp;sheet=U0&amp;row=743&amp;col=6&amp;number=3.699&amp;sourceID=16","3.699")</f>
        <v>3.699</v>
      </c>
      <c r="G743" s="4" t="str">
        <f>HYPERLINK("http://141.218.60.56/~jnz1568/getInfo.php?workbook=01_01.xlsx&amp;sheet=U0&amp;row=743&amp;col=7&amp;number=0.002505&amp;sourceID=16","0.002505")</f>
        <v>0.002505</v>
      </c>
      <c r="H743" s="4" t="str">
        <f>HYPERLINK("http://141.218.60.56/~jnz1568/getInfo.php?workbook=01_01.xlsx&amp;sheet=U0&amp;row=743&amp;col=8&amp;number=4.064&amp;sourceID=17","4.064")</f>
        <v>4.064</v>
      </c>
      <c r="I743" s="4" t="str">
        <f>HYPERLINK("http://141.218.60.56/~jnz1568/getInfo.php?workbook=01_01.xlsx&amp;sheet=U0&amp;row=743&amp;col=9&amp;number=0.00403&amp;sourceID=17","0.00403")</f>
        <v>0.00403</v>
      </c>
    </row>
    <row r="744" spans="1:9">
      <c r="A744" s="3"/>
      <c r="B744" s="3"/>
      <c r="C744" s="3"/>
      <c r="D744" s="3"/>
      <c r="E744" s="3">
        <v>3</v>
      </c>
      <c r="F744" s="4" t="str">
        <f>HYPERLINK("http://141.218.60.56/~jnz1568/getInfo.php?workbook=01_01.xlsx&amp;sheet=U0&amp;row=744&amp;col=6&amp;number=3.875&amp;sourceID=16","3.875")</f>
        <v>3.875</v>
      </c>
      <c r="G744" s="4" t="str">
        <f>HYPERLINK("http://141.218.60.56/~jnz1568/getInfo.php?workbook=01_01.xlsx&amp;sheet=U0&amp;row=744&amp;col=7&amp;number=0.002674&amp;sourceID=16","0.002674")</f>
        <v>0.002674</v>
      </c>
      <c r="H744" s="4" t="str">
        <f>HYPERLINK("http://141.218.60.56/~jnz1568/getInfo.php?workbook=01_01.xlsx&amp;sheet=U0&amp;row=744&amp;col=8&amp;number=4.542&amp;sourceID=17","4.542")</f>
        <v>4.542</v>
      </c>
      <c r="I744" s="4" t="str">
        <f>HYPERLINK("http://141.218.60.56/~jnz1568/getInfo.php?workbook=01_01.xlsx&amp;sheet=U0&amp;row=744&amp;col=9&amp;number=0.00285&amp;sourceID=17","0.00285")</f>
        <v>0.00285</v>
      </c>
    </row>
    <row r="745" spans="1:9">
      <c r="A745" s="3"/>
      <c r="B745" s="3"/>
      <c r="C745" s="3"/>
      <c r="D745" s="3"/>
      <c r="E745" s="3">
        <v>4</v>
      </c>
      <c r="F745" s="4" t="str">
        <f>HYPERLINK("http://141.218.60.56/~jnz1568/getInfo.php?workbook=01_01.xlsx&amp;sheet=U0&amp;row=745&amp;col=6&amp;number=4&amp;sourceID=16","4")</f>
        <v>4</v>
      </c>
      <c r="G745" s="4" t="str">
        <f>HYPERLINK("http://141.218.60.56/~jnz1568/getInfo.php?workbook=01_01.xlsx&amp;sheet=U0&amp;row=745&amp;col=7&amp;number=0.002832&amp;sourceID=16","0.002832")</f>
        <v>0.002832</v>
      </c>
      <c r="H745" s="4" t="str">
        <f>HYPERLINK("http://141.218.60.56/~jnz1568/getInfo.php?workbook=01_01.xlsx&amp;sheet=U0&amp;row=745&amp;col=8&amp;number=4.764&amp;sourceID=17","4.764")</f>
        <v>4.764</v>
      </c>
      <c r="I745" s="4" t="str">
        <f>HYPERLINK("http://141.218.60.56/~jnz1568/getInfo.php?workbook=01_01.xlsx&amp;sheet=U0&amp;row=745&amp;col=9&amp;number=0.00235&amp;sourceID=17","0.00235")</f>
        <v>0.00235</v>
      </c>
    </row>
    <row r="746" spans="1:9">
      <c r="A746" s="3"/>
      <c r="B746" s="3"/>
      <c r="C746" s="3"/>
      <c r="D746" s="3"/>
      <c r="E746" s="3">
        <v>5</v>
      </c>
      <c r="F746" s="4" t="str">
        <f>HYPERLINK("http://141.218.60.56/~jnz1568/getInfo.php?workbook=01_01.xlsx&amp;sheet=U0&amp;row=746&amp;col=6&amp;number=4.176&amp;sourceID=16","4.176")</f>
        <v>4.176</v>
      </c>
      <c r="G746" s="4" t="str">
        <f>HYPERLINK("http://141.218.60.56/~jnz1568/getInfo.php?workbook=01_01.xlsx&amp;sheet=U0&amp;row=746&amp;col=7&amp;number=0.003024&amp;sourceID=16","0.003024")</f>
        <v>0.003024</v>
      </c>
      <c r="H746" s="4" t="str">
        <f>HYPERLINK("http://141.218.60.56/~jnz1568/getInfo.php?workbook=01_01.xlsx&amp;sheet=U0&amp;row=746&amp;col=8&amp;number=5.064&amp;sourceID=17","5.064")</f>
        <v>5.064</v>
      </c>
      <c r="I746" s="4" t="str">
        <f>HYPERLINK("http://141.218.60.56/~jnz1568/getInfo.php?workbook=01_01.xlsx&amp;sheet=U0&amp;row=746&amp;col=9&amp;number=0.00176&amp;sourceID=17","0.00176")</f>
        <v>0.00176</v>
      </c>
    </row>
    <row r="747" spans="1:9">
      <c r="A747" s="3"/>
      <c r="B747" s="3"/>
      <c r="C747" s="3"/>
      <c r="D747" s="3"/>
      <c r="E747" s="3">
        <v>6</v>
      </c>
      <c r="F747" s="4" t="str">
        <f>HYPERLINK("http://141.218.60.56/~jnz1568/getInfo.php?workbook=01_01.xlsx&amp;sheet=U0&amp;row=747&amp;col=6&amp;number=4.301&amp;sourceID=16","4.301")</f>
        <v>4.301</v>
      </c>
      <c r="G747" s="4" t="str">
        <f>HYPERLINK("http://141.218.60.56/~jnz1568/getInfo.php?workbook=01_01.xlsx&amp;sheet=U0&amp;row=747&amp;col=7&amp;number=0.003073&amp;sourceID=16","0.003073")</f>
        <v>0.003073</v>
      </c>
      <c r="H747" s="4" t="str">
        <f>HYPERLINK("http://141.218.60.56/~jnz1568/getInfo.php?workbook=01_01.xlsx&amp;sheet=U0&amp;row=747&amp;col=8&amp;number=5.241&amp;sourceID=17","5.241")</f>
        <v>5.241</v>
      </c>
      <c r="I747" s="4" t="str">
        <f>HYPERLINK("http://141.218.60.56/~jnz1568/getInfo.php?workbook=01_01.xlsx&amp;sheet=U0&amp;row=747&amp;col=9&amp;number=0.00147&amp;sourceID=17","0.00147")</f>
        <v>0.00147</v>
      </c>
    </row>
    <row r="748" spans="1:9">
      <c r="A748" s="3"/>
      <c r="B748" s="3"/>
      <c r="C748" s="3"/>
      <c r="D748" s="3"/>
      <c r="E748" s="3">
        <v>7</v>
      </c>
      <c r="F748" s="4" t="str">
        <f>HYPERLINK("http://141.218.60.56/~jnz1568/getInfo.php?workbook=01_01.xlsx&amp;sheet=U0&amp;row=748&amp;col=6&amp;number=4.477&amp;sourceID=16","4.477")</f>
        <v>4.477</v>
      </c>
      <c r="G748" s="4" t="str">
        <f>HYPERLINK("http://141.218.60.56/~jnz1568/getInfo.php?workbook=01_01.xlsx&amp;sheet=U0&amp;row=748&amp;col=7&amp;number=0.002968&amp;sourceID=16","0.002968")</f>
        <v>0.002968</v>
      </c>
      <c r="H748" s="4" t="str">
        <f>HYPERLINK("http://141.218.60.56/~jnz1568/getInfo.php?workbook=01_01.xlsx&amp;sheet=U0&amp;row=748&amp;col=8&amp;number=5.366&amp;sourceID=17","5.366")</f>
        <v>5.366</v>
      </c>
      <c r="I748" s="4" t="str">
        <f>HYPERLINK("http://141.218.60.56/~jnz1568/getInfo.php?workbook=01_01.xlsx&amp;sheet=U0&amp;row=748&amp;col=9&amp;number=0.00129&amp;sourceID=17","0.00129")</f>
        <v>0.00129</v>
      </c>
    </row>
    <row r="749" spans="1:9">
      <c r="A749" s="3"/>
      <c r="B749" s="3"/>
      <c r="C749" s="3"/>
      <c r="D749" s="3"/>
      <c r="E749" s="3">
        <v>8</v>
      </c>
      <c r="F749" s="4" t="str">
        <f>HYPERLINK("http://141.218.60.56/~jnz1568/getInfo.php?workbook=01_01.xlsx&amp;sheet=U0&amp;row=749&amp;col=6&amp;number=4.602&amp;sourceID=16","4.602")</f>
        <v>4.602</v>
      </c>
      <c r="G749" s="4" t="str">
        <f>HYPERLINK("http://141.218.60.56/~jnz1568/getInfo.php?workbook=01_01.xlsx&amp;sheet=U0&amp;row=749&amp;col=7&amp;number=0.002779&amp;sourceID=16","0.002779")</f>
        <v>0.002779</v>
      </c>
      <c r="H749" s="4" t="str">
        <f>HYPERLINK("http://141.218.60.56/~jnz1568/getInfo.php?workbook=01_01.xlsx&amp;sheet=U0&amp;row=749&amp;col=8&amp;number=5.463&amp;sourceID=17","5.463")</f>
        <v>5.463</v>
      </c>
      <c r="I749" s="4" t="str">
        <f>HYPERLINK("http://141.218.60.56/~jnz1568/getInfo.php?workbook=01_01.xlsx&amp;sheet=U0&amp;row=749&amp;col=9&amp;number=0.00115&amp;sourceID=17","0.00115")</f>
        <v>0.00115</v>
      </c>
    </row>
    <row r="750" spans="1:9">
      <c r="A750" s="3"/>
      <c r="B750" s="3"/>
      <c r="C750" s="3"/>
      <c r="D750" s="3"/>
      <c r="E750" s="3">
        <v>9</v>
      </c>
      <c r="F750" s="4" t="str">
        <f>HYPERLINK("http://141.218.60.56/~jnz1568/getInfo.php?workbook=01_01.xlsx&amp;sheet=U0&amp;row=750&amp;col=6&amp;number=4.699&amp;sourceID=16","4.699")</f>
        <v>4.699</v>
      </c>
      <c r="G750" s="4" t="str">
        <f>HYPERLINK("http://141.218.60.56/~jnz1568/getInfo.php?workbook=01_01.xlsx&amp;sheet=U0&amp;row=750&amp;col=7&amp;number=0.002576&amp;sourceID=16","0.002576")</f>
        <v>0.002576</v>
      </c>
      <c r="H750" s="4" t="str">
        <f>HYPERLINK("http://141.218.60.56/~jnz1568/getInfo.php?workbook=01_01.xlsx&amp;sheet=U0&amp;row=750&amp;col=8&amp;number=&amp;sourceID=17","")</f>
        <v/>
      </c>
      <c r="I750" s="4" t="str">
        <f>HYPERLINK("http://141.218.60.56/~jnz1568/getInfo.php?workbook=01_01.xlsx&amp;sheet=U0&amp;row=750&amp;col=9&amp;number=&amp;sourceID=17","")</f>
        <v/>
      </c>
    </row>
    <row r="751" spans="1:9">
      <c r="A751" s="3">
        <v>1</v>
      </c>
      <c r="B751" s="3">
        <v>1</v>
      </c>
      <c r="C751" s="3">
        <v>15</v>
      </c>
      <c r="D751" s="3">
        <v>2</v>
      </c>
      <c r="E751" s="3">
        <v>1</v>
      </c>
      <c r="F751" s="4" t="str">
        <f>HYPERLINK("http://141.218.60.56/~jnz1568/getInfo.php?workbook=01_01.xlsx&amp;sheet=U0&amp;row=751&amp;col=6&amp;number==LOG10(2500)&amp;sourceID=16","=LOG10(2500)")</f>
        <v>=LOG10(2500)</v>
      </c>
      <c r="G751" s="4" t="str">
        <f>HYPERLINK("http://141.218.60.56/~jnz1568/getInfo.php?workbook=01_01.xlsx&amp;sheet=U0&amp;row=751&amp;col=7&amp;number=0.1721&amp;sourceID=16","0.1721")</f>
        <v>0.1721</v>
      </c>
      <c r="H751" s="4" t="str">
        <f>HYPERLINK("http://141.218.60.56/~jnz1568/getInfo.php?workbook=01_01.xlsx&amp;sheet=U0&amp;row=751&amp;col=8&amp;number=3.764&amp;sourceID=17","3.764")</f>
        <v>3.764</v>
      </c>
      <c r="I751" s="4" t="str">
        <f>HYPERLINK("http://141.218.60.56/~jnz1568/getInfo.php?workbook=01_01.xlsx&amp;sheet=U0&amp;row=751&amp;col=9&amp;number=0.235&amp;sourceID=17","0.235")</f>
        <v>0.235</v>
      </c>
    </row>
    <row r="752" spans="1:9">
      <c r="A752" s="3"/>
      <c r="B752" s="3"/>
      <c r="C752" s="3"/>
      <c r="D752" s="3"/>
      <c r="E752" s="3">
        <v>2</v>
      </c>
      <c r="F752" s="4" t="str">
        <f>HYPERLINK("http://141.218.60.56/~jnz1568/getInfo.php?workbook=01_01.xlsx&amp;sheet=U0&amp;row=752&amp;col=6&amp;number=3.699&amp;sourceID=16","3.699")</f>
        <v>3.699</v>
      </c>
      <c r="G752" s="4" t="str">
        <f>HYPERLINK("http://141.218.60.56/~jnz1568/getInfo.php?workbook=01_01.xlsx&amp;sheet=U0&amp;row=752&amp;col=7&amp;number=0.2312&amp;sourceID=16","0.2312")</f>
        <v>0.2312</v>
      </c>
      <c r="H752" s="4" t="str">
        <f>HYPERLINK("http://141.218.60.56/~jnz1568/getInfo.php?workbook=01_01.xlsx&amp;sheet=U0&amp;row=752&amp;col=8&amp;number=4.064&amp;sourceID=17","4.064")</f>
        <v>4.064</v>
      </c>
      <c r="I752" s="4" t="str">
        <f>HYPERLINK("http://141.218.60.56/~jnz1568/getInfo.php?workbook=01_01.xlsx&amp;sheet=U0&amp;row=752&amp;col=9&amp;number=0.254&amp;sourceID=17","0.254")</f>
        <v>0.254</v>
      </c>
    </row>
    <row r="753" spans="1:9">
      <c r="A753" s="3"/>
      <c r="B753" s="3"/>
      <c r="C753" s="3"/>
      <c r="D753" s="3"/>
      <c r="E753" s="3">
        <v>3</v>
      </c>
      <c r="F753" s="4" t="str">
        <f>HYPERLINK("http://141.218.60.56/~jnz1568/getInfo.php?workbook=01_01.xlsx&amp;sheet=U0&amp;row=753&amp;col=6&amp;number=3.875&amp;sourceID=16","3.875")</f>
        <v>3.875</v>
      </c>
      <c r="G753" s="4" t="str">
        <f>HYPERLINK("http://141.218.60.56/~jnz1568/getInfo.php?workbook=01_01.xlsx&amp;sheet=U0&amp;row=753&amp;col=7&amp;number=0.2642&amp;sourceID=16","0.2642")</f>
        <v>0.2642</v>
      </c>
      <c r="H753" s="4" t="str">
        <f>HYPERLINK("http://141.218.60.56/~jnz1568/getInfo.php?workbook=01_01.xlsx&amp;sheet=U0&amp;row=753&amp;col=8&amp;number=4.542&amp;sourceID=17","4.542")</f>
        <v>4.542</v>
      </c>
      <c r="I753" s="4" t="str">
        <f>HYPERLINK("http://141.218.60.56/~jnz1568/getInfo.php?workbook=01_01.xlsx&amp;sheet=U0&amp;row=753&amp;col=9&amp;number=0.252&amp;sourceID=17","0.252")</f>
        <v>0.252</v>
      </c>
    </row>
    <row r="754" spans="1:9">
      <c r="A754" s="3"/>
      <c r="B754" s="3"/>
      <c r="C754" s="3"/>
      <c r="D754" s="3"/>
      <c r="E754" s="3">
        <v>4</v>
      </c>
      <c r="F754" s="4" t="str">
        <f>HYPERLINK("http://141.218.60.56/~jnz1568/getInfo.php?workbook=01_01.xlsx&amp;sheet=U0&amp;row=754&amp;col=6&amp;number=4&amp;sourceID=16","4")</f>
        <v>4</v>
      </c>
      <c r="G754" s="4" t="str">
        <f>HYPERLINK("http://141.218.60.56/~jnz1568/getInfo.php?workbook=01_01.xlsx&amp;sheet=U0&amp;row=754&amp;col=7&amp;number=0.287&amp;sourceID=16","0.287")</f>
        <v>0.287</v>
      </c>
      <c r="H754" s="4" t="str">
        <f>HYPERLINK("http://141.218.60.56/~jnz1568/getInfo.php?workbook=01_01.xlsx&amp;sheet=U0&amp;row=754&amp;col=8&amp;number=4.764&amp;sourceID=17","4.764")</f>
        <v>4.764</v>
      </c>
      <c r="I754" s="4" t="str">
        <f>HYPERLINK("http://141.218.60.56/~jnz1568/getInfo.php?workbook=01_01.xlsx&amp;sheet=U0&amp;row=754&amp;col=9&amp;number=0.247&amp;sourceID=17","0.247")</f>
        <v>0.247</v>
      </c>
    </row>
    <row r="755" spans="1:9">
      <c r="A755" s="3"/>
      <c r="B755" s="3"/>
      <c r="C755" s="3"/>
      <c r="D755" s="3"/>
      <c r="E755" s="3">
        <v>5</v>
      </c>
      <c r="F755" s="4" t="str">
        <f>HYPERLINK("http://141.218.60.56/~jnz1568/getInfo.php?workbook=01_01.xlsx&amp;sheet=U0&amp;row=755&amp;col=6&amp;number=4.176&amp;sourceID=16","4.176")</f>
        <v>4.176</v>
      </c>
      <c r="G755" s="4" t="str">
        <f>HYPERLINK("http://141.218.60.56/~jnz1568/getInfo.php?workbook=01_01.xlsx&amp;sheet=U0&amp;row=755&amp;col=7&amp;number=0.3147&amp;sourceID=16","0.3147")</f>
        <v>0.3147</v>
      </c>
      <c r="H755" s="4" t="str">
        <f>HYPERLINK("http://141.218.60.56/~jnz1568/getInfo.php?workbook=01_01.xlsx&amp;sheet=U0&amp;row=755&amp;col=8&amp;number=5.064&amp;sourceID=17","5.064")</f>
        <v>5.064</v>
      </c>
      <c r="I755" s="4" t="str">
        <f>HYPERLINK("http://141.218.60.56/~jnz1568/getInfo.php?workbook=01_01.xlsx&amp;sheet=U0&amp;row=755&amp;col=9&amp;number=0.236&amp;sourceID=17","0.236")</f>
        <v>0.236</v>
      </c>
    </row>
    <row r="756" spans="1:9">
      <c r="A756" s="3"/>
      <c r="B756" s="3"/>
      <c r="C756" s="3"/>
      <c r="D756" s="3"/>
      <c r="E756" s="3">
        <v>6</v>
      </c>
      <c r="F756" s="4" t="str">
        <f>HYPERLINK("http://141.218.60.56/~jnz1568/getInfo.php?workbook=01_01.xlsx&amp;sheet=U0&amp;row=756&amp;col=6&amp;number=4.301&amp;sourceID=16","4.301")</f>
        <v>4.301</v>
      </c>
      <c r="G756" s="4" t="str">
        <f>HYPERLINK("http://141.218.60.56/~jnz1568/getInfo.php?workbook=01_01.xlsx&amp;sheet=U0&amp;row=756&amp;col=7&amp;number=0.339&amp;sourceID=16","0.339")</f>
        <v>0.339</v>
      </c>
      <c r="H756" s="4" t="str">
        <f>HYPERLINK("http://141.218.60.56/~jnz1568/getInfo.php?workbook=01_01.xlsx&amp;sheet=U0&amp;row=756&amp;col=8&amp;number=5.241&amp;sourceID=17","5.241")</f>
        <v>5.241</v>
      </c>
      <c r="I756" s="4" t="str">
        <f>HYPERLINK("http://141.218.60.56/~jnz1568/getInfo.php?workbook=01_01.xlsx&amp;sheet=U0&amp;row=756&amp;col=9&amp;number=0.224&amp;sourceID=17","0.224")</f>
        <v>0.224</v>
      </c>
    </row>
    <row r="757" spans="1:9">
      <c r="A757" s="3"/>
      <c r="B757" s="3"/>
      <c r="C757" s="3"/>
      <c r="D757" s="3"/>
      <c r="E757" s="3">
        <v>7</v>
      </c>
      <c r="F757" s="4" t="str">
        <f>HYPERLINK("http://141.218.60.56/~jnz1568/getInfo.php?workbook=01_01.xlsx&amp;sheet=U0&amp;row=757&amp;col=6&amp;number=4.477&amp;sourceID=16","4.477")</f>
        <v>4.477</v>
      </c>
      <c r="G757" s="4" t="str">
        <f>HYPERLINK("http://141.218.60.56/~jnz1568/getInfo.php?workbook=01_01.xlsx&amp;sheet=U0&amp;row=757&amp;col=7&amp;number=0.3632&amp;sourceID=16","0.3632")</f>
        <v>0.3632</v>
      </c>
      <c r="H757" s="4" t="str">
        <f>HYPERLINK("http://141.218.60.56/~jnz1568/getInfo.php?workbook=01_01.xlsx&amp;sheet=U0&amp;row=757&amp;col=8&amp;number=5.366&amp;sourceID=17","5.366")</f>
        <v>5.366</v>
      </c>
      <c r="I757" s="4" t="str">
        <f>HYPERLINK("http://141.218.60.56/~jnz1568/getInfo.php?workbook=01_01.xlsx&amp;sheet=U0&amp;row=757&amp;col=9&amp;number=0.214&amp;sourceID=17","0.214")</f>
        <v>0.214</v>
      </c>
    </row>
    <row r="758" spans="1:9">
      <c r="A758" s="3"/>
      <c r="B758" s="3"/>
      <c r="C758" s="3"/>
      <c r="D758" s="3"/>
      <c r="E758" s="3">
        <v>8</v>
      </c>
      <c r="F758" s="4" t="str">
        <f>HYPERLINK("http://141.218.60.56/~jnz1568/getInfo.php?workbook=01_01.xlsx&amp;sheet=U0&amp;row=758&amp;col=6&amp;number=4.602&amp;sourceID=16","4.602")</f>
        <v>4.602</v>
      </c>
      <c r="G758" s="4" t="str">
        <f>HYPERLINK("http://141.218.60.56/~jnz1568/getInfo.php?workbook=01_01.xlsx&amp;sheet=U0&amp;row=758&amp;col=7&amp;number=0.3742&amp;sourceID=16","0.3742")</f>
        <v>0.3742</v>
      </c>
      <c r="H758" s="4" t="str">
        <f>HYPERLINK("http://141.218.60.56/~jnz1568/getInfo.php?workbook=01_01.xlsx&amp;sheet=U0&amp;row=758&amp;col=8&amp;number=5.463&amp;sourceID=17","5.463")</f>
        <v>5.463</v>
      </c>
      <c r="I758" s="4" t="str">
        <f>HYPERLINK("http://141.218.60.56/~jnz1568/getInfo.php?workbook=01_01.xlsx&amp;sheet=U0&amp;row=758&amp;col=9&amp;number=0.205&amp;sourceID=17","0.205")</f>
        <v>0.205</v>
      </c>
    </row>
    <row r="759" spans="1:9">
      <c r="A759" s="3"/>
      <c r="B759" s="3"/>
      <c r="C759" s="3"/>
      <c r="D759" s="3"/>
      <c r="E759" s="3">
        <v>9</v>
      </c>
      <c r="F759" s="4" t="str">
        <f>HYPERLINK("http://141.218.60.56/~jnz1568/getInfo.php?workbook=01_01.xlsx&amp;sheet=U0&amp;row=759&amp;col=6&amp;number=4.699&amp;sourceID=16","4.699")</f>
        <v>4.699</v>
      </c>
      <c r="G759" s="4" t="str">
        <f>HYPERLINK("http://141.218.60.56/~jnz1568/getInfo.php?workbook=01_01.xlsx&amp;sheet=U0&amp;row=759&amp;col=7&amp;number=0.3342&amp;sourceID=16","0.3342")</f>
        <v>0.3342</v>
      </c>
      <c r="H759" s="4" t="str">
        <f>HYPERLINK("http://141.218.60.56/~jnz1568/getInfo.php?workbook=01_01.xlsx&amp;sheet=U0&amp;row=759&amp;col=8&amp;number=&amp;sourceID=17","")</f>
        <v/>
      </c>
      <c r="I759" s="4" t="str">
        <f>HYPERLINK("http://141.218.60.56/~jnz1568/getInfo.php?workbook=01_01.xlsx&amp;sheet=U0&amp;row=759&amp;col=9&amp;number=&amp;sourceID=17","")</f>
        <v/>
      </c>
    </row>
    <row r="760" spans="1:9">
      <c r="A760" s="3">
        <v>1</v>
      </c>
      <c r="B760" s="3">
        <v>1</v>
      </c>
      <c r="C760" s="3">
        <v>15</v>
      </c>
      <c r="D760" s="3">
        <v>3</v>
      </c>
      <c r="E760" s="3">
        <v>1</v>
      </c>
      <c r="F760" s="4" t="str">
        <f>HYPERLINK("http://141.218.60.56/~jnz1568/getInfo.php?workbook=01_01.xlsx&amp;sheet=U0&amp;row=760&amp;col=6&amp;number==LOG10(2500)&amp;sourceID=16","=LOG10(2500)")</f>
        <v>=LOG10(2500)</v>
      </c>
      <c r="G760" s="4" t="str">
        <f>HYPERLINK("http://141.218.60.56/~jnz1568/getInfo.php?workbook=01_01.xlsx&amp;sheet=U0&amp;row=760&amp;col=7&amp;number=0.8491&amp;sourceID=16","0.8491")</f>
        <v>0.8491</v>
      </c>
      <c r="H760" s="4" t="str">
        <f>HYPERLINK("http://141.218.60.56/~jnz1568/getInfo.php?workbook=01_01.xlsx&amp;sheet=U0&amp;row=760&amp;col=8&amp;number=3.764&amp;sourceID=17","3.764")</f>
        <v>3.764</v>
      </c>
      <c r="I760" s="4" t="str">
        <f>HYPERLINK("http://141.218.60.56/~jnz1568/getInfo.php?workbook=01_01.xlsx&amp;sheet=U0&amp;row=760&amp;col=9&amp;number=0.844&amp;sourceID=17","0.844")</f>
        <v>0.844</v>
      </c>
    </row>
    <row r="761" spans="1:9">
      <c r="A761" s="3"/>
      <c r="B761" s="3"/>
      <c r="C761" s="3"/>
      <c r="D761" s="3"/>
      <c r="E761" s="3">
        <v>2</v>
      </c>
      <c r="F761" s="4" t="str">
        <f>HYPERLINK("http://141.218.60.56/~jnz1568/getInfo.php?workbook=01_01.xlsx&amp;sheet=U0&amp;row=761&amp;col=6&amp;number=3.699&amp;sourceID=16","3.699")</f>
        <v>3.699</v>
      </c>
      <c r="G761" s="4" t="str">
        <f>HYPERLINK("http://141.218.60.56/~jnz1568/getInfo.php?workbook=01_01.xlsx&amp;sheet=U0&amp;row=761&amp;col=7&amp;number=0.9843&amp;sourceID=16","0.9843")</f>
        <v>0.9843</v>
      </c>
      <c r="H761" s="4" t="str">
        <f>HYPERLINK("http://141.218.60.56/~jnz1568/getInfo.php?workbook=01_01.xlsx&amp;sheet=U0&amp;row=761&amp;col=8&amp;number=4.064&amp;sourceID=17","4.064")</f>
        <v>4.064</v>
      </c>
      <c r="I761" s="4" t="str">
        <f>HYPERLINK("http://141.218.60.56/~jnz1568/getInfo.php?workbook=01_01.xlsx&amp;sheet=U0&amp;row=761&amp;col=9&amp;number=0.909&amp;sourceID=17","0.909")</f>
        <v>0.909</v>
      </c>
    </row>
    <row r="762" spans="1:9">
      <c r="A762" s="3"/>
      <c r="B762" s="3"/>
      <c r="C762" s="3"/>
      <c r="D762" s="3"/>
      <c r="E762" s="3">
        <v>3</v>
      </c>
      <c r="F762" s="4" t="str">
        <f>HYPERLINK("http://141.218.60.56/~jnz1568/getInfo.php?workbook=01_01.xlsx&amp;sheet=U0&amp;row=762&amp;col=6&amp;number=3.875&amp;sourceID=16","3.875")</f>
        <v>3.875</v>
      </c>
      <c r="G762" s="4" t="str">
        <f>HYPERLINK("http://141.218.60.56/~jnz1568/getInfo.php?workbook=01_01.xlsx&amp;sheet=U0&amp;row=762&amp;col=7&amp;number=1.034&amp;sourceID=16","1.034")</f>
        <v>1.034</v>
      </c>
      <c r="H762" s="4" t="str">
        <f>HYPERLINK("http://141.218.60.56/~jnz1568/getInfo.php?workbook=01_01.xlsx&amp;sheet=U0&amp;row=762&amp;col=8&amp;number=4.542&amp;sourceID=17","4.542")</f>
        <v>4.542</v>
      </c>
      <c r="I762" s="4" t="str">
        <f>HYPERLINK("http://141.218.60.56/~jnz1568/getInfo.php?workbook=01_01.xlsx&amp;sheet=U0&amp;row=762&amp;col=9&amp;number=0.915&amp;sourceID=17","0.915")</f>
        <v>0.915</v>
      </c>
    </row>
    <row r="763" spans="1:9">
      <c r="A763" s="3"/>
      <c r="B763" s="3"/>
      <c r="C763" s="3"/>
      <c r="D763" s="3"/>
      <c r="E763" s="3">
        <v>4</v>
      </c>
      <c r="F763" s="4" t="str">
        <f>HYPERLINK("http://141.218.60.56/~jnz1568/getInfo.php?workbook=01_01.xlsx&amp;sheet=U0&amp;row=763&amp;col=6&amp;number=4&amp;sourceID=16","4")</f>
        <v>4</v>
      </c>
      <c r="G763" s="4" t="str">
        <f>HYPERLINK("http://141.218.60.56/~jnz1568/getInfo.php?workbook=01_01.xlsx&amp;sheet=U0&amp;row=763&amp;col=7&amp;number=1.064&amp;sourceID=16","1.064")</f>
        <v>1.064</v>
      </c>
      <c r="H763" s="4" t="str">
        <f>HYPERLINK("http://141.218.60.56/~jnz1568/getInfo.php?workbook=01_01.xlsx&amp;sheet=U0&amp;row=763&amp;col=8&amp;number=4.764&amp;sourceID=17","4.764")</f>
        <v>4.764</v>
      </c>
      <c r="I763" s="4" t="str">
        <f>HYPERLINK("http://141.218.60.56/~jnz1568/getInfo.php?workbook=01_01.xlsx&amp;sheet=U0&amp;row=763&amp;col=9&amp;number=0.888&amp;sourceID=17","0.888")</f>
        <v>0.888</v>
      </c>
    </row>
    <row r="764" spans="1:9">
      <c r="A764" s="3"/>
      <c r="B764" s="3"/>
      <c r="C764" s="3"/>
      <c r="D764" s="3"/>
      <c r="E764" s="3">
        <v>5</v>
      </c>
      <c r="F764" s="4" t="str">
        <f>HYPERLINK("http://141.218.60.56/~jnz1568/getInfo.php?workbook=01_01.xlsx&amp;sheet=U0&amp;row=764&amp;col=6&amp;number=4.176&amp;sourceID=16","4.176")</f>
        <v>4.176</v>
      </c>
      <c r="G764" s="4" t="str">
        <f>HYPERLINK("http://141.218.60.56/~jnz1568/getInfo.php?workbook=01_01.xlsx&amp;sheet=U0&amp;row=764&amp;col=7&amp;number=1.097&amp;sourceID=16","1.097")</f>
        <v>1.097</v>
      </c>
      <c r="H764" s="4" t="str">
        <f>HYPERLINK("http://141.218.60.56/~jnz1568/getInfo.php?workbook=01_01.xlsx&amp;sheet=U0&amp;row=764&amp;col=8&amp;number=5.064&amp;sourceID=17","5.064")</f>
        <v>5.064</v>
      </c>
      <c r="I764" s="4" t="str">
        <f>HYPERLINK("http://141.218.60.56/~jnz1568/getInfo.php?workbook=01_01.xlsx&amp;sheet=U0&amp;row=764&amp;col=9&amp;number=0.814&amp;sourceID=17","0.814")</f>
        <v>0.814</v>
      </c>
    </row>
    <row r="765" spans="1:9">
      <c r="A765" s="3"/>
      <c r="B765" s="3"/>
      <c r="C765" s="3"/>
      <c r="D765" s="3"/>
      <c r="E765" s="3">
        <v>6</v>
      </c>
      <c r="F765" s="4" t="str">
        <f>HYPERLINK("http://141.218.60.56/~jnz1568/getInfo.php?workbook=01_01.xlsx&amp;sheet=U0&amp;row=765&amp;col=6&amp;number=4.301&amp;sourceID=16","4.301")</f>
        <v>4.301</v>
      </c>
      <c r="G765" s="4" t="str">
        <f>HYPERLINK("http://141.218.60.56/~jnz1568/getInfo.php?workbook=01_01.xlsx&amp;sheet=U0&amp;row=765&amp;col=7&amp;number=1.108&amp;sourceID=16","1.108")</f>
        <v>1.108</v>
      </c>
      <c r="H765" s="4" t="str">
        <f>HYPERLINK("http://141.218.60.56/~jnz1568/getInfo.php?workbook=01_01.xlsx&amp;sheet=U0&amp;row=765&amp;col=8&amp;number=5.241&amp;sourceID=17","5.241")</f>
        <v>5.241</v>
      </c>
      <c r="I765" s="4" t="str">
        <f>HYPERLINK("http://141.218.60.56/~jnz1568/getInfo.php?workbook=01_01.xlsx&amp;sheet=U0&amp;row=765&amp;col=9&amp;number=0.751&amp;sourceID=17","0.751")</f>
        <v>0.751</v>
      </c>
    </row>
    <row r="766" spans="1:9">
      <c r="A766" s="3"/>
      <c r="B766" s="3"/>
      <c r="C766" s="3"/>
      <c r="D766" s="3"/>
      <c r="E766" s="3">
        <v>7</v>
      </c>
      <c r="F766" s="4" t="str">
        <f>HYPERLINK("http://141.218.60.56/~jnz1568/getInfo.php?workbook=01_01.xlsx&amp;sheet=U0&amp;row=766&amp;col=6&amp;number=4.477&amp;sourceID=16","4.477")</f>
        <v>4.477</v>
      </c>
      <c r="G766" s="4" t="str">
        <f>HYPERLINK("http://141.218.60.56/~jnz1568/getInfo.php?workbook=01_01.xlsx&amp;sheet=U0&amp;row=766&amp;col=7&amp;number=1.105&amp;sourceID=16","1.105")</f>
        <v>1.105</v>
      </c>
      <c r="H766" s="4" t="str">
        <f>HYPERLINK("http://141.218.60.56/~jnz1568/getInfo.php?workbook=01_01.xlsx&amp;sheet=U0&amp;row=766&amp;col=8&amp;number=5.366&amp;sourceID=17","5.366")</f>
        <v>5.366</v>
      </c>
      <c r="I766" s="4" t="str">
        <f>HYPERLINK("http://141.218.60.56/~jnz1568/getInfo.php?workbook=01_01.xlsx&amp;sheet=U0&amp;row=766&amp;col=9&amp;number=0.701&amp;sourceID=17","0.701")</f>
        <v>0.701</v>
      </c>
    </row>
    <row r="767" spans="1:9">
      <c r="A767" s="3"/>
      <c r="B767" s="3"/>
      <c r="C767" s="3"/>
      <c r="D767" s="3"/>
      <c r="E767" s="3">
        <v>8</v>
      </c>
      <c r="F767" s="4" t="str">
        <f>HYPERLINK("http://141.218.60.56/~jnz1568/getInfo.php?workbook=01_01.xlsx&amp;sheet=U0&amp;row=767&amp;col=6&amp;number=4.602&amp;sourceID=16","4.602")</f>
        <v>4.602</v>
      </c>
      <c r="G767" s="4" t="str">
        <f>HYPERLINK("http://141.218.60.56/~jnz1568/getInfo.php?workbook=01_01.xlsx&amp;sheet=U0&amp;row=767&amp;col=7&amp;number=1.089&amp;sourceID=16","1.089")</f>
        <v>1.089</v>
      </c>
      <c r="H767" s="4" t="str">
        <f>HYPERLINK("http://141.218.60.56/~jnz1568/getInfo.php?workbook=01_01.xlsx&amp;sheet=U0&amp;row=767&amp;col=8&amp;number=5.463&amp;sourceID=17","5.463")</f>
        <v>5.463</v>
      </c>
      <c r="I767" s="4" t="str">
        <f>HYPERLINK("http://141.218.60.56/~jnz1568/getInfo.php?workbook=01_01.xlsx&amp;sheet=U0&amp;row=767&amp;col=9&amp;number=0.661&amp;sourceID=17","0.661")</f>
        <v>0.661</v>
      </c>
    </row>
    <row r="768" spans="1:9">
      <c r="A768" s="3"/>
      <c r="B768" s="3"/>
      <c r="C768" s="3"/>
      <c r="D768" s="3"/>
      <c r="E768" s="3">
        <v>9</v>
      </c>
      <c r="F768" s="4" t="str">
        <f>HYPERLINK("http://141.218.60.56/~jnz1568/getInfo.php?workbook=01_01.xlsx&amp;sheet=U0&amp;row=768&amp;col=6&amp;number=4.699&amp;sourceID=16","4.699")</f>
        <v>4.699</v>
      </c>
      <c r="G768" s="4" t="str">
        <f>HYPERLINK("http://141.218.60.56/~jnz1568/getInfo.php?workbook=01_01.xlsx&amp;sheet=U0&amp;row=768&amp;col=7&amp;number=1.063&amp;sourceID=16","1.063")</f>
        <v>1.063</v>
      </c>
      <c r="H768" s="4" t="str">
        <f>HYPERLINK("http://141.218.60.56/~jnz1568/getInfo.php?workbook=01_01.xlsx&amp;sheet=U0&amp;row=768&amp;col=8&amp;number=&amp;sourceID=17","")</f>
        <v/>
      </c>
      <c r="I768" s="4" t="str">
        <f>HYPERLINK("http://141.218.60.56/~jnz1568/getInfo.php?workbook=01_01.xlsx&amp;sheet=U0&amp;row=768&amp;col=9&amp;number=&amp;sourceID=17","")</f>
        <v/>
      </c>
    </row>
    <row r="769" spans="1:9">
      <c r="A769" s="3">
        <v>1</v>
      </c>
      <c r="B769" s="3">
        <v>1</v>
      </c>
      <c r="C769" s="3">
        <v>15</v>
      </c>
      <c r="D769" s="3">
        <v>4</v>
      </c>
      <c r="E769" s="3">
        <v>1</v>
      </c>
      <c r="F769" s="4" t="str">
        <f>HYPERLINK("http://141.218.60.56/~jnz1568/getInfo.php?workbook=01_01.xlsx&amp;sheet=U0&amp;row=769&amp;col=6&amp;number==LOG10(2500)&amp;sourceID=16","=LOG10(2500)")</f>
        <v>=LOG10(2500)</v>
      </c>
      <c r="G769" s="4" t="str">
        <f>HYPERLINK("http://141.218.60.56/~jnz1568/getInfo.php?workbook=01_01.xlsx&amp;sheet=U0&amp;row=769&amp;col=7&amp;number=3.02&amp;sourceID=16","3.02")</f>
        <v>3.02</v>
      </c>
      <c r="H769" s="4" t="str">
        <f>HYPERLINK("http://141.218.60.56/~jnz1568/getInfo.php?workbook=01_01.xlsx&amp;sheet=U0&amp;row=769&amp;col=8&amp;number=3.764&amp;sourceID=17","3.764")</f>
        <v>3.764</v>
      </c>
      <c r="I769" s="4" t="str">
        <f>HYPERLINK("http://141.218.60.56/~jnz1568/getInfo.php?workbook=01_01.xlsx&amp;sheet=U0&amp;row=769&amp;col=9&amp;number=3.77&amp;sourceID=17","3.77")</f>
        <v>3.77</v>
      </c>
    </row>
    <row r="770" spans="1:9">
      <c r="A770" s="3"/>
      <c r="B770" s="3"/>
      <c r="C770" s="3"/>
      <c r="D770" s="3"/>
      <c r="E770" s="3">
        <v>2</v>
      </c>
      <c r="F770" s="4" t="str">
        <f>HYPERLINK("http://141.218.60.56/~jnz1568/getInfo.php?workbook=01_01.xlsx&amp;sheet=U0&amp;row=770&amp;col=6&amp;number=3.699&amp;sourceID=16","3.699")</f>
        <v>3.699</v>
      </c>
      <c r="G770" s="4" t="str">
        <f>HYPERLINK("http://141.218.60.56/~jnz1568/getInfo.php?workbook=01_01.xlsx&amp;sheet=U0&amp;row=770&amp;col=7&amp;number=5.08&amp;sourceID=16","5.08")</f>
        <v>5.08</v>
      </c>
      <c r="H770" s="4" t="str">
        <f>HYPERLINK("http://141.218.60.56/~jnz1568/getInfo.php?workbook=01_01.xlsx&amp;sheet=U0&amp;row=770&amp;col=8&amp;number=4.064&amp;sourceID=17","4.064")</f>
        <v>4.064</v>
      </c>
      <c r="I770" s="4" t="str">
        <f>HYPERLINK("http://141.218.60.56/~jnz1568/getInfo.php?workbook=01_01.xlsx&amp;sheet=U0&amp;row=770&amp;col=9&amp;number=4.82&amp;sourceID=17","4.82")</f>
        <v>4.82</v>
      </c>
    </row>
    <row r="771" spans="1:9">
      <c r="A771" s="3"/>
      <c r="B771" s="3"/>
      <c r="C771" s="3"/>
      <c r="D771" s="3"/>
      <c r="E771" s="3">
        <v>3</v>
      </c>
      <c r="F771" s="4" t="str">
        <f>HYPERLINK("http://141.218.60.56/~jnz1568/getInfo.php?workbook=01_01.xlsx&amp;sheet=U0&amp;row=771&amp;col=6&amp;number=3.875&amp;sourceID=16","3.875")</f>
        <v>3.875</v>
      </c>
      <c r="G771" s="4" t="str">
        <f>HYPERLINK("http://141.218.60.56/~jnz1568/getInfo.php?workbook=01_01.xlsx&amp;sheet=U0&amp;row=771&amp;col=7&amp;number=6.517&amp;sourceID=16","6.517")</f>
        <v>6.517</v>
      </c>
      <c r="H771" s="4" t="str">
        <f>HYPERLINK("http://141.218.60.56/~jnz1568/getInfo.php?workbook=01_01.xlsx&amp;sheet=U0&amp;row=771&amp;col=8&amp;number=4.542&amp;sourceID=17","4.542")</f>
        <v>4.542</v>
      </c>
      <c r="I771" s="4" t="str">
        <f>HYPERLINK("http://141.218.60.56/~jnz1568/getInfo.php?workbook=01_01.xlsx&amp;sheet=U0&amp;row=771&amp;col=9&amp;number=6.71&amp;sourceID=17","6.71")</f>
        <v>6.71</v>
      </c>
    </row>
    <row r="772" spans="1:9">
      <c r="A772" s="3"/>
      <c r="B772" s="3"/>
      <c r="C772" s="3"/>
      <c r="D772" s="3"/>
      <c r="E772" s="3">
        <v>4</v>
      </c>
      <c r="F772" s="4" t="str">
        <f>HYPERLINK("http://141.218.60.56/~jnz1568/getInfo.php?workbook=01_01.xlsx&amp;sheet=U0&amp;row=772&amp;col=6&amp;number=4&amp;sourceID=16","4")</f>
        <v>4</v>
      </c>
      <c r="G772" s="4" t="str">
        <f>HYPERLINK("http://141.218.60.56/~jnz1568/getInfo.php?workbook=01_01.xlsx&amp;sheet=U0&amp;row=772&amp;col=7&amp;number=7.622&amp;sourceID=16","7.622")</f>
        <v>7.622</v>
      </c>
      <c r="H772" s="4" t="str">
        <f>HYPERLINK("http://141.218.60.56/~jnz1568/getInfo.php?workbook=01_01.xlsx&amp;sheet=U0&amp;row=772&amp;col=8&amp;number=4.764&amp;sourceID=17","4.764")</f>
        <v>4.764</v>
      </c>
      <c r="I772" s="4" t="str">
        <f>HYPERLINK("http://141.218.60.56/~jnz1568/getInfo.php?workbook=01_01.xlsx&amp;sheet=U0&amp;row=772&amp;col=9&amp;number=7.83&amp;sourceID=17","7.83")</f>
        <v>7.83</v>
      </c>
    </row>
    <row r="773" spans="1:9">
      <c r="A773" s="3"/>
      <c r="B773" s="3"/>
      <c r="C773" s="3"/>
      <c r="D773" s="3"/>
      <c r="E773" s="3">
        <v>5</v>
      </c>
      <c r="F773" s="4" t="str">
        <f>HYPERLINK("http://141.218.60.56/~jnz1568/getInfo.php?workbook=01_01.xlsx&amp;sheet=U0&amp;row=773&amp;col=6&amp;number=4.176&amp;sourceID=16","4.176")</f>
        <v>4.176</v>
      </c>
      <c r="G773" s="4" t="str">
        <f>HYPERLINK("http://141.218.60.56/~jnz1568/getInfo.php?workbook=01_01.xlsx&amp;sheet=U0&amp;row=773&amp;col=7&amp;number=9.211&amp;sourceID=16","9.211")</f>
        <v>9.211</v>
      </c>
      <c r="H773" s="4" t="str">
        <f>HYPERLINK("http://141.218.60.56/~jnz1568/getInfo.php?workbook=01_01.xlsx&amp;sheet=U0&amp;row=773&amp;col=8&amp;number=5.064&amp;sourceID=17","5.064")</f>
        <v>5.064</v>
      </c>
      <c r="I773" s="4" t="str">
        <f>HYPERLINK("http://141.218.60.56/~jnz1568/getInfo.php?workbook=01_01.xlsx&amp;sheet=U0&amp;row=773&amp;col=9&amp;number=9.16&amp;sourceID=17","9.16")</f>
        <v>9.16</v>
      </c>
    </row>
    <row r="774" spans="1:9">
      <c r="A774" s="3"/>
      <c r="B774" s="3"/>
      <c r="C774" s="3"/>
      <c r="D774" s="3"/>
      <c r="E774" s="3">
        <v>6</v>
      </c>
      <c r="F774" s="4" t="str">
        <f>HYPERLINK("http://141.218.60.56/~jnz1568/getInfo.php?workbook=01_01.xlsx&amp;sheet=U0&amp;row=774&amp;col=6&amp;number=4.301&amp;sourceID=16","4.301")</f>
        <v>4.301</v>
      </c>
      <c r="G774" s="4" t="str">
        <f>HYPERLINK("http://141.218.60.56/~jnz1568/getInfo.php?workbook=01_01.xlsx&amp;sheet=U0&amp;row=774&amp;col=7&amp;number=10.3&amp;sourceID=16","10.3")</f>
        <v>10.3</v>
      </c>
      <c r="H774" s="4" t="str">
        <f>HYPERLINK("http://141.218.60.56/~jnz1568/getInfo.php?workbook=01_01.xlsx&amp;sheet=U0&amp;row=774&amp;col=8&amp;number=5.241&amp;sourceID=17","5.241")</f>
        <v>5.241</v>
      </c>
      <c r="I774" s="4" t="str">
        <f>HYPERLINK("http://141.218.60.56/~jnz1568/getInfo.php?workbook=01_01.xlsx&amp;sheet=U0&amp;row=774&amp;col=9&amp;number=9.67&amp;sourceID=17","9.67")</f>
        <v>9.67</v>
      </c>
    </row>
    <row r="775" spans="1:9">
      <c r="A775" s="3"/>
      <c r="B775" s="3"/>
      <c r="C775" s="3"/>
      <c r="D775" s="3"/>
      <c r="E775" s="3">
        <v>7</v>
      </c>
      <c r="F775" s="4" t="str">
        <f>HYPERLINK("http://141.218.60.56/~jnz1568/getInfo.php?workbook=01_01.xlsx&amp;sheet=U0&amp;row=775&amp;col=6&amp;number=4.477&amp;sourceID=16","4.477")</f>
        <v>4.477</v>
      </c>
      <c r="G775" s="4" t="str">
        <f>HYPERLINK("http://141.218.60.56/~jnz1568/getInfo.php?workbook=01_01.xlsx&amp;sheet=U0&amp;row=775&amp;col=7&amp;number=11.69&amp;sourceID=16","11.69")</f>
        <v>11.69</v>
      </c>
      <c r="H775" s="4" t="str">
        <f>HYPERLINK("http://141.218.60.56/~jnz1568/getInfo.php?workbook=01_01.xlsx&amp;sheet=U0&amp;row=775&amp;col=8&amp;number=5.366&amp;sourceID=17","5.366")</f>
        <v>5.366</v>
      </c>
      <c r="I775" s="4" t="str">
        <f>HYPERLINK("http://141.218.60.56/~jnz1568/getInfo.php?workbook=01_01.xlsx&amp;sheet=U0&amp;row=775&amp;col=9&amp;number=9.89&amp;sourceID=17","9.89")</f>
        <v>9.89</v>
      </c>
    </row>
    <row r="776" spans="1:9">
      <c r="A776" s="3"/>
      <c r="B776" s="3"/>
      <c r="C776" s="3"/>
      <c r="D776" s="3"/>
      <c r="E776" s="3">
        <v>8</v>
      </c>
      <c r="F776" s="4" t="str">
        <f>HYPERLINK("http://141.218.60.56/~jnz1568/getInfo.php?workbook=01_01.xlsx&amp;sheet=U0&amp;row=776&amp;col=6&amp;number=4.602&amp;sourceID=16","4.602")</f>
        <v>4.602</v>
      </c>
      <c r="G776" s="4" t="str">
        <f>HYPERLINK("http://141.218.60.56/~jnz1568/getInfo.php?workbook=01_01.xlsx&amp;sheet=U0&amp;row=776&amp;col=7&amp;number=12.55&amp;sourceID=16","12.55")</f>
        <v>12.55</v>
      </c>
      <c r="H776" s="4" t="str">
        <f>HYPERLINK("http://141.218.60.56/~jnz1568/getInfo.php?workbook=01_01.xlsx&amp;sheet=U0&amp;row=776&amp;col=8&amp;number=5.463&amp;sourceID=17","5.463")</f>
        <v>5.463</v>
      </c>
      <c r="I776" s="4" t="str">
        <f>HYPERLINK("http://141.218.60.56/~jnz1568/getInfo.php?workbook=01_01.xlsx&amp;sheet=U0&amp;row=776&amp;col=9&amp;number=9.99&amp;sourceID=17","9.99")</f>
        <v>9.99</v>
      </c>
    </row>
    <row r="777" spans="1:9">
      <c r="A777" s="3"/>
      <c r="B777" s="3"/>
      <c r="C777" s="3"/>
      <c r="D777" s="3"/>
      <c r="E777" s="3">
        <v>9</v>
      </c>
      <c r="F777" s="4" t="str">
        <f>HYPERLINK("http://141.218.60.56/~jnz1568/getInfo.php?workbook=01_01.xlsx&amp;sheet=U0&amp;row=777&amp;col=6&amp;number=4.699&amp;sourceID=16","4.699")</f>
        <v>4.699</v>
      </c>
      <c r="G777" s="4" t="str">
        <f>HYPERLINK("http://141.218.60.56/~jnz1568/getInfo.php?workbook=01_01.xlsx&amp;sheet=U0&amp;row=777&amp;col=7&amp;number=13.06&amp;sourceID=16","13.06")</f>
        <v>13.06</v>
      </c>
      <c r="H777" s="4" t="str">
        <f>HYPERLINK("http://141.218.60.56/~jnz1568/getInfo.php?workbook=01_01.xlsx&amp;sheet=U0&amp;row=777&amp;col=8&amp;number=&amp;sourceID=17","")</f>
        <v/>
      </c>
      <c r="I777" s="4" t="str">
        <f>HYPERLINK("http://141.218.60.56/~jnz1568/getInfo.php?workbook=01_01.xlsx&amp;sheet=U0&amp;row=777&amp;col=9&amp;number=&amp;sourceID=17","")</f>
        <v/>
      </c>
    </row>
    <row r="778" spans="1:9">
      <c r="A778" s="3">
        <v>1</v>
      </c>
      <c r="B778" s="3">
        <v>1</v>
      </c>
      <c r="C778" s="3">
        <v>15</v>
      </c>
      <c r="D778" s="3">
        <v>5</v>
      </c>
      <c r="E778" s="3">
        <v>1</v>
      </c>
      <c r="F778" s="4" t="str">
        <f>HYPERLINK("http://141.218.60.56/~jnz1568/getInfo.php?workbook=01_01.xlsx&amp;sheet=U0&amp;row=778&amp;col=6&amp;number==LOG10(2500)&amp;sourceID=16","=LOG10(2500)")</f>
        <v>=LOG10(2500)</v>
      </c>
      <c r="G778" s="4" t="str">
        <f>HYPERLINK("http://141.218.60.56/~jnz1568/getInfo.php?workbook=01_01.xlsx&amp;sheet=U0&amp;row=778&amp;col=7&amp;number=12.03&amp;sourceID=16","12.03")</f>
        <v>12.03</v>
      </c>
      <c r="H778" s="4" t="str">
        <f>HYPERLINK("http://141.218.60.56/~jnz1568/getInfo.php?workbook=01_01.xlsx&amp;sheet=U0&amp;row=778&amp;col=8&amp;number=3.764&amp;sourceID=17","3.764")</f>
        <v>3.764</v>
      </c>
      <c r="I778" s="4" t="str">
        <f>HYPERLINK("http://141.218.60.56/~jnz1568/getInfo.php?workbook=01_01.xlsx&amp;sheet=U0&amp;row=778&amp;col=9&amp;number=14.7&amp;sourceID=17","14.7")</f>
        <v>14.7</v>
      </c>
    </row>
    <row r="779" spans="1:9">
      <c r="A779" s="3"/>
      <c r="B779" s="3"/>
      <c r="C779" s="3"/>
      <c r="D779" s="3"/>
      <c r="E779" s="3">
        <v>2</v>
      </c>
      <c r="F779" s="4" t="str">
        <f>HYPERLINK("http://141.218.60.56/~jnz1568/getInfo.php?workbook=01_01.xlsx&amp;sheet=U0&amp;row=779&amp;col=6&amp;number=3.699&amp;sourceID=16","3.699")</f>
        <v>3.699</v>
      </c>
      <c r="G779" s="4" t="str">
        <f>HYPERLINK("http://141.218.60.56/~jnz1568/getInfo.php?workbook=01_01.xlsx&amp;sheet=U0&amp;row=779&amp;col=7&amp;number=19.02&amp;sourceID=16","19.02")</f>
        <v>19.02</v>
      </c>
      <c r="H779" s="4" t="str">
        <f>HYPERLINK("http://141.218.60.56/~jnz1568/getInfo.php?workbook=01_01.xlsx&amp;sheet=U0&amp;row=779&amp;col=8&amp;number=4.064&amp;sourceID=17","4.064")</f>
        <v>4.064</v>
      </c>
      <c r="I779" s="4" t="str">
        <f>HYPERLINK("http://141.218.60.56/~jnz1568/getInfo.php?workbook=01_01.xlsx&amp;sheet=U0&amp;row=779&amp;col=9&amp;number=18.6&amp;sourceID=17","18.6")</f>
        <v>18.6</v>
      </c>
    </row>
    <row r="780" spans="1:9">
      <c r="A780" s="3"/>
      <c r="B780" s="3"/>
      <c r="C780" s="3"/>
      <c r="D780" s="3"/>
      <c r="E780" s="3">
        <v>3</v>
      </c>
      <c r="F780" s="4" t="str">
        <f>HYPERLINK("http://141.218.60.56/~jnz1568/getInfo.php?workbook=01_01.xlsx&amp;sheet=U0&amp;row=780&amp;col=6&amp;number=3.875&amp;sourceID=16","3.875")</f>
        <v>3.875</v>
      </c>
      <c r="G780" s="4" t="str">
        <f>HYPERLINK("http://141.218.60.56/~jnz1568/getInfo.php?workbook=01_01.xlsx&amp;sheet=U0&amp;row=780&amp;col=7&amp;number=23.7&amp;sourceID=16","23.7")</f>
        <v>23.7</v>
      </c>
      <c r="H780" s="4" t="str">
        <f>HYPERLINK("http://141.218.60.56/~jnz1568/getInfo.php?workbook=01_01.xlsx&amp;sheet=U0&amp;row=780&amp;col=8&amp;number=4.542&amp;sourceID=17","4.542")</f>
        <v>4.542</v>
      </c>
      <c r="I780" s="4" t="str">
        <f>HYPERLINK("http://141.218.60.56/~jnz1568/getInfo.php?workbook=01_01.xlsx&amp;sheet=U0&amp;row=780&amp;col=9&amp;number=24.7&amp;sourceID=17","24.7")</f>
        <v>24.7</v>
      </c>
    </row>
    <row r="781" spans="1:9">
      <c r="A781" s="3"/>
      <c r="B781" s="3"/>
      <c r="C781" s="3"/>
      <c r="D781" s="3"/>
      <c r="E781" s="3">
        <v>4</v>
      </c>
      <c r="F781" s="4" t="str">
        <f>HYPERLINK("http://141.218.60.56/~jnz1568/getInfo.php?workbook=01_01.xlsx&amp;sheet=U0&amp;row=781&amp;col=6&amp;number=4&amp;sourceID=16","4")</f>
        <v>4</v>
      </c>
      <c r="G781" s="4" t="str">
        <f>HYPERLINK("http://141.218.60.56/~jnz1568/getInfo.php?workbook=01_01.xlsx&amp;sheet=U0&amp;row=781&amp;col=7&amp;number=27.33&amp;sourceID=16","27.33")</f>
        <v>27.33</v>
      </c>
      <c r="H781" s="4" t="str">
        <f>HYPERLINK("http://141.218.60.56/~jnz1568/getInfo.php?workbook=01_01.xlsx&amp;sheet=U0&amp;row=781&amp;col=8&amp;number=4.764&amp;sourceID=17","4.764")</f>
        <v>4.764</v>
      </c>
      <c r="I781" s="4" t="str">
        <f>HYPERLINK("http://141.218.60.56/~jnz1568/getInfo.php?workbook=01_01.xlsx&amp;sheet=U0&amp;row=781&amp;col=9&amp;number=28.6&amp;sourceID=17","28.6")</f>
        <v>28.6</v>
      </c>
    </row>
    <row r="782" spans="1:9">
      <c r="A782" s="3"/>
      <c r="B782" s="3"/>
      <c r="C782" s="3"/>
      <c r="D782" s="3"/>
      <c r="E782" s="3">
        <v>5</v>
      </c>
      <c r="F782" s="4" t="str">
        <f>HYPERLINK("http://141.218.60.56/~jnz1568/getInfo.php?workbook=01_01.xlsx&amp;sheet=U0&amp;row=782&amp;col=6&amp;number=4.176&amp;sourceID=16","4.176")</f>
        <v>4.176</v>
      </c>
      <c r="G782" s="4" t="str">
        <f>HYPERLINK("http://141.218.60.56/~jnz1568/getInfo.php?workbook=01_01.xlsx&amp;sheet=U0&amp;row=782&amp;col=7&amp;number=32.65&amp;sourceID=16","32.65")</f>
        <v>32.65</v>
      </c>
      <c r="H782" s="4" t="str">
        <f>HYPERLINK("http://141.218.60.56/~jnz1568/getInfo.php?workbook=01_01.xlsx&amp;sheet=U0&amp;row=782&amp;col=8&amp;number=5.064&amp;sourceID=17","5.064")</f>
        <v>5.064</v>
      </c>
      <c r="I782" s="4" t="str">
        <f>HYPERLINK("http://141.218.60.56/~jnz1568/getInfo.php?workbook=01_01.xlsx&amp;sheet=U0&amp;row=782&amp;col=9&amp;number=33.6&amp;sourceID=17","33.6")</f>
        <v>33.6</v>
      </c>
    </row>
    <row r="783" spans="1:9">
      <c r="A783" s="3"/>
      <c r="B783" s="3"/>
      <c r="C783" s="3"/>
      <c r="D783" s="3"/>
      <c r="E783" s="3">
        <v>6</v>
      </c>
      <c r="F783" s="4" t="str">
        <f>HYPERLINK("http://141.218.60.56/~jnz1568/getInfo.php?workbook=01_01.xlsx&amp;sheet=U0&amp;row=783&amp;col=6&amp;number=4.301&amp;sourceID=16","4.301")</f>
        <v>4.301</v>
      </c>
      <c r="G783" s="4" t="str">
        <f>HYPERLINK("http://141.218.60.56/~jnz1568/getInfo.php?workbook=01_01.xlsx&amp;sheet=U0&amp;row=783&amp;col=7&amp;number=36.5&amp;sourceID=16","36.5")</f>
        <v>36.5</v>
      </c>
      <c r="H783" s="4" t="str">
        <f>HYPERLINK("http://141.218.60.56/~jnz1568/getInfo.php?workbook=01_01.xlsx&amp;sheet=U0&amp;row=783&amp;col=8&amp;number=5.241&amp;sourceID=17","5.241")</f>
        <v>5.241</v>
      </c>
      <c r="I783" s="4" t="str">
        <f>HYPERLINK("http://141.218.60.56/~jnz1568/getInfo.php?workbook=01_01.xlsx&amp;sheet=U0&amp;row=783&amp;col=9&amp;number=35.7&amp;sourceID=17","35.7")</f>
        <v>35.7</v>
      </c>
    </row>
    <row r="784" spans="1:9">
      <c r="A784" s="3"/>
      <c r="B784" s="3"/>
      <c r="C784" s="3"/>
      <c r="D784" s="3"/>
      <c r="E784" s="3">
        <v>7</v>
      </c>
      <c r="F784" s="4" t="str">
        <f>HYPERLINK("http://141.218.60.56/~jnz1568/getInfo.php?workbook=01_01.xlsx&amp;sheet=U0&amp;row=784&amp;col=6&amp;number=4.477&amp;sourceID=16","4.477")</f>
        <v>4.477</v>
      </c>
      <c r="G784" s="4" t="str">
        <f>HYPERLINK("http://141.218.60.56/~jnz1568/getInfo.php?workbook=01_01.xlsx&amp;sheet=U0&amp;row=784&amp;col=7&amp;number=41.73&amp;sourceID=16","41.73")</f>
        <v>41.73</v>
      </c>
      <c r="H784" s="4" t="str">
        <f>HYPERLINK("http://141.218.60.56/~jnz1568/getInfo.php?workbook=01_01.xlsx&amp;sheet=U0&amp;row=784&amp;col=8&amp;number=5.366&amp;sourceID=17","5.366")</f>
        <v>5.366</v>
      </c>
      <c r="I784" s="4" t="str">
        <f>HYPERLINK("http://141.218.60.56/~jnz1568/getInfo.php?workbook=01_01.xlsx&amp;sheet=U0&amp;row=784&amp;col=9&amp;number=36.7&amp;sourceID=17","36.7")</f>
        <v>36.7</v>
      </c>
    </row>
    <row r="785" spans="1:9">
      <c r="A785" s="3"/>
      <c r="B785" s="3"/>
      <c r="C785" s="3"/>
      <c r="D785" s="3"/>
      <c r="E785" s="3">
        <v>8</v>
      </c>
      <c r="F785" s="4" t="str">
        <f>HYPERLINK("http://141.218.60.56/~jnz1568/getInfo.php?workbook=01_01.xlsx&amp;sheet=U0&amp;row=785&amp;col=6&amp;number=4.602&amp;sourceID=16","4.602")</f>
        <v>4.602</v>
      </c>
      <c r="G785" s="4" t="str">
        <f>HYPERLINK("http://141.218.60.56/~jnz1568/getInfo.php?workbook=01_01.xlsx&amp;sheet=U0&amp;row=785&amp;col=7&amp;number=45.12&amp;sourceID=16","45.12")</f>
        <v>45.12</v>
      </c>
      <c r="H785" s="4" t="str">
        <f>HYPERLINK("http://141.218.60.56/~jnz1568/getInfo.php?workbook=01_01.xlsx&amp;sheet=U0&amp;row=785&amp;col=8&amp;number=5.463&amp;sourceID=17","5.463")</f>
        <v>5.463</v>
      </c>
      <c r="I785" s="4" t="str">
        <f>HYPERLINK("http://141.218.60.56/~jnz1568/getInfo.php?workbook=01_01.xlsx&amp;sheet=U0&amp;row=785&amp;col=9&amp;number=37.2&amp;sourceID=17","37.2")</f>
        <v>37.2</v>
      </c>
    </row>
    <row r="786" spans="1:9">
      <c r="A786" s="3"/>
      <c r="B786" s="3"/>
      <c r="C786" s="3"/>
      <c r="D786" s="3"/>
      <c r="E786" s="3">
        <v>9</v>
      </c>
      <c r="F786" s="4" t="str">
        <f>HYPERLINK("http://141.218.60.56/~jnz1568/getInfo.php?workbook=01_01.xlsx&amp;sheet=U0&amp;row=786&amp;col=6&amp;number=4.699&amp;sourceID=16","4.699")</f>
        <v>4.699</v>
      </c>
      <c r="G786" s="4" t="str">
        <f>HYPERLINK("http://141.218.60.56/~jnz1568/getInfo.php?workbook=01_01.xlsx&amp;sheet=U0&amp;row=786&amp;col=7&amp;number=46.72&amp;sourceID=16","46.72")</f>
        <v>46.72</v>
      </c>
      <c r="H786" s="4" t="str">
        <f>HYPERLINK("http://141.218.60.56/~jnz1568/getInfo.php?workbook=01_01.xlsx&amp;sheet=U0&amp;row=786&amp;col=8&amp;number=&amp;sourceID=17","")</f>
        <v/>
      </c>
      <c r="I786" s="4" t="str">
        <f>HYPERLINK("http://141.218.60.56/~jnz1568/getInfo.php?workbook=01_01.xlsx&amp;sheet=U0&amp;row=786&amp;col=9&amp;number=&amp;sourceID=17","")</f>
        <v/>
      </c>
    </row>
    <row r="787" spans="1:9">
      <c r="A787" s="3">
        <v>1</v>
      </c>
      <c r="B787" s="3">
        <v>1</v>
      </c>
      <c r="C787" s="3">
        <v>15</v>
      </c>
      <c r="D787" s="3">
        <v>6</v>
      </c>
      <c r="E787" s="3">
        <v>1</v>
      </c>
      <c r="F787" s="4" t="str">
        <f>HYPERLINK("http://141.218.60.56/~jnz1568/getInfo.php?workbook=01_01.xlsx&amp;sheet=U0&amp;row=787&amp;col=6&amp;number==LOG10(2500)&amp;sourceID=16","=LOG10(2500)")</f>
        <v>=LOG10(2500)</v>
      </c>
      <c r="G787" s="4" t="str">
        <f>HYPERLINK("http://141.218.60.56/~jnz1568/getInfo.php?workbook=01_01.xlsx&amp;sheet=U0&amp;row=787&amp;col=7&amp;number=28.1&amp;sourceID=16","28.1")</f>
        <v>28.1</v>
      </c>
      <c r="H787" s="4" t="str">
        <f>HYPERLINK("http://141.218.60.56/~jnz1568/getInfo.php?workbook=01_01.xlsx&amp;sheet=U0&amp;row=787&amp;col=8&amp;number=3.764&amp;sourceID=17","3.764")</f>
        <v>3.764</v>
      </c>
      <c r="I787" s="4" t="str">
        <f>HYPERLINK("http://141.218.60.56/~jnz1568/getInfo.php?workbook=01_01.xlsx&amp;sheet=U0&amp;row=787&amp;col=9&amp;number=29.8&amp;sourceID=17","29.8")</f>
        <v>29.8</v>
      </c>
    </row>
    <row r="788" spans="1:9">
      <c r="A788" s="3"/>
      <c r="B788" s="3"/>
      <c r="C788" s="3"/>
      <c r="D788" s="3"/>
      <c r="E788" s="3">
        <v>2</v>
      </c>
      <c r="F788" s="4" t="str">
        <f>HYPERLINK("http://141.218.60.56/~jnz1568/getInfo.php?workbook=01_01.xlsx&amp;sheet=U0&amp;row=788&amp;col=6&amp;number=3.699&amp;sourceID=16","3.699")</f>
        <v>3.699</v>
      </c>
      <c r="G788" s="4" t="str">
        <f>HYPERLINK("http://141.218.60.56/~jnz1568/getInfo.php?workbook=01_01.xlsx&amp;sheet=U0&amp;row=788&amp;col=7&amp;number=40.68&amp;sourceID=16","40.68")</f>
        <v>40.68</v>
      </c>
      <c r="H788" s="4" t="str">
        <f>HYPERLINK("http://141.218.60.56/~jnz1568/getInfo.php?workbook=01_01.xlsx&amp;sheet=U0&amp;row=788&amp;col=8&amp;number=4.064&amp;sourceID=17","4.064")</f>
        <v>4.064</v>
      </c>
      <c r="I788" s="4" t="str">
        <f>HYPERLINK("http://141.218.60.56/~jnz1568/getInfo.php?workbook=01_01.xlsx&amp;sheet=U0&amp;row=788&amp;col=9&amp;number=38.7&amp;sourceID=17","38.7")</f>
        <v>38.7</v>
      </c>
    </row>
    <row r="789" spans="1:9">
      <c r="A789" s="3"/>
      <c r="B789" s="3"/>
      <c r="C789" s="3"/>
      <c r="D789" s="3"/>
      <c r="E789" s="3">
        <v>3</v>
      </c>
      <c r="F789" s="4" t="str">
        <f>HYPERLINK("http://141.218.60.56/~jnz1568/getInfo.php?workbook=01_01.xlsx&amp;sheet=U0&amp;row=789&amp;col=6&amp;number=3.875&amp;sourceID=16","3.875")</f>
        <v>3.875</v>
      </c>
      <c r="G789" s="4" t="str">
        <f>HYPERLINK("http://141.218.60.56/~jnz1568/getInfo.php?workbook=01_01.xlsx&amp;sheet=U0&amp;row=789&amp;col=7&amp;number=48.31&amp;sourceID=16","48.31")</f>
        <v>48.31</v>
      </c>
      <c r="H789" s="4" t="str">
        <f>HYPERLINK("http://141.218.60.56/~jnz1568/getInfo.php?workbook=01_01.xlsx&amp;sheet=U0&amp;row=789&amp;col=8&amp;number=4.542&amp;sourceID=17","4.542")</f>
        <v>4.542</v>
      </c>
      <c r="I789" s="4" t="str">
        <f>HYPERLINK("http://141.218.60.56/~jnz1568/getInfo.php?workbook=01_01.xlsx&amp;sheet=U0&amp;row=789&amp;col=9&amp;number=53.2&amp;sourceID=17","53.2")</f>
        <v>53.2</v>
      </c>
    </row>
    <row r="790" spans="1:9">
      <c r="A790" s="3"/>
      <c r="B790" s="3"/>
      <c r="C790" s="3"/>
      <c r="D790" s="3"/>
      <c r="E790" s="3">
        <v>4</v>
      </c>
      <c r="F790" s="4" t="str">
        <f>HYPERLINK("http://141.218.60.56/~jnz1568/getInfo.php?workbook=01_01.xlsx&amp;sheet=U0&amp;row=790&amp;col=6&amp;number=4&amp;sourceID=16","4")</f>
        <v>4</v>
      </c>
      <c r="G790" s="4" t="str">
        <f>HYPERLINK("http://141.218.60.56/~jnz1568/getInfo.php?workbook=01_01.xlsx&amp;sheet=U0&amp;row=790&amp;col=7&amp;number=54.14&amp;sourceID=16","54.14")</f>
        <v>54.14</v>
      </c>
      <c r="H790" s="4" t="str">
        <f>HYPERLINK("http://141.218.60.56/~jnz1568/getInfo.php?workbook=01_01.xlsx&amp;sheet=U0&amp;row=790&amp;col=8&amp;number=4.764&amp;sourceID=17","4.764")</f>
        <v>4.764</v>
      </c>
      <c r="I790" s="4" t="str">
        <f>HYPERLINK("http://141.218.60.56/~jnz1568/getInfo.php?workbook=01_01.xlsx&amp;sheet=U0&amp;row=790&amp;col=9&amp;number=61.8&amp;sourceID=17","61.8")</f>
        <v>61.8</v>
      </c>
    </row>
    <row r="791" spans="1:9">
      <c r="A791" s="3"/>
      <c r="B791" s="3"/>
      <c r="C791" s="3"/>
      <c r="D791" s="3"/>
      <c r="E791" s="3">
        <v>5</v>
      </c>
      <c r="F791" s="4" t="str">
        <f>HYPERLINK("http://141.218.60.56/~jnz1568/getInfo.php?workbook=01_01.xlsx&amp;sheet=U0&amp;row=791&amp;col=6&amp;number=4.176&amp;sourceID=16","4.176")</f>
        <v>4.176</v>
      </c>
      <c r="G791" s="4" t="str">
        <f>HYPERLINK("http://141.218.60.56/~jnz1568/getInfo.php?workbook=01_01.xlsx&amp;sheet=U0&amp;row=791&amp;col=7&amp;number=62.97&amp;sourceID=16","62.97")</f>
        <v>62.97</v>
      </c>
      <c r="H791" s="4" t="str">
        <f>HYPERLINK("http://141.218.60.56/~jnz1568/getInfo.php?workbook=01_01.xlsx&amp;sheet=U0&amp;row=791&amp;col=8&amp;number=5.064&amp;sourceID=17","5.064")</f>
        <v>5.064</v>
      </c>
      <c r="I791" s="4" t="str">
        <f>HYPERLINK("http://141.218.60.56/~jnz1568/getInfo.php?workbook=01_01.xlsx&amp;sheet=U0&amp;row=791&amp;col=9&amp;number=74.3&amp;sourceID=17","74.3")</f>
        <v>74.3</v>
      </c>
    </row>
    <row r="792" spans="1:9">
      <c r="A792" s="3"/>
      <c r="B792" s="3"/>
      <c r="C792" s="3"/>
      <c r="D792" s="3"/>
      <c r="E792" s="3">
        <v>6</v>
      </c>
      <c r="F792" s="4" t="str">
        <f>HYPERLINK("http://141.218.60.56/~jnz1568/getInfo.php?workbook=01_01.xlsx&amp;sheet=U0&amp;row=792&amp;col=6&amp;number=4.301&amp;sourceID=16","4.301")</f>
        <v>4.301</v>
      </c>
      <c r="G792" s="4" t="str">
        <f>HYPERLINK("http://141.218.60.56/~jnz1568/getInfo.php?workbook=01_01.xlsx&amp;sheet=U0&amp;row=792&amp;col=7&amp;number=69.67&amp;sourceID=16","69.67")</f>
        <v>69.67</v>
      </c>
      <c r="H792" s="4" t="str">
        <f>HYPERLINK("http://141.218.60.56/~jnz1568/getInfo.php?workbook=01_01.xlsx&amp;sheet=U0&amp;row=792&amp;col=8&amp;number=5.241&amp;sourceID=17","5.241")</f>
        <v>5.241</v>
      </c>
      <c r="I792" s="4" t="str">
        <f>HYPERLINK("http://141.218.60.56/~jnz1568/getInfo.php?workbook=01_01.xlsx&amp;sheet=U0&amp;row=792&amp;col=9&amp;number=80.6&amp;sourceID=17","80.6")</f>
        <v>80.6</v>
      </c>
    </row>
    <row r="793" spans="1:9">
      <c r="A793" s="3"/>
      <c r="B793" s="3"/>
      <c r="C793" s="3"/>
      <c r="D793" s="3"/>
      <c r="E793" s="3">
        <v>7</v>
      </c>
      <c r="F793" s="4" t="str">
        <f>HYPERLINK("http://141.218.60.56/~jnz1568/getInfo.php?workbook=01_01.xlsx&amp;sheet=U0&amp;row=793&amp;col=6&amp;number=4.477&amp;sourceID=16","4.477")</f>
        <v>4.477</v>
      </c>
      <c r="G793" s="4" t="str">
        <f>HYPERLINK("http://141.218.60.56/~jnz1568/getInfo.php?workbook=01_01.xlsx&amp;sheet=U0&amp;row=793&amp;col=7&amp;number=79.77&amp;sourceID=16","79.77")</f>
        <v>79.77</v>
      </c>
      <c r="H793" s="4" t="str">
        <f>HYPERLINK("http://141.218.60.56/~jnz1568/getInfo.php?workbook=01_01.xlsx&amp;sheet=U0&amp;row=793&amp;col=8&amp;number=5.366&amp;sourceID=17","5.366")</f>
        <v>5.366</v>
      </c>
      <c r="I793" s="4" t="str">
        <f>HYPERLINK("http://141.218.60.56/~jnz1568/getInfo.php?workbook=01_01.xlsx&amp;sheet=U0&amp;row=793&amp;col=9&amp;number=84.2&amp;sourceID=17","84.2")</f>
        <v>84.2</v>
      </c>
    </row>
    <row r="794" spans="1:9">
      <c r="A794" s="3"/>
      <c r="B794" s="3"/>
      <c r="C794" s="3"/>
      <c r="D794" s="3"/>
      <c r="E794" s="3">
        <v>8</v>
      </c>
      <c r="F794" s="4" t="str">
        <f>HYPERLINK("http://141.218.60.56/~jnz1568/getInfo.php?workbook=01_01.xlsx&amp;sheet=U0&amp;row=794&amp;col=6&amp;number=4.602&amp;sourceID=16","4.602")</f>
        <v>4.602</v>
      </c>
      <c r="G794" s="4" t="str">
        <f>HYPERLINK("http://141.218.60.56/~jnz1568/getInfo.php?workbook=01_01.xlsx&amp;sheet=U0&amp;row=794&amp;col=7&amp;number=87.24&amp;sourceID=16","87.24")</f>
        <v>87.24</v>
      </c>
      <c r="H794" s="4" t="str">
        <f>HYPERLINK("http://141.218.60.56/~jnz1568/getInfo.php?workbook=01_01.xlsx&amp;sheet=U0&amp;row=794&amp;col=8&amp;number=5.463&amp;sourceID=17","5.463")</f>
        <v>5.463</v>
      </c>
      <c r="I794" s="4" t="str">
        <f>HYPERLINK("http://141.218.60.56/~jnz1568/getInfo.php?workbook=01_01.xlsx&amp;sheet=U0&amp;row=794&amp;col=9&amp;number=86.6&amp;sourceID=17","86.6")</f>
        <v>86.6</v>
      </c>
    </row>
    <row r="795" spans="1:9">
      <c r="A795" s="3"/>
      <c r="B795" s="3"/>
      <c r="C795" s="3"/>
      <c r="D795" s="3"/>
      <c r="E795" s="3">
        <v>9</v>
      </c>
      <c r="F795" s="4" t="str">
        <f>HYPERLINK("http://141.218.60.56/~jnz1568/getInfo.php?workbook=01_01.xlsx&amp;sheet=U0&amp;row=795&amp;col=6&amp;number=4.699&amp;sourceID=16","4.699")</f>
        <v>4.699</v>
      </c>
      <c r="G795" s="4" t="str">
        <f>HYPERLINK("http://141.218.60.56/~jnz1568/getInfo.php?workbook=01_01.xlsx&amp;sheet=U0&amp;row=795&amp;col=7&amp;number=92.96&amp;sourceID=16","92.96")</f>
        <v>92.96</v>
      </c>
      <c r="H795" s="4" t="str">
        <f>HYPERLINK("http://141.218.60.56/~jnz1568/getInfo.php?workbook=01_01.xlsx&amp;sheet=U0&amp;row=795&amp;col=8&amp;number=&amp;sourceID=17","")</f>
        <v/>
      </c>
      <c r="I795" s="4" t="str">
        <f>HYPERLINK("http://141.218.60.56/~jnz1568/getInfo.php?workbook=01_01.xlsx&amp;sheet=U0&amp;row=795&amp;col=9&amp;number=&amp;sourceID=17","")</f>
        <v/>
      </c>
    </row>
    <row r="796" spans="1:9">
      <c r="A796" s="3">
        <v>1</v>
      </c>
      <c r="B796" s="3">
        <v>1</v>
      </c>
      <c r="C796" s="3">
        <v>15</v>
      </c>
      <c r="D796" s="3">
        <v>7</v>
      </c>
      <c r="E796" s="3">
        <v>1</v>
      </c>
      <c r="F796" s="4" t="str">
        <f>HYPERLINK("http://141.218.60.56/~jnz1568/getInfo.php?workbook=01_01.xlsx&amp;sheet=U0&amp;row=796&amp;col=6&amp;number==LOG10(2500)&amp;sourceID=16","=LOG10(2500)")</f>
        <v>=LOG10(2500)</v>
      </c>
      <c r="G796" s="4" t="str">
        <f>HYPERLINK("http://141.218.60.56/~jnz1568/getInfo.php?workbook=01_01.xlsx&amp;sheet=U0&amp;row=796&amp;col=7&amp;number=18.95&amp;sourceID=16","18.95")</f>
        <v>18.95</v>
      </c>
      <c r="H796" s="4" t="str">
        <f>HYPERLINK("http://141.218.60.56/~jnz1568/getInfo.php?workbook=01_01.xlsx&amp;sheet=U0&amp;row=796&amp;col=8&amp;number=3.764&amp;sourceID=17","3.764")</f>
        <v>3.764</v>
      </c>
      <c r="I796" s="4" t="str">
        <f>HYPERLINK("http://141.218.60.56/~jnz1568/getInfo.php?workbook=01_01.xlsx&amp;sheet=U0&amp;row=796&amp;col=9&amp;number=20.3&amp;sourceID=17","20.3")</f>
        <v>20.3</v>
      </c>
    </row>
    <row r="797" spans="1:9">
      <c r="A797" s="3"/>
      <c r="B797" s="3"/>
      <c r="C797" s="3"/>
      <c r="D797" s="3"/>
      <c r="E797" s="3">
        <v>2</v>
      </c>
      <c r="F797" s="4" t="str">
        <f>HYPERLINK("http://141.218.60.56/~jnz1568/getInfo.php?workbook=01_01.xlsx&amp;sheet=U0&amp;row=797&amp;col=6&amp;number=3.699&amp;sourceID=16","3.699")</f>
        <v>3.699</v>
      </c>
      <c r="G797" s="4" t="str">
        <f>HYPERLINK("http://141.218.60.56/~jnz1568/getInfo.php?workbook=01_01.xlsx&amp;sheet=U0&amp;row=797&amp;col=7&amp;number=32.67&amp;sourceID=16","32.67")</f>
        <v>32.67</v>
      </c>
      <c r="H797" s="4" t="str">
        <f>HYPERLINK("http://141.218.60.56/~jnz1568/getInfo.php?workbook=01_01.xlsx&amp;sheet=U0&amp;row=797&amp;col=8&amp;number=4.064&amp;sourceID=17","4.064")</f>
        <v>4.064</v>
      </c>
      <c r="I797" s="4" t="str">
        <f>HYPERLINK("http://141.218.60.56/~jnz1568/getInfo.php?workbook=01_01.xlsx&amp;sheet=U0&amp;row=797&amp;col=9&amp;number=27.6&amp;sourceID=17","27.6")</f>
        <v>27.6</v>
      </c>
    </row>
    <row r="798" spans="1:9">
      <c r="A798" s="3"/>
      <c r="B798" s="3"/>
      <c r="C798" s="3"/>
      <c r="D798" s="3"/>
      <c r="E798" s="3">
        <v>3</v>
      </c>
      <c r="F798" s="4" t="str">
        <f>HYPERLINK("http://141.218.60.56/~jnz1568/getInfo.php?workbook=01_01.xlsx&amp;sheet=U0&amp;row=798&amp;col=6&amp;number=3.875&amp;sourceID=16","3.875")</f>
        <v>3.875</v>
      </c>
      <c r="G798" s="4" t="str">
        <f>HYPERLINK("http://141.218.60.56/~jnz1568/getInfo.php?workbook=01_01.xlsx&amp;sheet=U0&amp;row=798&amp;col=7&amp;number=51.56&amp;sourceID=16","51.56")</f>
        <v>51.56</v>
      </c>
      <c r="H798" s="4" t="str">
        <f>HYPERLINK("http://141.218.60.56/~jnz1568/getInfo.php?workbook=01_01.xlsx&amp;sheet=U0&amp;row=798&amp;col=8&amp;number=4.542&amp;sourceID=17","4.542")</f>
        <v>4.542</v>
      </c>
      <c r="I798" s="4" t="str">
        <f>HYPERLINK("http://141.218.60.56/~jnz1568/getInfo.php?workbook=01_01.xlsx&amp;sheet=U0&amp;row=798&amp;col=9&amp;number=41.2&amp;sourceID=17","41.2")</f>
        <v>41.2</v>
      </c>
    </row>
    <row r="799" spans="1:9">
      <c r="A799" s="3"/>
      <c r="B799" s="3"/>
      <c r="C799" s="3"/>
      <c r="D799" s="3"/>
      <c r="E799" s="3">
        <v>4</v>
      </c>
      <c r="F799" s="4" t="str">
        <f>HYPERLINK("http://141.218.60.56/~jnz1568/getInfo.php?workbook=01_01.xlsx&amp;sheet=U0&amp;row=799&amp;col=6&amp;number=4&amp;sourceID=16","4")</f>
        <v>4</v>
      </c>
      <c r="G799" s="4" t="str">
        <f>HYPERLINK("http://141.218.60.56/~jnz1568/getInfo.php?workbook=01_01.xlsx&amp;sheet=U0&amp;row=799&amp;col=7&amp;number=48.08&amp;sourceID=16","48.08")</f>
        <v>48.08</v>
      </c>
      <c r="H799" s="4" t="str">
        <f>HYPERLINK("http://141.218.60.56/~jnz1568/getInfo.php?workbook=01_01.xlsx&amp;sheet=U0&amp;row=799&amp;col=8&amp;number=4.764&amp;sourceID=17","4.764")</f>
        <v>4.764</v>
      </c>
      <c r="I799" s="4" t="str">
        <f>HYPERLINK("http://141.218.60.56/~jnz1568/getInfo.php?workbook=01_01.xlsx&amp;sheet=U0&amp;row=799&amp;col=9&amp;number=47.4&amp;sourceID=17","47.4")</f>
        <v>47.4</v>
      </c>
    </row>
    <row r="800" spans="1:9">
      <c r="A800" s="3"/>
      <c r="B800" s="3"/>
      <c r="C800" s="3"/>
      <c r="D800" s="3"/>
      <c r="E800" s="3">
        <v>5</v>
      </c>
      <c r="F800" s="4" t="str">
        <f>HYPERLINK("http://141.218.60.56/~jnz1568/getInfo.php?workbook=01_01.xlsx&amp;sheet=U0&amp;row=800&amp;col=6&amp;number=4.176&amp;sourceID=16","4.176")</f>
        <v>4.176</v>
      </c>
      <c r="G800" s="4" t="str">
        <f>HYPERLINK("http://141.218.60.56/~jnz1568/getInfo.php?workbook=01_01.xlsx&amp;sheet=U0&amp;row=800&amp;col=7&amp;number=56.84&amp;sourceID=16","56.84")</f>
        <v>56.84</v>
      </c>
      <c r="H800" s="4" t="str">
        <f>HYPERLINK("http://141.218.60.56/~jnz1568/getInfo.php?workbook=01_01.xlsx&amp;sheet=U0&amp;row=800&amp;col=8&amp;number=5.064&amp;sourceID=17","5.064")</f>
        <v>5.064</v>
      </c>
      <c r="I800" s="4" t="str">
        <f>HYPERLINK("http://141.218.60.56/~jnz1568/getInfo.php?workbook=01_01.xlsx&amp;sheet=U0&amp;row=800&amp;col=9&amp;number=54&amp;sourceID=17","54")</f>
        <v>54</v>
      </c>
    </row>
    <row r="801" spans="1:9">
      <c r="A801" s="3"/>
      <c r="B801" s="3"/>
      <c r="C801" s="3"/>
      <c r="D801" s="3"/>
      <c r="E801" s="3">
        <v>6</v>
      </c>
      <c r="F801" s="4" t="str">
        <f>HYPERLINK("http://141.218.60.56/~jnz1568/getInfo.php?workbook=01_01.xlsx&amp;sheet=U0&amp;row=801&amp;col=6&amp;number=4.301&amp;sourceID=16","4.301")</f>
        <v>4.301</v>
      </c>
      <c r="G801" s="4" t="str">
        <f>HYPERLINK("http://141.218.60.56/~jnz1568/getInfo.php?workbook=01_01.xlsx&amp;sheet=U0&amp;row=801&amp;col=7&amp;number=62.34&amp;sourceID=16","62.34")</f>
        <v>62.34</v>
      </c>
      <c r="H801" s="4" t="str">
        <f>HYPERLINK("http://141.218.60.56/~jnz1568/getInfo.php?workbook=01_01.xlsx&amp;sheet=U0&amp;row=801&amp;col=8&amp;number=5.241&amp;sourceID=17","5.241")</f>
        <v>5.241</v>
      </c>
      <c r="I801" s="4" t="str">
        <f>HYPERLINK("http://141.218.60.56/~jnz1568/getInfo.php?workbook=01_01.xlsx&amp;sheet=U0&amp;row=801&amp;col=9&amp;number=56.5&amp;sourceID=17","56.5")</f>
        <v>56.5</v>
      </c>
    </row>
    <row r="802" spans="1:9">
      <c r="A802" s="3"/>
      <c r="B802" s="3"/>
      <c r="C802" s="3"/>
      <c r="D802" s="3"/>
      <c r="E802" s="3">
        <v>7</v>
      </c>
      <c r="F802" s="4" t="str">
        <f>HYPERLINK("http://141.218.60.56/~jnz1568/getInfo.php?workbook=01_01.xlsx&amp;sheet=U0&amp;row=802&amp;col=6&amp;number=4.477&amp;sourceID=16","4.477")</f>
        <v>4.477</v>
      </c>
      <c r="G802" s="4" t="str">
        <f>HYPERLINK("http://141.218.60.56/~jnz1568/getInfo.php?workbook=01_01.xlsx&amp;sheet=U0&amp;row=802&amp;col=7&amp;number=68.76&amp;sourceID=16","68.76")</f>
        <v>68.76</v>
      </c>
      <c r="H802" s="4" t="str">
        <f>HYPERLINK("http://141.218.60.56/~jnz1568/getInfo.php?workbook=01_01.xlsx&amp;sheet=U0&amp;row=802&amp;col=8&amp;number=5.366&amp;sourceID=17","5.366")</f>
        <v>5.366</v>
      </c>
      <c r="I802" s="4" t="str">
        <f>HYPERLINK("http://141.218.60.56/~jnz1568/getInfo.php?workbook=01_01.xlsx&amp;sheet=U0&amp;row=802&amp;col=9&amp;number=57.7&amp;sourceID=17","57.7")</f>
        <v>57.7</v>
      </c>
    </row>
    <row r="803" spans="1:9">
      <c r="A803" s="3"/>
      <c r="B803" s="3"/>
      <c r="C803" s="3"/>
      <c r="D803" s="3"/>
      <c r="E803" s="3">
        <v>8</v>
      </c>
      <c r="F803" s="4" t="str">
        <f>HYPERLINK("http://141.218.60.56/~jnz1568/getInfo.php?workbook=01_01.xlsx&amp;sheet=U0&amp;row=803&amp;col=6&amp;number=4.602&amp;sourceID=16","4.602")</f>
        <v>4.602</v>
      </c>
      <c r="G803" s="4" t="str">
        <f>HYPERLINK("http://141.218.60.56/~jnz1568/getInfo.php?workbook=01_01.xlsx&amp;sheet=U0&amp;row=803&amp;col=7&amp;number=72.32&amp;sourceID=16","72.32")</f>
        <v>72.32</v>
      </c>
      <c r="H803" s="4" t="str">
        <f>HYPERLINK("http://141.218.60.56/~jnz1568/getInfo.php?workbook=01_01.xlsx&amp;sheet=U0&amp;row=803&amp;col=8&amp;number=5.463&amp;sourceID=17","5.463")</f>
        <v>5.463</v>
      </c>
      <c r="I803" s="4" t="str">
        <f>HYPERLINK("http://141.218.60.56/~jnz1568/getInfo.php?workbook=01_01.xlsx&amp;sheet=U0&amp;row=803&amp;col=9&amp;number=58.3&amp;sourceID=17","58.3")</f>
        <v>58.3</v>
      </c>
    </row>
    <row r="804" spans="1:9">
      <c r="A804" s="3"/>
      <c r="B804" s="3"/>
      <c r="C804" s="3"/>
      <c r="D804" s="3"/>
      <c r="E804" s="3">
        <v>9</v>
      </c>
      <c r="F804" s="4" t="str">
        <f>HYPERLINK("http://141.218.60.56/~jnz1568/getInfo.php?workbook=01_01.xlsx&amp;sheet=U0&amp;row=804&amp;col=6&amp;number=4.699&amp;sourceID=16","4.699")</f>
        <v>4.699</v>
      </c>
      <c r="G804" s="4" t="str">
        <f>HYPERLINK("http://141.218.60.56/~jnz1568/getInfo.php?workbook=01_01.xlsx&amp;sheet=U0&amp;row=804&amp;col=7&amp;number=74.23&amp;sourceID=16","74.23")</f>
        <v>74.23</v>
      </c>
      <c r="H804" s="4" t="str">
        <f>HYPERLINK("http://141.218.60.56/~jnz1568/getInfo.php?workbook=01_01.xlsx&amp;sheet=U0&amp;row=804&amp;col=8&amp;number=&amp;sourceID=17","")</f>
        <v/>
      </c>
      <c r="I804" s="4" t="str">
        <f>HYPERLINK("http://141.218.60.56/~jnz1568/getInfo.php?workbook=01_01.xlsx&amp;sheet=U0&amp;row=804&amp;col=9&amp;number=&amp;sourceID=17","")</f>
        <v/>
      </c>
    </row>
    <row r="805" spans="1:9">
      <c r="A805" s="3">
        <v>1</v>
      </c>
      <c r="B805" s="3">
        <v>1</v>
      </c>
      <c r="C805" s="3">
        <v>15</v>
      </c>
      <c r="D805" s="3">
        <v>8</v>
      </c>
      <c r="E805" s="3">
        <v>1</v>
      </c>
      <c r="F805" s="4" t="str">
        <f>HYPERLINK("http://141.218.60.56/~jnz1568/getInfo.php?workbook=01_01.xlsx&amp;sheet=U0&amp;row=805&amp;col=6&amp;number==LOG10(2500)&amp;sourceID=16","=LOG10(2500)")</f>
        <v>=LOG10(2500)</v>
      </c>
      <c r="G805" s="4" t="str">
        <f>HYPERLINK("http://141.218.60.56/~jnz1568/getInfo.php?workbook=01_01.xlsx&amp;sheet=U0&amp;row=805&amp;col=7&amp;number=62.32&amp;sourceID=16","62.32")</f>
        <v>62.32</v>
      </c>
      <c r="H805" s="4" t="str">
        <f>HYPERLINK("http://141.218.60.56/~jnz1568/getInfo.php?workbook=01_01.xlsx&amp;sheet=U0&amp;row=805&amp;col=8&amp;number=3.764&amp;sourceID=17","3.764")</f>
        <v>3.764</v>
      </c>
      <c r="I805" s="4" t="str">
        <f>HYPERLINK("http://141.218.60.56/~jnz1568/getInfo.php?workbook=01_01.xlsx&amp;sheet=U0&amp;row=805&amp;col=9&amp;number=69.6&amp;sourceID=17","69.6")</f>
        <v>69.6</v>
      </c>
    </row>
    <row r="806" spans="1:9">
      <c r="A806" s="3"/>
      <c r="B806" s="3"/>
      <c r="C806" s="3"/>
      <c r="D806" s="3"/>
      <c r="E806" s="3">
        <v>2</v>
      </c>
      <c r="F806" s="4" t="str">
        <f>HYPERLINK("http://141.218.60.56/~jnz1568/getInfo.php?workbook=01_01.xlsx&amp;sheet=U0&amp;row=806&amp;col=6&amp;number=3.699&amp;sourceID=16","3.699")</f>
        <v>3.699</v>
      </c>
      <c r="G806" s="4" t="str">
        <f>HYPERLINK("http://141.218.60.56/~jnz1568/getInfo.php?workbook=01_01.xlsx&amp;sheet=U0&amp;row=806&amp;col=7&amp;number=110.5&amp;sourceID=16","110.5")</f>
        <v>110.5</v>
      </c>
      <c r="H806" s="4" t="str">
        <f>HYPERLINK("http://141.218.60.56/~jnz1568/getInfo.php?workbook=01_01.xlsx&amp;sheet=U0&amp;row=806&amp;col=8&amp;number=4.064&amp;sourceID=17","4.064")</f>
        <v>4.064</v>
      </c>
      <c r="I806" s="4" t="str">
        <f>HYPERLINK("http://141.218.60.56/~jnz1568/getInfo.php?workbook=01_01.xlsx&amp;sheet=U0&amp;row=806&amp;col=9&amp;number=99.4&amp;sourceID=17","99.4")</f>
        <v>99.4</v>
      </c>
    </row>
    <row r="807" spans="1:9">
      <c r="A807" s="3"/>
      <c r="B807" s="3"/>
      <c r="C807" s="3"/>
      <c r="D807" s="3"/>
      <c r="E807" s="3">
        <v>3</v>
      </c>
      <c r="F807" s="4" t="str">
        <f>HYPERLINK("http://141.218.60.56/~jnz1568/getInfo.php?workbook=01_01.xlsx&amp;sheet=U0&amp;row=807&amp;col=6&amp;number=3.875&amp;sourceID=16","3.875")</f>
        <v>3.875</v>
      </c>
      <c r="G807" s="4" t="str">
        <f>HYPERLINK("http://141.218.60.56/~jnz1568/getInfo.php?workbook=01_01.xlsx&amp;sheet=U0&amp;row=807&amp;col=7&amp;number=144.7&amp;sourceID=16","144.7")</f>
        <v>144.7</v>
      </c>
      <c r="H807" s="4" t="str">
        <f>HYPERLINK("http://141.218.60.56/~jnz1568/getInfo.php?workbook=01_01.xlsx&amp;sheet=U0&amp;row=807&amp;col=8&amp;number=4.542&amp;sourceID=17","4.542")</f>
        <v>4.542</v>
      </c>
      <c r="I807" s="4" t="str">
        <f>HYPERLINK("http://141.218.60.56/~jnz1568/getInfo.php?workbook=01_01.xlsx&amp;sheet=U0&amp;row=807&amp;col=9&amp;number=163&amp;sourceID=17","163")</f>
        <v>163</v>
      </c>
    </row>
    <row r="808" spans="1:9">
      <c r="A808" s="3"/>
      <c r="B808" s="3"/>
      <c r="C808" s="3"/>
      <c r="D808" s="3"/>
      <c r="E808" s="3">
        <v>4</v>
      </c>
      <c r="F808" s="4" t="str">
        <f>HYPERLINK("http://141.218.60.56/~jnz1568/getInfo.php?workbook=01_01.xlsx&amp;sheet=U0&amp;row=808&amp;col=6&amp;number=4&amp;sourceID=16","4")</f>
        <v>4</v>
      </c>
      <c r="G808" s="4" t="str">
        <f>HYPERLINK("http://141.218.60.56/~jnz1568/getInfo.php?workbook=01_01.xlsx&amp;sheet=U0&amp;row=808&amp;col=7&amp;number=171.3&amp;sourceID=16","171.3")</f>
        <v>171.3</v>
      </c>
      <c r="H808" s="4" t="str">
        <f>HYPERLINK("http://141.218.60.56/~jnz1568/getInfo.php?workbook=01_01.xlsx&amp;sheet=U0&amp;row=808&amp;col=8&amp;number=4.764&amp;sourceID=17","4.764")</f>
        <v>4.764</v>
      </c>
      <c r="I808" s="4" t="str">
        <f>HYPERLINK("http://141.218.60.56/~jnz1568/getInfo.php?workbook=01_01.xlsx&amp;sheet=U0&amp;row=808&amp;col=9&amp;number=195&amp;sourceID=17","195")</f>
        <v>195</v>
      </c>
    </row>
    <row r="809" spans="1:9">
      <c r="A809" s="3"/>
      <c r="B809" s="3"/>
      <c r="C809" s="3"/>
      <c r="D809" s="3"/>
      <c r="E809" s="3">
        <v>5</v>
      </c>
      <c r="F809" s="4" t="str">
        <f>HYPERLINK("http://141.218.60.56/~jnz1568/getInfo.php?workbook=01_01.xlsx&amp;sheet=U0&amp;row=809&amp;col=6&amp;number=4.176&amp;sourceID=16","4.176")</f>
        <v>4.176</v>
      </c>
      <c r="G809" s="4" t="str">
        <f>HYPERLINK("http://141.218.60.56/~jnz1568/getInfo.php?workbook=01_01.xlsx&amp;sheet=U0&amp;row=809&amp;col=7&amp;number=209.3&amp;sourceID=16","209.3")</f>
        <v>209.3</v>
      </c>
      <c r="H809" s="4" t="str">
        <f>HYPERLINK("http://141.218.60.56/~jnz1568/getInfo.php?workbook=01_01.xlsx&amp;sheet=U0&amp;row=809&amp;col=8&amp;number=5.064&amp;sourceID=17","5.064")</f>
        <v>5.064</v>
      </c>
      <c r="I809" s="4" t="str">
        <f>HYPERLINK("http://141.218.60.56/~jnz1568/getInfo.php?workbook=01_01.xlsx&amp;sheet=U0&amp;row=809&amp;col=9&amp;number=232&amp;sourceID=17","232")</f>
        <v>232</v>
      </c>
    </row>
    <row r="810" spans="1:9">
      <c r="A810" s="3"/>
      <c r="B810" s="3"/>
      <c r="C810" s="3"/>
      <c r="D810" s="3"/>
      <c r="E810" s="3">
        <v>6</v>
      </c>
      <c r="F810" s="4" t="str">
        <f>HYPERLINK("http://141.218.60.56/~jnz1568/getInfo.php?workbook=01_01.xlsx&amp;sheet=U0&amp;row=810&amp;col=6&amp;number=4.301&amp;sourceID=16","4.301")</f>
        <v>4.301</v>
      </c>
      <c r="G810" s="4" t="str">
        <f>HYPERLINK("http://141.218.60.56/~jnz1568/getInfo.php?workbook=01_01.xlsx&amp;sheet=U0&amp;row=810&amp;col=7&amp;number=234.9&amp;sourceID=16","234.9")</f>
        <v>234.9</v>
      </c>
      <c r="H810" s="4" t="str">
        <f>HYPERLINK("http://141.218.60.56/~jnz1568/getInfo.php?workbook=01_01.xlsx&amp;sheet=U0&amp;row=810&amp;col=8&amp;number=5.241&amp;sourceID=17","5.241")</f>
        <v>5.241</v>
      </c>
      <c r="I810" s="4" t="str">
        <f>HYPERLINK("http://141.218.60.56/~jnz1568/getInfo.php?workbook=01_01.xlsx&amp;sheet=U0&amp;row=810&amp;col=9&amp;number=247&amp;sourceID=17","247")</f>
        <v>247</v>
      </c>
    </row>
    <row r="811" spans="1:9">
      <c r="A811" s="3"/>
      <c r="B811" s="3"/>
      <c r="C811" s="3"/>
      <c r="D811" s="3"/>
      <c r="E811" s="3">
        <v>7</v>
      </c>
      <c r="F811" s="4" t="str">
        <f>HYPERLINK("http://141.218.60.56/~jnz1568/getInfo.php?workbook=01_01.xlsx&amp;sheet=U0&amp;row=811&amp;col=6&amp;number=4.477&amp;sourceID=16","4.477")</f>
        <v>4.477</v>
      </c>
      <c r="G811" s="4" t="str">
        <f>HYPERLINK("http://141.218.60.56/~jnz1568/getInfo.php?workbook=01_01.xlsx&amp;sheet=U0&amp;row=811&amp;col=7&amp;number=267.4&amp;sourceID=16","267.4")</f>
        <v>267.4</v>
      </c>
      <c r="H811" s="4" t="str">
        <f>HYPERLINK("http://141.218.60.56/~jnz1568/getInfo.php?workbook=01_01.xlsx&amp;sheet=U0&amp;row=811&amp;col=8&amp;number=5.366&amp;sourceID=17","5.366")</f>
        <v>5.366</v>
      </c>
      <c r="I811" s="4" t="str">
        <f>HYPERLINK("http://141.218.60.56/~jnz1568/getInfo.php?workbook=01_01.xlsx&amp;sheet=U0&amp;row=811&amp;col=9&amp;number=255&amp;sourceID=17","255")</f>
        <v>255</v>
      </c>
    </row>
    <row r="812" spans="1:9">
      <c r="A812" s="3"/>
      <c r="B812" s="3"/>
      <c r="C812" s="3"/>
      <c r="D812" s="3"/>
      <c r="E812" s="3">
        <v>8</v>
      </c>
      <c r="F812" s="4" t="str">
        <f>HYPERLINK("http://141.218.60.56/~jnz1568/getInfo.php?workbook=01_01.xlsx&amp;sheet=U0&amp;row=812&amp;col=6&amp;number=4.602&amp;sourceID=16","4.602")</f>
        <v>4.602</v>
      </c>
      <c r="G812" s="4" t="str">
        <f>HYPERLINK("http://141.218.60.56/~jnz1568/getInfo.php?workbook=01_01.xlsx&amp;sheet=U0&amp;row=812&amp;col=7&amp;number=287.4&amp;sourceID=16","287.4")</f>
        <v>287.4</v>
      </c>
      <c r="H812" s="4" t="str">
        <f>HYPERLINK("http://141.218.60.56/~jnz1568/getInfo.php?workbook=01_01.xlsx&amp;sheet=U0&amp;row=812&amp;col=8&amp;number=5.463&amp;sourceID=17","5.463")</f>
        <v>5.463</v>
      </c>
      <c r="I812" s="4" t="str">
        <f>HYPERLINK("http://141.218.60.56/~jnz1568/getInfo.php?workbook=01_01.xlsx&amp;sheet=U0&amp;row=812&amp;col=9&amp;number=260&amp;sourceID=17","260")</f>
        <v>260</v>
      </c>
    </row>
    <row r="813" spans="1:9">
      <c r="A813" s="3"/>
      <c r="B813" s="3"/>
      <c r="C813" s="3"/>
      <c r="D813" s="3"/>
      <c r="E813" s="3">
        <v>9</v>
      </c>
      <c r="F813" s="4" t="str">
        <f>HYPERLINK("http://141.218.60.56/~jnz1568/getInfo.php?workbook=01_01.xlsx&amp;sheet=U0&amp;row=813&amp;col=6&amp;number=4.699&amp;sourceID=16","4.699")</f>
        <v>4.699</v>
      </c>
      <c r="G813" s="4" t="str">
        <f>HYPERLINK("http://141.218.60.56/~jnz1568/getInfo.php?workbook=01_01.xlsx&amp;sheet=U0&amp;row=813&amp;col=7&amp;number=300.1&amp;sourceID=16","300.1")</f>
        <v>300.1</v>
      </c>
      <c r="H813" s="4" t="str">
        <f>HYPERLINK("http://141.218.60.56/~jnz1568/getInfo.php?workbook=01_01.xlsx&amp;sheet=U0&amp;row=813&amp;col=8&amp;number=&amp;sourceID=17","")</f>
        <v/>
      </c>
      <c r="I813" s="4" t="str">
        <f>HYPERLINK("http://141.218.60.56/~jnz1568/getInfo.php?workbook=01_01.xlsx&amp;sheet=U0&amp;row=813&amp;col=9&amp;number=&amp;sourceID=17","")</f>
        <v/>
      </c>
    </row>
    <row r="814" spans="1:9">
      <c r="A814" s="3">
        <v>1</v>
      </c>
      <c r="B814" s="3">
        <v>1</v>
      </c>
      <c r="C814" s="3">
        <v>15</v>
      </c>
      <c r="D814" s="3">
        <v>9</v>
      </c>
      <c r="E814" s="3">
        <v>1</v>
      </c>
      <c r="F814" s="4" t="str">
        <f>HYPERLINK("http://141.218.60.56/~jnz1568/getInfo.php?workbook=01_01.xlsx&amp;sheet=U0&amp;row=814&amp;col=6&amp;number==LOG10(2500)&amp;sourceID=16","=LOG10(2500)")</f>
        <v>=LOG10(2500)</v>
      </c>
      <c r="G814" s="4" t="str">
        <f>HYPERLINK("http://141.218.60.56/~jnz1568/getInfo.php?workbook=01_01.xlsx&amp;sheet=U0&amp;row=814&amp;col=7&amp;number=128.8&amp;sourceID=16","128.8")</f>
        <v>128.8</v>
      </c>
      <c r="H814" s="4" t="str">
        <f>HYPERLINK("http://141.218.60.56/~jnz1568/getInfo.php?workbook=01_01.xlsx&amp;sheet=U0&amp;row=814&amp;col=8&amp;number=3.764&amp;sourceID=17","3.764")</f>
        <v>3.764</v>
      </c>
      <c r="I814" s="4" t="str">
        <f>HYPERLINK("http://141.218.60.56/~jnz1568/getInfo.php?workbook=01_01.xlsx&amp;sheet=U0&amp;row=814&amp;col=9&amp;number=170&amp;sourceID=17","170")</f>
        <v>170</v>
      </c>
    </row>
    <row r="815" spans="1:9">
      <c r="A815" s="3"/>
      <c r="B815" s="3"/>
      <c r="C815" s="3"/>
      <c r="D815" s="3"/>
      <c r="E815" s="3">
        <v>2</v>
      </c>
      <c r="F815" s="4" t="str">
        <f>HYPERLINK("http://141.218.60.56/~jnz1568/getInfo.php?workbook=01_01.xlsx&amp;sheet=U0&amp;row=815&amp;col=6&amp;number=3.699&amp;sourceID=16","3.699")</f>
        <v>3.699</v>
      </c>
      <c r="G815" s="4" t="str">
        <f>HYPERLINK("http://141.218.60.56/~jnz1568/getInfo.php?workbook=01_01.xlsx&amp;sheet=U0&amp;row=815&amp;col=7&amp;number=235.4&amp;sourceID=16","235.4")</f>
        <v>235.4</v>
      </c>
      <c r="H815" s="4" t="str">
        <f>HYPERLINK("http://141.218.60.56/~jnz1568/getInfo.php?workbook=01_01.xlsx&amp;sheet=U0&amp;row=815&amp;col=8&amp;number=4.064&amp;sourceID=17","4.064")</f>
        <v>4.064</v>
      </c>
      <c r="I815" s="4" t="str">
        <f>HYPERLINK("http://141.218.60.56/~jnz1568/getInfo.php?workbook=01_01.xlsx&amp;sheet=U0&amp;row=815&amp;col=9&amp;number=261&amp;sourceID=17","261")</f>
        <v>261</v>
      </c>
    </row>
    <row r="816" spans="1:9">
      <c r="A816" s="3"/>
      <c r="B816" s="3"/>
      <c r="C816" s="3"/>
      <c r="D816" s="3"/>
      <c r="E816" s="3">
        <v>3</v>
      </c>
      <c r="F816" s="4" t="str">
        <f>HYPERLINK("http://141.218.60.56/~jnz1568/getInfo.php?workbook=01_01.xlsx&amp;sheet=U0&amp;row=816&amp;col=6&amp;number=3.875&amp;sourceID=16","3.875")</f>
        <v>3.875</v>
      </c>
      <c r="G816" s="4" t="str">
        <f>HYPERLINK("http://141.218.60.56/~jnz1568/getInfo.php?workbook=01_01.xlsx&amp;sheet=U0&amp;row=816&amp;col=7&amp;number=318.6&amp;sourceID=16","318.6")</f>
        <v>318.6</v>
      </c>
      <c r="H816" s="4" t="str">
        <f>HYPERLINK("http://141.218.60.56/~jnz1568/getInfo.php?workbook=01_01.xlsx&amp;sheet=U0&amp;row=816&amp;col=8&amp;number=4.542&amp;sourceID=17","4.542")</f>
        <v>4.542</v>
      </c>
      <c r="I816" s="4" t="str">
        <f>HYPERLINK("http://141.218.60.56/~jnz1568/getInfo.php?workbook=01_01.xlsx&amp;sheet=U0&amp;row=816&amp;col=9&amp;number=479&amp;sourceID=17","479")</f>
        <v>479</v>
      </c>
    </row>
    <row r="817" spans="1:9">
      <c r="A817" s="3"/>
      <c r="B817" s="3"/>
      <c r="C817" s="3"/>
      <c r="D817" s="3"/>
      <c r="E817" s="3">
        <v>4</v>
      </c>
      <c r="F817" s="4" t="str">
        <f>HYPERLINK("http://141.218.60.56/~jnz1568/getInfo.php?workbook=01_01.xlsx&amp;sheet=U0&amp;row=817&amp;col=6&amp;number=4&amp;sourceID=16","4")</f>
        <v>4</v>
      </c>
      <c r="G817" s="4" t="str">
        <f>HYPERLINK("http://141.218.60.56/~jnz1568/getInfo.php?workbook=01_01.xlsx&amp;sheet=U0&amp;row=817&amp;col=7&amp;number=389.1&amp;sourceID=16","389.1")</f>
        <v>389.1</v>
      </c>
      <c r="H817" s="4" t="str">
        <f>HYPERLINK("http://141.218.60.56/~jnz1568/getInfo.php?workbook=01_01.xlsx&amp;sheet=U0&amp;row=817&amp;col=8&amp;number=4.764&amp;sourceID=17","4.764")</f>
        <v>4.764</v>
      </c>
      <c r="I817" s="4" t="str">
        <f>HYPERLINK("http://141.218.60.56/~jnz1568/getInfo.php?workbook=01_01.xlsx&amp;sheet=U0&amp;row=817&amp;col=9&amp;number=611&amp;sourceID=17","611")</f>
        <v>611</v>
      </c>
    </row>
    <row r="818" spans="1:9">
      <c r="A818" s="3"/>
      <c r="B818" s="3"/>
      <c r="C818" s="3"/>
      <c r="D818" s="3"/>
      <c r="E818" s="3">
        <v>5</v>
      </c>
      <c r="F818" s="4" t="str">
        <f>HYPERLINK("http://141.218.60.56/~jnz1568/getInfo.php?workbook=01_01.xlsx&amp;sheet=U0&amp;row=818&amp;col=6&amp;number=4.176&amp;sourceID=16","4.176")</f>
        <v>4.176</v>
      </c>
      <c r="G818" s="4" t="str">
        <f>HYPERLINK("http://141.218.60.56/~jnz1568/getInfo.php?workbook=01_01.xlsx&amp;sheet=U0&amp;row=818&amp;col=7&amp;number=502.6&amp;sourceID=16","502.6")</f>
        <v>502.6</v>
      </c>
      <c r="H818" s="4" t="str">
        <f>HYPERLINK("http://141.218.60.56/~jnz1568/getInfo.php?workbook=01_01.xlsx&amp;sheet=U0&amp;row=818&amp;col=8&amp;number=5.064&amp;sourceID=17","5.064")</f>
        <v>5.064</v>
      </c>
      <c r="I818" s="4" t="str">
        <f>HYPERLINK("http://141.218.60.56/~jnz1568/getInfo.php?workbook=01_01.xlsx&amp;sheet=U0&amp;row=818&amp;col=9&amp;number=792&amp;sourceID=17","792")</f>
        <v>792</v>
      </c>
    </row>
    <row r="819" spans="1:9">
      <c r="A819" s="3"/>
      <c r="B819" s="3"/>
      <c r="C819" s="3"/>
      <c r="D819" s="3"/>
      <c r="E819" s="3">
        <v>6</v>
      </c>
      <c r="F819" s="4" t="str">
        <f>HYPERLINK("http://141.218.60.56/~jnz1568/getInfo.php?workbook=01_01.xlsx&amp;sheet=U0&amp;row=819&amp;col=6&amp;number=4.301&amp;sourceID=16","4.301")</f>
        <v>4.301</v>
      </c>
      <c r="G819" s="4" t="str">
        <f>HYPERLINK("http://141.218.60.56/~jnz1568/getInfo.php?workbook=01_01.xlsx&amp;sheet=U0&amp;row=819&amp;col=7&amp;number=591.1&amp;sourceID=16","591.1")</f>
        <v>591.1</v>
      </c>
      <c r="H819" s="4" t="str">
        <f>HYPERLINK("http://141.218.60.56/~jnz1568/getInfo.php?workbook=01_01.xlsx&amp;sheet=U0&amp;row=819&amp;col=8&amp;number=5.241&amp;sourceID=17","5.241")</f>
        <v>5.241</v>
      </c>
      <c r="I819" s="4" t="str">
        <f>HYPERLINK("http://141.218.60.56/~jnz1568/getInfo.php?workbook=01_01.xlsx&amp;sheet=U0&amp;row=819&amp;col=9&amp;number=888&amp;sourceID=17","888")</f>
        <v>888</v>
      </c>
    </row>
    <row r="820" spans="1:9">
      <c r="A820" s="3"/>
      <c r="B820" s="3"/>
      <c r="C820" s="3"/>
      <c r="D820" s="3"/>
      <c r="E820" s="3">
        <v>7</v>
      </c>
      <c r="F820" s="4" t="str">
        <f>HYPERLINK("http://141.218.60.56/~jnz1568/getInfo.php?workbook=01_01.xlsx&amp;sheet=U0&amp;row=820&amp;col=6&amp;number=4.477&amp;sourceID=16","4.477")</f>
        <v>4.477</v>
      </c>
      <c r="G820" s="4" t="str">
        <f>HYPERLINK("http://141.218.60.56/~jnz1568/getInfo.php?workbook=01_01.xlsx&amp;sheet=U0&amp;row=820&amp;col=7&amp;number=724.4&amp;sourceID=16","724.4")</f>
        <v>724.4</v>
      </c>
      <c r="H820" s="4" t="str">
        <f>HYPERLINK("http://141.218.60.56/~jnz1568/getInfo.php?workbook=01_01.xlsx&amp;sheet=U0&amp;row=820&amp;col=8&amp;number=5.366&amp;sourceID=17","5.366")</f>
        <v>5.366</v>
      </c>
      <c r="I820" s="4" t="str">
        <f>HYPERLINK("http://141.218.60.56/~jnz1568/getInfo.php?workbook=01_01.xlsx&amp;sheet=U0&amp;row=820&amp;col=9&amp;number=950&amp;sourceID=17","950")</f>
        <v>950</v>
      </c>
    </row>
    <row r="821" spans="1:9">
      <c r="A821" s="3"/>
      <c r="B821" s="3"/>
      <c r="C821" s="3"/>
      <c r="D821" s="3"/>
      <c r="E821" s="3">
        <v>8</v>
      </c>
      <c r="F821" s="4" t="str">
        <f>HYPERLINK("http://141.218.60.56/~jnz1568/getInfo.php?workbook=01_01.xlsx&amp;sheet=U0&amp;row=821&amp;col=6&amp;number=4.602&amp;sourceID=16","4.602")</f>
        <v>4.602</v>
      </c>
      <c r="G821" s="4" t="str">
        <f>HYPERLINK("http://141.218.60.56/~jnz1568/getInfo.php?workbook=01_01.xlsx&amp;sheet=U0&amp;row=821&amp;col=7&amp;number=821.8&amp;sourceID=16","821.8")</f>
        <v>821.8</v>
      </c>
      <c r="H821" s="4" t="str">
        <f>HYPERLINK("http://141.218.60.56/~jnz1568/getInfo.php?workbook=01_01.xlsx&amp;sheet=U0&amp;row=821&amp;col=8&amp;number=5.463&amp;sourceID=17","5.463")</f>
        <v>5.463</v>
      </c>
      <c r="I821" s="4" t="str">
        <f>HYPERLINK("http://141.218.60.56/~jnz1568/getInfo.php?workbook=01_01.xlsx&amp;sheet=U0&amp;row=821&amp;col=9&amp;number=993&amp;sourceID=17","993")</f>
        <v>993</v>
      </c>
    </row>
    <row r="822" spans="1:9">
      <c r="A822" s="3"/>
      <c r="B822" s="3"/>
      <c r="C822" s="3"/>
      <c r="D822" s="3"/>
      <c r="E822" s="3">
        <v>9</v>
      </c>
      <c r="F822" s="4" t="str">
        <f>HYPERLINK("http://141.218.60.56/~jnz1568/getInfo.php?workbook=01_01.xlsx&amp;sheet=U0&amp;row=822&amp;col=6&amp;number=4.699&amp;sourceID=16","4.699")</f>
        <v>4.699</v>
      </c>
      <c r="G822" s="4" t="str">
        <f>HYPERLINK("http://141.218.60.56/~jnz1568/getInfo.php?workbook=01_01.xlsx&amp;sheet=U0&amp;row=822&amp;col=7&amp;number=895.9&amp;sourceID=16","895.9")</f>
        <v>895.9</v>
      </c>
      <c r="H822" s="4" t="str">
        <f>HYPERLINK("http://141.218.60.56/~jnz1568/getInfo.php?workbook=01_01.xlsx&amp;sheet=U0&amp;row=822&amp;col=8&amp;number=&amp;sourceID=17","")</f>
        <v/>
      </c>
      <c r="I822" s="4" t="str">
        <f>HYPERLINK("http://141.218.60.56/~jnz1568/getInfo.php?workbook=01_01.xlsx&amp;sheet=U0&amp;row=822&amp;col=9&amp;number=&amp;sourceID=17","")</f>
        <v/>
      </c>
    </row>
    <row r="823" spans="1:9">
      <c r="A823" s="3">
        <v>1</v>
      </c>
      <c r="B823" s="3">
        <v>1</v>
      </c>
      <c r="C823" s="3">
        <v>15</v>
      </c>
      <c r="D823" s="3">
        <v>10</v>
      </c>
      <c r="E823" s="3">
        <v>1</v>
      </c>
      <c r="F823" s="4" t="str">
        <f>HYPERLINK("http://141.218.60.56/~jnz1568/getInfo.php?workbook=01_01.xlsx&amp;sheet=U0&amp;row=823&amp;col=6&amp;number==LOG10(2500)&amp;sourceID=16","=LOG10(2500)")</f>
        <v>=LOG10(2500)</v>
      </c>
      <c r="G823" s="4" t="str">
        <f>HYPERLINK("http://141.218.60.56/~jnz1568/getInfo.php?workbook=01_01.xlsx&amp;sheet=U0&amp;row=823&amp;col=7&amp;number=225.3&amp;sourceID=16","225.3")</f>
        <v>225.3</v>
      </c>
      <c r="H823" s="4" t="str">
        <f>HYPERLINK("http://141.218.60.56/~jnz1568/getInfo.php?workbook=01_01.xlsx&amp;sheet=U0&amp;row=823&amp;col=8&amp;number=3.764&amp;sourceID=17","3.764")</f>
        <v>3.764</v>
      </c>
      <c r="I823" s="4" t="str">
        <f>HYPERLINK("http://141.218.60.56/~jnz1568/getInfo.php?workbook=01_01.xlsx&amp;sheet=U0&amp;row=823&amp;col=9&amp;number=387&amp;sourceID=17","387")</f>
        <v>387</v>
      </c>
    </row>
    <row r="824" spans="1:9">
      <c r="A824" s="3"/>
      <c r="B824" s="3"/>
      <c r="C824" s="3"/>
      <c r="D824" s="3"/>
      <c r="E824" s="3">
        <v>2</v>
      </c>
      <c r="F824" s="4" t="str">
        <f>HYPERLINK("http://141.218.60.56/~jnz1568/getInfo.php?workbook=01_01.xlsx&amp;sheet=U0&amp;row=824&amp;col=6&amp;number=3.699&amp;sourceID=16","3.699")</f>
        <v>3.699</v>
      </c>
      <c r="G824" s="4" t="str">
        <f>HYPERLINK("http://141.218.60.56/~jnz1568/getInfo.php?workbook=01_01.xlsx&amp;sheet=U0&amp;row=824&amp;col=7&amp;number=423.7&amp;sourceID=16","423.7")</f>
        <v>423.7</v>
      </c>
      <c r="H824" s="4" t="str">
        <f>HYPERLINK("http://141.218.60.56/~jnz1568/getInfo.php?workbook=01_01.xlsx&amp;sheet=U0&amp;row=824&amp;col=8&amp;number=4.064&amp;sourceID=17","4.064")</f>
        <v>4.064</v>
      </c>
      <c r="I824" s="4" t="str">
        <f>HYPERLINK("http://141.218.60.56/~jnz1568/getInfo.php?workbook=01_01.xlsx&amp;sheet=U0&amp;row=824&amp;col=9&amp;number=733&amp;sourceID=17","733")</f>
        <v>733</v>
      </c>
    </row>
    <row r="825" spans="1:9">
      <c r="A825" s="3"/>
      <c r="B825" s="3"/>
      <c r="C825" s="3"/>
      <c r="D825" s="3"/>
      <c r="E825" s="3">
        <v>3</v>
      </c>
      <c r="F825" s="4" t="str">
        <f>HYPERLINK("http://141.218.60.56/~jnz1568/getInfo.php?workbook=01_01.xlsx&amp;sheet=U0&amp;row=825&amp;col=6&amp;number=3.875&amp;sourceID=16","3.875")</f>
        <v>3.875</v>
      </c>
      <c r="G825" s="4" t="str">
        <f>HYPERLINK("http://141.218.60.56/~jnz1568/getInfo.php?workbook=01_01.xlsx&amp;sheet=U0&amp;row=825&amp;col=7&amp;number=619.3&amp;sourceID=16","619.3")</f>
        <v>619.3</v>
      </c>
      <c r="H825" s="4" t="str">
        <f>HYPERLINK("http://141.218.60.56/~jnz1568/getInfo.php?workbook=01_01.xlsx&amp;sheet=U0&amp;row=825&amp;col=8&amp;number=4.542&amp;sourceID=17","4.542")</f>
        <v>4.542</v>
      </c>
      <c r="I825" s="4" t="str">
        <f>HYPERLINK("http://141.218.60.56/~jnz1568/getInfo.php?workbook=01_01.xlsx&amp;sheet=U0&amp;row=825&amp;col=9&amp;number=1760&amp;sourceID=17","1760")</f>
        <v>1760</v>
      </c>
    </row>
    <row r="826" spans="1:9">
      <c r="A826" s="3"/>
      <c r="B826" s="3"/>
      <c r="C826" s="3"/>
      <c r="D826" s="3"/>
      <c r="E826" s="3">
        <v>4</v>
      </c>
      <c r="F826" s="4" t="str">
        <f>HYPERLINK("http://141.218.60.56/~jnz1568/getInfo.php?workbook=01_01.xlsx&amp;sheet=U0&amp;row=826&amp;col=6&amp;number=4&amp;sourceID=16","4")</f>
        <v>4</v>
      </c>
      <c r="G826" s="4" t="str">
        <f>HYPERLINK("http://141.218.60.56/~jnz1568/getInfo.php?workbook=01_01.xlsx&amp;sheet=U0&amp;row=826&amp;col=7&amp;number=816.1&amp;sourceID=16","816.1")</f>
        <v>816.1</v>
      </c>
      <c r="H826" s="4" t="str">
        <f>HYPERLINK("http://141.218.60.56/~jnz1568/getInfo.php?workbook=01_01.xlsx&amp;sheet=U0&amp;row=826&amp;col=8&amp;number=4.764&amp;sourceID=17","4.764")</f>
        <v>4.764</v>
      </c>
      <c r="I826" s="4" t="str">
        <f>HYPERLINK("http://141.218.60.56/~jnz1568/getInfo.php?workbook=01_01.xlsx&amp;sheet=U0&amp;row=826&amp;col=9&amp;number=2460&amp;sourceID=17","2460")</f>
        <v>2460</v>
      </c>
    </row>
    <row r="827" spans="1:9">
      <c r="A827" s="3"/>
      <c r="B827" s="3"/>
      <c r="C827" s="3"/>
      <c r="D827" s="3"/>
      <c r="E827" s="3">
        <v>5</v>
      </c>
      <c r="F827" s="4" t="str">
        <f>HYPERLINK("http://141.218.60.56/~jnz1568/getInfo.php?workbook=01_01.xlsx&amp;sheet=U0&amp;row=827&amp;col=6&amp;number=4.176&amp;sourceID=16","4.176")</f>
        <v>4.176</v>
      </c>
      <c r="G827" s="4" t="str">
        <f>HYPERLINK("http://141.218.60.56/~jnz1568/getInfo.php?workbook=01_01.xlsx&amp;sheet=U0&amp;row=827&amp;col=7&amp;number=1200&amp;sourceID=16","1200")</f>
        <v>1200</v>
      </c>
      <c r="H827" s="4" t="str">
        <f>HYPERLINK("http://141.218.60.56/~jnz1568/getInfo.php?workbook=01_01.xlsx&amp;sheet=U0&amp;row=827&amp;col=8&amp;number=5.064&amp;sourceID=17","5.064")</f>
        <v>5.064</v>
      </c>
      <c r="I827" s="4" t="str">
        <f>HYPERLINK("http://141.218.60.56/~jnz1568/getInfo.php?workbook=01_01.xlsx&amp;sheet=U0&amp;row=827&amp;col=9&amp;number=3640&amp;sourceID=17","3640")</f>
        <v>3640</v>
      </c>
    </row>
    <row r="828" spans="1:9">
      <c r="A828" s="3"/>
      <c r="B828" s="3"/>
      <c r="C828" s="3"/>
      <c r="D828" s="3"/>
      <c r="E828" s="3">
        <v>6</v>
      </c>
      <c r="F828" s="4" t="str">
        <f>HYPERLINK("http://141.218.60.56/~jnz1568/getInfo.php?workbook=01_01.xlsx&amp;sheet=U0&amp;row=828&amp;col=6&amp;number=4.301&amp;sourceID=16","4.301")</f>
        <v>4.301</v>
      </c>
      <c r="G828" s="4" t="str">
        <f>HYPERLINK("http://141.218.60.56/~jnz1568/getInfo.php?workbook=01_01.xlsx&amp;sheet=U0&amp;row=828&amp;col=7&amp;number=1569&amp;sourceID=16","1569")</f>
        <v>1569</v>
      </c>
      <c r="H828" s="4" t="str">
        <f>HYPERLINK("http://141.218.60.56/~jnz1568/getInfo.php?workbook=01_01.xlsx&amp;sheet=U0&amp;row=828&amp;col=8&amp;number=5.241&amp;sourceID=17","5.241")</f>
        <v>5.241</v>
      </c>
      <c r="I828" s="4" t="str">
        <f>HYPERLINK("http://141.218.60.56/~jnz1568/getInfo.php?workbook=01_01.xlsx&amp;sheet=U0&amp;row=828&amp;col=9&amp;number=4480&amp;sourceID=17","4480")</f>
        <v>4480</v>
      </c>
    </row>
    <row r="829" spans="1:9">
      <c r="A829" s="3"/>
      <c r="B829" s="3"/>
      <c r="C829" s="3"/>
      <c r="D829" s="3"/>
      <c r="E829" s="3">
        <v>7</v>
      </c>
      <c r="F829" s="4" t="str">
        <f>HYPERLINK("http://141.218.60.56/~jnz1568/getInfo.php?workbook=01_01.xlsx&amp;sheet=U0&amp;row=829&amp;col=6&amp;number=4.477&amp;sourceID=16","4.477")</f>
        <v>4.477</v>
      </c>
      <c r="G829" s="4" t="str">
        <f>HYPERLINK("http://141.218.60.56/~jnz1568/getInfo.php?workbook=01_01.xlsx&amp;sheet=U0&amp;row=829&amp;col=7&amp;number=2261&amp;sourceID=16","2261")</f>
        <v>2261</v>
      </c>
      <c r="H829" s="4" t="str">
        <f>HYPERLINK("http://141.218.60.56/~jnz1568/getInfo.php?workbook=01_01.xlsx&amp;sheet=U0&amp;row=829&amp;col=8&amp;number=5.366&amp;sourceID=17","5.366")</f>
        <v>5.366</v>
      </c>
      <c r="I829" s="4" t="str">
        <f>HYPERLINK("http://141.218.60.56/~jnz1568/getInfo.php?workbook=01_01.xlsx&amp;sheet=U0&amp;row=829&amp;col=9&amp;number=5140&amp;sourceID=17","5140")</f>
        <v>5140</v>
      </c>
    </row>
    <row r="830" spans="1:9">
      <c r="A830" s="3"/>
      <c r="B830" s="3"/>
      <c r="C830" s="3"/>
      <c r="D830" s="3"/>
      <c r="E830" s="3">
        <v>8</v>
      </c>
      <c r="F830" s="4" t="str">
        <f>HYPERLINK("http://141.218.60.56/~jnz1568/getInfo.php?workbook=01_01.xlsx&amp;sheet=U0&amp;row=830&amp;col=6&amp;number=4.602&amp;sourceID=16","4.602")</f>
        <v>4.602</v>
      </c>
      <c r="G830" s="4" t="str">
        <f>HYPERLINK("http://141.218.60.56/~jnz1568/getInfo.php?workbook=01_01.xlsx&amp;sheet=U0&amp;row=830&amp;col=7&amp;number=2888&amp;sourceID=16","2888")</f>
        <v>2888</v>
      </c>
      <c r="H830" s="4" t="str">
        <f>HYPERLINK("http://141.218.60.56/~jnz1568/getInfo.php?workbook=01_01.xlsx&amp;sheet=U0&amp;row=830&amp;col=8&amp;number=5.463&amp;sourceID=17","5.463")</f>
        <v>5.463</v>
      </c>
      <c r="I830" s="4" t="str">
        <f>HYPERLINK("http://141.218.60.56/~jnz1568/getInfo.php?workbook=01_01.xlsx&amp;sheet=U0&amp;row=830&amp;col=9&amp;number=5690&amp;sourceID=17","5690")</f>
        <v>5690</v>
      </c>
    </row>
    <row r="831" spans="1:9">
      <c r="A831" s="3"/>
      <c r="B831" s="3"/>
      <c r="C831" s="3"/>
      <c r="D831" s="3"/>
      <c r="E831" s="3">
        <v>9</v>
      </c>
      <c r="F831" s="4" t="str">
        <f>HYPERLINK("http://141.218.60.56/~jnz1568/getInfo.php?workbook=01_01.xlsx&amp;sheet=U0&amp;row=831&amp;col=6&amp;number=4.699&amp;sourceID=16","4.699")</f>
        <v>4.699</v>
      </c>
      <c r="G831" s="4" t="str">
        <f>HYPERLINK("http://141.218.60.56/~jnz1568/getInfo.php?workbook=01_01.xlsx&amp;sheet=U0&amp;row=831&amp;col=7&amp;number=3448&amp;sourceID=16","3448")</f>
        <v>3448</v>
      </c>
      <c r="H831" s="4" t="str">
        <f>HYPERLINK("http://141.218.60.56/~jnz1568/getInfo.php?workbook=01_01.xlsx&amp;sheet=U0&amp;row=831&amp;col=8&amp;number=&amp;sourceID=17","")</f>
        <v/>
      </c>
      <c r="I831" s="4" t="str">
        <f>HYPERLINK("http://141.218.60.56/~jnz1568/getInfo.php?workbook=01_01.xlsx&amp;sheet=U0&amp;row=831&amp;col=9&amp;number=&amp;sourceID=17","")</f>
        <v/>
      </c>
    </row>
    <row r="832" spans="1:9">
      <c r="A832" s="3">
        <v>1</v>
      </c>
      <c r="B832" s="3">
        <v>1</v>
      </c>
      <c r="C832" s="3">
        <v>15</v>
      </c>
      <c r="D832" s="3">
        <v>11</v>
      </c>
      <c r="E832" s="3">
        <v>1</v>
      </c>
      <c r="F832" s="4" t="str">
        <f>HYPERLINK("http://141.218.60.56/~jnz1568/getInfo.php?workbook=01_01.xlsx&amp;sheet=U0&amp;row=832&amp;col=6&amp;number==LOG10(2500)&amp;sourceID=16","=LOG10(2500)")</f>
        <v>=LOG10(2500)</v>
      </c>
      <c r="G832" s="4" t="str">
        <f>HYPERLINK("http://141.218.60.56/~jnz1568/getInfo.php?workbook=01_01.xlsx&amp;sheet=U0&amp;row=832&amp;col=7&amp;number=187.6&amp;sourceID=16","187.6")</f>
        <v>187.6</v>
      </c>
      <c r="H832" s="4" t="str">
        <f>HYPERLINK("http://141.218.60.56/~jnz1568/getInfo.php?workbook=01_01.xlsx&amp;sheet=U0&amp;row=832&amp;col=8&amp;number=&amp;sourceID=17","")</f>
        <v/>
      </c>
      <c r="I832" s="4" t="str">
        <f>HYPERLINK("http://141.218.60.56/~jnz1568/getInfo.php?workbook=01_01.xlsx&amp;sheet=U0&amp;row=832&amp;col=9&amp;number=&amp;sourceID=17","")</f>
        <v/>
      </c>
    </row>
    <row r="833" spans="1:9">
      <c r="A833" s="3"/>
      <c r="B833" s="3"/>
      <c r="C833" s="3"/>
      <c r="D833" s="3"/>
      <c r="E833" s="3">
        <v>2</v>
      </c>
      <c r="F833" s="4" t="str">
        <f>HYPERLINK("http://141.218.60.56/~jnz1568/getInfo.php?workbook=01_01.xlsx&amp;sheet=U0&amp;row=833&amp;col=6&amp;number=3.699&amp;sourceID=16","3.699")</f>
        <v>3.699</v>
      </c>
      <c r="G833" s="4" t="str">
        <f>HYPERLINK("http://141.218.60.56/~jnz1568/getInfo.php?workbook=01_01.xlsx&amp;sheet=U0&amp;row=833&amp;col=7&amp;number=178.3&amp;sourceID=16","178.3")</f>
        <v>178.3</v>
      </c>
      <c r="H833" s="4" t="str">
        <f>HYPERLINK("http://141.218.60.56/~jnz1568/getInfo.php?workbook=01_01.xlsx&amp;sheet=U0&amp;row=833&amp;col=8&amp;number=&amp;sourceID=17","")</f>
        <v/>
      </c>
      <c r="I833" s="4" t="str">
        <f>HYPERLINK("http://141.218.60.56/~jnz1568/getInfo.php?workbook=01_01.xlsx&amp;sheet=U0&amp;row=833&amp;col=9&amp;number=&amp;sourceID=17","")</f>
        <v/>
      </c>
    </row>
    <row r="834" spans="1:9">
      <c r="A834" s="3"/>
      <c r="B834" s="3"/>
      <c r="C834" s="3"/>
      <c r="D834" s="3"/>
      <c r="E834" s="3">
        <v>3</v>
      </c>
      <c r="F834" s="4" t="str">
        <f>HYPERLINK("http://141.218.60.56/~jnz1568/getInfo.php?workbook=01_01.xlsx&amp;sheet=U0&amp;row=834&amp;col=6&amp;number=3.875&amp;sourceID=16","3.875")</f>
        <v>3.875</v>
      </c>
      <c r="G834" s="4" t="str">
        <f>HYPERLINK("http://141.218.60.56/~jnz1568/getInfo.php?workbook=01_01.xlsx&amp;sheet=U0&amp;row=834&amp;col=7&amp;number=167.2&amp;sourceID=16","167.2")</f>
        <v>167.2</v>
      </c>
      <c r="H834" s="4" t="str">
        <f>HYPERLINK("http://141.218.60.56/~jnz1568/getInfo.php?workbook=01_01.xlsx&amp;sheet=U0&amp;row=834&amp;col=8&amp;number=&amp;sourceID=17","")</f>
        <v/>
      </c>
      <c r="I834" s="4" t="str">
        <f>HYPERLINK("http://141.218.60.56/~jnz1568/getInfo.php?workbook=01_01.xlsx&amp;sheet=U0&amp;row=834&amp;col=9&amp;number=&amp;sourceID=17","")</f>
        <v/>
      </c>
    </row>
    <row r="835" spans="1:9">
      <c r="A835" s="3"/>
      <c r="B835" s="3"/>
      <c r="C835" s="3"/>
      <c r="D835" s="3"/>
      <c r="E835" s="3">
        <v>4</v>
      </c>
      <c r="F835" s="4" t="str">
        <f>HYPERLINK("http://141.218.60.56/~jnz1568/getInfo.php?workbook=01_01.xlsx&amp;sheet=U0&amp;row=835&amp;col=6&amp;number=4&amp;sourceID=16","4")</f>
        <v>4</v>
      </c>
      <c r="G835" s="4" t="str">
        <f>HYPERLINK("http://141.218.60.56/~jnz1568/getInfo.php?workbook=01_01.xlsx&amp;sheet=U0&amp;row=835&amp;col=7&amp;number=159.1&amp;sourceID=16","159.1")</f>
        <v>159.1</v>
      </c>
      <c r="H835" s="4" t="str">
        <f>HYPERLINK("http://141.218.60.56/~jnz1568/getInfo.php?workbook=01_01.xlsx&amp;sheet=U0&amp;row=835&amp;col=8&amp;number=&amp;sourceID=17","")</f>
        <v/>
      </c>
      <c r="I835" s="4" t="str">
        <f>HYPERLINK("http://141.218.60.56/~jnz1568/getInfo.php?workbook=01_01.xlsx&amp;sheet=U0&amp;row=835&amp;col=9&amp;number=&amp;sourceID=17","")</f>
        <v/>
      </c>
    </row>
    <row r="836" spans="1:9">
      <c r="A836" s="3"/>
      <c r="B836" s="3"/>
      <c r="C836" s="3"/>
      <c r="D836" s="3"/>
      <c r="E836" s="3">
        <v>5</v>
      </c>
      <c r="F836" s="4" t="str">
        <f>HYPERLINK("http://141.218.60.56/~jnz1568/getInfo.php?workbook=01_01.xlsx&amp;sheet=U0&amp;row=836&amp;col=6&amp;number=4.176&amp;sourceID=16","4.176")</f>
        <v>4.176</v>
      </c>
      <c r="G836" s="4" t="str">
        <f>HYPERLINK("http://141.218.60.56/~jnz1568/getInfo.php?workbook=01_01.xlsx&amp;sheet=U0&amp;row=836&amp;col=7&amp;number=148.5&amp;sourceID=16","148.5")</f>
        <v>148.5</v>
      </c>
      <c r="H836" s="4" t="str">
        <f>HYPERLINK("http://141.218.60.56/~jnz1568/getInfo.php?workbook=01_01.xlsx&amp;sheet=U0&amp;row=836&amp;col=8&amp;number=&amp;sourceID=17","")</f>
        <v/>
      </c>
      <c r="I836" s="4" t="str">
        <f>HYPERLINK("http://141.218.60.56/~jnz1568/getInfo.php?workbook=01_01.xlsx&amp;sheet=U0&amp;row=836&amp;col=9&amp;number=&amp;sourceID=17","")</f>
        <v/>
      </c>
    </row>
    <row r="837" spans="1:9">
      <c r="A837" s="3"/>
      <c r="B837" s="3"/>
      <c r="C837" s="3"/>
      <c r="D837" s="3"/>
      <c r="E837" s="3">
        <v>6</v>
      </c>
      <c r="F837" s="4" t="str">
        <f>HYPERLINK("http://141.218.60.56/~jnz1568/getInfo.php?workbook=01_01.xlsx&amp;sheet=U0&amp;row=837&amp;col=6&amp;number=4.301&amp;sourceID=16","4.301")</f>
        <v>4.301</v>
      </c>
      <c r="G837" s="4" t="str">
        <f>HYPERLINK("http://141.218.60.56/~jnz1568/getInfo.php?workbook=01_01.xlsx&amp;sheet=U0&amp;row=837&amp;col=7&amp;number=141.5&amp;sourceID=16","141.5")</f>
        <v>141.5</v>
      </c>
      <c r="H837" s="4" t="str">
        <f>HYPERLINK("http://141.218.60.56/~jnz1568/getInfo.php?workbook=01_01.xlsx&amp;sheet=U0&amp;row=837&amp;col=8&amp;number=&amp;sourceID=17","")</f>
        <v/>
      </c>
      <c r="I837" s="4" t="str">
        <f>HYPERLINK("http://141.218.60.56/~jnz1568/getInfo.php?workbook=01_01.xlsx&amp;sheet=U0&amp;row=837&amp;col=9&amp;number=&amp;sourceID=17","")</f>
        <v/>
      </c>
    </row>
    <row r="838" spans="1:9">
      <c r="A838" s="3"/>
      <c r="B838" s="3"/>
      <c r="C838" s="3"/>
      <c r="D838" s="3"/>
      <c r="E838" s="3">
        <v>7</v>
      </c>
      <c r="F838" s="4" t="str">
        <f>HYPERLINK("http://141.218.60.56/~jnz1568/getInfo.php?workbook=01_01.xlsx&amp;sheet=U0&amp;row=838&amp;col=6&amp;number=4.477&amp;sourceID=16","4.477")</f>
        <v>4.477</v>
      </c>
      <c r="G838" s="4" t="str">
        <f>HYPERLINK("http://141.218.60.56/~jnz1568/getInfo.php?workbook=01_01.xlsx&amp;sheet=U0&amp;row=838&amp;col=7&amp;number=132.3&amp;sourceID=16","132.3")</f>
        <v>132.3</v>
      </c>
      <c r="H838" s="4" t="str">
        <f>HYPERLINK("http://141.218.60.56/~jnz1568/getInfo.php?workbook=01_01.xlsx&amp;sheet=U0&amp;row=838&amp;col=8&amp;number=&amp;sourceID=17","")</f>
        <v/>
      </c>
      <c r="I838" s="4" t="str">
        <f>HYPERLINK("http://141.218.60.56/~jnz1568/getInfo.php?workbook=01_01.xlsx&amp;sheet=U0&amp;row=838&amp;col=9&amp;number=&amp;sourceID=17","")</f>
        <v/>
      </c>
    </row>
    <row r="839" spans="1:9">
      <c r="A839" s="3"/>
      <c r="B839" s="3"/>
      <c r="C839" s="3"/>
      <c r="D839" s="3"/>
      <c r="E839" s="3">
        <v>8</v>
      </c>
      <c r="F839" s="4" t="str">
        <f>HYPERLINK("http://141.218.60.56/~jnz1568/getInfo.php?workbook=01_01.xlsx&amp;sheet=U0&amp;row=839&amp;col=6&amp;number=4.602&amp;sourceID=16","4.602")</f>
        <v>4.602</v>
      </c>
      <c r="G839" s="4" t="str">
        <f>HYPERLINK("http://141.218.60.56/~jnz1568/getInfo.php?workbook=01_01.xlsx&amp;sheet=U0&amp;row=839&amp;col=7&amp;number=126.1&amp;sourceID=16","126.1")</f>
        <v>126.1</v>
      </c>
      <c r="H839" s="4" t="str">
        <f>HYPERLINK("http://141.218.60.56/~jnz1568/getInfo.php?workbook=01_01.xlsx&amp;sheet=U0&amp;row=839&amp;col=8&amp;number=&amp;sourceID=17","")</f>
        <v/>
      </c>
      <c r="I839" s="4" t="str">
        <f>HYPERLINK("http://141.218.60.56/~jnz1568/getInfo.php?workbook=01_01.xlsx&amp;sheet=U0&amp;row=839&amp;col=9&amp;number=&amp;sourceID=17","")</f>
        <v/>
      </c>
    </row>
    <row r="840" spans="1:9">
      <c r="A840" s="3"/>
      <c r="B840" s="3"/>
      <c r="C840" s="3"/>
      <c r="D840" s="3"/>
      <c r="E840" s="3">
        <v>9</v>
      </c>
      <c r="F840" s="4" t="str">
        <f>HYPERLINK("http://141.218.60.56/~jnz1568/getInfo.php?workbook=01_01.xlsx&amp;sheet=U0&amp;row=840&amp;col=6&amp;number=4.699&amp;sourceID=16","4.699")</f>
        <v>4.699</v>
      </c>
      <c r="G840" s="4" t="str">
        <f>HYPERLINK("http://141.218.60.56/~jnz1568/getInfo.php?workbook=01_01.xlsx&amp;sheet=U0&amp;row=840&amp;col=7&amp;number=121.2&amp;sourceID=16","121.2")</f>
        <v>121.2</v>
      </c>
      <c r="H840" s="4" t="str">
        <f>HYPERLINK("http://141.218.60.56/~jnz1568/getInfo.php?workbook=01_01.xlsx&amp;sheet=U0&amp;row=840&amp;col=8&amp;number=&amp;sourceID=17","")</f>
        <v/>
      </c>
      <c r="I840" s="4" t="str">
        <f>HYPERLINK("http://141.218.60.56/~jnz1568/getInfo.php?workbook=01_01.xlsx&amp;sheet=U0&amp;row=840&amp;col=9&amp;number=&amp;sourceID=17","")</f>
        <v/>
      </c>
    </row>
    <row r="841" spans="1:9">
      <c r="A841" s="3">
        <v>1</v>
      </c>
      <c r="B841" s="3">
        <v>1</v>
      </c>
      <c r="C841" s="3">
        <v>15</v>
      </c>
      <c r="D841" s="3">
        <v>12</v>
      </c>
      <c r="E841" s="3">
        <v>1</v>
      </c>
      <c r="F841" s="4" t="str">
        <f>HYPERLINK("http://141.218.60.56/~jnz1568/getInfo.php?workbook=01_01.xlsx&amp;sheet=U0&amp;row=841&amp;col=6&amp;number==LOG10(2500)&amp;sourceID=16","=LOG10(2500)")</f>
        <v>=LOG10(2500)</v>
      </c>
      <c r="G841" s="4" t="str">
        <f>HYPERLINK("http://141.218.60.56/~jnz1568/getInfo.php?workbook=01_01.xlsx&amp;sheet=U0&amp;row=841&amp;col=7&amp;number=638.4&amp;sourceID=16","638.4")</f>
        <v>638.4</v>
      </c>
      <c r="H841" s="4" t="str">
        <f>HYPERLINK("http://141.218.60.56/~jnz1568/getInfo.php?workbook=01_01.xlsx&amp;sheet=U0&amp;row=841&amp;col=8&amp;number=&amp;sourceID=17","")</f>
        <v/>
      </c>
      <c r="I841" s="4" t="str">
        <f>HYPERLINK("http://141.218.60.56/~jnz1568/getInfo.php?workbook=01_01.xlsx&amp;sheet=U0&amp;row=841&amp;col=9&amp;number=&amp;sourceID=17","")</f>
        <v/>
      </c>
    </row>
    <row r="842" spans="1:9">
      <c r="A842" s="3"/>
      <c r="B842" s="3"/>
      <c r="C842" s="3"/>
      <c r="D842" s="3"/>
      <c r="E842" s="3">
        <v>2</v>
      </c>
      <c r="F842" s="4" t="str">
        <f>HYPERLINK("http://141.218.60.56/~jnz1568/getInfo.php?workbook=01_01.xlsx&amp;sheet=U0&amp;row=842&amp;col=6&amp;number=3.699&amp;sourceID=16","3.699")</f>
        <v>3.699</v>
      </c>
      <c r="G842" s="4" t="str">
        <f>HYPERLINK("http://141.218.60.56/~jnz1568/getInfo.php?workbook=01_01.xlsx&amp;sheet=U0&amp;row=842&amp;col=7&amp;number=645.9&amp;sourceID=16","645.9")</f>
        <v>645.9</v>
      </c>
      <c r="H842" s="4" t="str">
        <f>HYPERLINK("http://141.218.60.56/~jnz1568/getInfo.php?workbook=01_01.xlsx&amp;sheet=U0&amp;row=842&amp;col=8&amp;number=&amp;sourceID=17","")</f>
        <v/>
      </c>
      <c r="I842" s="4" t="str">
        <f>HYPERLINK("http://141.218.60.56/~jnz1568/getInfo.php?workbook=01_01.xlsx&amp;sheet=U0&amp;row=842&amp;col=9&amp;number=&amp;sourceID=17","")</f>
        <v/>
      </c>
    </row>
    <row r="843" spans="1:9">
      <c r="A843" s="3"/>
      <c r="B843" s="3"/>
      <c r="C843" s="3"/>
      <c r="D843" s="3"/>
      <c r="E843" s="3">
        <v>3</v>
      </c>
      <c r="F843" s="4" t="str">
        <f>HYPERLINK("http://141.218.60.56/~jnz1568/getInfo.php?workbook=01_01.xlsx&amp;sheet=U0&amp;row=843&amp;col=6&amp;number=3.875&amp;sourceID=16","3.875")</f>
        <v>3.875</v>
      </c>
      <c r="G843" s="4" t="str">
        <f>HYPERLINK("http://141.218.60.56/~jnz1568/getInfo.php?workbook=01_01.xlsx&amp;sheet=U0&amp;row=843&amp;col=7&amp;number=629.2&amp;sourceID=16","629.2")</f>
        <v>629.2</v>
      </c>
      <c r="H843" s="4" t="str">
        <f>HYPERLINK("http://141.218.60.56/~jnz1568/getInfo.php?workbook=01_01.xlsx&amp;sheet=U0&amp;row=843&amp;col=8&amp;number=&amp;sourceID=17","")</f>
        <v/>
      </c>
      <c r="I843" s="4" t="str">
        <f>HYPERLINK("http://141.218.60.56/~jnz1568/getInfo.php?workbook=01_01.xlsx&amp;sheet=U0&amp;row=843&amp;col=9&amp;number=&amp;sourceID=17","")</f>
        <v/>
      </c>
    </row>
    <row r="844" spans="1:9">
      <c r="A844" s="3"/>
      <c r="B844" s="3"/>
      <c r="C844" s="3"/>
      <c r="D844" s="3"/>
      <c r="E844" s="3">
        <v>4</v>
      </c>
      <c r="F844" s="4" t="str">
        <f>HYPERLINK("http://141.218.60.56/~jnz1568/getInfo.php?workbook=01_01.xlsx&amp;sheet=U0&amp;row=844&amp;col=6&amp;number=4&amp;sourceID=16","4")</f>
        <v>4</v>
      </c>
      <c r="G844" s="4" t="str">
        <f>HYPERLINK("http://141.218.60.56/~jnz1568/getInfo.php?workbook=01_01.xlsx&amp;sheet=U0&amp;row=844&amp;col=7&amp;number=614.7&amp;sourceID=16","614.7")</f>
        <v>614.7</v>
      </c>
      <c r="H844" s="4" t="str">
        <f>HYPERLINK("http://141.218.60.56/~jnz1568/getInfo.php?workbook=01_01.xlsx&amp;sheet=U0&amp;row=844&amp;col=8&amp;number=&amp;sourceID=17","")</f>
        <v/>
      </c>
      <c r="I844" s="4" t="str">
        <f>HYPERLINK("http://141.218.60.56/~jnz1568/getInfo.php?workbook=01_01.xlsx&amp;sheet=U0&amp;row=844&amp;col=9&amp;number=&amp;sourceID=17","")</f>
        <v/>
      </c>
    </row>
    <row r="845" spans="1:9">
      <c r="A845" s="3"/>
      <c r="B845" s="3"/>
      <c r="C845" s="3"/>
      <c r="D845" s="3"/>
      <c r="E845" s="3">
        <v>5</v>
      </c>
      <c r="F845" s="4" t="str">
        <f>HYPERLINK("http://141.218.60.56/~jnz1568/getInfo.php?workbook=01_01.xlsx&amp;sheet=U0&amp;row=845&amp;col=6&amp;number=4.176&amp;sourceID=16","4.176")</f>
        <v>4.176</v>
      </c>
      <c r="G845" s="4" t="str">
        <f>HYPERLINK("http://141.218.60.56/~jnz1568/getInfo.php?workbook=01_01.xlsx&amp;sheet=U0&amp;row=845&amp;col=7&amp;number=592.8&amp;sourceID=16","592.8")</f>
        <v>592.8</v>
      </c>
      <c r="H845" s="4" t="str">
        <f>HYPERLINK("http://141.218.60.56/~jnz1568/getInfo.php?workbook=01_01.xlsx&amp;sheet=U0&amp;row=845&amp;col=8&amp;number=&amp;sourceID=17","")</f>
        <v/>
      </c>
      <c r="I845" s="4" t="str">
        <f>HYPERLINK("http://141.218.60.56/~jnz1568/getInfo.php?workbook=01_01.xlsx&amp;sheet=U0&amp;row=845&amp;col=9&amp;number=&amp;sourceID=17","")</f>
        <v/>
      </c>
    </row>
    <row r="846" spans="1:9">
      <c r="A846" s="3"/>
      <c r="B846" s="3"/>
      <c r="C846" s="3"/>
      <c r="D846" s="3"/>
      <c r="E846" s="3">
        <v>6</v>
      </c>
      <c r="F846" s="4" t="str">
        <f>HYPERLINK("http://141.218.60.56/~jnz1568/getInfo.php?workbook=01_01.xlsx&amp;sheet=U0&amp;row=846&amp;col=6&amp;number=4.301&amp;sourceID=16","4.301")</f>
        <v>4.301</v>
      </c>
      <c r="G846" s="4" t="str">
        <f>HYPERLINK("http://141.218.60.56/~jnz1568/getInfo.php?workbook=01_01.xlsx&amp;sheet=U0&amp;row=846&amp;col=7&amp;number=576.5&amp;sourceID=16","576.5")</f>
        <v>576.5</v>
      </c>
      <c r="H846" s="4" t="str">
        <f>HYPERLINK("http://141.218.60.56/~jnz1568/getInfo.php?workbook=01_01.xlsx&amp;sheet=U0&amp;row=846&amp;col=8&amp;number=&amp;sourceID=17","")</f>
        <v/>
      </c>
      <c r="I846" s="4" t="str">
        <f>HYPERLINK("http://141.218.60.56/~jnz1568/getInfo.php?workbook=01_01.xlsx&amp;sheet=U0&amp;row=846&amp;col=9&amp;number=&amp;sourceID=17","")</f>
        <v/>
      </c>
    </row>
    <row r="847" spans="1:9">
      <c r="A847" s="3"/>
      <c r="B847" s="3"/>
      <c r="C847" s="3"/>
      <c r="D847" s="3"/>
      <c r="E847" s="3">
        <v>7</v>
      </c>
      <c r="F847" s="4" t="str">
        <f>HYPERLINK("http://141.218.60.56/~jnz1568/getInfo.php?workbook=01_01.xlsx&amp;sheet=U0&amp;row=847&amp;col=6&amp;number=4.477&amp;sourceID=16","4.477")</f>
        <v>4.477</v>
      </c>
      <c r="G847" s="4" t="str">
        <f>HYPERLINK("http://141.218.60.56/~jnz1568/getInfo.php?workbook=01_01.xlsx&amp;sheet=U0&amp;row=847&amp;col=7&amp;number=552.4&amp;sourceID=16","552.4")</f>
        <v>552.4</v>
      </c>
      <c r="H847" s="4" t="str">
        <f>HYPERLINK("http://141.218.60.56/~jnz1568/getInfo.php?workbook=01_01.xlsx&amp;sheet=U0&amp;row=847&amp;col=8&amp;number=&amp;sourceID=17","")</f>
        <v/>
      </c>
      <c r="I847" s="4" t="str">
        <f>HYPERLINK("http://141.218.60.56/~jnz1568/getInfo.php?workbook=01_01.xlsx&amp;sheet=U0&amp;row=847&amp;col=9&amp;number=&amp;sourceID=17","")</f>
        <v/>
      </c>
    </row>
    <row r="848" spans="1:9">
      <c r="A848" s="3"/>
      <c r="B848" s="3"/>
      <c r="C848" s="3"/>
      <c r="D848" s="3"/>
      <c r="E848" s="3">
        <v>8</v>
      </c>
      <c r="F848" s="4" t="str">
        <f>HYPERLINK("http://141.218.60.56/~jnz1568/getInfo.php?workbook=01_01.xlsx&amp;sheet=U0&amp;row=848&amp;col=6&amp;number=4.602&amp;sourceID=16","4.602")</f>
        <v>4.602</v>
      </c>
      <c r="G848" s="4" t="str">
        <f>HYPERLINK("http://141.218.60.56/~jnz1568/getInfo.php?workbook=01_01.xlsx&amp;sheet=U0&amp;row=848&amp;col=7&amp;number=534.7&amp;sourceID=16","534.7")</f>
        <v>534.7</v>
      </c>
      <c r="H848" s="4" t="str">
        <f>HYPERLINK("http://141.218.60.56/~jnz1568/getInfo.php?workbook=01_01.xlsx&amp;sheet=U0&amp;row=848&amp;col=8&amp;number=&amp;sourceID=17","")</f>
        <v/>
      </c>
      <c r="I848" s="4" t="str">
        <f>HYPERLINK("http://141.218.60.56/~jnz1568/getInfo.php?workbook=01_01.xlsx&amp;sheet=U0&amp;row=848&amp;col=9&amp;number=&amp;sourceID=17","")</f>
        <v/>
      </c>
    </row>
    <row r="849" spans="1:9">
      <c r="A849" s="3"/>
      <c r="B849" s="3"/>
      <c r="C849" s="3"/>
      <c r="D849" s="3"/>
      <c r="E849" s="3">
        <v>9</v>
      </c>
      <c r="F849" s="4" t="str">
        <f>HYPERLINK("http://141.218.60.56/~jnz1568/getInfo.php?workbook=01_01.xlsx&amp;sheet=U0&amp;row=849&amp;col=6&amp;number=4.699&amp;sourceID=16","4.699")</f>
        <v>4.699</v>
      </c>
      <c r="G849" s="4" t="str">
        <f>HYPERLINK("http://141.218.60.56/~jnz1568/getInfo.php?workbook=01_01.xlsx&amp;sheet=U0&amp;row=849&amp;col=7&amp;number=519.3&amp;sourceID=16","519.3")</f>
        <v>519.3</v>
      </c>
      <c r="H849" s="4" t="str">
        <f>HYPERLINK("http://141.218.60.56/~jnz1568/getInfo.php?workbook=01_01.xlsx&amp;sheet=U0&amp;row=849&amp;col=8&amp;number=&amp;sourceID=17","")</f>
        <v/>
      </c>
      <c r="I849" s="4" t="str">
        <f>HYPERLINK("http://141.218.60.56/~jnz1568/getInfo.php?workbook=01_01.xlsx&amp;sheet=U0&amp;row=849&amp;col=9&amp;number=&amp;sourceID=17","")</f>
        <v/>
      </c>
    </row>
    <row r="850" spans="1:9">
      <c r="A850" s="3">
        <v>1</v>
      </c>
      <c r="B850" s="3">
        <v>1</v>
      </c>
      <c r="C850" s="3">
        <v>15</v>
      </c>
      <c r="D850" s="3">
        <v>13</v>
      </c>
      <c r="E850" s="3">
        <v>1</v>
      </c>
      <c r="F850" s="4" t="str">
        <f>HYPERLINK("http://141.218.60.56/~jnz1568/getInfo.php?workbook=01_01.xlsx&amp;sheet=U0&amp;row=850&amp;col=6&amp;number==LOG10(2500)&amp;sourceID=16","=LOG10(2500)")</f>
        <v>=LOG10(2500)</v>
      </c>
      <c r="G850" s="4" t="str">
        <f>HYPERLINK("http://141.218.60.56/~jnz1568/getInfo.php?workbook=01_01.xlsx&amp;sheet=U0&amp;row=850&amp;col=7&amp;number=2568&amp;sourceID=16","2568")</f>
        <v>2568</v>
      </c>
      <c r="H850" s="4" t="str">
        <f>HYPERLINK("http://141.218.60.56/~jnz1568/getInfo.php?workbook=01_01.xlsx&amp;sheet=U0&amp;row=850&amp;col=8&amp;number=&amp;sourceID=17","")</f>
        <v/>
      </c>
      <c r="I850" s="4" t="str">
        <f>HYPERLINK("http://141.218.60.56/~jnz1568/getInfo.php?workbook=01_01.xlsx&amp;sheet=U0&amp;row=850&amp;col=9&amp;number=&amp;sourceID=17","")</f>
        <v/>
      </c>
    </row>
    <row r="851" spans="1:9">
      <c r="A851" s="3"/>
      <c r="B851" s="3"/>
      <c r="C851" s="3"/>
      <c r="D851" s="3"/>
      <c r="E851" s="3">
        <v>2</v>
      </c>
      <c r="F851" s="4" t="str">
        <f>HYPERLINK("http://141.218.60.56/~jnz1568/getInfo.php?workbook=01_01.xlsx&amp;sheet=U0&amp;row=851&amp;col=6&amp;number=3.699&amp;sourceID=16","3.699")</f>
        <v>3.699</v>
      </c>
      <c r="G851" s="4" t="str">
        <f>HYPERLINK("http://141.218.60.56/~jnz1568/getInfo.php?workbook=01_01.xlsx&amp;sheet=U0&amp;row=851&amp;col=7&amp;number=2586&amp;sourceID=16","2586")</f>
        <v>2586</v>
      </c>
      <c r="H851" s="4" t="str">
        <f>HYPERLINK("http://141.218.60.56/~jnz1568/getInfo.php?workbook=01_01.xlsx&amp;sheet=U0&amp;row=851&amp;col=8&amp;number=&amp;sourceID=17","")</f>
        <v/>
      </c>
      <c r="I851" s="4" t="str">
        <f>HYPERLINK("http://141.218.60.56/~jnz1568/getInfo.php?workbook=01_01.xlsx&amp;sheet=U0&amp;row=851&amp;col=9&amp;number=&amp;sourceID=17","")</f>
        <v/>
      </c>
    </row>
    <row r="852" spans="1:9">
      <c r="A852" s="3"/>
      <c r="B852" s="3"/>
      <c r="C852" s="3"/>
      <c r="D852" s="3"/>
      <c r="E852" s="3">
        <v>3</v>
      </c>
      <c r="F852" s="4" t="str">
        <f>HYPERLINK("http://141.218.60.56/~jnz1568/getInfo.php?workbook=01_01.xlsx&amp;sheet=U0&amp;row=852&amp;col=6&amp;number=3.875&amp;sourceID=16","3.875")</f>
        <v>3.875</v>
      </c>
      <c r="G852" s="4" t="str">
        <f>HYPERLINK("http://141.218.60.56/~jnz1568/getInfo.php?workbook=01_01.xlsx&amp;sheet=U0&amp;row=852&amp;col=7&amp;number=2508&amp;sourceID=16","2508")</f>
        <v>2508</v>
      </c>
      <c r="H852" s="4" t="str">
        <f>HYPERLINK("http://141.218.60.56/~jnz1568/getInfo.php?workbook=01_01.xlsx&amp;sheet=U0&amp;row=852&amp;col=8&amp;number=&amp;sourceID=17","")</f>
        <v/>
      </c>
      <c r="I852" s="4" t="str">
        <f>HYPERLINK("http://141.218.60.56/~jnz1568/getInfo.php?workbook=01_01.xlsx&amp;sheet=U0&amp;row=852&amp;col=9&amp;number=&amp;sourceID=17","")</f>
        <v/>
      </c>
    </row>
    <row r="853" spans="1:9">
      <c r="A853" s="3"/>
      <c r="B853" s="3"/>
      <c r="C853" s="3"/>
      <c r="D853" s="3"/>
      <c r="E853" s="3">
        <v>4</v>
      </c>
      <c r="F853" s="4" t="str">
        <f>HYPERLINK("http://141.218.60.56/~jnz1568/getInfo.php?workbook=01_01.xlsx&amp;sheet=U0&amp;row=853&amp;col=6&amp;number=4&amp;sourceID=16","4")</f>
        <v>4</v>
      </c>
      <c r="G853" s="4" t="str">
        <f>HYPERLINK("http://141.218.60.56/~jnz1568/getInfo.php?workbook=01_01.xlsx&amp;sheet=U0&amp;row=853&amp;col=7&amp;number=2442&amp;sourceID=16","2442")</f>
        <v>2442</v>
      </c>
      <c r="H853" s="4" t="str">
        <f>HYPERLINK("http://141.218.60.56/~jnz1568/getInfo.php?workbook=01_01.xlsx&amp;sheet=U0&amp;row=853&amp;col=8&amp;number=&amp;sourceID=17","")</f>
        <v/>
      </c>
      <c r="I853" s="4" t="str">
        <f>HYPERLINK("http://141.218.60.56/~jnz1568/getInfo.php?workbook=01_01.xlsx&amp;sheet=U0&amp;row=853&amp;col=9&amp;number=&amp;sourceID=17","")</f>
        <v/>
      </c>
    </row>
    <row r="854" spans="1:9">
      <c r="A854" s="3"/>
      <c r="B854" s="3"/>
      <c r="C854" s="3"/>
      <c r="D854" s="3"/>
      <c r="E854" s="3">
        <v>5</v>
      </c>
      <c r="F854" s="4" t="str">
        <f>HYPERLINK("http://141.218.60.56/~jnz1568/getInfo.php?workbook=01_01.xlsx&amp;sheet=U0&amp;row=854&amp;col=6&amp;number=4.176&amp;sourceID=16","4.176")</f>
        <v>4.176</v>
      </c>
      <c r="G854" s="4" t="str">
        <f>HYPERLINK("http://141.218.60.56/~jnz1568/getInfo.php?workbook=01_01.xlsx&amp;sheet=U0&amp;row=854&amp;col=7&amp;number=2346&amp;sourceID=16","2346")</f>
        <v>2346</v>
      </c>
      <c r="H854" s="4" t="str">
        <f>HYPERLINK("http://141.218.60.56/~jnz1568/getInfo.php?workbook=01_01.xlsx&amp;sheet=U0&amp;row=854&amp;col=8&amp;number=&amp;sourceID=17","")</f>
        <v/>
      </c>
      <c r="I854" s="4" t="str">
        <f>HYPERLINK("http://141.218.60.56/~jnz1568/getInfo.php?workbook=01_01.xlsx&amp;sheet=U0&amp;row=854&amp;col=9&amp;number=&amp;sourceID=17","")</f>
        <v/>
      </c>
    </row>
    <row r="855" spans="1:9">
      <c r="A855" s="3"/>
      <c r="B855" s="3"/>
      <c r="C855" s="3"/>
      <c r="D855" s="3"/>
      <c r="E855" s="3">
        <v>6</v>
      </c>
      <c r="F855" s="4" t="str">
        <f>HYPERLINK("http://141.218.60.56/~jnz1568/getInfo.php?workbook=01_01.xlsx&amp;sheet=U0&amp;row=855&amp;col=6&amp;number=4.301&amp;sourceID=16","4.301")</f>
        <v>4.301</v>
      </c>
      <c r="G855" s="4" t="str">
        <f>HYPERLINK("http://141.218.60.56/~jnz1568/getInfo.php?workbook=01_01.xlsx&amp;sheet=U0&amp;row=855&amp;col=7&amp;number=2276&amp;sourceID=16","2276")</f>
        <v>2276</v>
      </c>
      <c r="H855" s="4" t="str">
        <f>HYPERLINK("http://141.218.60.56/~jnz1568/getInfo.php?workbook=01_01.xlsx&amp;sheet=U0&amp;row=855&amp;col=8&amp;number=&amp;sourceID=17","")</f>
        <v/>
      </c>
      <c r="I855" s="4" t="str">
        <f>HYPERLINK("http://141.218.60.56/~jnz1568/getInfo.php?workbook=01_01.xlsx&amp;sheet=U0&amp;row=855&amp;col=9&amp;number=&amp;sourceID=17","")</f>
        <v/>
      </c>
    </row>
    <row r="856" spans="1:9">
      <c r="A856" s="3"/>
      <c r="B856" s="3"/>
      <c r="C856" s="3"/>
      <c r="D856" s="3"/>
      <c r="E856" s="3">
        <v>7</v>
      </c>
      <c r="F856" s="4" t="str">
        <f>HYPERLINK("http://141.218.60.56/~jnz1568/getInfo.php?workbook=01_01.xlsx&amp;sheet=U0&amp;row=856&amp;col=6&amp;number=4.477&amp;sourceID=16","4.477")</f>
        <v>4.477</v>
      </c>
      <c r="G856" s="4" t="str">
        <f>HYPERLINK("http://141.218.60.56/~jnz1568/getInfo.php?workbook=01_01.xlsx&amp;sheet=U0&amp;row=856&amp;col=7&amp;number=2178&amp;sourceID=16","2178")</f>
        <v>2178</v>
      </c>
      <c r="H856" s="4" t="str">
        <f>HYPERLINK("http://141.218.60.56/~jnz1568/getInfo.php?workbook=01_01.xlsx&amp;sheet=U0&amp;row=856&amp;col=8&amp;number=&amp;sourceID=17","")</f>
        <v/>
      </c>
      <c r="I856" s="4" t="str">
        <f>HYPERLINK("http://141.218.60.56/~jnz1568/getInfo.php?workbook=01_01.xlsx&amp;sheet=U0&amp;row=856&amp;col=9&amp;number=&amp;sourceID=17","")</f>
        <v/>
      </c>
    </row>
    <row r="857" spans="1:9">
      <c r="A857" s="3"/>
      <c r="B857" s="3"/>
      <c r="C857" s="3"/>
      <c r="D857" s="3"/>
      <c r="E857" s="3">
        <v>8</v>
      </c>
      <c r="F857" s="4" t="str">
        <f>HYPERLINK("http://141.218.60.56/~jnz1568/getInfo.php?workbook=01_01.xlsx&amp;sheet=U0&amp;row=857&amp;col=6&amp;number=4.602&amp;sourceID=16","4.602")</f>
        <v>4.602</v>
      </c>
      <c r="G857" s="4" t="str">
        <f>HYPERLINK("http://141.218.60.56/~jnz1568/getInfo.php?workbook=01_01.xlsx&amp;sheet=U0&amp;row=857&amp;col=7&amp;number=2109&amp;sourceID=16","2109")</f>
        <v>2109</v>
      </c>
      <c r="H857" s="4" t="str">
        <f>HYPERLINK("http://141.218.60.56/~jnz1568/getInfo.php?workbook=01_01.xlsx&amp;sheet=U0&amp;row=857&amp;col=8&amp;number=&amp;sourceID=17","")</f>
        <v/>
      </c>
      <c r="I857" s="4" t="str">
        <f>HYPERLINK("http://141.218.60.56/~jnz1568/getInfo.php?workbook=01_01.xlsx&amp;sheet=U0&amp;row=857&amp;col=9&amp;number=&amp;sourceID=17","")</f>
        <v/>
      </c>
    </row>
    <row r="858" spans="1:9">
      <c r="A858" s="3"/>
      <c r="B858" s="3"/>
      <c r="C858" s="3"/>
      <c r="D858" s="3"/>
      <c r="E858" s="3">
        <v>9</v>
      </c>
      <c r="F858" s="4" t="str">
        <f>HYPERLINK("http://141.218.60.56/~jnz1568/getInfo.php?workbook=01_01.xlsx&amp;sheet=U0&amp;row=858&amp;col=6&amp;number=4.699&amp;sourceID=16","4.699")</f>
        <v>4.699</v>
      </c>
      <c r="G858" s="4" t="str">
        <f>HYPERLINK("http://141.218.60.56/~jnz1568/getInfo.php?workbook=01_01.xlsx&amp;sheet=U0&amp;row=858&amp;col=7&amp;number=2049&amp;sourceID=16","2049")</f>
        <v>2049</v>
      </c>
      <c r="H858" s="4" t="str">
        <f>HYPERLINK("http://141.218.60.56/~jnz1568/getInfo.php?workbook=01_01.xlsx&amp;sheet=U0&amp;row=858&amp;col=8&amp;number=&amp;sourceID=17","")</f>
        <v/>
      </c>
      <c r="I858" s="4" t="str">
        <f>HYPERLINK("http://141.218.60.56/~jnz1568/getInfo.php?workbook=01_01.xlsx&amp;sheet=U0&amp;row=858&amp;col=9&amp;number=&amp;sourceID=17","")</f>
        <v/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E0</vt:lpstr>
      <vt:lpstr>E1</vt:lpstr>
      <vt:lpstr>A0</vt:lpstr>
      <vt:lpstr>A1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2015-04-10T05:10:33Z</dcterms:created>
  <dcterms:modified xsi:type="dcterms:W3CDTF">2015-04-10T05:10:33Z</dcterms:modified>
</cp:coreProperties>
</file>