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<sst xmlns="http://schemas.openxmlformats.org/spreadsheetml/2006/main" count="128" uniqueCount="53">
  <si>
    <t>Fine-Structure Energy Levels for  He II</t>
  </si>
  <si>
    <t>S2</t>
  </si>
  <si>
    <t>S11</t>
  </si>
  <si>
    <t>S12</t>
  </si>
  <si>
    <t>S13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</si>
  <si>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</si>
  <si>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</si>
  <si>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</si>
  <si>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</si>
  <si>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</si>
  <si>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</si>
  <si>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</si>
  <si>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</si>
  <si>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</si>
  <si>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</si>
  <si>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1s</t>
  </si>
  <si>
    <t>2S</t>
  </si>
  <si>
    <t>2p</t>
  </si>
  <si>
    <t>2P*</t>
  </si>
  <si>
    <t>2s</t>
  </si>
  <si>
    <t>3p</t>
  </si>
  <si>
    <t>3s</t>
  </si>
  <si>
    <t>3d</t>
  </si>
  <si>
    <t>2D</t>
  </si>
  <si>
    <t>4p</t>
  </si>
  <si>
    <t>4s</t>
  </si>
  <si>
    <t>4d</t>
  </si>
  <si>
    <t>4f</t>
  </si>
  <si>
    <t>2F*</t>
  </si>
  <si>
    <t>5p</t>
  </si>
  <si>
    <t>5s</t>
  </si>
  <si>
    <t>5d</t>
  </si>
  <si>
    <t>5f</t>
  </si>
  <si>
    <t>5g</t>
  </si>
  <si>
    <t>2G</t>
  </si>
  <si>
    <t>A-values for  fine-structure transitions in He II</t>
  </si>
  <si>
    <t>S18</t>
  </si>
  <si>
    <t>S20</t>
  </si>
  <si>
    <t>k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</si>
  <si>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</si>
  <si>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</si>
  <si>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</si>
  <si>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</si>
  <si>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</si>
  <si>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</si>
  <si>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</si>
  <si>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</si>
  <si>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</si>
  <si>
    <t>Effective Collision Strengths for He II</t>
  </si>
  <si>
    <t>S22</t>
  </si>
  <si>
    <t>np</t>
  </si>
  <si>
    <t>LogT 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</si>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</sst>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workbookViewId="0"/>
  </sheetViews>
  <sheetFormatPr defaultRowHeight="15"/>
  <cols>
    <col min="1" max="1" width="2.7109375" customWidth="1"/>
    <col min="2" max="2" width="2.7109375" customWidth="1"/>
    <col min="3" max="3" width="15.7109375" customWidth="1"/>
    <col min="4" max="4" width="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14.7109375" customWidth="1"/>
    <col min="11" max="11" width="13.7109375" customWidth="1"/>
    <col min="12" max="12" width="12.7109375" customWidth="1"/>
    <col min="13" max="13" width="8.7109375" customWidth="1"/>
  </cols>
  <sheetData>
    <row r="1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  <c r="K2" s="2" t="s">
        <v>2</v>
      </c>
      <c r="L2" s="2" t="s">
        <v>3</v>
      </c>
      <c r="M2" s="2" t="s">
        <v>4</v>
      </c>
    </row>
    <row r="3" spans="1:13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14</v>
      </c>
      <c r="L3" s="2" t="s">
        <v>14</v>
      </c>
      <c r="M3" s="2" t="s">
        <v>14</v>
      </c>
    </row>
    <row r="4" spans="1:13">
      <c r="A4" s="3">
        <v>2</v>
      </c>
      <c r="B4" s="3">
        <v>1</v>
      </c>
      <c r="C4" s="3">
        <v>1</v>
      </c>
      <c r="D4" s="3" t="s">
        <v>15</v>
      </c>
      <c r="E4" s="3" t="s">
        <v>16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HYPERLINK("http://141.218.60.56/~jnz1568/getInfo.php?workbook=02_01.xlsx&amp;sheet=E0&amp;row=4&amp;col=10&amp;number=0&amp;sourceID=2","0")</f>
        <v>0</v>
      </c>
      <c r="K4" s="4" t="str">
        <f>HYPERLINK("http://141.218.60.56/~jnz1568/getInfo.php?workbook=02_01.xlsx&amp;sheet=E0&amp;row=4&amp;col=11&amp;number=0&amp;sourceID=11","0")</f>
        <v>0</v>
      </c>
      <c r="L4" s="4" t="str">
        <f>HYPERLINK("http://141.218.60.56/~jnz1568/getInfo.php?workbook=02_01.xlsx&amp;sheet=E0&amp;row=4&amp;col=12&amp;number=0&amp;sourceID=12","0")</f>
        <v>0</v>
      </c>
      <c r="M4" s="4" t="str">
        <f>HYPERLINK("http://141.218.60.56/~jnz1568/getInfo.php?workbook=02_01.xlsx&amp;sheet=E0&amp;row=4&amp;col=13&amp;number=0&amp;sourceID=13","0")</f>
        <v>0</v>
      </c>
    </row>
    <row r="5" spans="1:13">
      <c r="A5" s="3">
        <v>2</v>
      </c>
      <c r="B5" s="3">
        <v>1</v>
      </c>
      <c r="C5" s="3">
        <f>+C4+1</f>
        <v>0</v>
      </c>
      <c r="D5" s="3" t="s">
        <v>17</v>
      </c>
      <c r="E5" s="3" t="s">
        <v>18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HYPERLINK("http://141.218.60.56/~jnz1568/getInfo.php?workbook=02_01.xlsx&amp;sheet=E0&amp;row=5&amp;col=10&amp;number=329179.293589&amp;sourceID=2","329179.293589")</f>
        <v>329179.293589</v>
      </c>
      <c r="K5" s="4" t="str">
        <f>HYPERLINK("http://141.218.60.56/~jnz1568/getInfo.php?workbook=02_01.xlsx&amp;sheet=E0&amp;row=5&amp;col=11&amp;number=329182.89001&amp;sourceID=11","329182.89001")</f>
        <v>329182.89001</v>
      </c>
      <c r="L5" s="4" t="str">
        <f>HYPERLINK("http://141.218.60.56/~jnz1568/getInfo.php?workbook=02_01.xlsx&amp;sheet=E0&amp;row=5&amp;col=12&amp;number=329179.3004&amp;sourceID=12","329179.3004")</f>
        <v>329179.3004</v>
      </c>
      <c r="M5" s="4" t="str">
        <f>HYPERLINK("http://141.218.60.56/~jnz1568/getInfo.php?workbook=02_01.xlsx&amp;sheet=E0&amp;row=5&amp;col=13&amp;number=329228&amp;sourceID=13","329228")</f>
        <v>329228</v>
      </c>
    </row>
    <row r="6" spans="1:13">
      <c r="A6" s="3">
        <v>2</v>
      </c>
      <c r="B6" s="3">
        <v>1</v>
      </c>
      <c r="C6" s="3">
        <f/>
        <v>0</v>
      </c>
      <c r="D6" s="3" t="s">
        <v>19</v>
      </c>
      <c r="E6" s="3" t="s">
        <v>16</v>
      </c>
      <c r="F6" s="3">
        <v>2</v>
      </c>
      <c r="G6" s="3">
        <v>0</v>
      </c>
      <c r="H6" s="3">
        <v>0</v>
      </c>
      <c r="I6" s="3">
        <v>0.5</v>
      </c>
      <c r="J6" s="4" t="str">
        <f>HYPERLINK("http://141.218.60.56/~jnz1568/getInfo.php?workbook=02_01.xlsx&amp;sheet=E0&amp;row=6&amp;col=10&amp;number=329179.76197&amp;sourceID=2","329179.76197")</f>
        <v>329179.76197</v>
      </c>
      <c r="K6" s="4" t="str">
        <f>HYPERLINK("http://141.218.60.56/~jnz1568/getInfo.php?workbook=02_01.xlsx&amp;sheet=E0&amp;row=6&amp;col=11&amp;number=329182.89001&amp;sourceID=11","329182.89001")</f>
        <v>329182.89001</v>
      </c>
      <c r="L6" s="4" t="str">
        <f>HYPERLINK("http://141.218.60.56/~jnz1568/getInfo.php?workbook=02_01.xlsx&amp;sheet=E0&amp;row=6&amp;col=12&amp;number=329179.7685&amp;sourceID=12","329179.7685")</f>
        <v>329179.7685</v>
      </c>
      <c r="M6" s="4" t="str">
        <f>HYPERLINK("http://141.218.60.56/~jnz1568/getInfo.php?workbook=02_01.xlsx&amp;sheet=E0&amp;row=6&amp;col=13&amp;number=329228&amp;sourceID=13","329228")</f>
        <v>329228</v>
      </c>
    </row>
    <row r="7" spans="1:13">
      <c r="A7" s="3">
        <v>2</v>
      </c>
      <c r="B7" s="3">
        <v>1</v>
      </c>
      <c r="C7" s="3">
        <f/>
        <v>0</v>
      </c>
      <c r="D7" s="3" t="s">
        <v>17</v>
      </c>
      <c r="E7" s="3" t="s">
        <v>18</v>
      </c>
      <c r="F7" s="3">
        <v>2</v>
      </c>
      <c r="G7" s="3">
        <v>1</v>
      </c>
      <c r="H7" s="3">
        <v>1</v>
      </c>
      <c r="I7" s="3">
        <v>1.5</v>
      </c>
      <c r="J7" s="4" t="str">
        <f>HYPERLINK("http://141.218.60.56/~jnz1568/getInfo.php?workbook=02_01.xlsx&amp;sheet=E0&amp;row=7&amp;col=10&amp;number=329185.150747&amp;sourceID=2","329185.150747")</f>
        <v>329185.150747</v>
      </c>
      <c r="K7" s="4" t="str">
        <f>HYPERLINK("http://141.218.60.56/~jnz1568/getInfo.php?workbook=02_01.xlsx&amp;sheet=E0&amp;row=7&amp;col=11&amp;number=329188.73365&amp;sourceID=11","329188.73365")</f>
        <v>329188.73365</v>
      </c>
      <c r="L7" s="4" t="str">
        <f>HYPERLINK("http://141.218.60.56/~jnz1568/getInfo.php?workbook=02_01.xlsx&amp;sheet=E0&amp;row=7&amp;col=12&amp;number=329185.1576&amp;sourceID=12","329185.1576")</f>
        <v>329185.1576</v>
      </c>
      <c r="M7" s="4" t="str">
        <f>HYPERLINK("http://141.218.60.56/~jnz1568/getInfo.php?workbook=02_01.xlsx&amp;sheet=E0&amp;row=7&amp;col=13&amp;number=329234&amp;sourceID=13","329234")</f>
        <v>329234</v>
      </c>
    </row>
    <row r="8" spans="1:13">
      <c r="A8" s="3">
        <v>2</v>
      </c>
      <c r="B8" s="3">
        <v>1</v>
      </c>
      <c r="C8" s="3">
        <f/>
        <v>0</v>
      </c>
      <c r="D8" s="3" t="s">
        <v>20</v>
      </c>
      <c r="E8" s="3" t="s">
        <v>18</v>
      </c>
      <c r="F8" s="3">
        <v>2</v>
      </c>
      <c r="G8" s="3">
        <v>1</v>
      </c>
      <c r="H8" s="3">
        <v>1</v>
      </c>
      <c r="I8" s="3">
        <v>0.5</v>
      </c>
      <c r="J8" s="4" t="str">
        <f>HYPERLINK("http://141.218.60.56/~jnz1568/getInfo.php?workbook=02_01.xlsx&amp;sheet=E0&amp;row=8&amp;col=10&amp;number=390140.824628&amp;sourceID=2","390140.824628")</f>
        <v>390140.824628</v>
      </c>
      <c r="K8" s="4" t="str">
        <f>HYPERLINK("http://141.218.60.56/~jnz1568/getInfo.php?workbook=02_01.xlsx&amp;sheet=E0&amp;row=8&amp;col=11&amp;number=390144.41592&amp;sourceID=11","390144.41592")</f>
        <v>390144.41592</v>
      </c>
      <c r="L8" s="4" t="str">
        <f>HYPERLINK("http://141.218.60.56/~jnz1568/getInfo.php?workbook=02_01.xlsx&amp;sheet=E0&amp;row=8&amp;col=12&amp;number=390140.8326&amp;sourceID=12","390140.8326")</f>
        <v>390140.8326</v>
      </c>
      <c r="M8" s="4" t="str">
        <f>HYPERLINK("http://141.218.60.56/~jnz1568/getInfo.php?workbook=02_01.xlsx&amp;sheet=E0&amp;row=8&amp;col=13&amp;number=390198&amp;sourceID=13","390198")</f>
        <v>390198</v>
      </c>
    </row>
    <row r="9" spans="1:13">
      <c r="A9" s="3">
        <v>2</v>
      </c>
      <c r="B9" s="3">
        <v>1</v>
      </c>
      <c r="C9" s="3">
        <f/>
        <v>0</v>
      </c>
      <c r="D9" s="3" t="s">
        <v>21</v>
      </c>
      <c r="E9" s="3" t="s">
        <v>16</v>
      </c>
      <c r="F9" s="3">
        <v>2</v>
      </c>
      <c r="G9" s="3">
        <v>0</v>
      </c>
      <c r="H9" s="3">
        <v>0</v>
      </c>
      <c r="I9" s="3">
        <v>0.5</v>
      </c>
      <c r="J9" s="4" t="str">
        <f>HYPERLINK("http://141.218.60.56/~jnz1568/getInfo.php?workbook=02_01.xlsx&amp;sheet=E0&amp;row=9&amp;col=10&amp;number=390140.964175&amp;sourceID=2","390140.964175")</f>
        <v>390140.964175</v>
      </c>
      <c r="K9" s="4" t="str">
        <f>HYPERLINK("http://141.218.60.56/~jnz1568/getInfo.php?workbook=02_01.xlsx&amp;sheet=E0&amp;row=9&amp;col=11&amp;number=390144.41592&amp;sourceID=11","390144.41592")</f>
        <v>390144.41592</v>
      </c>
      <c r="L9" s="4" t="str">
        <f>HYPERLINK("http://141.218.60.56/~jnz1568/getInfo.php?workbook=02_01.xlsx&amp;sheet=E0&amp;row=9&amp;col=12&amp;number=390140.9722&amp;sourceID=12","390140.9722")</f>
        <v>390140.9722</v>
      </c>
      <c r="M9" s="4" t="str">
        <f>HYPERLINK("http://141.218.60.56/~jnz1568/getInfo.php?workbook=02_01.xlsx&amp;sheet=E0&amp;row=9&amp;col=13&amp;number=390198&amp;sourceID=13","390198")</f>
        <v>390198</v>
      </c>
    </row>
    <row r="10" spans="1:13">
      <c r="A10" s="3">
        <v>2</v>
      </c>
      <c r="B10" s="3">
        <v>1</v>
      </c>
      <c r="C10" s="3">
        <f/>
        <v>0</v>
      </c>
      <c r="D10" s="3" t="s">
        <v>22</v>
      </c>
      <c r="E10" s="3" t="s">
        <v>23</v>
      </c>
      <c r="F10" s="3">
        <v>2</v>
      </c>
      <c r="G10" s="3">
        <v>2</v>
      </c>
      <c r="H10" s="3">
        <v>0</v>
      </c>
      <c r="I10" s="3">
        <v>1.5</v>
      </c>
      <c r="J10" s="4" t="str">
        <f>HYPERLINK("http://141.218.60.56/~jnz1568/getInfo.php?workbook=02_01.xlsx&amp;sheet=E0&amp;row=10&amp;col=10&amp;number=390142.557234&amp;sourceID=2","390142.557234")</f>
        <v>390142.557234</v>
      </c>
      <c r="K10" s="4" t="str">
        <f>HYPERLINK("http://141.218.60.56/~jnz1568/getInfo.php?workbook=02_01.xlsx&amp;sheet=E0&amp;row=10&amp;col=11&amp;number=390146.14737&amp;sourceID=11","390146.14737")</f>
        <v>390146.14737</v>
      </c>
      <c r="L10" s="4" t="str">
        <f>HYPERLINK("http://141.218.60.56/~jnz1568/getInfo.php?workbook=02_01.xlsx&amp;sheet=E0&amp;row=10&amp;col=12&amp;number=390142.5653&amp;sourceID=12","390142.5653")</f>
        <v>390142.5653</v>
      </c>
      <c r="M10" s="4" t="str">
        <f>HYPERLINK("http://141.218.60.56/~jnz1568/getInfo.php?workbook=02_01.xlsx&amp;sheet=E0&amp;row=10&amp;col=13&amp;number=390200&amp;sourceID=13","390200")</f>
        <v>390200</v>
      </c>
    </row>
    <row r="11" spans="1:13">
      <c r="A11" s="3">
        <v>2</v>
      </c>
      <c r="B11" s="3">
        <v>1</v>
      </c>
      <c r="C11" s="3">
        <f/>
        <v>0</v>
      </c>
      <c r="D11" s="3" t="s">
        <v>20</v>
      </c>
      <c r="E11" s="3" t="s">
        <v>18</v>
      </c>
      <c r="F11" s="3">
        <v>2</v>
      </c>
      <c r="G11" s="3">
        <v>1</v>
      </c>
      <c r="H11" s="3">
        <v>1</v>
      </c>
      <c r="I11" s="3">
        <v>1.5</v>
      </c>
      <c r="J11" s="4" t="str">
        <f>HYPERLINK("http://141.218.60.56/~jnz1568/getInfo.php?workbook=02_01.xlsx&amp;sheet=E0&amp;row=11&amp;col=10&amp;number=390142.560089&amp;sourceID=2","390142.560089")</f>
        <v>390142.560089</v>
      </c>
      <c r="K11" s="4" t="str">
        <f>HYPERLINK("http://141.218.60.56/~jnz1568/getInfo.php?workbook=02_01.xlsx&amp;sheet=E0&amp;row=11&amp;col=11&amp;number=390146.14737&amp;sourceID=11","390146.14737")</f>
        <v>390146.14737</v>
      </c>
      <c r="L11" s="4" t="str">
        <f>HYPERLINK("http://141.218.60.56/~jnz1568/getInfo.php?workbook=02_01.xlsx&amp;sheet=E0&amp;row=11&amp;col=12&amp;number=390142.5681&amp;sourceID=12","390142.5681")</f>
        <v>390142.5681</v>
      </c>
      <c r="M11" s="4" t="str">
        <f>HYPERLINK("http://141.218.60.56/~jnz1568/getInfo.php?workbook=02_01.xlsx&amp;sheet=E0&amp;row=11&amp;col=13&amp;number=390200&amp;sourceID=13","390200")</f>
        <v>390200</v>
      </c>
    </row>
    <row r="12" spans="1:13">
      <c r="A12" s="3">
        <v>2</v>
      </c>
      <c r="B12" s="3">
        <v>1</v>
      </c>
      <c r="C12" s="3">
        <f/>
        <v>0</v>
      </c>
      <c r="D12" s="3" t="s">
        <v>22</v>
      </c>
      <c r="E12" s="3" t="s">
        <v>23</v>
      </c>
      <c r="F12" s="3">
        <v>2</v>
      </c>
      <c r="G12" s="3">
        <v>2</v>
      </c>
      <c r="H12" s="3">
        <v>0</v>
      </c>
      <c r="I12" s="3">
        <v>2.5</v>
      </c>
      <c r="J12" s="4" t="str">
        <f>HYPERLINK("http://141.218.60.56/~jnz1568/getInfo.php?workbook=02_01.xlsx&amp;sheet=E0&amp;row=12&amp;col=10&amp;number=390143.135665&amp;sourceID=2","390143.135665")</f>
        <v>390143.135665</v>
      </c>
      <c r="K12" s="4" t="str">
        <f>HYPERLINK("http://141.218.60.56/~jnz1568/getInfo.php?workbook=02_01.xlsx&amp;sheet=E0&amp;row=12&amp;col=11&amp;number=390146.72447&amp;sourceID=11","390146.72447")</f>
        <v>390146.72447</v>
      </c>
      <c r="L12" s="4" t="str">
        <f>HYPERLINK("http://141.218.60.56/~jnz1568/getInfo.php?workbook=02_01.xlsx&amp;sheet=E0&amp;row=12&amp;col=12&amp;number=390143.1437&amp;sourceID=12","390143.1437")</f>
        <v>390143.1437</v>
      </c>
      <c r="M12" s="4" t="str">
        <f>HYPERLINK("http://141.218.60.56/~jnz1568/getInfo.php?workbook=02_01.xlsx&amp;sheet=E0&amp;row=12&amp;col=13&amp;number=390200&amp;sourceID=13","390200")</f>
        <v>390200</v>
      </c>
    </row>
    <row r="13" spans="1:13">
      <c r="A13" s="3">
        <v>2</v>
      </c>
      <c r="B13" s="3">
        <v>1</v>
      </c>
      <c r="C13" s="3">
        <f/>
        <v>0</v>
      </c>
      <c r="D13" s="3" t="s">
        <v>24</v>
      </c>
      <c r="E13" s="3" t="s">
        <v>18</v>
      </c>
      <c r="F13" s="3">
        <v>2</v>
      </c>
      <c r="G13" s="3">
        <v>1</v>
      </c>
      <c r="H13" s="3">
        <v>1</v>
      </c>
      <c r="I13" s="3">
        <v>0.5</v>
      </c>
      <c r="J13" s="4" t="str">
        <f>HYPERLINK("http://141.218.60.56/~jnz1568/getInfo.php?workbook=02_01.xlsx&amp;sheet=E0&amp;row=13&amp;col=10&amp;number=411477.122414&amp;sourceID=2","411477.122414")</f>
        <v>411477.122414</v>
      </c>
      <c r="K13" s="4" t="str">
        <f>HYPERLINK("http://141.218.60.56/~jnz1568/getInfo.php?workbook=02_01.xlsx&amp;sheet=E0&amp;row=13&amp;col=11&amp;number=411480.71258&amp;sourceID=11","411480.71258")</f>
        <v>411480.71258</v>
      </c>
      <c r="L13" s="4" t="str">
        <f>HYPERLINK("http://141.218.60.56/~jnz1568/getInfo.php?workbook=02_01.xlsx&amp;sheet=E0&amp;row=13&amp;col=12&amp;number=411477.1308&amp;sourceID=12","411477.1308")</f>
        <v>411477.1308</v>
      </c>
      <c r="M13" s="4" t="str">
        <f>HYPERLINK("http://141.218.60.56/~jnz1568/getInfo.php?workbook=02_01.xlsx&amp;sheet=E0&amp;row=13&amp;col=13&amp;number=411537&amp;sourceID=13","411537")</f>
        <v>411537</v>
      </c>
    </row>
    <row r="14" spans="1:13">
      <c r="A14" s="3">
        <v>2</v>
      </c>
      <c r="B14" s="3">
        <v>1</v>
      </c>
      <c r="C14" s="3">
        <f/>
        <v>0</v>
      </c>
      <c r="D14" s="3" t="s">
        <v>25</v>
      </c>
      <c r="E14" s="3" t="s">
        <v>16</v>
      </c>
      <c r="F14" s="3">
        <v>2</v>
      </c>
      <c r="G14" s="3">
        <v>0</v>
      </c>
      <c r="H14" s="3">
        <v>0</v>
      </c>
      <c r="I14" s="3">
        <v>0.5</v>
      </c>
      <c r="J14" s="4" t="str">
        <f>HYPERLINK("http://141.218.60.56/~jnz1568/getInfo.php?workbook=02_01.xlsx&amp;sheet=E0&amp;row=14&amp;col=10&amp;number=411477.181412&amp;sourceID=2","411477.181412")</f>
        <v>411477.181412</v>
      </c>
      <c r="K14" s="4" t="str">
        <f>HYPERLINK("http://141.218.60.56/~jnz1568/getInfo.php?workbook=02_01.xlsx&amp;sheet=E0&amp;row=14&amp;col=11&amp;number=411480.71258&amp;sourceID=11","411480.71258")</f>
        <v>411480.71258</v>
      </c>
      <c r="L14" s="4" t="str">
        <f>HYPERLINK("http://141.218.60.56/~jnz1568/getInfo.php?workbook=02_01.xlsx&amp;sheet=E0&amp;row=14&amp;col=12&amp;number=411477.1898&amp;sourceID=12","411477.1898")</f>
        <v>411477.1898</v>
      </c>
      <c r="M14" s="4" t="str">
        <f>HYPERLINK("http://141.218.60.56/~jnz1568/getInfo.php?workbook=02_01.xlsx&amp;sheet=E0&amp;row=14&amp;col=13&amp;number=411537&amp;sourceID=13","411537")</f>
        <v>411537</v>
      </c>
    </row>
    <row r="15" spans="1:13">
      <c r="A15" s="3">
        <v>2</v>
      </c>
      <c r="B15" s="3">
        <v>1</v>
      </c>
      <c r="C15" s="3">
        <f/>
        <v>0</v>
      </c>
      <c r="D15" s="3" t="s">
        <v>26</v>
      </c>
      <c r="E15" s="3" t="s">
        <v>23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HYPERLINK("http://141.218.60.56/~jnz1568/getInfo.php?workbook=02_01.xlsx&amp;sheet=E0&amp;row=15&amp;col=10&amp;number=411477.853339&amp;sourceID=2","411477.853339")</f>
        <v>411477.853339</v>
      </c>
      <c r="K15" s="4" t="str">
        <f>HYPERLINK("http://141.218.60.56/~jnz1568/getInfo.php?workbook=02_01.xlsx&amp;sheet=E0&amp;row=15&amp;col=11&amp;number=411481.44303&amp;sourceID=11","411481.44303")</f>
        <v>411481.44303</v>
      </c>
      <c r="L15" s="4" t="str">
        <f>HYPERLINK("http://141.218.60.56/~jnz1568/getInfo.php?workbook=02_01.xlsx&amp;sheet=E0&amp;row=15&amp;col=12&amp;number=411477.8617&amp;sourceID=12","411477.8617")</f>
        <v>411477.8617</v>
      </c>
      <c r="M15" s="4" t="str">
        <f>HYPERLINK("http://141.218.60.56/~jnz1568/getInfo.php?workbook=02_01.xlsx&amp;sheet=E0&amp;row=15&amp;col=13&amp;number=411538&amp;sourceID=13","411538")</f>
        <v>411538</v>
      </c>
    </row>
    <row r="16" spans="1:13">
      <c r="A16" s="3">
        <v>2</v>
      </c>
      <c r="B16" s="3">
        <v>1</v>
      </c>
      <c r="C16" s="3">
        <f/>
        <v>0</v>
      </c>
      <c r="D16" s="3" t="s">
        <v>24</v>
      </c>
      <c r="E16" s="3" t="s">
        <v>18</v>
      </c>
      <c r="F16" s="3">
        <v>2</v>
      </c>
      <c r="G16" s="3">
        <v>1</v>
      </c>
      <c r="H16" s="3">
        <v>1</v>
      </c>
      <c r="I16" s="3">
        <v>1.5</v>
      </c>
      <c r="J16" s="4" t="str">
        <f>HYPERLINK("http://141.218.60.56/~jnz1568/getInfo.php?workbook=02_01.xlsx&amp;sheet=E0&amp;row=16&amp;col=10&amp;number=411477.854558&amp;sourceID=2","411477.854558")</f>
        <v>411477.854558</v>
      </c>
      <c r="K16" s="4" t="str">
        <f>HYPERLINK("http://141.218.60.56/~jnz1568/getInfo.php?workbook=02_01.xlsx&amp;sheet=E0&amp;row=16&amp;col=11&amp;number=411481.44303&amp;sourceID=11","411481.44303")</f>
        <v>411481.44303</v>
      </c>
      <c r="L16" s="4" t="str">
        <f>HYPERLINK("http://141.218.60.56/~jnz1568/getInfo.php?workbook=02_01.xlsx&amp;sheet=E0&amp;row=16&amp;col=12&amp;number=411477.863&amp;sourceID=12","411477.863")</f>
        <v>411477.863</v>
      </c>
      <c r="M16" s="4" t="str">
        <f>HYPERLINK("http://141.218.60.56/~jnz1568/getInfo.php?workbook=02_01.xlsx&amp;sheet=E0&amp;row=16&amp;col=13&amp;number=411538&amp;sourceID=13","411538")</f>
        <v>411538</v>
      </c>
    </row>
    <row r="17" spans="1:13">
      <c r="A17" s="3">
        <v>2</v>
      </c>
      <c r="B17" s="3">
        <v>1</v>
      </c>
      <c r="C17" s="3">
        <f/>
        <v>0</v>
      </c>
      <c r="D17" s="3" t="s">
        <v>27</v>
      </c>
      <c r="E17" s="3" t="s">
        <v>28</v>
      </c>
      <c r="F17" s="3">
        <v>2</v>
      </c>
      <c r="G17" s="3">
        <v>3</v>
      </c>
      <c r="H17" s="3">
        <v>1</v>
      </c>
      <c r="I17" s="3">
        <v>2.5</v>
      </c>
      <c r="J17" s="4" t="str">
        <f>HYPERLINK("http://141.218.60.56/~jnz1568/getInfo.php?workbook=02_01.xlsx&amp;sheet=E0&amp;row=17&amp;col=10&amp;number=411478.096926&amp;sourceID=2","411478.096926")</f>
        <v>411478.096926</v>
      </c>
      <c r="K17" s="4" t="str">
        <f>HYPERLINK("http://141.218.60.56/~jnz1568/getInfo.php?workbook=02_01.xlsx&amp;sheet=E0&amp;row=17&amp;col=11&amp;number=411481.68649&amp;sourceID=11","411481.68649")</f>
        <v>411481.68649</v>
      </c>
      <c r="L17" s="4" t="str">
        <f>HYPERLINK("http://141.218.60.56/~jnz1568/getInfo.php?workbook=02_01.xlsx&amp;sheet=E0&amp;row=17&amp;col=12&amp;number=411478.1053&amp;sourceID=12","411478.1053")</f>
        <v>411478.1053</v>
      </c>
      <c r="M17" s="4" t="str">
        <f>HYPERLINK("http://141.218.60.56/~jnz1568/getInfo.php?workbook=02_01.xlsx&amp;sheet=E0&amp;row=17&amp;col=13&amp;number=411538&amp;sourceID=13","411538")</f>
        <v>411538</v>
      </c>
    </row>
    <row r="18" spans="1:13">
      <c r="A18" s="3">
        <v>2</v>
      </c>
      <c r="B18" s="3">
        <v>1</v>
      </c>
      <c r="C18" s="3">
        <f/>
        <v>0</v>
      </c>
      <c r="D18" s="3" t="s">
        <v>26</v>
      </c>
      <c r="E18" s="3" t="s">
        <v>23</v>
      </c>
      <c r="F18" s="3">
        <v>2</v>
      </c>
      <c r="G18" s="3">
        <v>2</v>
      </c>
      <c r="H18" s="3">
        <v>0</v>
      </c>
      <c r="I18" s="3">
        <v>2.5</v>
      </c>
      <c r="J18" s="4" t="str">
        <f>HYPERLINK("http://141.218.60.56/~jnz1568/getInfo.php?workbook=02_01.xlsx&amp;sheet=E0&amp;row=18&amp;col=10&amp;number=411478.097366&amp;sourceID=2","411478.097366")</f>
        <v>411478.097366</v>
      </c>
      <c r="K18" s="4" t="str">
        <f>HYPERLINK("http://141.218.60.56/~jnz1568/getInfo.php?workbook=02_01.xlsx&amp;sheet=E0&amp;row=18&amp;col=11&amp;number=411481.68649&amp;sourceID=11","411481.68649")</f>
        <v>411481.68649</v>
      </c>
      <c r="L18" s="4" t="str">
        <f>HYPERLINK("http://141.218.60.56/~jnz1568/getInfo.php?workbook=02_01.xlsx&amp;sheet=E0&amp;row=18&amp;col=12&amp;number=411478.1058&amp;sourceID=12","411478.1058")</f>
        <v>411478.1058</v>
      </c>
      <c r="M18" s="4" t="str">
        <f>HYPERLINK("http://141.218.60.56/~jnz1568/getInfo.php?workbook=02_01.xlsx&amp;sheet=E0&amp;row=18&amp;col=13&amp;number=411538&amp;sourceID=13","411538")</f>
        <v>411538</v>
      </c>
    </row>
    <row r="19" spans="1:13">
      <c r="A19" s="3">
        <v>2</v>
      </c>
      <c r="B19" s="3">
        <v>1</v>
      </c>
      <c r="C19" s="3">
        <f/>
        <v>0</v>
      </c>
      <c r="D19" s="3" t="s">
        <v>27</v>
      </c>
      <c r="E19" s="3" t="s">
        <v>28</v>
      </c>
      <c r="F19" s="3">
        <v>2</v>
      </c>
      <c r="G19" s="3">
        <v>3</v>
      </c>
      <c r="H19" s="3">
        <v>1</v>
      </c>
      <c r="I19" s="3">
        <v>3.5</v>
      </c>
      <c r="J19" s="4" t="str">
        <f>HYPERLINK("http://141.218.60.56/~jnz1568/getInfo.php?workbook=02_01.xlsx&amp;sheet=E0&amp;row=19&amp;col=10&amp;number=411478.218936&amp;sourceID=2","411478.218936")</f>
        <v>411478.218936</v>
      </c>
      <c r="K19" s="4" t="str">
        <f>HYPERLINK("http://141.218.60.56/~jnz1568/getInfo.php?workbook=02_01.xlsx&amp;sheet=E0&amp;row=19&amp;col=11&amp;number=411481.80822&amp;sourceID=11","411481.80822")</f>
        <v>411481.80822</v>
      </c>
      <c r="L19" s="4" t="str">
        <f>HYPERLINK("http://141.218.60.56/~jnz1568/getInfo.php?workbook=02_01.xlsx&amp;sheet=E0&amp;row=19&amp;col=12&amp;number=411478.2273&amp;sourceID=12","411478.2273")</f>
        <v>411478.2273</v>
      </c>
      <c r="M19" s="4" t="str">
        <f>HYPERLINK("http://141.218.60.56/~jnz1568/getInfo.php?workbook=02_01.xlsx&amp;sheet=E0&amp;row=19&amp;col=13&amp;number=411538&amp;sourceID=13","411538")</f>
        <v>411538</v>
      </c>
    </row>
    <row r="20" spans="1:13">
      <c r="A20" s="3">
        <v>2</v>
      </c>
      <c r="B20" s="3">
        <v>1</v>
      </c>
      <c r="C20" s="3">
        <f/>
        <v>0</v>
      </c>
      <c r="D20" s="3" t="s">
        <v>29</v>
      </c>
      <c r="E20" s="3" t="s">
        <v>18</v>
      </c>
      <c r="F20" s="3">
        <v>2</v>
      </c>
      <c r="G20" s="3">
        <v>1</v>
      </c>
      <c r="H20" s="3">
        <v>1</v>
      </c>
      <c r="I20" s="3">
        <v>0.5</v>
      </c>
      <c r="J20" s="4" t="str">
        <f>HYPERLINK("http://141.218.60.56/~jnz1568/getInfo.php?workbook=02_01.xlsx&amp;sheet=E0&amp;row=20&amp;col=10&amp;number=421352.678591&amp;sourceID=2","421352.678591")</f>
        <v>421352.678591</v>
      </c>
      <c r="K20" s="4" t="str">
        <f>HYPERLINK("http://141.218.60.56/~jnz1568/getInfo.php?workbook=02_01.xlsx&amp;sheet=E0&amp;row=20&amp;col=11&amp;number=421356.26837&amp;sourceID=11","421356.26837")</f>
        <v>421356.26837</v>
      </c>
      <c r="L20" s="4" t="str">
        <f>HYPERLINK("http://141.218.60.56/~jnz1568/getInfo.php?workbook=02_01.xlsx&amp;sheet=E0&amp;row=20&amp;col=12&amp;number=421352.6872&amp;sourceID=12","421352.6872")</f>
        <v>421352.6872</v>
      </c>
      <c r="M20" s="4" t="str">
        <f>HYPERLINK("http://141.218.60.56/~jnz1568/getInfo.php?workbook=02_01.xlsx&amp;sheet=E0&amp;row=20&amp;col=13&amp;number=&amp;sourceID=13","")</f>
        <v/>
      </c>
    </row>
    <row r="21" spans="1:13">
      <c r="A21" s="3">
        <v>2</v>
      </c>
      <c r="B21" s="3">
        <v>1</v>
      </c>
      <c r="C21" s="3">
        <f/>
        <v>0</v>
      </c>
      <c r="D21" s="3" t="s">
        <v>30</v>
      </c>
      <c r="E21" s="3" t="s">
        <v>16</v>
      </c>
      <c r="F21" s="3">
        <v>2</v>
      </c>
      <c r="G21" s="3">
        <v>0</v>
      </c>
      <c r="H21" s="3">
        <v>0</v>
      </c>
      <c r="I21" s="3">
        <v>0.5</v>
      </c>
      <c r="J21" s="4" t="str">
        <f>HYPERLINK("http://141.218.60.56/~jnz1568/getInfo.php?workbook=02_01.xlsx&amp;sheet=E0&amp;row=21&amp;col=10&amp;number=421352.708831&amp;sourceID=2","421352.708831")</f>
        <v>421352.708831</v>
      </c>
      <c r="K21" s="4" t="str">
        <f>HYPERLINK("http://141.218.60.56/~jnz1568/getInfo.php?workbook=02_01.xlsx&amp;sheet=E0&amp;row=21&amp;col=11&amp;number=421356.26837&amp;sourceID=11","421356.26837")</f>
        <v>421356.26837</v>
      </c>
      <c r="L21" s="4" t="str">
        <f>HYPERLINK("http://141.218.60.56/~jnz1568/getInfo.php?workbook=02_01.xlsx&amp;sheet=E0&amp;row=21&amp;col=12&amp;number=421352.7174&amp;sourceID=12","421352.7174")</f>
        <v>421352.7174</v>
      </c>
      <c r="M21" s="4" t="str">
        <f>HYPERLINK("http://141.218.60.56/~jnz1568/getInfo.php?workbook=02_01.xlsx&amp;sheet=E0&amp;row=21&amp;col=13&amp;number=&amp;sourceID=13","")</f>
        <v/>
      </c>
    </row>
    <row r="22" spans="1:13">
      <c r="A22" s="3">
        <v>2</v>
      </c>
      <c r="B22" s="3">
        <v>1</v>
      </c>
      <c r="C22" s="3">
        <f/>
        <v>0</v>
      </c>
      <c r="D22" s="3" t="s">
        <v>31</v>
      </c>
      <c r="E22" s="3" t="s">
        <v>23</v>
      </c>
      <c r="F22" s="3">
        <v>2</v>
      </c>
      <c r="G22" s="3">
        <v>2</v>
      </c>
      <c r="H22" s="3">
        <v>0</v>
      </c>
      <c r="I22" s="3">
        <v>1.5</v>
      </c>
      <c r="J22" s="4" t="str">
        <f>HYPERLINK("http://141.218.60.56/~jnz1568/getInfo.php?workbook=02_01.xlsx&amp;sheet=E0&amp;row=22&amp;col=10&amp;number=421353.052818&amp;sourceID=2","421353.052818")</f>
        <v>421353.052818</v>
      </c>
      <c r="K22" s="4" t="str">
        <f>HYPERLINK("http://141.218.60.56/~jnz1568/getInfo.php?workbook=02_01.xlsx&amp;sheet=E0&amp;row=22&amp;col=11&amp;number=421356.64237&amp;sourceID=11","421356.64237")</f>
        <v>421356.64237</v>
      </c>
      <c r="L22" s="4" t="str">
        <f>HYPERLINK("http://141.218.60.56/~jnz1568/getInfo.php?workbook=02_01.xlsx&amp;sheet=E0&amp;row=22&amp;col=12&amp;number=421353.0614&amp;sourceID=12","421353.0614")</f>
        <v>421353.0614</v>
      </c>
      <c r="M22" s="4" t="str">
        <f>HYPERLINK("http://141.218.60.56/~jnz1568/getInfo.php?workbook=02_01.xlsx&amp;sheet=E0&amp;row=22&amp;col=13&amp;number=&amp;sourceID=13","")</f>
        <v/>
      </c>
    </row>
    <row r="23" spans="1:13">
      <c r="A23" s="3">
        <v>2</v>
      </c>
      <c r="B23" s="3">
        <v>1</v>
      </c>
      <c r="C23" s="3">
        <f/>
        <v>0</v>
      </c>
      <c r="D23" s="3" t="s">
        <v>29</v>
      </c>
      <c r="E23" s="3" t="s">
        <v>18</v>
      </c>
      <c r="F23" s="3">
        <v>2</v>
      </c>
      <c r="G23" s="3">
        <v>1</v>
      </c>
      <c r="H23" s="3">
        <v>1</v>
      </c>
      <c r="I23" s="3">
        <v>1.5</v>
      </c>
      <c r="J23" s="4" t="str">
        <f>HYPERLINK("http://141.218.60.56/~jnz1568/getInfo.php?workbook=02_01.xlsx&amp;sheet=E0&amp;row=23&amp;col=10&amp;number=421353.053446&amp;sourceID=2","421353.053446")</f>
        <v>421353.053446</v>
      </c>
      <c r="K23" s="4" t="str">
        <f>HYPERLINK("http://141.218.60.56/~jnz1568/getInfo.php?workbook=02_01.xlsx&amp;sheet=E0&amp;row=23&amp;col=11&amp;number=421356.64237&amp;sourceID=11","421356.64237")</f>
        <v>421356.64237</v>
      </c>
      <c r="L23" s="4" t="str">
        <f>HYPERLINK("http://141.218.60.56/~jnz1568/getInfo.php?workbook=02_01.xlsx&amp;sheet=E0&amp;row=23&amp;col=12&amp;number=421353.062&amp;sourceID=12","421353.062")</f>
        <v>421353.062</v>
      </c>
      <c r="M23" s="4" t="str">
        <f>HYPERLINK("http://141.218.60.56/~jnz1568/getInfo.php?workbook=02_01.xlsx&amp;sheet=E0&amp;row=23&amp;col=13&amp;number=&amp;sourceID=13","")</f>
        <v/>
      </c>
    </row>
    <row r="24" spans="1:13">
      <c r="A24" s="3">
        <v>2</v>
      </c>
      <c r="B24" s="3">
        <v>1</v>
      </c>
      <c r="C24" s="3">
        <f/>
        <v>0</v>
      </c>
      <c r="D24" s="3" t="s">
        <v>32</v>
      </c>
      <c r="E24" s="3" t="s">
        <v>28</v>
      </c>
      <c r="F24" s="3">
        <v>2</v>
      </c>
      <c r="G24" s="3">
        <v>3</v>
      </c>
      <c r="H24" s="3">
        <v>1</v>
      </c>
      <c r="I24" s="3">
        <v>2.5</v>
      </c>
      <c r="J24" s="4" t="str">
        <f>HYPERLINK("http://141.218.60.56/~jnz1568/getInfo.php?workbook=02_01.xlsx&amp;sheet=E0&amp;row=24&amp;col=10&amp;number=421353.177533&amp;sourceID=2","421353.177533")</f>
        <v>421353.177533</v>
      </c>
      <c r="K24" s="4" t="str">
        <f>HYPERLINK("http://141.218.60.56/~jnz1568/getInfo.php?workbook=02_01.xlsx&amp;sheet=E0&amp;row=24&amp;col=11&amp;number=421356.76702&amp;sourceID=11","421356.76702")</f>
        <v>421356.76702</v>
      </c>
      <c r="L24" s="4" t="str">
        <f>HYPERLINK("http://141.218.60.56/~jnz1568/getInfo.php?workbook=02_01.xlsx&amp;sheet=E0&amp;row=24&amp;col=12&amp;number=421353.1861&amp;sourceID=12","421353.1861")</f>
        <v>421353.1861</v>
      </c>
      <c r="M24" s="4" t="str">
        <f>HYPERLINK("http://141.218.60.56/~jnz1568/getInfo.php?workbook=02_01.xlsx&amp;sheet=E0&amp;row=24&amp;col=13&amp;number=&amp;sourceID=13","")</f>
        <v/>
      </c>
    </row>
    <row r="25" spans="1:13">
      <c r="A25" s="3">
        <v>2</v>
      </c>
      <c r="B25" s="3">
        <v>1</v>
      </c>
      <c r="C25" s="3">
        <f/>
        <v>0</v>
      </c>
      <c r="D25" s="3" t="s">
        <v>31</v>
      </c>
      <c r="E25" s="3" t="s">
        <v>23</v>
      </c>
      <c r="F25" s="3">
        <v>2</v>
      </c>
      <c r="G25" s="3">
        <v>2</v>
      </c>
      <c r="H25" s="3">
        <v>0</v>
      </c>
      <c r="I25" s="3">
        <v>2.5</v>
      </c>
      <c r="J25" s="4" t="str">
        <f>HYPERLINK("http://141.218.60.56/~jnz1568/getInfo.php?workbook=02_01.xlsx&amp;sheet=E0&amp;row=25&amp;col=10&amp;number=421353.17776&amp;sourceID=2","421353.17776")</f>
        <v>421353.17776</v>
      </c>
      <c r="K25" s="4" t="str">
        <f>HYPERLINK("http://141.218.60.56/~jnz1568/getInfo.php?workbook=02_01.xlsx&amp;sheet=E0&amp;row=25&amp;col=11&amp;number=421356.76702&amp;sourceID=11","421356.76702")</f>
        <v>421356.76702</v>
      </c>
      <c r="L25" s="4" t="str">
        <f>HYPERLINK("http://141.218.60.56/~jnz1568/getInfo.php?workbook=02_01.xlsx&amp;sheet=E0&amp;row=25&amp;col=12&amp;number=421353.1863&amp;sourceID=12","421353.1863")</f>
        <v>421353.1863</v>
      </c>
      <c r="M25" s="4" t="str">
        <f>HYPERLINK("http://141.218.60.56/~jnz1568/getInfo.php?workbook=02_01.xlsx&amp;sheet=E0&amp;row=25&amp;col=13&amp;number=&amp;sourceID=13","")</f>
        <v/>
      </c>
    </row>
    <row r="26" spans="1:13">
      <c r="A26" s="3">
        <v>2</v>
      </c>
      <c r="B26" s="3">
        <v>1</v>
      </c>
      <c r="C26" s="3">
        <f/>
        <v>0</v>
      </c>
      <c r="D26" s="3" t="s">
        <v>33</v>
      </c>
      <c r="E26" s="3" t="s">
        <v>34</v>
      </c>
      <c r="F26" s="3">
        <v>2</v>
      </c>
      <c r="G26" s="3">
        <v>4</v>
      </c>
      <c r="H26" s="3">
        <v>0</v>
      </c>
      <c r="I26" s="3">
        <v>3.5</v>
      </c>
      <c r="J26" s="4" t="str">
        <f>HYPERLINK("http://141.218.60.56/~jnz1568/getInfo.php?workbook=02_01.xlsx&amp;sheet=E0&amp;row=26&amp;col=10&amp;number=421353.239884&amp;sourceID=2","421353.239884")</f>
        <v>421353.239884</v>
      </c>
      <c r="K26" s="4" t="str">
        <f>HYPERLINK("http://141.218.60.56/~jnz1568/getInfo.php?workbook=02_01.xlsx&amp;sheet=E0&amp;row=26&amp;col=11&amp;number=421356.82934&amp;sourceID=11","421356.82934")</f>
        <v>421356.82934</v>
      </c>
      <c r="L26" s="4" t="str">
        <f>HYPERLINK("http://141.218.60.56/~jnz1568/getInfo.php?workbook=02_01.xlsx&amp;sheet=E0&amp;row=26&amp;col=12&amp;number=421353.2485&amp;sourceID=12","421353.2485")</f>
        <v>421353.2485</v>
      </c>
      <c r="M26" s="4" t="str">
        <f>HYPERLINK("http://141.218.60.56/~jnz1568/getInfo.php?workbook=02_01.xlsx&amp;sheet=E0&amp;row=26&amp;col=13&amp;number=&amp;sourceID=13","")</f>
        <v/>
      </c>
    </row>
    <row r="27" spans="1:13">
      <c r="A27" s="3">
        <v>2</v>
      </c>
      <c r="B27" s="3">
        <v>1</v>
      </c>
      <c r="C27" s="3">
        <f/>
        <v>0</v>
      </c>
      <c r="D27" s="3" t="s">
        <v>32</v>
      </c>
      <c r="E27" s="3" t="s">
        <v>28</v>
      </c>
      <c r="F27" s="3">
        <v>2</v>
      </c>
      <c r="G27" s="3">
        <v>3</v>
      </c>
      <c r="H27" s="3">
        <v>1</v>
      </c>
      <c r="I27" s="3">
        <v>3.5</v>
      </c>
      <c r="J27" s="4" t="str">
        <f>HYPERLINK("http://141.218.60.56/~jnz1568/getInfo.php?workbook=02_01.xlsx&amp;sheet=E0&amp;row=27&amp;col=10&amp;number=421353.240002&amp;sourceID=2","421353.240002")</f>
        <v>421353.240002</v>
      </c>
      <c r="K27" s="4" t="str">
        <f>HYPERLINK("http://141.218.60.56/~jnz1568/getInfo.php?workbook=02_01.xlsx&amp;sheet=E0&amp;row=27&amp;col=11&amp;number=421356.82934&amp;sourceID=11","421356.82934")</f>
        <v>421356.82934</v>
      </c>
      <c r="L27" s="4" t="str">
        <f>HYPERLINK("http://141.218.60.56/~jnz1568/getInfo.php?workbook=02_01.xlsx&amp;sheet=E0&amp;row=27&amp;col=12&amp;number=421353.2486&amp;sourceID=12","421353.2486")</f>
        <v>421353.2486</v>
      </c>
      <c r="M27" s="4" t="str">
        <f>HYPERLINK("http://141.218.60.56/~jnz1568/getInfo.php?workbook=02_01.xlsx&amp;sheet=E0&amp;row=27&amp;col=13&amp;number=&amp;sourceID=13","")</f>
        <v/>
      </c>
    </row>
    <row r="28" spans="1:13">
      <c r="A28" s="3">
        <v>2</v>
      </c>
      <c r="B28" s="3">
        <v>1</v>
      </c>
      <c r="C28" s="3">
        <f/>
        <v>0</v>
      </c>
      <c r="D28" s="3" t="s">
        <v>33</v>
      </c>
      <c r="E28" s="3" t="s">
        <v>34</v>
      </c>
      <c r="F28" s="3">
        <v>2</v>
      </c>
      <c r="G28" s="3">
        <v>4</v>
      </c>
      <c r="H28" s="3">
        <v>0</v>
      </c>
      <c r="I28" s="3">
        <v>4.5</v>
      </c>
      <c r="J28" s="4" t="str">
        <f>HYPERLINK("http://141.218.60.56/~jnz1568/getInfo.php?workbook=02_01.xlsx&amp;sheet=E0&amp;row=28&amp;col=10&amp;number=421353.277365&amp;sourceID=2","421353.277365")</f>
        <v>421353.277365</v>
      </c>
      <c r="K28" s="4" t="str">
        <f>HYPERLINK("http://141.218.60.56/~jnz1568/getInfo.php?workbook=02_01.xlsx&amp;sheet=E0&amp;row=28&amp;col=11&amp;number=421356.86674&amp;sourceID=11","421356.86674")</f>
        <v>421356.86674</v>
      </c>
      <c r="L28" s="4" t="str">
        <f>HYPERLINK("http://141.218.60.56/~jnz1568/getInfo.php?workbook=02_01.xlsx&amp;sheet=E0&amp;row=28&amp;col=12&amp;number=421353.286&amp;sourceID=12","421353.286")</f>
        <v>421353.286</v>
      </c>
      <c r="M28" s="4" t="str">
        <f>HYPERLINK("http://141.218.60.56/~jnz1568/getInfo.php?workbook=02_01.xlsx&amp;sheet=E0&amp;row=28&amp;col=13&amp;number=&amp;sourceID=13","")</f>
        <v/>
      </c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284"/>
  <sheetViews>
    <sheetView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3.7109375" customWidth="1"/>
    <col min="5" max="5" width="15.7109375" customWidth="1"/>
    <col min="6" max="6" width="11.7109375" customWidth="1"/>
    <col min="7" max="7" width="15.7109375" customWidth="1"/>
    <col min="8" max="8" width="12.7109375" customWidth="1"/>
    <col min="9" max="9" width="10.7109375" customWidth="1"/>
    <col min="10" max="10" width="11.7109375" customWidth="1"/>
    <col min="11" max="11" width="11.7109375" customWidth="1"/>
    <col min="12" max="12" width="11.7109375" customWidth="1"/>
    <col min="13" max="13" width="11.7109375" customWidth="1"/>
    <col min="14" max="14" width="13.7109375" customWidth="1"/>
    <col min="15" max="15" width="12.7109375" customWidth="1"/>
    <col min="16" max="16" width="10.7109375" customWidth="1"/>
    <col min="17" max="17" width="11.7109375" customWidth="1"/>
    <col min="18" max="18" width="11.7109375" customWidth="1"/>
    <col min="19" max="19" width="11.7109375" customWidth="1"/>
    <col min="20" max="20" width="11.7109375" customWidth="1"/>
    <col min="21" max="21" width="15.7109375" customWidth="1"/>
    <col min="22" max="22" width="12.7109375" customWidth="1"/>
    <col min="23" max="23" width="10.7109375" customWidth="1"/>
    <col min="24" max="24" width="10.7109375" customWidth="1"/>
    <col min="25" max="25" width="10.7109375" customWidth="1"/>
    <col min="26" max="26" width="10.7109375" customWidth="1"/>
    <col min="27" max="27" width="13.7109375" customWidth="1"/>
  </cols>
  <sheetData>
    <row r="1" spans="1:27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 t="s">
        <v>36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3</v>
      </c>
      <c r="O2" s="2" t="s">
        <v>3</v>
      </c>
      <c r="P2" s="2" t="s">
        <v>3</v>
      </c>
      <c r="Q2" s="2" t="s">
        <v>3</v>
      </c>
      <c r="R2" s="2" t="s">
        <v>3</v>
      </c>
      <c r="S2" s="2" t="s">
        <v>3</v>
      </c>
      <c r="T2" s="2" t="s">
        <v>3</v>
      </c>
      <c r="U2" s="2" t="s">
        <v>4</v>
      </c>
      <c r="V2" s="2" t="s">
        <v>4</v>
      </c>
      <c r="W2" s="2" t="s">
        <v>4</v>
      </c>
      <c r="X2" s="2" t="s">
        <v>4</v>
      </c>
      <c r="Y2" s="2" t="s">
        <v>4</v>
      </c>
      <c r="Z2" s="2" t="s">
        <v>4</v>
      </c>
      <c r="AA2" s="2" t="s">
        <v>37</v>
      </c>
    </row>
    <row r="3" spans="1:27">
      <c r="A3" s="2" t="s">
        <v>5</v>
      </c>
      <c r="B3" s="2" t="s">
        <v>6</v>
      </c>
      <c r="C3" s="2" t="s">
        <v>38</v>
      </c>
      <c r="D3" s="2" t="s">
        <v>7</v>
      </c>
      <c r="E3" s="2" t="s">
        <v>39</v>
      </c>
      <c r="F3" s="2" t="s">
        <v>40</v>
      </c>
      <c r="G3" s="2" t="s">
        <v>41</v>
      </c>
      <c r="H3" s="2" t="s">
        <v>42</v>
      </c>
      <c r="I3" s="2" t="s">
        <v>43</v>
      </c>
      <c r="J3" s="2" t="s">
        <v>44</v>
      </c>
      <c r="K3" s="2" t="s">
        <v>45</v>
      </c>
      <c r="L3" s="2" t="s">
        <v>46</v>
      </c>
      <c r="M3" s="2" t="s">
        <v>47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41</v>
      </c>
      <c r="V3" s="2" t="s">
        <v>42</v>
      </c>
      <c r="W3" s="2" t="s">
        <v>43</v>
      </c>
      <c r="X3" s="2" t="s">
        <v>44</v>
      </c>
      <c r="Y3" s="2" t="s">
        <v>45</v>
      </c>
      <c r="Z3" s="2" t="s">
        <v>46</v>
      </c>
      <c r="AA3" s="2" t="s">
        <v>41</v>
      </c>
    </row>
    <row r="4" spans="1:27">
      <c r="A4" s="3">
        <v>2</v>
      </c>
      <c r="B4" s="3">
        <v>1</v>
      </c>
      <c r="C4" s="3">
        <v>2</v>
      </c>
      <c r="D4" s="3">
        <v>1</v>
      </c>
      <c r="E4" s="3">
        <f>((1/(INDEX(E0!J$4:J$28,C4,1)-INDEX(E0!J$4:J$28,D4,1))))*100000000</f>
        <v>0</v>
      </c>
      <c r="F4" s="4" t="str">
        <f>HYPERLINK("http://141.218.60.56/~jnz1568/getInfo.php?workbook=02_01.xlsx&amp;sheet=A0&amp;row=4&amp;col=6&amp;number=&amp;sourceID=18","")</f>
        <v/>
      </c>
      <c r="G4" s="4" t="str">
        <f>HYPERLINK("http://141.218.60.56/~jnz1568/getInfo.php?workbook=02_01.xlsx&amp;sheet=A0&amp;row=4&amp;col=7&amp;number==SUM(H4:M4)&amp;sourceID=11","=SUM(H4:M4)")</f>
        <v>=SUM(H4:M4)</v>
      </c>
      <c r="H4" s="4" t="str">
        <f>HYPERLINK("http://141.218.60.56/~jnz1568/getInfo.php?workbook=02_01.xlsx&amp;sheet=A0&amp;row=4&amp;col=8&amp;number=10028000000&amp;sourceID=11","10028000000")</f>
        <v>10028000000</v>
      </c>
      <c r="I4" s="4" t="str">
        <f>HYPERLINK("http://141.218.60.56/~jnz1568/getInfo.php?workbook=02_01.xlsx&amp;sheet=A0&amp;row=4&amp;col=9&amp;number=&amp;sourceID=11","")</f>
        <v/>
      </c>
      <c r="J4" s="4" t="str">
        <f>HYPERLINK("http://141.218.60.56/~jnz1568/getInfo.php?workbook=02_01.xlsx&amp;sheet=A0&amp;row=4&amp;col=10&amp;number=&amp;sourceID=11","")</f>
        <v/>
      </c>
      <c r="K4" s="4" t="str">
        <f>HYPERLINK("http://141.218.60.56/~jnz1568/getInfo.php?workbook=02_01.xlsx&amp;sheet=A0&amp;row=4&amp;col=11&amp;number=&amp;sourceID=11","")</f>
        <v/>
      </c>
      <c r="L4" s="4" t="str">
        <f>HYPERLINK("http://141.218.60.56/~jnz1568/getInfo.php?workbook=02_01.xlsx&amp;sheet=A0&amp;row=4&amp;col=12&amp;number=&amp;sourceID=11","")</f>
        <v/>
      </c>
      <c r="M4" s="4" t="str">
        <f>HYPERLINK("http://141.218.60.56/~jnz1568/getInfo.php?workbook=02_01.xlsx&amp;sheet=A0&amp;row=4&amp;col=13&amp;number=&amp;sourceID=11","")</f>
        <v/>
      </c>
      <c r="N4" s="4" t="str">
        <f>HYPERLINK("http://141.218.60.56/~jnz1568/getInfo.php?workbook=02_01.xlsx&amp;sheet=A0&amp;row=4&amp;col=14&amp;number=10030000000&amp;sourceID=12","10030000000")</f>
        <v>10030000000</v>
      </c>
      <c r="O4" s="4" t="str">
        <f>HYPERLINK("http://141.218.60.56/~jnz1568/getInfo.php?workbook=02_01.xlsx&amp;sheet=A0&amp;row=4&amp;col=15&amp;number=10030000000&amp;sourceID=12","10030000000")</f>
        <v>10030000000</v>
      </c>
      <c r="P4" s="4" t="str">
        <f>HYPERLINK("http://141.218.60.56/~jnz1568/getInfo.php?workbook=02_01.xlsx&amp;sheet=A0&amp;row=4&amp;col=16&amp;number=&amp;sourceID=12","")</f>
        <v/>
      </c>
      <c r="Q4" s="4" t="str">
        <f>HYPERLINK("http://141.218.60.56/~jnz1568/getInfo.php?workbook=02_01.xlsx&amp;sheet=A0&amp;row=4&amp;col=17&amp;number=&amp;sourceID=12","")</f>
        <v/>
      </c>
      <c r="R4" s="4" t="str">
        <f>HYPERLINK("http://141.218.60.56/~jnz1568/getInfo.php?workbook=02_01.xlsx&amp;sheet=A0&amp;row=4&amp;col=18&amp;number=&amp;sourceID=12","")</f>
        <v/>
      </c>
      <c r="S4" s="4" t="str">
        <f>HYPERLINK("http://141.218.60.56/~jnz1568/getInfo.php?workbook=02_01.xlsx&amp;sheet=A0&amp;row=4&amp;col=19&amp;number=&amp;sourceID=12","")</f>
        <v/>
      </c>
      <c r="T4" s="4" t="str">
        <f>HYPERLINK("http://141.218.60.56/~jnz1568/getInfo.php?workbook=02_01.xlsx&amp;sheet=A0&amp;row=4&amp;col=20&amp;number=&amp;sourceID=12","")</f>
        <v/>
      </c>
      <c r="U4" s="4" t="str">
        <f>HYPERLINK("http://141.218.60.56/~jnz1568/getInfo.php?workbook=02_01.xlsx&amp;sheet=A0&amp;row=4&amp;col=21&amp;number==SUM(V4:Z4)&amp;sourceID=13","=SUM(V4:Z4)")</f>
        <v>=SUM(V4:Z4)</v>
      </c>
      <c r="V4" s="4" t="str">
        <f>HYPERLINK("http://141.218.60.56/~jnz1568/getInfo.php?workbook=02_01.xlsx&amp;sheet=A0&amp;row=4&amp;col=22&amp;number=10000000000&amp;sourceID=13","10000000000")</f>
        <v>10000000000</v>
      </c>
      <c r="W4" s="4" t="str">
        <f>HYPERLINK("http://141.218.60.56/~jnz1568/getInfo.php?workbook=02_01.xlsx&amp;sheet=A0&amp;row=4&amp;col=23&amp;number=&amp;sourceID=13","")</f>
        <v/>
      </c>
      <c r="X4" s="4" t="str">
        <f>HYPERLINK("http://141.218.60.56/~jnz1568/getInfo.php?workbook=02_01.xlsx&amp;sheet=A0&amp;row=4&amp;col=24&amp;number=&amp;sourceID=13","")</f>
        <v/>
      </c>
      <c r="Y4" s="4" t="str">
        <f>HYPERLINK("http://141.218.60.56/~jnz1568/getInfo.php?workbook=02_01.xlsx&amp;sheet=A0&amp;row=4&amp;col=25&amp;number=&amp;sourceID=13","")</f>
        <v/>
      </c>
      <c r="Z4" s="4" t="str">
        <f>HYPERLINK("http://141.218.60.56/~jnz1568/getInfo.php?workbook=02_01.xlsx&amp;sheet=A0&amp;row=4&amp;col=26&amp;number=&amp;sourceID=13","")</f>
        <v/>
      </c>
      <c r="AA4" s="4" t="str">
        <f>HYPERLINK("http://141.218.60.56/~jnz1568/getInfo.php?workbook=02_01.xlsx&amp;sheet=A0&amp;row=4&amp;col=27&amp;number=10028000000&amp;sourceID=20","10028000000")</f>
        <v>10028000000</v>
      </c>
    </row>
    <row r="5" spans="1:27">
      <c r="A5" s="3">
        <v>2</v>
      </c>
      <c r="B5" s="3">
        <v>1</v>
      </c>
      <c r="C5" s="3">
        <v>3</v>
      </c>
      <c r="D5" s="3">
        <v>1</v>
      </c>
      <c r="E5" s="3">
        <f>((1/(INDEX(E0!J$4:J$28,C5,1)-INDEX(E0!J$4:J$28,D5,1))))*100000000</f>
        <v>0</v>
      </c>
      <c r="F5" s="4" t="str">
        <f>HYPERLINK("http://141.218.60.56/~jnz1568/getInfo.php?workbook=02_01.xlsx&amp;sheet=A0&amp;row=5&amp;col=6&amp;number=526.61&amp;sourceID=18","526.61")</f>
        <v>526.61</v>
      </c>
      <c r="G5" s="4" t="str">
        <f>HYPERLINK("http://141.218.60.56/~jnz1568/getInfo.php?workbook=02_01.xlsx&amp;sheet=A0&amp;row=5&amp;col=7&amp;number=&amp;sourceID=11","")</f>
        <v/>
      </c>
      <c r="H5" s="4" t="str">
        <f>HYPERLINK("http://141.218.60.56/~jnz1568/getInfo.php?workbook=02_01.xlsx&amp;sheet=A0&amp;row=5&amp;col=8&amp;number=&amp;sourceID=11","")</f>
        <v/>
      </c>
      <c r="I5" s="4" t="str">
        <f>HYPERLINK("http://141.218.60.56/~jnz1568/getInfo.php?workbook=02_01.xlsx&amp;sheet=A0&amp;row=5&amp;col=9&amp;number=&amp;sourceID=11","")</f>
        <v/>
      </c>
      <c r="J5" s="4" t="str">
        <f>HYPERLINK("http://141.218.60.56/~jnz1568/getInfo.php?workbook=02_01.xlsx&amp;sheet=A0&amp;row=5&amp;col=10&amp;number=&amp;sourceID=11","")</f>
        <v/>
      </c>
      <c r="K5" s="4" t="str">
        <f>HYPERLINK("http://141.218.60.56/~jnz1568/getInfo.php?workbook=02_01.xlsx&amp;sheet=A0&amp;row=5&amp;col=11&amp;number=0.0025559&amp;sourceID=11","0.0025559")</f>
        <v>0.0025559</v>
      </c>
      <c r="L5" s="4" t="str">
        <f>HYPERLINK("http://141.218.60.56/~jnz1568/getInfo.php?workbook=02_01.xlsx&amp;sheet=A0&amp;row=5&amp;col=12&amp;number=&amp;sourceID=11","")</f>
        <v/>
      </c>
      <c r="M5" s="4" t="str">
        <f>HYPERLINK("http://141.218.60.56/~jnz1568/getInfo.php?workbook=02_01.xlsx&amp;sheet=A0&amp;row=5&amp;col=13&amp;number=&amp;sourceID=11","")</f>
        <v/>
      </c>
      <c r="N5" s="4" t="str">
        <f>HYPERLINK("http://141.218.60.56/~jnz1568/getInfo.php?workbook=02_01.xlsx&amp;sheet=A0&amp;row=5&amp;col=14&amp;number=&amp;sourceID=12","")</f>
        <v/>
      </c>
      <c r="O5" s="4" t="str">
        <f>HYPERLINK("http://141.218.60.56/~jnz1568/getInfo.php?workbook=02_01.xlsx&amp;sheet=A0&amp;row=5&amp;col=15&amp;number=&amp;sourceID=12","")</f>
        <v/>
      </c>
      <c r="P5" s="4" t="str">
        <f>HYPERLINK("http://141.218.60.56/~jnz1568/getInfo.php?workbook=02_01.xlsx&amp;sheet=A0&amp;row=5&amp;col=16&amp;number=&amp;sourceID=12","")</f>
        <v/>
      </c>
      <c r="Q5" s="4" t="str">
        <f>HYPERLINK("http://141.218.60.56/~jnz1568/getInfo.php?workbook=02_01.xlsx&amp;sheet=A0&amp;row=5&amp;col=17&amp;number=&amp;sourceID=12","")</f>
        <v/>
      </c>
      <c r="R5" s="4" t="str">
        <f>HYPERLINK("http://141.218.60.56/~jnz1568/getInfo.php?workbook=02_01.xlsx&amp;sheet=A0&amp;row=5&amp;col=18&amp;number=0.0025562&amp;sourceID=12","0.0025562")</f>
        <v>0.0025562</v>
      </c>
      <c r="S5" s="4" t="str">
        <f>HYPERLINK("http://141.218.60.56/~jnz1568/getInfo.php?workbook=02_01.xlsx&amp;sheet=A0&amp;row=5&amp;col=19&amp;number=&amp;sourceID=12","")</f>
        <v/>
      </c>
      <c r="T5" s="4" t="str">
        <f>HYPERLINK("http://141.218.60.56/~jnz1568/getInfo.php?workbook=02_01.xlsx&amp;sheet=A0&amp;row=5&amp;col=20&amp;number=&amp;sourceID=12","")</f>
        <v/>
      </c>
      <c r="U5" s="4" t="str">
        <f>HYPERLINK("http://141.218.60.56/~jnz1568/getInfo.php?workbook=02_01.xlsx&amp;sheet=A0&amp;row=5&amp;col=21&amp;number=&amp;sourceID=13","")</f>
        <v/>
      </c>
      <c r="V5" s="4" t="str">
        <f>HYPERLINK("http://141.218.60.56/~jnz1568/getInfo.php?workbook=02_01.xlsx&amp;sheet=A0&amp;row=5&amp;col=22&amp;number=&amp;sourceID=13","")</f>
        <v/>
      </c>
      <c r="W5" s="4" t="str">
        <f>HYPERLINK("http://141.218.60.56/~jnz1568/getInfo.php?workbook=02_01.xlsx&amp;sheet=A0&amp;row=5&amp;col=23&amp;number=&amp;sourceID=13","")</f>
        <v/>
      </c>
      <c r="X5" s="4" t="str">
        <f>HYPERLINK("http://141.218.60.56/~jnz1568/getInfo.php?workbook=02_01.xlsx&amp;sheet=A0&amp;row=5&amp;col=24&amp;number=&amp;sourceID=13","")</f>
        <v/>
      </c>
      <c r="Y5" s="4" t="str">
        <f>HYPERLINK("http://141.218.60.56/~jnz1568/getInfo.php?workbook=02_01.xlsx&amp;sheet=A0&amp;row=5&amp;col=25&amp;number=0.00256&amp;sourceID=13","0.00256")</f>
        <v>0.00256</v>
      </c>
      <c r="Z5" s="4" t="str">
        <f>HYPERLINK("http://141.218.60.56/~jnz1568/getInfo.php?workbook=02_01.xlsx&amp;sheet=A0&amp;row=5&amp;col=26&amp;number=&amp;sourceID=13","")</f>
        <v/>
      </c>
      <c r="AA5" s="4" t="str">
        <f>HYPERLINK("http://141.218.60.56/~jnz1568/getInfo.php?workbook=02_01.xlsx&amp;sheet=A0&amp;row=5&amp;col=27&amp;number=&amp;sourceID=20","")</f>
        <v/>
      </c>
    </row>
    <row r="6" spans="1:27">
      <c r="A6" s="3">
        <v>2</v>
      </c>
      <c r="B6" s="3">
        <v>1</v>
      </c>
      <c r="C6" s="3">
        <v>4</v>
      </c>
      <c r="D6" s="3">
        <v>1</v>
      </c>
      <c r="E6" s="3">
        <f>((1/(INDEX(E0!J$4:J$28,C6,1)-INDEX(E0!J$4:J$28,D6,1))))*100000000</f>
        <v>0</v>
      </c>
      <c r="F6" s="4" t="str">
        <f>HYPERLINK("http://141.218.60.56/~jnz1568/getInfo.php?workbook=02_01.xlsx&amp;sheet=A0&amp;row=6&amp;col=6&amp;number=&amp;sourceID=18","")</f>
        <v/>
      </c>
      <c r="G6" s="4" t="str">
        <f>HYPERLINK("http://141.218.60.56/~jnz1568/getInfo.php?workbook=02_01.xlsx&amp;sheet=A0&amp;row=6&amp;col=7&amp;number==SUM(H6:M6)&amp;sourceID=11","=SUM(H6:M6)")</f>
        <v>=SUM(H6:M6)</v>
      </c>
      <c r="H6" s="4" t="str">
        <f>HYPERLINK("http://141.218.60.56/~jnz1568/getInfo.php?workbook=02_01.xlsx&amp;sheet=A0&amp;row=6&amp;col=8&amp;number=10027000000&amp;sourceID=11","10027000000")</f>
        <v>10027000000</v>
      </c>
      <c r="I6" s="4" t="str">
        <f>HYPERLINK("http://141.218.60.56/~jnz1568/getInfo.php?workbook=02_01.xlsx&amp;sheet=A0&amp;row=6&amp;col=9&amp;number=&amp;sourceID=11","")</f>
        <v/>
      </c>
      <c r="J6" s="4" t="str">
        <f>HYPERLINK("http://141.218.60.56/~jnz1568/getInfo.php?workbook=02_01.xlsx&amp;sheet=A0&amp;row=6&amp;col=10&amp;number=&amp;sourceID=11","")</f>
        <v/>
      </c>
      <c r="K6" s="4" t="str">
        <f>HYPERLINK("http://141.218.60.56/~jnz1568/getInfo.php?workbook=02_01.xlsx&amp;sheet=A0&amp;row=6&amp;col=11&amp;number=&amp;sourceID=11","")</f>
        <v/>
      </c>
      <c r="L6" s="4" t="str">
        <f>HYPERLINK("http://141.218.60.56/~jnz1568/getInfo.php?workbook=02_01.xlsx&amp;sheet=A0&amp;row=6&amp;col=12&amp;number=11.997&amp;sourceID=11","11.997")</f>
        <v>11.997</v>
      </c>
      <c r="M6" s="4" t="str">
        <f>HYPERLINK("http://141.218.60.56/~jnz1568/getInfo.php?workbook=02_01.xlsx&amp;sheet=A0&amp;row=6&amp;col=13&amp;number=&amp;sourceID=11","")</f>
        <v/>
      </c>
      <c r="N6" s="4" t="str">
        <f>HYPERLINK("http://141.218.60.56/~jnz1568/getInfo.php?workbook=02_01.xlsx&amp;sheet=A0&amp;row=6&amp;col=14&amp;number=10029000000&amp;sourceID=12","10029000000")</f>
        <v>10029000000</v>
      </c>
      <c r="O6" s="4" t="str">
        <f>HYPERLINK("http://141.218.60.56/~jnz1568/getInfo.php?workbook=02_01.xlsx&amp;sheet=A0&amp;row=6&amp;col=15&amp;number=10029000000&amp;sourceID=12","10029000000")</f>
        <v>10029000000</v>
      </c>
      <c r="P6" s="4" t="str">
        <f>HYPERLINK("http://141.218.60.56/~jnz1568/getInfo.php?workbook=02_01.xlsx&amp;sheet=A0&amp;row=6&amp;col=16&amp;number=&amp;sourceID=12","")</f>
        <v/>
      </c>
      <c r="Q6" s="4" t="str">
        <f>HYPERLINK("http://141.218.60.56/~jnz1568/getInfo.php?workbook=02_01.xlsx&amp;sheet=A0&amp;row=6&amp;col=17&amp;number=&amp;sourceID=12","")</f>
        <v/>
      </c>
      <c r="R6" s="4" t="str">
        <f>HYPERLINK("http://141.218.60.56/~jnz1568/getInfo.php?workbook=02_01.xlsx&amp;sheet=A0&amp;row=6&amp;col=18&amp;number=&amp;sourceID=12","")</f>
        <v/>
      </c>
      <c r="S6" s="4" t="str">
        <f>HYPERLINK("http://141.218.60.56/~jnz1568/getInfo.php?workbook=02_01.xlsx&amp;sheet=A0&amp;row=6&amp;col=19&amp;number=11.999&amp;sourceID=12","11.999")</f>
        <v>11.999</v>
      </c>
      <c r="T6" s="4" t="str">
        <f>HYPERLINK("http://141.218.60.56/~jnz1568/getInfo.php?workbook=02_01.xlsx&amp;sheet=A0&amp;row=6&amp;col=20&amp;number=&amp;sourceID=12","")</f>
        <v/>
      </c>
      <c r="U6" s="4" t="str">
        <f>HYPERLINK("http://141.218.60.56/~jnz1568/getInfo.php?workbook=02_01.xlsx&amp;sheet=A0&amp;row=6&amp;col=21&amp;number==SUM(V6:Z6)&amp;sourceID=13","=SUM(V6:Z6)")</f>
        <v>=SUM(V6:Z6)</v>
      </c>
      <c r="V6" s="4" t="str">
        <f>HYPERLINK("http://141.218.60.56/~jnz1568/getInfo.php?workbook=02_01.xlsx&amp;sheet=A0&amp;row=6&amp;col=22&amp;number=10000000000&amp;sourceID=13","10000000000")</f>
        <v>10000000000</v>
      </c>
      <c r="W6" s="4" t="str">
        <f>HYPERLINK("http://141.218.60.56/~jnz1568/getInfo.php?workbook=02_01.xlsx&amp;sheet=A0&amp;row=6&amp;col=23&amp;number=&amp;sourceID=13","")</f>
        <v/>
      </c>
      <c r="X6" s="4" t="str">
        <f>HYPERLINK("http://141.218.60.56/~jnz1568/getInfo.php?workbook=02_01.xlsx&amp;sheet=A0&amp;row=6&amp;col=24&amp;number=&amp;sourceID=13","")</f>
        <v/>
      </c>
      <c r="Y6" s="4" t="str">
        <f>HYPERLINK("http://141.218.60.56/~jnz1568/getInfo.php?workbook=02_01.xlsx&amp;sheet=A0&amp;row=6&amp;col=25&amp;number=&amp;sourceID=13","")</f>
        <v/>
      </c>
      <c r="Z6" s="4" t="str">
        <f>HYPERLINK("http://141.218.60.56/~jnz1568/getInfo.php?workbook=02_01.xlsx&amp;sheet=A0&amp;row=6&amp;col=26&amp;number=&amp;sourceID=13","")</f>
        <v/>
      </c>
      <c r="AA6" s="4" t="str">
        <f>HYPERLINK("http://141.218.60.56/~jnz1568/getInfo.php?workbook=02_01.xlsx&amp;sheet=A0&amp;row=6&amp;col=27&amp;number=10027000000&amp;sourceID=20","10027000000")</f>
        <v>10027000000</v>
      </c>
    </row>
    <row r="7" spans="1:27">
      <c r="A7" s="3">
        <v>2</v>
      </c>
      <c r="B7" s="3">
        <v>1</v>
      </c>
      <c r="C7" s="3">
        <v>4</v>
      </c>
      <c r="D7" s="3">
        <v>2</v>
      </c>
      <c r="E7" s="3">
        <f>((1/(INDEX(E0!J$4:J$28,C7,1)-INDEX(E0!J$4:J$28,D7,1))))*100000000</f>
        <v>0</v>
      </c>
      <c r="F7" s="4" t="str">
        <f>HYPERLINK("http://141.218.60.56/~jnz1568/getInfo.php?workbook=02_01.xlsx&amp;sheet=A0&amp;row=7&amp;col=6&amp;number=&amp;sourceID=18","")</f>
        <v/>
      </c>
      <c r="G7" s="4" t="str">
        <f>HYPERLINK("http://141.218.60.56/~jnz1568/getInfo.php?workbook=02_01.xlsx&amp;sheet=A0&amp;row=7&amp;col=7&amp;number==&amp;sourceID=11","=")</f>
        <v>=</v>
      </c>
      <c r="H7" s="4" t="str">
        <f>HYPERLINK("http://141.218.60.56/~jnz1568/getInfo.php?workbook=02_01.xlsx&amp;sheet=A0&amp;row=7&amp;col=8&amp;number=&amp;sourceID=11","")</f>
        <v/>
      </c>
      <c r="I7" s="4" t="str">
        <f>HYPERLINK("http://141.218.60.56/~jnz1568/getInfo.php?workbook=02_01.xlsx&amp;sheet=A0&amp;row=7&amp;col=9&amp;number=0&amp;sourceID=11","0")</f>
        <v>0</v>
      </c>
      <c r="J7" s="4" t="str">
        <f>HYPERLINK("http://141.218.60.56/~jnz1568/getInfo.php?workbook=02_01.xlsx&amp;sheet=A0&amp;row=7&amp;col=10&amp;number=&amp;sourceID=11","")</f>
        <v/>
      </c>
      <c r="K7" s="4" t="str">
        <f>HYPERLINK("http://141.218.60.56/~jnz1568/getInfo.php?workbook=02_01.xlsx&amp;sheet=A0&amp;row=7&amp;col=11&amp;number=1.7946e-09&amp;sourceID=11","1.7946e-09")</f>
        <v>1.7946e-09</v>
      </c>
      <c r="L7" s="4" t="str">
        <f>HYPERLINK("http://141.218.60.56/~jnz1568/getInfo.php?workbook=02_01.xlsx&amp;sheet=A0&amp;row=7&amp;col=12&amp;number=&amp;sourceID=11","")</f>
        <v/>
      </c>
      <c r="M7" s="4" t="str">
        <f>HYPERLINK("http://141.218.60.56/~jnz1568/getInfo.php?workbook=02_01.xlsx&amp;sheet=A0&amp;row=7&amp;col=13&amp;number=&amp;sourceID=11","")</f>
        <v/>
      </c>
      <c r="N7" s="4" t="str">
        <f>HYPERLINK("http://141.218.60.56/~jnz1568/getInfo.php?workbook=02_01.xlsx&amp;sheet=A0&amp;row=7&amp;col=14&amp;number=1.7949e-09&amp;sourceID=12","1.7949e-09")</f>
        <v>1.7949e-09</v>
      </c>
      <c r="O7" s="4" t="str">
        <f>HYPERLINK("http://141.218.60.56/~jnz1568/getInfo.php?workbook=02_01.xlsx&amp;sheet=A0&amp;row=7&amp;col=15&amp;number=&amp;sourceID=12","")</f>
        <v/>
      </c>
      <c r="P7" s="4" t="str">
        <f>HYPERLINK("http://141.218.60.56/~jnz1568/getInfo.php?workbook=02_01.xlsx&amp;sheet=A0&amp;row=7&amp;col=16&amp;number=0&amp;sourceID=12","0")</f>
        <v>0</v>
      </c>
      <c r="Q7" s="4" t="str">
        <f>HYPERLINK("http://141.218.60.56/~jnz1568/getInfo.php?workbook=02_01.xlsx&amp;sheet=A0&amp;row=7&amp;col=17&amp;number=&amp;sourceID=12","")</f>
        <v/>
      </c>
      <c r="R7" s="4" t="str">
        <f>HYPERLINK("http://141.218.60.56/~jnz1568/getInfo.php?workbook=02_01.xlsx&amp;sheet=A0&amp;row=7&amp;col=18&amp;number=1.7949e-09&amp;sourceID=12","1.7949e-09")</f>
        <v>1.7949e-09</v>
      </c>
      <c r="S7" s="4" t="str">
        <f>HYPERLINK("http://141.218.60.56/~jnz1568/getInfo.php?workbook=02_01.xlsx&amp;sheet=A0&amp;row=7&amp;col=19&amp;number=&amp;sourceID=12","")</f>
        <v/>
      </c>
      <c r="T7" s="4" t="str">
        <f>HYPERLINK("http://141.218.60.56/~jnz1568/getInfo.php?workbook=02_01.xlsx&amp;sheet=A0&amp;row=7&amp;col=20&amp;number=&amp;sourceID=12","")</f>
        <v/>
      </c>
      <c r="U7" s="4" t="str">
        <f>HYPERLINK("http://141.218.60.56/~jnz1568/getInfo.php?workbook=02_01.xlsx&amp;sheet=A0&amp;row=7&amp;col=21&amp;number=&amp;sourceID=13","")</f>
        <v/>
      </c>
      <c r="V7" s="4" t="str">
        <f>HYPERLINK("http://141.218.60.56/~jnz1568/getInfo.php?workbook=02_01.xlsx&amp;sheet=A0&amp;row=7&amp;col=22&amp;number=&amp;sourceID=13","")</f>
        <v/>
      </c>
      <c r="W7" s="4" t="str">
        <f>HYPERLINK("http://141.218.60.56/~jnz1568/getInfo.php?workbook=02_01.xlsx&amp;sheet=A0&amp;row=7&amp;col=23&amp;number=&amp;sourceID=13","")</f>
        <v/>
      </c>
      <c r="X7" s="4" t="str">
        <f>HYPERLINK("http://141.218.60.56/~jnz1568/getInfo.php?workbook=02_01.xlsx&amp;sheet=A0&amp;row=7&amp;col=24&amp;number=&amp;sourceID=13","")</f>
        <v/>
      </c>
      <c r="Y7" s="4" t="str">
        <f>HYPERLINK("http://141.218.60.56/~jnz1568/getInfo.php?workbook=02_01.xlsx&amp;sheet=A0&amp;row=7&amp;col=25&amp;number=&amp;sourceID=13","")</f>
        <v/>
      </c>
      <c r="Z7" s="4" t="str">
        <f>HYPERLINK("http://141.218.60.56/~jnz1568/getInfo.php?workbook=02_01.xlsx&amp;sheet=A0&amp;row=7&amp;col=26&amp;number=&amp;sourceID=13","")</f>
        <v/>
      </c>
      <c r="AA7" s="4" t="str">
        <f>HYPERLINK("http://141.218.60.56/~jnz1568/getInfo.php?workbook=02_01.xlsx&amp;sheet=A0&amp;row=7&amp;col=27&amp;number=&amp;sourceID=20","")</f>
        <v/>
      </c>
    </row>
    <row r="8" spans="1:27">
      <c r="A8" s="3">
        <v>2</v>
      </c>
      <c r="B8" s="3">
        <v>1</v>
      </c>
      <c r="C8" s="3">
        <v>4</v>
      </c>
      <c r="D8" s="3">
        <v>3</v>
      </c>
      <c r="E8" s="3">
        <f>((1/(INDEX(E0!J$4:J$28,C8,1)-INDEX(E0!J$4:J$28,D8,1))))*100000000</f>
        <v>0</v>
      </c>
      <c r="F8" s="4" t="str">
        <f>HYPERLINK("http://141.218.60.56/~jnz1568/getInfo.php?workbook=02_01.xlsx&amp;sheet=A0&amp;row=8&amp;col=6&amp;number=&amp;sourceID=18","")</f>
        <v/>
      </c>
      <c r="G8" s="4" t="str">
        <f>HYPERLINK("http://141.218.60.56/~jnz1568/getInfo.php?workbook=02_01.xlsx&amp;sheet=A0&amp;row=8&amp;col=7&amp;number==&amp;sourceID=11","=")</f>
        <v>=</v>
      </c>
      <c r="H8" s="4" t="str">
        <f>HYPERLINK("http://141.218.60.56/~jnz1568/getInfo.php?workbook=02_01.xlsx&amp;sheet=A0&amp;row=8&amp;col=8&amp;number=0.00090989&amp;sourceID=11","0.00090989")</f>
        <v>0.00090989</v>
      </c>
      <c r="I8" s="4" t="str">
        <f>HYPERLINK("http://141.218.60.56/~jnz1568/getInfo.php?workbook=02_01.xlsx&amp;sheet=A0&amp;row=8&amp;col=9&amp;number=&amp;sourceID=11","")</f>
        <v/>
      </c>
      <c r="J8" s="4" t="str">
        <f>HYPERLINK("http://141.218.60.56/~jnz1568/getInfo.php?workbook=02_01.xlsx&amp;sheet=A0&amp;row=8&amp;col=10&amp;number=&amp;sourceID=11","")</f>
        <v/>
      </c>
      <c r="K8" s="4" t="str">
        <f>HYPERLINK("http://141.218.60.56/~jnz1568/getInfo.php?workbook=02_01.xlsx&amp;sheet=A0&amp;row=8&amp;col=11&amp;number=&amp;sourceID=11","")</f>
        <v/>
      </c>
      <c r="L8" s="4" t="str">
        <f>HYPERLINK("http://141.218.60.56/~jnz1568/getInfo.php?workbook=02_01.xlsx&amp;sheet=A0&amp;row=8&amp;col=12&amp;number=0&amp;sourceID=11","0")</f>
        <v>0</v>
      </c>
      <c r="M8" s="4" t="str">
        <f>HYPERLINK("http://141.218.60.56/~jnz1568/getInfo.php?workbook=02_01.xlsx&amp;sheet=A0&amp;row=8&amp;col=13&amp;number=&amp;sourceID=11","")</f>
        <v/>
      </c>
      <c r="N8" s="4" t="str">
        <f>HYPERLINK("http://141.218.60.56/~jnz1568/getInfo.php?workbook=02_01.xlsx&amp;sheet=A0&amp;row=8&amp;col=14&amp;number=0.00091001&amp;sourceID=12","0.00091001")</f>
        <v>0.00091001</v>
      </c>
      <c r="O8" s="4" t="str">
        <f>HYPERLINK("http://141.218.60.56/~jnz1568/getInfo.php?workbook=02_01.xlsx&amp;sheet=A0&amp;row=8&amp;col=15&amp;number=0.00091001&amp;sourceID=12","0.00091001")</f>
        <v>0.00091001</v>
      </c>
      <c r="P8" s="4" t="str">
        <f>HYPERLINK("http://141.218.60.56/~jnz1568/getInfo.php?workbook=02_01.xlsx&amp;sheet=A0&amp;row=8&amp;col=16&amp;number=&amp;sourceID=12","")</f>
        <v/>
      </c>
      <c r="Q8" s="4" t="str">
        <f>HYPERLINK("http://141.218.60.56/~jnz1568/getInfo.php?workbook=02_01.xlsx&amp;sheet=A0&amp;row=8&amp;col=17&amp;number=&amp;sourceID=12","")</f>
        <v/>
      </c>
      <c r="R8" s="4" t="str">
        <f>HYPERLINK("http://141.218.60.56/~jnz1568/getInfo.php?workbook=02_01.xlsx&amp;sheet=A0&amp;row=8&amp;col=18&amp;number=&amp;sourceID=12","")</f>
        <v/>
      </c>
      <c r="S8" s="4" t="str">
        <f>HYPERLINK("http://141.218.60.56/~jnz1568/getInfo.php?workbook=02_01.xlsx&amp;sheet=A0&amp;row=8&amp;col=19&amp;number=0&amp;sourceID=12","0")</f>
        <v>0</v>
      </c>
      <c r="T8" s="4" t="str">
        <f>HYPERLINK("http://141.218.60.56/~jnz1568/getInfo.php?workbook=02_01.xlsx&amp;sheet=A0&amp;row=8&amp;col=20&amp;number=&amp;sourceID=12","")</f>
        <v/>
      </c>
      <c r="U8" s="4" t="str">
        <f>HYPERLINK("http://141.218.60.56/~jnz1568/getInfo.php?workbook=02_01.xlsx&amp;sheet=A0&amp;row=8&amp;col=21&amp;number=&amp;sourceID=13","")</f>
        <v/>
      </c>
      <c r="V8" s="4" t="str">
        <f>HYPERLINK("http://141.218.60.56/~jnz1568/getInfo.php?workbook=02_01.xlsx&amp;sheet=A0&amp;row=8&amp;col=22&amp;number=&amp;sourceID=13","")</f>
        <v/>
      </c>
      <c r="W8" s="4" t="str">
        <f>HYPERLINK("http://141.218.60.56/~jnz1568/getInfo.php?workbook=02_01.xlsx&amp;sheet=A0&amp;row=8&amp;col=23&amp;number=&amp;sourceID=13","")</f>
        <v/>
      </c>
      <c r="X8" s="4" t="str">
        <f>HYPERLINK("http://141.218.60.56/~jnz1568/getInfo.php?workbook=02_01.xlsx&amp;sheet=A0&amp;row=8&amp;col=24&amp;number=&amp;sourceID=13","")</f>
        <v/>
      </c>
      <c r="Y8" s="4" t="str">
        <f>HYPERLINK("http://141.218.60.56/~jnz1568/getInfo.php?workbook=02_01.xlsx&amp;sheet=A0&amp;row=8&amp;col=25&amp;number=&amp;sourceID=13","")</f>
        <v/>
      </c>
      <c r="Z8" s="4" t="str">
        <f>HYPERLINK("http://141.218.60.56/~jnz1568/getInfo.php?workbook=02_01.xlsx&amp;sheet=A0&amp;row=8&amp;col=26&amp;number=&amp;sourceID=13","")</f>
        <v/>
      </c>
      <c r="AA8" s="4" t="str">
        <f>HYPERLINK("http://141.218.60.56/~jnz1568/getInfo.php?workbook=02_01.xlsx&amp;sheet=A0&amp;row=8&amp;col=27&amp;number=&amp;sourceID=20","")</f>
        <v/>
      </c>
    </row>
    <row r="9" spans="1:27">
      <c r="A9" s="3">
        <v>2</v>
      </c>
      <c r="B9" s="3">
        <v>1</v>
      </c>
      <c r="C9" s="3">
        <v>5</v>
      </c>
      <c r="D9" s="3">
        <v>1</v>
      </c>
      <c r="E9" s="3">
        <f>((1/(INDEX(E0!J$4:J$28,C9,1)-INDEX(E0!J$4:J$28,D9,1))))*100000000</f>
        <v>0</v>
      </c>
      <c r="F9" s="4" t="str">
        <f>HYPERLINK("http://141.218.60.56/~jnz1568/getInfo.php?workbook=02_01.xlsx&amp;sheet=A0&amp;row=9&amp;col=6&amp;number=&amp;sourceID=18","")</f>
        <v/>
      </c>
      <c r="G9" s="4" t="str">
        <f>HYPERLINK("http://141.218.60.56/~jnz1568/getInfo.php?workbook=02_01.xlsx&amp;sheet=A0&amp;row=9&amp;col=7&amp;number==&amp;sourceID=11","=")</f>
        <v>=</v>
      </c>
      <c r="H9" s="4" t="str">
        <f>HYPERLINK("http://141.218.60.56/~jnz1568/getInfo.php?workbook=02_01.xlsx&amp;sheet=A0&amp;row=9&amp;col=8&amp;number=2677000000&amp;sourceID=11","2677000000")</f>
        <v>2677000000</v>
      </c>
      <c r="I9" s="4" t="str">
        <f>HYPERLINK("http://141.218.60.56/~jnz1568/getInfo.php?workbook=02_01.xlsx&amp;sheet=A0&amp;row=9&amp;col=9&amp;number=&amp;sourceID=11","")</f>
        <v/>
      </c>
      <c r="J9" s="4" t="str">
        <f>HYPERLINK("http://141.218.60.56/~jnz1568/getInfo.php?workbook=02_01.xlsx&amp;sheet=A0&amp;row=9&amp;col=10&amp;number=&amp;sourceID=11","")</f>
        <v/>
      </c>
      <c r="K9" s="4" t="str">
        <f>HYPERLINK("http://141.218.60.56/~jnz1568/getInfo.php?workbook=02_01.xlsx&amp;sheet=A0&amp;row=9&amp;col=11&amp;number=&amp;sourceID=11","")</f>
        <v/>
      </c>
      <c r="L9" s="4" t="str">
        <f>HYPERLINK("http://141.218.60.56/~jnz1568/getInfo.php?workbook=02_01.xlsx&amp;sheet=A0&amp;row=9&amp;col=12&amp;number=&amp;sourceID=11","")</f>
        <v/>
      </c>
      <c r="M9" s="4" t="str">
        <f>HYPERLINK("http://141.218.60.56/~jnz1568/getInfo.php?workbook=02_01.xlsx&amp;sheet=A0&amp;row=9&amp;col=13&amp;number=&amp;sourceID=11","")</f>
        <v/>
      </c>
      <c r="N9" s="4" t="str">
        <f>HYPERLINK("http://141.218.60.56/~jnz1568/getInfo.php?workbook=02_01.xlsx&amp;sheet=A0&amp;row=9&amp;col=14&amp;number=2677400000&amp;sourceID=12","2677400000")</f>
        <v>2677400000</v>
      </c>
      <c r="O9" s="4" t="str">
        <f>HYPERLINK("http://141.218.60.56/~jnz1568/getInfo.php?workbook=02_01.xlsx&amp;sheet=A0&amp;row=9&amp;col=15&amp;number=2677400000&amp;sourceID=12","2677400000")</f>
        <v>2677400000</v>
      </c>
      <c r="P9" s="4" t="str">
        <f>HYPERLINK("http://141.218.60.56/~jnz1568/getInfo.php?workbook=02_01.xlsx&amp;sheet=A0&amp;row=9&amp;col=16&amp;number=&amp;sourceID=12","")</f>
        <v/>
      </c>
      <c r="Q9" s="4" t="str">
        <f>HYPERLINK("http://141.218.60.56/~jnz1568/getInfo.php?workbook=02_01.xlsx&amp;sheet=A0&amp;row=9&amp;col=17&amp;number=&amp;sourceID=12","")</f>
        <v/>
      </c>
      <c r="R9" s="4" t="str">
        <f>HYPERLINK("http://141.218.60.56/~jnz1568/getInfo.php?workbook=02_01.xlsx&amp;sheet=A0&amp;row=9&amp;col=18&amp;number=&amp;sourceID=12","")</f>
        <v/>
      </c>
      <c r="S9" s="4" t="str">
        <f>HYPERLINK("http://141.218.60.56/~jnz1568/getInfo.php?workbook=02_01.xlsx&amp;sheet=A0&amp;row=9&amp;col=19&amp;number=&amp;sourceID=12","")</f>
        <v/>
      </c>
      <c r="T9" s="4" t="str">
        <f>HYPERLINK("http://141.218.60.56/~jnz1568/getInfo.php?workbook=02_01.xlsx&amp;sheet=A0&amp;row=9&amp;col=20&amp;number=&amp;sourceID=12","")</f>
        <v/>
      </c>
      <c r="U9" s="4" t="str">
        <f>HYPERLINK("http://141.218.60.56/~jnz1568/getInfo.php?workbook=02_01.xlsx&amp;sheet=A0&amp;row=9&amp;col=21&amp;number==SUM(V9:Z9)&amp;sourceID=13","=SUM(V9:Z9)")</f>
        <v>=SUM(V9:Z9)</v>
      </c>
      <c r="V9" s="4" t="str">
        <f>HYPERLINK("http://141.218.60.56/~jnz1568/getInfo.php?workbook=02_01.xlsx&amp;sheet=A0&amp;row=9&amp;col=22&amp;number=2680000000&amp;sourceID=13","2680000000")</f>
        <v>2680000000</v>
      </c>
      <c r="W9" s="4" t="str">
        <f>HYPERLINK("http://141.218.60.56/~jnz1568/getInfo.php?workbook=02_01.xlsx&amp;sheet=A0&amp;row=9&amp;col=23&amp;number=&amp;sourceID=13","")</f>
        <v/>
      </c>
      <c r="X9" s="4" t="str">
        <f>HYPERLINK("http://141.218.60.56/~jnz1568/getInfo.php?workbook=02_01.xlsx&amp;sheet=A0&amp;row=9&amp;col=24&amp;number=&amp;sourceID=13","")</f>
        <v/>
      </c>
      <c r="Y9" s="4" t="str">
        <f>HYPERLINK("http://141.218.60.56/~jnz1568/getInfo.php?workbook=02_01.xlsx&amp;sheet=A0&amp;row=9&amp;col=25&amp;number=&amp;sourceID=13","")</f>
        <v/>
      </c>
      <c r="Z9" s="4" t="str">
        <f>HYPERLINK("http://141.218.60.56/~jnz1568/getInfo.php?workbook=02_01.xlsx&amp;sheet=A0&amp;row=9&amp;col=26&amp;number=&amp;sourceID=13","")</f>
        <v/>
      </c>
      <c r="AA9" s="4" t="str">
        <f>HYPERLINK("http://141.218.60.56/~jnz1568/getInfo.php?workbook=02_01.xlsx&amp;sheet=A0&amp;row=9&amp;col=27&amp;number=2677000000&amp;sourceID=20","2677000000")</f>
        <v>2677000000</v>
      </c>
    </row>
    <row r="10" spans="1:27">
      <c r="A10" s="3">
        <v>2</v>
      </c>
      <c r="B10" s="3">
        <v>1</v>
      </c>
      <c r="C10" s="3">
        <v>5</v>
      </c>
      <c r="D10" s="3">
        <v>2</v>
      </c>
      <c r="E10" s="3">
        <f>((1/(INDEX(E0!J$4:J$28,C10,1)-INDEX(E0!J$4:J$28,D10,1))))*100000000</f>
        <v>0</v>
      </c>
      <c r="F10" s="4" t="str">
        <f>HYPERLINK("http://141.218.60.56/~jnz1568/getInfo.php?workbook=02_01.xlsx&amp;sheet=A0&amp;row=10&amp;col=6&amp;number=&amp;sourceID=18","")</f>
        <v/>
      </c>
      <c r="G10" s="4" t="str">
        <f>HYPERLINK("http://141.218.60.56/~jnz1568/getInfo.php?workbook=02_01.xlsx&amp;sheet=A0&amp;row=10&amp;col=7&amp;number==&amp;sourceID=11","=")</f>
        <v>=</v>
      </c>
      <c r="H10" s="4" t="str">
        <f>HYPERLINK("http://141.218.60.56/~jnz1568/getInfo.php?workbook=02_01.xlsx&amp;sheet=A0&amp;row=10&amp;col=8&amp;number=&amp;sourceID=11","")</f>
        <v/>
      </c>
      <c r="I10" s="4" t="str">
        <f>HYPERLINK("http://141.218.60.56/~jnz1568/getInfo.php?workbook=02_01.xlsx&amp;sheet=A0&amp;row=10&amp;col=9&amp;number=&amp;sourceID=11","")</f>
        <v/>
      </c>
      <c r="J10" s="4" t="str">
        <f>HYPERLINK("http://141.218.60.56/~jnz1568/getInfo.php?workbook=02_01.xlsx&amp;sheet=A0&amp;row=10&amp;col=10&amp;number=&amp;sourceID=11","")</f>
        <v/>
      </c>
      <c r="K10" s="4" t="str">
        <f>HYPERLINK("http://141.218.60.56/~jnz1568/getInfo.php?workbook=02_01.xlsx&amp;sheet=A0&amp;row=10&amp;col=11&amp;number=5.0322e-07&amp;sourceID=11","5.0322e-07")</f>
        <v>5.0322e-07</v>
      </c>
      <c r="L10" s="4" t="str">
        <f>HYPERLINK("http://141.218.60.56/~jnz1568/getInfo.php?workbook=02_01.xlsx&amp;sheet=A0&amp;row=10&amp;col=12&amp;number=&amp;sourceID=11","")</f>
        <v/>
      </c>
      <c r="M10" s="4" t="str">
        <f>HYPERLINK("http://141.218.60.56/~jnz1568/getInfo.php?workbook=02_01.xlsx&amp;sheet=A0&amp;row=10&amp;col=13&amp;number=&amp;sourceID=11","")</f>
        <v/>
      </c>
      <c r="N10" s="4" t="str">
        <f>HYPERLINK("http://141.218.60.56/~jnz1568/getInfo.php?workbook=02_01.xlsx&amp;sheet=A0&amp;row=10&amp;col=14&amp;number=5.0265e-07&amp;sourceID=12","5.0265e-07")</f>
        <v>5.0265e-07</v>
      </c>
      <c r="O10" s="4" t="str">
        <f>HYPERLINK("http://141.218.60.56/~jnz1568/getInfo.php?workbook=02_01.xlsx&amp;sheet=A0&amp;row=10&amp;col=15&amp;number=&amp;sourceID=12","")</f>
        <v/>
      </c>
      <c r="P10" s="4" t="str">
        <f>HYPERLINK("http://141.218.60.56/~jnz1568/getInfo.php?workbook=02_01.xlsx&amp;sheet=A0&amp;row=10&amp;col=16&amp;number=&amp;sourceID=12","")</f>
        <v/>
      </c>
      <c r="Q10" s="4" t="str">
        <f>HYPERLINK("http://141.218.60.56/~jnz1568/getInfo.php?workbook=02_01.xlsx&amp;sheet=A0&amp;row=10&amp;col=17&amp;number=&amp;sourceID=12","")</f>
        <v/>
      </c>
      <c r="R10" s="4" t="str">
        <f>HYPERLINK("http://141.218.60.56/~jnz1568/getInfo.php?workbook=02_01.xlsx&amp;sheet=A0&amp;row=10&amp;col=18&amp;number=5.0265e-07&amp;sourceID=12","5.0265e-07")</f>
        <v>5.0265e-07</v>
      </c>
      <c r="S10" s="4" t="str">
        <f>HYPERLINK("http://141.218.60.56/~jnz1568/getInfo.php?workbook=02_01.xlsx&amp;sheet=A0&amp;row=10&amp;col=19&amp;number=&amp;sourceID=12","")</f>
        <v/>
      </c>
      <c r="T10" s="4" t="str">
        <f>HYPERLINK("http://141.218.60.56/~jnz1568/getInfo.php?workbook=02_01.xlsx&amp;sheet=A0&amp;row=10&amp;col=20&amp;number=&amp;sourceID=12","")</f>
        <v/>
      </c>
      <c r="U10" s="4" t="str">
        <f>HYPERLINK("http://141.218.60.56/~jnz1568/getInfo.php?workbook=02_01.xlsx&amp;sheet=A0&amp;row=10&amp;col=21&amp;number==&amp;sourceID=13","=")</f>
        <v>=</v>
      </c>
      <c r="V10" s="4" t="str">
        <f>HYPERLINK("http://141.218.60.56/~jnz1568/getInfo.php?workbook=02_01.xlsx&amp;sheet=A0&amp;row=10&amp;col=22&amp;number=&amp;sourceID=13","")</f>
        <v/>
      </c>
      <c r="W10" s="4" t="str">
        <f>HYPERLINK("http://141.218.60.56/~jnz1568/getInfo.php?workbook=02_01.xlsx&amp;sheet=A0&amp;row=10&amp;col=23&amp;number=&amp;sourceID=13","")</f>
        <v/>
      </c>
      <c r="X10" s="4" t="str">
        <f>HYPERLINK("http://141.218.60.56/~jnz1568/getInfo.php?workbook=02_01.xlsx&amp;sheet=A0&amp;row=10&amp;col=24&amp;number=&amp;sourceID=13","")</f>
        <v/>
      </c>
      <c r="Y10" s="4" t="str">
        <f>HYPERLINK("http://141.218.60.56/~jnz1568/getInfo.php?workbook=02_01.xlsx&amp;sheet=A0&amp;row=10&amp;col=25&amp;number=5.02e-07&amp;sourceID=13","5.02e-07")</f>
        <v>5.02e-07</v>
      </c>
      <c r="Z10" s="4" t="str">
        <f>HYPERLINK("http://141.218.60.56/~jnz1568/getInfo.php?workbook=02_01.xlsx&amp;sheet=A0&amp;row=10&amp;col=26&amp;number=&amp;sourceID=13","")</f>
        <v/>
      </c>
      <c r="AA10" s="4" t="str">
        <f>HYPERLINK("http://141.218.60.56/~jnz1568/getInfo.php?workbook=02_01.xlsx&amp;sheet=A0&amp;row=10&amp;col=27&amp;number=5.0257e-07&amp;sourceID=20","5.0257e-07")</f>
        <v>5.0257e-07</v>
      </c>
    </row>
    <row r="11" spans="1:27">
      <c r="A11" s="3">
        <v>2</v>
      </c>
      <c r="B11" s="3">
        <v>1</v>
      </c>
      <c r="C11" s="3">
        <v>5</v>
      </c>
      <c r="D11" s="3">
        <v>3</v>
      </c>
      <c r="E11" s="3">
        <f>((1/(INDEX(E0!J$4:J$28,C11,1)-INDEX(E0!J$4:J$28,D11,1))))*100000000</f>
        <v>0</v>
      </c>
      <c r="F11" s="4" t="str">
        <f>HYPERLINK("http://141.218.60.56/~jnz1568/getInfo.php?workbook=02_01.xlsx&amp;sheet=A0&amp;row=11&amp;col=6&amp;number=&amp;sourceID=18","")</f>
        <v/>
      </c>
      <c r="G11" s="4" t="str">
        <f>HYPERLINK("http://141.218.60.56/~jnz1568/getInfo.php?workbook=02_01.xlsx&amp;sheet=A0&amp;row=11&amp;col=7&amp;number==&amp;sourceID=11","=")</f>
        <v>=</v>
      </c>
      <c r="H11" s="4" t="str">
        <f>HYPERLINK("http://141.218.60.56/~jnz1568/getInfo.php?workbook=02_01.xlsx&amp;sheet=A0&amp;row=11&amp;col=8&amp;number=359370000&amp;sourceID=11","359370000")</f>
        <v>359370000</v>
      </c>
      <c r="I11" s="4" t="str">
        <f>HYPERLINK("http://141.218.60.56/~jnz1568/getInfo.php?workbook=02_01.xlsx&amp;sheet=A0&amp;row=11&amp;col=9&amp;number=&amp;sourceID=11","")</f>
        <v/>
      </c>
      <c r="J11" s="4" t="str">
        <f>HYPERLINK("http://141.218.60.56/~jnz1568/getInfo.php?workbook=02_01.xlsx&amp;sheet=A0&amp;row=11&amp;col=10&amp;number=&amp;sourceID=11","")</f>
        <v/>
      </c>
      <c r="K11" s="4" t="str">
        <f>HYPERLINK("http://141.218.60.56/~jnz1568/getInfo.php?workbook=02_01.xlsx&amp;sheet=A0&amp;row=11&amp;col=11&amp;number=&amp;sourceID=11","")</f>
        <v/>
      </c>
      <c r="L11" s="4" t="str">
        <f>HYPERLINK("http://141.218.60.56/~jnz1568/getInfo.php?workbook=02_01.xlsx&amp;sheet=A0&amp;row=11&amp;col=12&amp;number=&amp;sourceID=11","")</f>
        <v/>
      </c>
      <c r="M11" s="4" t="str">
        <f>HYPERLINK("http://141.218.60.56/~jnz1568/getInfo.php?workbook=02_01.xlsx&amp;sheet=A0&amp;row=11&amp;col=13&amp;number=&amp;sourceID=11","")</f>
        <v/>
      </c>
      <c r="N11" s="4" t="str">
        <f>HYPERLINK("http://141.218.60.56/~jnz1568/getInfo.php?workbook=02_01.xlsx&amp;sheet=A0&amp;row=11&amp;col=14&amp;number=359420000&amp;sourceID=12","359420000")</f>
        <v>359420000</v>
      </c>
      <c r="O11" s="4" t="str">
        <f>HYPERLINK("http://141.218.60.56/~jnz1568/getInfo.php?workbook=02_01.xlsx&amp;sheet=A0&amp;row=11&amp;col=15&amp;number=359420000&amp;sourceID=12","359420000")</f>
        <v>359420000</v>
      </c>
      <c r="P11" s="4" t="str">
        <f>HYPERLINK("http://141.218.60.56/~jnz1568/getInfo.php?workbook=02_01.xlsx&amp;sheet=A0&amp;row=11&amp;col=16&amp;number=&amp;sourceID=12","")</f>
        <v/>
      </c>
      <c r="Q11" s="4" t="str">
        <f>HYPERLINK("http://141.218.60.56/~jnz1568/getInfo.php?workbook=02_01.xlsx&amp;sheet=A0&amp;row=11&amp;col=17&amp;number=&amp;sourceID=12","")</f>
        <v/>
      </c>
      <c r="R11" s="4" t="str">
        <f>HYPERLINK("http://141.218.60.56/~jnz1568/getInfo.php?workbook=02_01.xlsx&amp;sheet=A0&amp;row=11&amp;col=18&amp;number=&amp;sourceID=12","")</f>
        <v/>
      </c>
      <c r="S11" s="4" t="str">
        <f>HYPERLINK("http://141.218.60.56/~jnz1568/getInfo.php?workbook=02_01.xlsx&amp;sheet=A0&amp;row=11&amp;col=19&amp;number=&amp;sourceID=12","")</f>
        <v/>
      </c>
      <c r="T11" s="4" t="str">
        <f>HYPERLINK("http://141.218.60.56/~jnz1568/getInfo.php?workbook=02_01.xlsx&amp;sheet=A0&amp;row=11&amp;col=20&amp;number=&amp;sourceID=12","")</f>
        <v/>
      </c>
      <c r="U11" s="4" t="str">
        <f>HYPERLINK("http://141.218.60.56/~jnz1568/getInfo.php?workbook=02_01.xlsx&amp;sheet=A0&amp;row=11&amp;col=21&amp;number==&amp;sourceID=13","=")</f>
        <v>=</v>
      </c>
      <c r="V11" s="4" t="str">
        <f>HYPERLINK("http://141.218.60.56/~jnz1568/getInfo.php?workbook=02_01.xlsx&amp;sheet=A0&amp;row=11&amp;col=22&amp;number=359000000&amp;sourceID=13","359000000")</f>
        <v>359000000</v>
      </c>
      <c r="W11" s="4" t="str">
        <f>HYPERLINK("http://141.218.60.56/~jnz1568/getInfo.php?workbook=02_01.xlsx&amp;sheet=A0&amp;row=11&amp;col=23&amp;number=&amp;sourceID=13","")</f>
        <v/>
      </c>
      <c r="X11" s="4" t="str">
        <f>HYPERLINK("http://141.218.60.56/~jnz1568/getInfo.php?workbook=02_01.xlsx&amp;sheet=A0&amp;row=11&amp;col=24&amp;number=&amp;sourceID=13","")</f>
        <v/>
      </c>
      <c r="Y11" s="4" t="str">
        <f>HYPERLINK("http://141.218.60.56/~jnz1568/getInfo.php?workbook=02_01.xlsx&amp;sheet=A0&amp;row=11&amp;col=25&amp;number=&amp;sourceID=13","")</f>
        <v/>
      </c>
      <c r="Z11" s="4" t="str">
        <f>HYPERLINK("http://141.218.60.56/~jnz1568/getInfo.php?workbook=02_01.xlsx&amp;sheet=A0&amp;row=11&amp;col=26&amp;number=&amp;sourceID=13","")</f>
        <v/>
      </c>
      <c r="AA11" s="4" t="str">
        <f>HYPERLINK("http://141.218.60.56/~jnz1568/getInfo.php?workbook=02_01.xlsx&amp;sheet=A0&amp;row=11&amp;col=27&amp;number=359370000&amp;sourceID=20","359370000")</f>
        <v>359370000</v>
      </c>
    </row>
    <row r="12" spans="1:27">
      <c r="A12" s="3">
        <v>2</v>
      </c>
      <c r="B12" s="3">
        <v>1</v>
      </c>
      <c r="C12" s="3">
        <v>5</v>
      </c>
      <c r="D12" s="3">
        <v>4</v>
      </c>
      <c r="E12" s="3">
        <f>((1/(INDEX(E0!J$4:J$28,C12,1)-INDEX(E0!J$4:J$28,D12,1))))*100000000</f>
        <v>0</v>
      </c>
      <c r="F12" s="4" t="str">
        <f>HYPERLINK("http://141.218.60.56/~jnz1568/getInfo.php?workbook=02_01.xlsx&amp;sheet=A0&amp;row=12&amp;col=6&amp;number=&amp;sourceID=18","")</f>
        <v/>
      </c>
      <c r="G12" s="4" t="str">
        <f>HYPERLINK("http://141.218.60.56/~jnz1568/getInfo.php?workbook=02_01.xlsx&amp;sheet=A0&amp;row=12&amp;col=7&amp;number==&amp;sourceID=11","=")</f>
        <v>=</v>
      </c>
      <c r="H12" s="4" t="str">
        <f>HYPERLINK("http://141.218.60.56/~jnz1568/getInfo.php?workbook=02_01.xlsx&amp;sheet=A0&amp;row=12&amp;col=8&amp;number=&amp;sourceID=11","")</f>
        <v/>
      </c>
      <c r="I12" s="4" t="str">
        <f>HYPERLINK("http://141.218.60.56/~jnz1568/getInfo.php?workbook=02_01.xlsx&amp;sheet=A0&amp;row=12&amp;col=9&amp;number=1530.8&amp;sourceID=11","1530.8")</f>
        <v>1530.8</v>
      </c>
      <c r="J12" s="4" t="str">
        <f>HYPERLINK("http://141.218.60.56/~jnz1568/getInfo.php?workbook=02_01.xlsx&amp;sheet=A0&amp;row=12&amp;col=10&amp;number=&amp;sourceID=11","")</f>
        <v/>
      </c>
      <c r="K12" s="4" t="str">
        <f>HYPERLINK("http://141.218.60.56/~jnz1568/getInfo.php?workbook=02_01.xlsx&amp;sheet=A0&amp;row=12&amp;col=11&amp;number=1.3202e-05&amp;sourceID=11","1.3202e-05")</f>
        <v>1.3202e-05</v>
      </c>
      <c r="L12" s="4" t="str">
        <f>HYPERLINK("http://141.218.60.56/~jnz1568/getInfo.php?workbook=02_01.xlsx&amp;sheet=A0&amp;row=12&amp;col=12&amp;number=&amp;sourceID=11","")</f>
        <v/>
      </c>
      <c r="M12" s="4" t="str">
        <f>HYPERLINK("http://141.218.60.56/~jnz1568/getInfo.php?workbook=02_01.xlsx&amp;sheet=A0&amp;row=12&amp;col=13&amp;number=&amp;sourceID=11","")</f>
        <v/>
      </c>
      <c r="N12" s="4" t="str">
        <f>HYPERLINK("http://141.218.60.56/~jnz1568/getInfo.php?workbook=02_01.xlsx&amp;sheet=A0&amp;row=12&amp;col=14&amp;number=1531&amp;sourceID=12","1531")</f>
        <v>1531</v>
      </c>
      <c r="O12" s="4" t="str">
        <f>HYPERLINK("http://141.218.60.56/~jnz1568/getInfo.php?workbook=02_01.xlsx&amp;sheet=A0&amp;row=12&amp;col=15&amp;number=&amp;sourceID=12","")</f>
        <v/>
      </c>
      <c r="P12" s="4" t="str">
        <f>HYPERLINK("http://141.218.60.56/~jnz1568/getInfo.php?workbook=02_01.xlsx&amp;sheet=A0&amp;row=12&amp;col=16&amp;number=1531&amp;sourceID=12","1531")</f>
        <v>1531</v>
      </c>
      <c r="Q12" s="4" t="str">
        <f>HYPERLINK("http://141.218.60.56/~jnz1568/getInfo.php?workbook=02_01.xlsx&amp;sheet=A0&amp;row=12&amp;col=17&amp;number=&amp;sourceID=12","")</f>
        <v/>
      </c>
      <c r="R12" s="4" t="str">
        <f>HYPERLINK("http://141.218.60.56/~jnz1568/getInfo.php?workbook=02_01.xlsx&amp;sheet=A0&amp;row=12&amp;col=18&amp;number=1.3208e-05&amp;sourceID=12","1.3208e-05")</f>
        <v>1.3208e-05</v>
      </c>
      <c r="S12" s="4" t="str">
        <f>HYPERLINK("http://141.218.60.56/~jnz1568/getInfo.php?workbook=02_01.xlsx&amp;sheet=A0&amp;row=12&amp;col=19&amp;number=&amp;sourceID=12","")</f>
        <v/>
      </c>
      <c r="T12" s="4" t="str">
        <f>HYPERLINK("http://141.218.60.56/~jnz1568/getInfo.php?workbook=02_01.xlsx&amp;sheet=A0&amp;row=12&amp;col=20&amp;number=&amp;sourceID=12","")</f>
        <v/>
      </c>
      <c r="U12" s="4" t="str">
        <f>HYPERLINK("http://141.218.60.56/~jnz1568/getInfo.php?workbook=02_01.xlsx&amp;sheet=A0&amp;row=12&amp;col=21&amp;number==&amp;sourceID=13","=")</f>
        <v>=</v>
      </c>
      <c r="V12" s="4" t="str">
        <f>HYPERLINK("http://141.218.60.56/~jnz1568/getInfo.php?workbook=02_01.xlsx&amp;sheet=A0&amp;row=12&amp;col=22&amp;number=&amp;sourceID=13","")</f>
        <v/>
      </c>
      <c r="W12" s="4" t="str">
        <f>HYPERLINK("http://141.218.60.56/~jnz1568/getInfo.php?workbook=02_01.xlsx&amp;sheet=A0&amp;row=12&amp;col=23&amp;number=1530&amp;sourceID=13","1530")</f>
        <v>1530</v>
      </c>
      <c r="X12" s="4" t="str">
        <f>HYPERLINK("http://141.218.60.56/~jnz1568/getInfo.php?workbook=02_01.xlsx&amp;sheet=A0&amp;row=12&amp;col=24&amp;number=&amp;sourceID=13","")</f>
        <v/>
      </c>
      <c r="Y12" s="4" t="str">
        <f>HYPERLINK("http://141.218.60.56/~jnz1568/getInfo.php?workbook=02_01.xlsx&amp;sheet=A0&amp;row=12&amp;col=25&amp;number=1.45e-05&amp;sourceID=13","1.45e-05")</f>
        <v>1.45e-05</v>
      </c>
      <c r="Z12" s="4" t="str">
        <f>HYPERLINK("http://141.218.60.56/~jnz1568/getInfo.php?workbook=02_01.xlsx&amp;sheet=A0&amp;row=12&amp;col=26&amp;number=&amp;sourceID=13","")</f>
        <v/>
      </c>
      <c r="AA12" s="4" t="str">
        <f>HYPERLINK("http://141.218.60.56/~jnz1568/getInfo.php?workbook=02_01.xlsx&amp;sheet=A0&amp;row=12&amp;col=27&amp;number=1530.8&amp;sourceID=20","1530.8")</f>
        <v>1530.8</v>
      </c>
    </row>
    <row r="13" spans="1:27">
      <c r="A13" s="3">
        <v>2</v>
      </c>
      <c r="B13" s="3">
        <v>1</v>
      </c>
      <c r="C13" s="3">
        <v>6</v>
      </c>
      <c r="D13" s="3">
        <v>1</v>
      </c>
      <c r="E13" s="3">
        <f>((1/(INDEX(E0!J$4:J$28,C13,1)-INDEX(E0!J$4:J$28,D13,1))))*100000000</f>
        <v>0</v>
      </c>
      <c r="F13" s="4" t="str">
        <f>HYPERLINK("http://141.218.60.56/~jnz1568/getInfo.php?workbook=02_01.xlsx&amp;sheet=A0&amp;row=13&amp;col=6&amp;number=&amp;sourceID=18","")</f>
        <v/>
      </c>
      <c r="G13" s="4" t="str">
        <f>HYPERLINK("http://141.218.60.56/~jnz1568/getInfo.php?workbook=02_01.xlsx&amp;sheet=A0&amp;row=13&amp;col=7&amp;number==&amp;sourceID=11","=")</f>
        <v>=</v>
      </c>
      <c r="H13" s="4" t="str">
        <f>HYPERLINK("http://141.218.60.56/~jnz1568/getInfo.php?workbook=02_01.xlsx&amp;sheet=A0&amp;row=13&amp;col=8&amp;number=&amp;sourceID=11","")</f>
        <v/>
      </c>
      <c r="I13" s="4" t="str">
        <f>HYPERLINK("http://141.218.60.56/~jnz1568/getInfo.php?workbook=02_01.xlsx&amp;sheet=A0&amp;row=13&amp;col=9&amp;number=&amp;sourceID=11","")</f>
        <v/>
      </c>
      <c r="J13" s="4" t="str">
        <f>HYPERLINK("http://141.218.60.56/~jnz1568/getInfo.php?workbook=02_01.xlsx&amp;sheet=A0&amp;row=13&amp;col=10&amp;number=&amp;sourceID=11","")</f>
        <v/>
      </c>
      <c r="K13" s="4" t="str">
        <f>HYPERLINK("http://141.218.60.56/~jnz1568/getInfo.php?workbook=02_01.xlsx&amp;sheet=A0&amp;row=13&amp;col=11&amp;number=0.0011359&amp;sourceID=11","0.0011359")</f>
        <v>0.0011359</v>
      </c>
      <c r="L13" s="4" t="str">
        <f>HYPERLINK("http://141.218.60.56/~jnz1568/getInfo.php?workbook=02_01.xlsx&amp;sheet=A0&amp;row=13&amp;col=12&amp;number=&amp;sourceID=11","")</f>
        <v/>
      </c>
      <c r="M13" s="4" t="str">
        <f>HYPERLINK("http://141.218.60.56/~jnz1568/getInfo.php?workbook=02_01.xlsx&amp;sheet=A0&amp;row=13&amp;col=13&amp;number=&amp;sourceID=11","")</f>
        <v/>
      </c>
      <c r="N13" s="4" t="str">
        <f>HYPERLINK("http://141.218.60.56/~jnz1568/getInfo.php?workbook=02_01.xlsx&amp;sheet=A0&amp;row=13&amp;col=14&amp;number=0.0011384&amp;sourceID=12","0.0011384")</f>
        <v>0.0011384</v>
      </c>
      <c r="O13" s="4" t="str">
        <f>HYPERLINK("http://141.218.60.56/~jnz1568/getInfo.php?workbook=02_01.xlsx&amp;sheet=A0&amp;row=13&amp;col=15&amp;number=&amp;sourceID=12","")</f>
        <v/>
      </c>
      <c r="P13" s="4" t="str">
        <f>HYPERLINK("http://141.218.60.56/~jnz1568/getInfo.php?workbook=02_01.xlsx&amp;sheet=A0&amp;row=13&amp;col=16&amp;number=&amp;sourceID=12","")</f>
        <v/>
      </c>
      <c r="Q13" s="4" t="str">
        <f>HYPERLINK("http://141.218.60.56/~jnz1568/getInfo.php?workbook=02_01.xlsx&amp;sheet=A0&amp;row=13&amp;col=17&amp;number=&amp;sourceID=12","")</f>
        <v/>
      </c>
      <c r="R13" s="4" t="str">
        <f>HYPERLINK("http://141.218.60.56/~jnz1568/getInfo.php?workbook=02_01.xlsx&amp;sheet=A0&amp;row=13&amp;col=18&amp;number=0.0011384&amp;sourceID=12","0.0011384")</f>
        <v>0.0011384</v>
      </c>
      <c r="S13" s="4" t="str">
        <f>HYPERLINK("http://141.218.60.56/~jnz1568/getInfo.php?workbook=02_01.xlsx&amp;sheet=A0&amp;row=13&amp;col=19&amp;number=&amp;sourceID=12","")</f>
        <v/>
      </c>
      <c r="T13" s="4" t="str">
        <f>HYPERLINK("http://141.218.60.56/~jnz1568/getInfo.php?workbook=02_01.xlsx&amp;sheet=A0&amp;row=13&amp;col=20&amp;number=&amp;sourceID=12","")</f>
        <v/>
      </c>
      <c r="U13" s="4" t="str">
        <f>HYPERLINK("http://141.218.60.56/~jnz1568/getInfo.php?workbook=02_01.xlsx&amp;sheet=A0&amp;row=13&amp;col=21&amp;number==&amp;sourceID=13","=")</f>
        <v>=</v>
      </c>
      <c r="V13" s="4" t="str">
        <f>HYPERLINK("http://141.218.60.56/~jnz1568/getInfo.php?workbook=02_01.xlsx&amp;sheet=A0&amp;row=13&amp;col=22&amp;number=&amp;sourceID=13","")</f>
        <v/>
      </c>
      <c r="W13" s="4" t="str">
        <f>HYPERLINK("http://141.218.60.56/~jnz1568/getInfo.php?workbook=02_01.xlsx&amp;sheet=A0&amp;row=13&amp;col=23&amp;number=&amp;sourceID=13","")</f>
        <v/>
      </c>
      <c r="X13" s="4" t="str">
        <f>HYPERLINK("http://141.218.60.56/~jnz1568/getInfo.php?workbook=02_01.xlsx&amp;sheet=A0&amp;row=13&amp;col=24&amp;number=&amp;sourceID=13","")</f>
        <v/>
      </c>
      <c r="Y13" s="4" t="str">
        <f>HYPERLINK("http://141.218.60.56/~jnz1568/getInfo.php?workbook=02_01.xlsx&amp;sheet=A0&amp;row=13&amp;col=25&amp;number=0.00114&amp;sourceID=13","0.00114")</f>
        <v>0.00114</v>
      </c>
      <c r="Z13" s="4" t="str">
        <f>HYPERLINK("http://141.218.60.56/~jnz1568/getInfo.php?workbook=02_01.xlsx&amp;sheet=A0&amp;row=13&amp;col=26&amp;number=&amp;sourceID=13","")</f>
        <v/>
      </c>
      <c r="AA13" s="4" t="str">
        <f>HYPERLINK("http://141.218.60.56/~jnz1568/getInfo.php?workbook=02_01.xlsx&amp;sheet=A0&amp;row=13&amp;col=27&amp;number=&amp;sourceID=20","")</f>
        <v/>
      </c>
    </row>
    <row r="14" spans="1:27">
      <c r="A14" s="3">
        <v>2</v>
      </c>
      <c r="B14" s="3">
        <v>1</v>
      </c>
      <c r="C14" s="3">
        <v>6</v>
      </c>
      <c r="D14" s="3">
        <v>2</v>
      </c>
      <c r="E14" s="3">
        <f>((1/(INDEX(E0!J$4:J$28,C14,1)-INDEX(E0!J$4:J$28,D14,1))))*100000000</f>
        <v>0</v>
      </c>
      <c r="F14" s="4" t="str">
        <f>HYPERLINK("http://141.218.60.56/~jnz1568/getInfo.php?workbook=02_01.xlsx&amp;sheet=A0&amp;row=14&amp;col=6&amp;number=&amp;sourceID=18","")</f>
        <v/>
      </c>
      <c r="G14" s="4" t="str">
        <f>HYPERLINK("http://141.218.60.56/~jnz1568/getInfo.php?workbook=02_01.xlsx&amp;sheet=A0&amp;row=14&amp;col=7&amp;number==&amp;sourceID=11","=")</f>
        <v>=</v>
      </c>
      <c r="H14" s="4" t="str">
        <f>HYPERLINK("http://141.218.60.56/~jnz1568/getInfo.php?workbook=02_01.xlsx&amp;sheet=A0&amp;row=14&amp;col=8&amp;number=33691000&amp;sourceID=11","33691000")</f>
        <v>33691000</v>
      </c>
      <c r="I14" s="4" t="str">
        <f>HYPERLINK("http://141.218.60.56/~jnz1568/getInfo.php?workbook=02_01.xlsx&amp;sheet=A0&amp;row=14&amp;col=9&amp;number=&amp;sourceID=11","")</f>
        <v/>
      </c>
      <c r="J14" s="4" t="str">
        <f>HYPERLINK("http://141.218.60.56/~jnz1568/getInfo.php?workbook=02_01.xlsx&amp;sheet=A0&amp;row=14&amp;col=10&amp;number=&amp;sourceID=11","")</f>
        <v/>
      </c>
      <c r="K14" s="4" t="str">
        <f>HYPERLINK("http://141.218.60.56/~jnz1568/getInfo.php?workbook=02_01.xlsx&amp;sheet=A0&amp;row=14&amp;col=11&amp;number=&amp;sourceID=11","")</f>
        <v/>
      </c>
      <c r="L14" s="4" t="str">
        <f>HYPERLINK("http://141.218.60.56/~jnz1568/getInfo.php?workbook=02_01.xlsx&amp;sheet=A0&amp;row=14&amp;col=12&amp;number=&amp;sourceID=11","")</f>
        <v/>
      </c>
      <c r="M14" s="4" t="str">
        <f>HYPERLINK("http://141.218.60.56/~jnz1568/getInfo.php?workbook=02_01.xlsx&amp;sheet=A0&amp;row=14&amp;col=13&amp;number=&amp;sourceID=11","")</f>
        <v/>
      </c>
      <c r="N14" s="4" t="str">
        <f>HYPERLINK("http://141.218.60.56/~jnz1568/getInfo.php?workbook=02_01.xlsx&amp;sheet=A0&amp;row=14&amp;col=14&amp;number=33695000&amp;sourceID=12","33695000")</f>
        <v>33695000</v>
      </c>
      <c r="O14" s="4" t="str">
        <f>HYPERLINK("http://141.218.60.56/~jnz1568/getInfo.php?workbook=02_01.xlsx&amp;sheet=A0&amp;row=14&amp;col=15&amp;number=33695000&amp;sourceID=12","33695000")</f>
        <v>33695000</v>
      </c>
      <c r="P14" s="4" t="str">
        <f>HYPERLINK("http://141.218.60.56/~jnz1568/getInfo.php?workbook=02_01.xlsx&amp;sheet=A0&amp;row=14&amp;col=16&amp;number=&amp;sourceID=12","")</f>
        <v/>
      </c>
      <c r="Q14" s="4" t="str">
        <f>HYPERLINK("http://141.218.60.56/~jnz1568/getInfo.php?workbook=02_01.xlsx&amp;sheet=A0&amp;row=14&amp;col=17&amp;number=&amp;sourceID=12","")</f>
        <v/>
      </c>
      <c r="R14" s="4" t="str">
        <f>HYPERLINK("http://141.218.60.56/~jnz1568/getInfo.php?workbook=02_01.xlsx&amp;sheet=A0&amp;row=14&amp;col=18&amp;number=&amp;sourceID=12","")</f>
        <v/>
      </c>
      <c r="S14" s="4" t="str">
        <f>HYPERLINK("http://141.218.60.56/~jnz1568/getInfo.php?workbook=02_01.xlsx&amp;sheet=A0&amp;row=14&amp;col=19&amp;number=&amp;sourceID=12","")</f>
        <v/>
      </c>
      <c r="T14" s="4" t="str">
        <f>HYPERLINK("http://141.218.60.56/~jnz1568/getInfo.php?workbook=02_01.xlsx&amp;sheet=A0&amp;row=14&amp;col=20&amp;number=&amp;sourceID=12","")</f>
        <v/>
      </c>
      <c r="U14" s="4" t="str">
        <f>HYPERLINK("http://141.218.60.56/~jnz1568/getInfo.php?workbook=02_01.xlsx&amp;sheet=A0&amp;row=14&amp;col=21&amp;number==&amp;sourceID=13","=")</f>
        <v>=</v>
      </c>
      <c r="V14" s="4" t="str">
        <f>HYPERLINK("http://141.218.60.56/~jnz1568/getInfo.php?workbook=02_01.xlsx&amp;sheet=A0&amp;row=14&amp;col=22&amp;number=33700000&amp;sourceID=13","33700000")</f>
        <v>33700000</v>
      </c>
      <c r="W14" s="4" t="str">
        <f>HYPERLINK("http://141.218.60.56/~jnz1568/getInfo.php?workbook=02_01.xlsx&amp;sheet=A0&amp;row=14&amp;col=23&amp;number=&amp;sourceID=13","")</f>
        <v/>
      </c>
      <c r="X14" s="4" t="str">
        <f>HYPERLINK("http://141.218.60.56/~jnz1568/getInfo.php?workbook=02_01.xlsx&amp;sheet=A0&amp;row=14&amp;col=24&amp;number=&amp;sourceID=13","")</f>
        <v/>
      </c>
      <c r="Y14" s="4" t="str">
        <f>HYPERLINK("http://141.218.60.56/~jnz1568/getInfo.php?workbook=02_01.xlsx&amp;sheet=A0&amp;row=14&amp;col=25&amp;number=&amp;sourceID=13","")</f>
        <v/>
      </c>
      <c r="Z14" s="4" t="str">
        <f>HYPERLINK("http://141.218.60.56/~jnz1568/getInfo.php?workbook=02_01.xlsx&amp;sheet=A0&amp;row=14&amp;col=26&amp;number=&amp;sourceID=13","")</f>
        <v/>
      </c>
      <c r="AA14" s="4" t="str">
        <f>HYPERLINK("http://141.218.60.56/~jnz1568/getInfo.php?workbook=02_01.xlsx&amp;sheet=A0&amp;row=14&amp;col=27&amp;number=33691000&amp;sourceID=20","33691000")</f>
        <v>33691000</v>
      </c>
    </row>
    <row r="15" spans="1:27">
      <c r="A15" s="3">
        <v>2</v>
      </c>
      <c r="B15" s="3">
        <v>1</v>
      </c>
      <c r="C15" s="3">
        <v>6</v>
      </c>
      <c r="D15" s="3">
        <v>3</v>
      </c>
      <c r="E15" s="3">
        <f>((1/(INDEX(E0!J$4:J$28,C15,1)-INDEX(E0!J$4:J$28,D15,1))))*100000000</f>
        <v>0</v>
      </c>
      <c r="F15" s="4" t="str">
        <f>HYPERLINK("http://141.218.60.56/~jnz1568/getInfo.php?workbook=02_01.xlsx&amp;sheet=A0&amp;row=15&amp;col=6&amp;number=&amp;sourceID=18","")</f>
        <v/>
      </c>
      <c r="G15" s="4" t="str">
        <f>HYPERLINK("http://141.218.60.56/~jnz1568/getInfo.php?workbook=02_01.xlsx&amp;sheet=A0&amp;row=15&amp;col=7&amp;number==&amp;sourceID=11","=")</f>
        <v>=</v>
      </c>
      <c r="H15" s="4" t="str">
        <f>HYPERLINK("http://141.218.60.56/~jnz1568/getInfo.php?workbook=02_01.xlsx&amp;sheet=A0&amp;row=15&amp;col=8&amp;number=&amp;sourceID=11","")</f>
        <v/>
      </c>
      <c r="I15" s="4" t="str">
        <f>HYPERLINK("http://141.218.60.56/~jnz1568/getInfo.php?workbook=02_01.xlsx&amp;sheet=A0&amp;row=15&amp;col=9&amp;number=&amp;sourceID=11","")</f>
        <v/>
      </c>
      <c r="J15" s="4" t="str">
        <f>HYPERLINK("http://141.218.60.56/~jnz1568/getInfo.php?workbook=02_01.xlsx&amp;sheet=A0&amp;row=15&amp;col=10&amp;number=&amp;sourceID=11","")</f>
        <v/>
      </c>
      <c r="K15" s="4" t="str">
        <f>HYPERLINK("http://141.218.60.56/~jnz1568/getInfo.php?workbook=02_01.xlsx&amp;sheet=A0&amp;row=15&amp;col=11&amp;number=1.9232e-06&amp;sourceID=11","1.9232e-06")</f>
        <v>1.9232e-06</v>
      </c>
      <c r="L15" s="4" t="str">
        <f>HYPERLINK("http://141.218.60.56/~jnz1568/getInfo.php?workbook=02_01.xlsx&amp;sheet=A0&amp;row=15&amp;col=12&amp;number=&amp;sourceID=11","")</f>
        <v/>
      </c>
      <c r="M15" s="4" t="str">
        <f>HYPERLINK("http://141.218.60.56/~jnz1568/getInfo.php?workbook=02_01.xlsx&amp;sheet=A0&amp;row=15&amp;col=13&amp;number=&amp;sourceID=11","")</f>
        <v/>
      </c>
      <c r="N15" s="4" t="str">
        <f>HYPERLINK("http://141.218.60.56/~jnz1568/getInfo.php?workbook=02_01.xlsx&amp;sheet=A0&amp;row=15&amp;col=14&amp;number=1.9234e-06&amp;sourceID=12","1.9234e-06")</f>
        <v>1.9234e-06</v>
      </c>
      <c r="O15" s="4" t="str">
        <f>HYPERLINK("http://141.218.60.56/~jnz1568/getInfo.php?workbook=02_01.xlsx&amp;sheet=A0&amp;row=15&amp;col=15&amp;number=&amp;sourceID=12","")</f>
        <v/>
      </c>
      <c r="P15" s="4" t="str">
        <f>HYPERLINK("http://141.218.60.56/~jnz1568/getInfo.php?workbook=02_01.xlsx&amp;sheet=A0&amp;row=15&amp;col=16&amp;number=&amp;sourceID=12","")</f>
        <v/>
      </c>
      <c r="Q15" s="4" t="str">
        <f>HYPERLINK("http://141.218.60.56/~jnz1568/getInfo.php?workbook=02_01.xlsx&amp;sheet=A0&amp;row=15&amp;col=17&amp;number=&amp;sourceID=12","")</f>
        <v/>
      </c>
      <c r="R15" s="4" t="str">
        <f>HYPERLINK("http://141.218.60.56/~jnz1568/getInfo.php?workbook=02_01.xlsx&amp;sheet=A0&amp;row=15&amp;col=18&amp;number=1.9234e-06&amp;sourceID=12","1.9234e-06")</f>
        <v>1.9234e-06</v>
      </c>
      <c r="S15" s="4" t="str">
        <f>HYPERLINK("http://141.218.60.56/~jnz1568/getInfo.php?workbook=02_01.xlsx&amp;sheet=A0&amp;row=15&amp;col=19&amp;number=&amp;sourceID=12","")</f>
        <v/>
      </c>
      <c r="T15" s="4" t="str">
        <f>HYPERLINK("http://141.218.60.56/~jnz1568/getInfo.php?workbook=02_01.xlsx&amp;sheet=A0&amp;row=15&amp;col=20&amp;number=&amp;sourceID=12","")</f>
        <v/>
      </c>
      <c r="U15" s="4" t="str">
        <f>HYPERLINK("http://141.218.60.56/~jnz1568/getInfo.php?workbook=02_01.xlsx&amp;sheet=A0&amp;row=15&amp;col=21&amp;number==&amp;sourceID=13","=")</f>
        <v>=</v>
      </c>
      <c r="V15" s="4" t="str">
        <f>HYPERLINK("http://141.218.60.56/~jnz1568/getInfo.php?workbook=02_01.xlsx&amp;sheet=A0&amp;row=15&amp;col=22&amp;number=&amp;sourceID=13","")</f>
        <v/>
      </c>
      <c r="W15" s="4" t="str">
        <f>HYPERLINK("http://141.218.60.56/~jnz1568/getInfo.php?workbook=02_01.xlsx&amp;sheet=A0&amp;row=15&amp;col=23&amp;number=&amp;sourceID=13","")</f>
        <v/>
      </c>
      <c r="X15" s="4" t="str">
        <f>HYPERLINK("http://141.218.60.56/~jnz1568/getInfo.php?workbook=02_01.xlsx&amp;sheet=A0&amp;row=15&amp;col=24&amp;number=&amp;sourceID=13","")</f>
        <v/>
      </c>
      <c r="Y15" s="4" t="str">
        <f>HYPERLINK("http://141.218.60.56/~jnz1568/getInfo.php?workbook=02_01.xlsx&amp;sheet=A0&amp;row=15&amp;col=25&amp;number=1.92e-06&amp;sourceID=13","1.92e-06")</f>
        <v>1.92e-06</v>
      </c>
      <c r="Z15" s="4" t="str">
        <f>HYPERLINK("http://141.218.60.56/~jnz1568/getInfo.php?workbook=02_01.xlsx&amp;sheet=A0&amp;row=15&amp;col=26&amp;number=&amp;sourceID=13","")</f>
        <v/>
      </c>
      <c r="AA15" s="4" t="str">
        <f>HYPERLINK("http://141.218.60.56/~jnz1568/getInfo.php?workbook=02_01.xlsx&amp;sheet=A0&amp;row=15&amp;col=27&amp;number=1.9232e-06&amp;sourceID=20","1.9232e-06")</f>
        <v>1.9232e-06</v>
      </c>
    </row>
    <row r="16" spans="1:27">
      <c r="A16" s="3">
        <v>2</v>
      </c>
      <c r="B16" s="3">
        <v>1</v>
      </c>
      <c r="C16" s="3">
        <v>6</v>
      </c>
      <c r="D16" s="3">
        <v>4</v>
      </c>
      <c r="E16" s="3">
        <f>((1/(INDEX(E0!J$4:J$28,C16,1)-INDEX(E0!J$4:J$28,D16,1))))*100000000</f>
        <v>0</v>
      </c>
      <c r="F16" s="4" t="str">
        <f>HYPERLINK("http://141.218.60.56/~jnz1568/getInfo.php?workbook=02_01.xlsx&amp;sheet=A0&amp;row=16&amp;col=6&amp;number=&amp;sourceID=18","")</f>
        <v/>
      </c>
      <c r="G16" s="4" t="str">
        <f>HYPERLINK("http://141.218.60.56/~jnz1568/getInfo.php?workbook=02_01.xlsx&amp;sheet=A0&amp;row=16&amp;col=7&amp;number==&amp;sourceID=11","=")</f>
        <v>=</v>
      </c>
      <c r="H16" s="4" t="str">
        <f>HYPERLINK("http://141.218.60.56/~jnz1568/getInfo.php?workbook=02_01.xlsx&amp;sheet=A0&amp;row=16&amp;col=8&amp;number=67411000&amp;sourceID=11","67411000")</f>
        <v>67411000</v>
      </c>
      <c r="I16" s="4" t="str">
        <f>HYPERLINK("http://141.218.60.56/~jnz1568/getInfo.php?workbook=02_01.xlsx&amp;sheet=A0&amp;row=16&amp;col=9&amp;number=&amp;sourceID=11","")</f>
        <v/>
      </c>
      <c r="J16" s="4" t="str">
        <f>HYPERLINK("http://141.218.60.56/~jnz1568/getInfo.php?workbook=02_01.xlsx&amp;sheet=A0&amp;row=16&amp;col=10&amp;number=&amp;sourceID=11","")</f>
        <v/>
      </c>
      <c r="K16" s="4" t="str">
        <f>HYPERLINK("http://141.218.60.56/~jnz1568/getInfo.php?workbook=02_01.xlsx&amp;sheet=A0&amp;row=16&amp;col=11&amp;number=&amp;sourceID=11","")</f>
        <v/>
      </c>
      <c r="L16" s="4" t="str">
        <f>HYPERLINK("http://141.218.60.56/~jnz1568/getInfo.php?workbook=02_01.xlsx&amp;sheet=A0&amp;row=16&amp;col=12&amp;number=0.0027656&amp;sourceID=11","0.0027656")</f>
        <v>0.0027656</v>
      </c>
      <c r="M16" s="4" t="str">
        <f>HYPERLINK("http://141.218.60.56/~jnz1568/getInfo.php?workbook=02_01.xlsx&amp;sheet=A0&amp;row=16&amp;col=13&amp;number=&amp;sourceID=11","")</f>
        <v/>
      </c>
      <c r="N16" s="4" t="str">
        <f>HYPERLINK("http://141.218.60.56/~jnz1568/getInfo.php?workbook=02_01.xlsx&amp;sheet=A0&amp;row=16&amp;col=14&amp;number=67420000&amp;sourceID=12","67420000")</f>
        <v>67420000</v>
      </c>
      <c r="O16" s="4" t="str">
        <f>HYPERLINK("http://141.218.60.56/~jnz1568/getInfo.php?workbook=02_01.xlsx&amp;sheet=A0&amp;row=16&amp;col=15&amp;number=67420000&amp;sourceID=12","67420000")</f>
        <v>67420000</v>
      </c>
      <c r="P16" s="4" t="str">
        <f>HYPERLINK("http://141.218.60.56/~jnz1568/getInfo.php?workbook=02_01.xlsx&amp;sheet=A0&amp;row=16&amp;col=16&amp;number=&amp;sourceID=12","")</f>
        <v/>
      </c>
      <c r="Q16" s="4" t="str">
        <f>HYPERLINK("http://141.218.60.56/~jnz1568/getInfo.php?workbook=02_01.xlsx&amp;sheet=A0&amp;row=16&amp;col=17&amp;number=&amp;sourceID=12","")</f>
        <v/>
      </c>
      <c r="R16" s="4" t="str">
        <f>HYPERLINK("http://141.218.60.56/~jnz1568/getInfo.php?workbook=02_01.xlsx&amp;sheet=A0&amp;row=16&amp;col=18&amp;number=&amp;sourceID=12","")</f>
        <v/>
      </c>
      <c r="S16" s="4" t="str">
        <f>HYPERLINK("http://141.218.60.56/~jnz1568/getInfo.php?workbook=02_01.xlsx&amp;sheet=A0&amp;row=16&amp;col=19&amp;number=0.002766&amp;sourceID=12","0.002766")</f>
        <v>0.002766</v>
      </c>
      <c r="T16" s="4" t="str">
        <f>HYPERLINK("http://141.218.60.56/~jnz1568/getInfo.php?workbook=02_01.xlsx&amp;sheet=A0&amp;row=16&amp;col=20&amp;number=&amp;sourceID=12","")</f>
        <v/>
      </c>
      <c r="U16" s="4" t="str">
        <f>HYPERLINK("http://141.218.60.56/~jnz1568/getInfo.php?workbook=02_01.xlsx&amp;sheet=A0&amp;row=16&amp;col=21&amp;number==&amp;sourceID=13","=")</f>
        <v>=</v>
      </c>
      <c r="V16" s="4" t="str">
        <f>HYPERLINK("http://141.218.60.56/~jnz1568/getInfo.php?workbook=02_01.xlsx&amp;sheet=A0&amp;row=16&amp;col=22&amp;number=67400000&amp;sourceID=13","67400000")</f>
        <v>67400000</v>
      </c>
      <c r="W16" s="4" t="str">
        <f>HYPERLINK("http://141.218.60.56/~jnz1568/getInfo.php?workbook=02_01.xlsx&amp;sheet=A0&amp;row=16&amp;col=23&amp;number=&amp;sourceID=13","")</f>
        <v/>
      </c>
      <c r="X16" s="4" t="str">
        <f>HYPERLINK("http://141.218.60.56/~jnz1568/getInfo.php?workbook=02_01.xlsx&amp;sheet=A0&amp;row=16&amp;col=24&amp;number=&amp;sourceID=13","")</f>
        <v/>
      </c>
      <c r="Y16" s="4" t="str">
        <f>HYPERLINK("http://141.218.60.56/~jnz1568/getInfo.php?workbook=02_01.xlsx&amp;sheet=A0&amp;row=16&amp;col=25&amp;number=&amp;sourceID=13","")</f>
        <v/>
      </c>
      <c r="Z16" s="4" t="str">
        <f>HYPERLINK("http://141.218.60.56/~jnz1568/getInfo.php?workbook=02_01.xlsx&amp;sheet=A0&amp;row=16&amp;col=26&amp;number=&amp;sourceID=13","")</f>
        <v/>
      </c>
      <c r="AA16" s="4" t="str">
        <f>HYPERLINK("http://141.218.60.56/~jnz1568/getInfo.php?workbook=02_01.xlsx&amp;sheet=A0&amp;row=16&amp;col=27&amp;number=67411000&amp;sourceID=20","67411000")</f>
        <v>67411000</v>
      </c>
    </row>
    <row r="17" spans="1:27">
      <c r="A17" s="3">
        <v>2</v>
      </c>
      <c r="B17" s="3">
        <v>1</v>
      </c>
      <c r="C17" s="3">
        <v>7</v>
      </c>
      <c r="D17" s="3">
        <v>1</v>
      </c>
      <c r="E17" s="3">
        <f>((1/(INDEX(E0!J$4:J$28,C17,1)-INDEX(E0!J$4:J$28,D17,1))))*100000000</f>
        <v>0</v>
      </c>
      <c r="F17" s="4" t="str">
        <f>HYPERLINK("http://141.218.60.56/~jnz1568/getInfo.php?workbook=02_01.xlsx&amp;sheet=A0&amp;row=17&amp;col=6&amp;number=&amp;sourceID=18","")</f>
        <v/>
      </c>
      <c r="G17" s="4" t="str">
        <f>HYPERLINK("http://141.218.60.56/~jnz1568/getInfo.php?workbook=02_01.xlsx&amp;sheet=A0&amp;row=17&amp;col=7&amp;number==&amp;sourceID=11","=")</f>
        <v>=</v>
      </c>
      <c r="H17" s="4" t="str">
        <f>HYPERLINK("http://141.218.60.56/~jnz1568/getInfo.php?workbook=02_01.xlsx&amp;sheet=A0&amp;row=17&amp;col=8&amp;number=&amp;sourceID=11","")</f>
        <v/>
      </c>
      <c r="I17" s="4" t="str">
        <f>HYPERLINK("http://141.218.60.56/~jnz1568/getInfo.php?workbook=02_01.xlsx&amp;sheet=A0&amp;row=17&amp;col=9&amp;number=38014&amp;sourceID=11","38014")</f>
        <v>38014</v>
      </c>
      <c r="J17" s="4" t="str">
        <f>HYPERLINK("http://141.218.60.56/~jnz1568/getInfo.php?workbook=02_01.xlsx&amp;sheet=A0&amp;row=17&amp;col=10&amp;number=&amp;sourceID=11","")</f>
        <v/>
      </c>
      <c r="K17" s="4" t="str">
        <f>HYPERLINK("http://141.218.60.56/~jnz1568/getInfo.php?workbook=02_01.xlsx&amp;sheet=A0&amp;row=17&amp;col=11&amp;number=7.0986e-06&amp;sourceID=11","7.0986e-06")</f>
        <v>7.0986e-06</v>
      </c>
      <c r="L17" s="4" t="str">
        <f>HYPERLINK("http://141.218.60.56/~jnz1568/getInfo.php?workbook=02_01.xlsx&amp;sheet=A0&amp;row=17&amp;col=12&amp;number=&amp;sourceID=11","")</f>
        <v/>
      </c>
      <c r="M17" s="4" t="str">
        <f>HYPERLINK("http://141.218.60.56/~jnz1568/getInfo.php?workbook=02_01.xlsx&amp;sheet=A0&amp;row=17&amp;col=13&amp;number=&amp;sourceID=11","")</f>
        <v/>
      </c>
      <c r="N17" s="4" t="str">
        <f>HYPERLINK("http://141.218.60.56/~jnz1568/getInfo.php?workbook=02_01.xlsx&amp;sheet=A0&amp;row=17&amp;col=14&amp;number=38019&amp;sourceID=12","38019")</f>
        <v>38019</v>
      </c>
      <c r="O17" s="4" t="str">
        <f>HYPERLINK("http://141.218.60.56/~jnz1568/getInfo.php?workbook=02_01.xlsx&amp;sheet=A0&amp;row=17&amp;col=15&amp;number=&amp;sourceID=12","")</f>
        <v/>
      </c>
      <c r="P17" s="4" t="str">
        <f>HYPERLINK("http://141.218.60.56/~jnz1568/getInfo.php?workbook=02_01.xlsx&amp;sheet=A0&amp;row=17&amp;col=16&amp;number=38019&amp;sourceID=12","38019")</f>
        <v>38019</v>
      </c>
      <c r="Q17" s="4" t="str">
        <f>HYPERLINK("http://141.218.60.56/~jnz1568/getInfo.php?workbook=02_01.xlsx&amp;sheet=A0&amp;row=17&amp;col=17&amp;number=&amp;sourceID=12","")</f>
        <v/>
      </c>
      <c r="R17" s="4" t="str">
        <f>HYPERLINK("http://141.218.60.56/~jnz1568/getInfo.php?workbook=02_01.xlsx&amp;sheet=A0&amp;row=17&amp;col=18&amp;number=7.0565e-06&amp;sourceID=12","7.0565e-06")</f>
        <v>7.0565e-06</v>
      </c>
      <c r="S17" s="4" t="str">
        <f>HYPERLINK("http://141.218.60.56/~jnz1568/getInfo.php?workbook=02_01.xlsx&amp;sheet=A0&amp;row=17&amp;col=19&amp;number=&amp;sourceID=12","")</f>
        <v/>
      </c>
      <c r="T17" s="4" t="str">
        <f>HYPERLINK("http://141.218.60.56/~jnz1568/getInfo.php?workbook=02_01.xlsx&amp;sheet=A0&amp;row=17&amp;col=20&amp;number=&amp;sourceID=12","")</f>
        <v/>
      </c>
      <c r="U17" s="4" t="str">
        <f>HYPERLINK("http://141.218.60.56/~jnz1568/getInfo.php?workbook=02_01.xlsx&amp;sheet=A0&amp;row=17&amp;col=21&amp;number==&amp;sourceID=13","=")</f>
        <v>=</v>
      </c>
      <c r="V17" s="4" t="str">
        <f>HYPERLINK("http://141.218.60.56/~jnz1568/getInfo.php?workbook=02_01.xlsx&amp;sheet=A0&amp;row=17&amp;col=22&amp;number=&amp;sourceID=13","")</f>
        <v/>
      </c>
      <c r="W17" s="4" t="str">
        <f>HYPERLINK("http://141.218.60.56/~jnz1568/getInfo.php?workbook=02_01.xlsx&amp;sheet=A0&amp;row=17&amp;col=23&amp;number=38000&amp;sourceID=13","38000")</f>
        <v>38000</v>
      </c>
      <c r="X17" s="4" t="str">
        <f>HYPERLINK("http://141.218.60.56/~jnz1568/getInfo.php?workbook=02_01.xlsx&amp;sheet=A0&amp;row=17&amp;col=24&amp;number=&amp;sourceID=13","")</f>
        <v/>
      </c>
      <c r="Y17" s="4" t="str">
        <f>HYPERLINK("http://141.218.60.56/~jnz1568/getInfo.php?workbook=02_01.xlsx&amp;sheet=A0&amp;row=17&amp;col=25&amp;number=1.97e-05&amp;sourceID=13","1.97e-05")</f>
        <v>1.97e-05</v>
      </c>
      <c r="Z17" s="4" t="str">
        <f>HYPERLINK("http://141.218.60.56/~jnz1568/getInfo.php?workbook=02_01.xlsx&amp;sheet=A0&amp;row=17&amp;col=26&amp;number=&amp;sourceID=13","")</f>
        <v/>
      </c>
      <c r="AA17" s="4" t="str">
        <f>HYPERLINK("http://141.218.60.56/~jnz1568/getInfo.php?workbook=02_01.xlsx&amp;sheet=A0&amp;row=17&amp;col=27&amp;number=&amp;sourceID=20","")</f>
        <v/>
      </c>
    </row>
    <row r="18" spans="1:27">
      <c r="A18" s="3">
        <v>2</v>
      </c>
      <c r="B18" s="3">
        <v>1</v>
      </c>
      <c r="C18" s="3">
        <v>7</v>
      </c>
      <c r="D18" s="3">
        <v>2</v>
      </c>
      <c r="E18" s="3">
        <f>((1/(INDEX(E0!J$4:J$28,C18,1)-INDEX(E0!J$4:J$28,D18,1))))*100000000</f>
        <v>0</v>
      </c>
      <c r="F18" s="4" t="str">
        <f>HYPERLINK("http://141.218.60.56/~jnz1568/getInfo.php?workbook=02_01.xlsx&amp;sheet=A0&amp;row=18&amp;col=6&amp;number=&amp;sourceID=18","")</f>
        <v/>
      </c>
      <c r="G18" s="4" t="str">
        <f>HYPERLINK("http://141.218.60.56/~jnz1568/getInfo.php?workbook=02_01.xlsx&amp;sheet=A0&amp;row=18&amp;col=7&amp;number==&amp;sourceID=11","=")</f>
        <v>=</v>
      </c>
      <c r="H18" s="4" t="str">
        <f>HYPERLINK("http://141.218.60.56/~jnz1568/getInfo.php?workbook=02_01.xlsx&amp;sheet=A0&amp;row=18&amp;col=8&amp;number=862440000&amp;sourceID=11","862440000")</f>
        <v>862440000</v>
      </c>
      <c r="I18" s="4" t="str">
        <f>HYPERLINK("http://141.218.60.56/~jnz1568/getInfo.php?workbook=02_01.xlsx&amp;sheet=A0&amp;row=18&amp;col=9&amp;number=&amp;sourceID=11","")</f>
        <v/>
      </c>
      <c r="J18" s="4" t="str">
        <f>HYPERLINK("http://141.218.60.56/~jnz1568/getInfo.php?workbook=02_01.xlsx&amp;sheet=A0&amp;row=18&amp;col=10&amp;number=&amp;sourceID=11","")</f>
        <v/>
      </c>
      <c r="K18" s="4" t="str">
        <f>HYPERLINK("http://141.218.60.56/~jnz1568/getInfo.php?workbook=02_01.xlsx&amp;sheet=A0&amp;row=18&amp;col=11&amp;number=&amp;sourceID=11","")</f>
        <v/>
      </c>
      <c r="L18" s="4" t="str">
        <f>HYPERLINK("http://141.218.60.56/~jnz1568/getInfo.php?workbook=02_01.xlsx&amp;sheet=A0&amp;row=18&amp;col=12&amp;number=0.0014155&amp;sourceID=11","0.0014155")</f>
        <v>0.0014155</v>
      </c>
      <c r="M18" s="4" t="str">
        <f>HYPERLINK("http://141.218.60.56/~jnz1568/getInfo.php?workbook=02_01.xlsx&amp;sheet=A0&amp;row=18&amp;col=13&amp;number=&amp;sourceID=11","")</f>
        <v/>
      </c>
      <c r="N18" s="4" t="str">
        <f>HYPERLINK("http://141.218.60.56/~jnz1568/getInfo.php?workbook=02_01.xlsx&amp;sheet=A0&amp;row=18&amp;col=14&amp;number=862560000&amp;sourceID=12","862560000")</f>
        <v>862560000</v>
      </c>
      <c r="O18" s="4" t="str">
        <f>HYPERLINK("http://141.218.60.56/~jnz1568/getInfo.php?workbook=02_01.xlsx&amp;sheet=A0&amp;row=18&amp;col=15&amp;number=862560000&amp;sourceID=12","862560000")</f>
        <v>862560000</v>
      </c>
      <c r="P18" s="4" t="str">
        <f>HYPERLINK("http://141.218.60.56/~jnz1568/getInfo.php?workbook=02_01.xlsx&amp;sheet=A0&amp;row=18&amp;col=16&amp;number=&amp;sourceID=12","")</f>
        <v/>
      </c>
      <c r="Q18" s="4" t="str">
        <f>HYPERLINK("http://141.218.60.56/~jnz1568/getInfo.php?workbook=02_01.xlsx&amp;sheet=A0&amp;row=18&amp;col=17&amp;number=&amp;sourceID=12","")</f>
        <v/>
      </c>
      <c r="R18" s="4" t="str">
        <f>HYPERLINK("http://141.218.60.56/~jnz1568/getInfo.php?workbook=02_01.xlsx&amp;sheet=A0&amp;row=18&amp;col=18&amp;number=&amp;sourceID=12","")</f>
        <v/>
      </c>
      <c r="S18" s="4" t="str">
        <f>HYPERLINK("http://141.218.60.56/~jnz1568/getInfo.php?workbook=02_01.xlsx&amp;sheet=A0&amp;row=18&amp;col=19&amp;number=0.0014157&amp;sourceID=12","0.0014157")</f>
        <v>0.0014157</v>
      </c>
      <c r="T18" s="4" t="str">
        <f>HYPERLINK("http://141.218.60.56/~jnz1568/getInfo.php?workbook=02_01.xlsx&amp;sheet=A0&amp;row=18&amp;col=20&amp;number=&amp;sourceID=12","")</f>
        <v/>
      </c>
      <c r="U18" s="4" t="str">
        <f>HYPERLINK("http://141.218.60.56/~jnz1568/getInfo.php?workbook=02_01.xlsx&amp;sheet=A0&amp;row=18&amp;col=21&amp;number==&amp;sourceID=13","=")</f>
        <v>=</v>
      </c>
      <c r="V18" s="4" t="str">
        <f>HYPERLINK("http://141.218.60.56/~jnz1568/getInfo.php?workbook=02_01.xlsx&amp;sheet=A0&amp;row=18&amp;col=22&amp;number=862000000&amp;sourceID=13","862000000")</f>
        <v>862000000</v>
      </c>
      <c r="W18" s="4" t="str">
        <f>HYPERLINK("http://141.218.60.56/~jnz1568/getInfo.php?workbook=02_01.xlsx&amp;sheet=A0&amp;row=18&amp;col=23&amp;number=&amp;sourceID=13","")</f>
        <v/>
      </c>
      <c r="X18" s="4" t="str">
        <f>HYPERLINK("http://141.218.60.56/~jnz1568/getInfo.php?workbook=02_01.xlsx&amp;sheet=A0&amp;row=18&amp;col=24&amp;number=&amp;sourceID=13","")</f>
        <v/>
      </c>
      <c r="Y18" s="4" t="str">
        <f>HYPERLINK("http://141.218.60.56/~jnz1568/getInfo.php?workbook=02_01.xlsx&amp;sheet=A0&amp;row=18&amp;col=25&amp;number=&amp;sourceID=13","")</f>
        <v/>
      </c>
      <c r="Z18" s="4" t="str">
        <f>HYPERLINK("http://141.218.60.56/~jnz1568/getInfo.php?workbook=02_01.xlsx&amp;sheet=A0&amp;row=18&amp;col=26&amp;number=&amp;sourceID=13","")</f>
        <v/>
      </c>
      <c r="AA18" s="4" t="str">
        <f>HYPERLINK("http://141.218.60.56/~jnz1568/getInfo.php?workbook=02_01.xlsx&amp;sheet=A0&amp;row=18&amp;col=27&amp;number=862440000&amp;sourceID=20","862440000")</f>
        <v>862440000</v>
      </c>
    </row>
    <row r="19" spans="1:27">
      <c r="A19" s="3">
        <v>2</v>
      </c>
      <c r="B19" s="3">
        <v>1</v>
      </c>
      <c r="C19" s="3">
        <v>7</v>
      </c>
      <c r="D19" s="3">
        <v>3</v>
      </c>
      <c r="E19" s="3">
        <f>((1/(INDEX(E0!J$4:J$28,C19,1)-INDEX(E0!J$4:J$28,D19,1))))*100000000</f>
        <v>0</v>
      </c>
      <c r="F19" s="4" t="str">
        <f>HYPERLINK("http://141.218.60.56/~jnz1568/getInfo.php?workbook=02_01.xlsx&amp;sheet=A0&amp;row=19&amp;col=6&amp;number=&amp;sourceID=18","")</f>
        <v/>
      </c>
      <c r="G19" s="4" t="str">
        <f>HYPERLINK("http://141.218.60.56/~jnz1568/getInfo.php?workbook=02_01.xlsx&amp;sheet=A0&amp;row=19&amp;col=7&amp;number==&amp;sourceID=11","=")</f>
        <v>=</v>
      </c>
      <c r="H19" s="4" t="str">
        <f>HYPERLINK("http://141.218.60.56/~jnz1568/getInfo.php?workbook=02_01.xlsx&amp;sheet=A0&amp;row=19&amp;col=8&amp;number=&amp;sourceID=11","")</f>
        <v/>
      </c>
      <c r="I19" s="4" t="str">
        <f>HYPERLINK("http://141.218.60.56/~jnz1568/getInfo.php?workbook=02_01.xlsx&amp;sheet=A0&amp;row=19&amp;col=9&amp;number=3266.4&amp;sourceID=11","3266.4")</f>
        <v>3266.4</v>
      </c>
      <c r="J19" s="4" t="str">
        <f>HYPERLINK("http://141.218.60.56/~jnz1568/getInfo.php?workbook=02_01.xlsx&amp;sheet=A0&amp;row=19&amp;col=10&amp;number=&amp;sourceID=11","")</f>
        <v/>
      </c>
      <c r="K19" s="4" t="str">
        <f>HYPERLINK("http://141.218.60.56/~jnz1568/getInfo.php?workbook=02_01.xlsx&amp;sheet=A0&amp;row=19&amp;col=11&amp;number=1.0755e-07&amp;sourceID=11","1.0755e-07")</f>
        <v>1.0755e-07</v>
      </c>
      <c r="L19" s="4" t="str">
        <f>HYPERLINK("http://141.218.60.56/~jnz1568/getInfo.php?workbook=02_01.xlsx&amp;sheet=A0&amp;row=19&amp;col=12&amp;number=&amp;sourceID=11","")</f>
        <v/>
      </c>
      <c r="M19" s="4" t="str">
        <f>HYPERLINK("http://141.218.60.56/~jnz1568/getInfo.php?workbook=02_01.xlsx&amp;sheet=A0&amp;row=19&amp;col=13&amp;number=&amp;sourceID=11","")</f>
        <v/>
      </c>
      <c r="N19" s="4" t="str">
        <f>HYPERLINK("http://141.218.60.56/~jnz1568/getInfo.php?workbook=02_01.xlsx&amp;sheet=A0&amp;row=19&amp;col=14&amp;number=3266.8&amp;sourceID=12","3266.8")</f>
        <v>3266.8</v>
      </c>
      <c r="O19" s="4" t="str">
        <f>HYPERLINK("http://141.218.60.56/~jnz1568/getInfo.php?workbook=02_01.xlsx&amp;sheet=A0&amp;row=19&amp;col=15&amp;number=&amp;sourceID=12","")</f>
        <v/>
      </c>
      <c r="P19" s="4" t="str">
        <f>HYPERLINK("http://141.218.60.56/~jnz1568/getInfo.php?workbook=02_01.xlsx&amp;sheet=A0&amp;row=19&amp;col=16&amp;number=3266.8&amp;sourceID=12","3266.8")</f>
        <v>3266.8</v>
      </c>
      <c r="Q19" s="4" t="str">
        <f>HYPERLINK("http://141.218.60.56/~jnz1568/getInfo.php?workbook=02_01.xlsx&amp;sheet=A0&amp;row=19&amp;col=17&amp;number=&amp;sourceID=12","")</f>
        <v/>
      </c>
      <c r="R19" s="4" t="str">
        <f>HYPERLINK("http://141.218.60.56/~jnz1568/getInfo.php?workbook=02_01.xlsx&amp;sheet=A0&amp;row=19&amp;col=18&amp;number=1.0757e-07&amp;sourceID=12","1.0757e-07")</f>
        <v>1.0757e-07</v>
      </c>
      <c r="S19" s="4" t="str">
        <f>HYPERLINK("http://141.218.60.56/~jnz1568/getInfo.php?workbook=02_01.xlsx&amp;sheet=A0&amp;row=19&amp;col=19&amp;number=&amp;sourceID=12","")</f>
        <v/>
      </c>
      <c r="T19" s="4" t="str">
        <f>HYPERLINK("http://141.218.60.56/~jnz1568/getInfo.php?workbook=02_01.xlsx&amp;sheet=A0&amp;row=19&amp;col=20&amp;number=&amp;sourceID=12","")</f>
        <v/>
      </c>
      <c r="U19" s="4" t="str">
        <f>HYPERLINK("http://141.218.60.56/~jnz1568/getInfo.php?workbook=02_01.xlsx&amp;sheet=A0&amp;row=19&amp;col=21&amp;number==&amp;sourceID=13","=")</f>
        <v>=</v>
      </c>
      <c r="V19" s="4" t="str">
        <f>HYPERLINK("http://141.218.60.56/~jnz1568/getInfo.php?workbook=02_01.xlsx&amp;sheet=A0&amp;row=19&amp;col=22&amp;number=&amp;sourceID=13","")</f>
        <v/>
      </c>
      <c r="W19" s="4" t="str">
        <f>HYPERLINK("http://141.218.60.56/~jnz1568/getInfo.php?workbook=02_01.xlsx&amp;sheet=A0&amp;row=19&amp;col=23&amp;number=3270&amp;sourceID=13","3270")</f>
        <v>3270</v>
      </c>
      <c r="X19" s="4" t="str">
        <f>HYPERLINK("http://141.218.60.56/~jnz1568/getInfo.php?workbook=02_01.xlsx&amp;sheet=A0&amp;row=19&amp;col=24&amp;number=&amp;sourceID=13","")</f>
        <v/>
      </c>
      <c r="Y19" s="4" t="str">
        <f>HYPERLINK("http://141.218.60.56/~jnz1568/getInfo.php?workbook=02_01.xlsx&amp;sheet=A0&amp;row=19&amp;col=25&amp;number=2.07e-07&amp;sourceID=13","2.07e-07")</f>
        <v>2.07e-07</v>
      </c>
      <c r="Z19" s="4" t="str">
        <f>HYPERLINK("http://141.218.60.56/~jnz1568/getInfo.php?workbook=02_01.xlsx&amp;sheet=A0&amp;row=19&amp;col=26&amp;number=&amp;sourceID=13","")</f>
        <v/>
      </c>
      <c r="AA19" s="4" t="str">
        <f>HYPERLINK("http://141.218.60.56/~jnz1568/getInfo.php?workbook=02_01.xlsx&amp;sheet=A0&amp;row=19&amp;col=27&amp;number=3266.4&amp;sourceID=20","3266.4")</f>
        <v>3266.4</v>
      </c>
    </row>
    <row r="20" spans="1:27">
      <c r="A20" s="3">
        <v>2</v>
      </c>
      <c r="B20" s="3">
        <v>1</v>
      </c>
      <c r="C20" s="3">
        <v>7</v>
      </c>
      <c r="D20" s="3">
        <v>4</v>
      </c>
      <c r="E20" s="3">
        <f>((1/(INDEX(E0!J$4:J$28,C20,1)-INDEX(E0!J$4:J$28,D20,1))))*100000000</f>
        <v>0</v>
      </c>
      <c r="F20" s="4" t="str">
        <f>HYPERLINK("http://141.218.60.56/~jnz1568/getInfo.php?workbook=02_01.xlsx&amp;sheet=A0&amp;row=20&amp;col=6&amp;number=&amp;sourceID=18","")</f>
        <v/>
      </c>
      <c r="G20" s="4" t="str">
        <f>HYPERLINK("http://141.218.60.56/~jnz1568/getInfo.php?workbook=02_01.xlsx&amp;sheet=A0&amp;row=20&amp;col=7&amp;number==&amp;sourceID=11","=")</f>
        <v>=</v>
      </c>
      <c r="H20" s="4" t="str">
        <f>HYPERLINK("http://141.218.60.56/~jnz1568/getInfo.php?workbook=02_01.xlsx&amp;sheet=A0&amp;row=20&amp;col=8&amp;number=172470000&amp;sourceID=11","172470000")</f>
        <v>172470000</v>
      </c>
      <c r="I20" s="4" t="str">
        <f>HYPERLINK("http://141.218.60.56/~jnz1568/getInfo.php?workbook=02_01.xlsx&amp;sheet=A0&amp;row=20&amp;col=9&amp;number=&amp;sourceID=11","")</f>
        <v/>
      </c>
      <c r="J20" s="4" t="str">
        <f>HYPERLINK("http://141.218.60.56/~jnz1568/getInfo.php?workbook=02_01.xlsx&amp;sheet=A0&amp;row=20&amp;col=10&amp;number=0.0057962&amp;sourceID=11","0.0057962")</f>
        <v>0.0057962</v>
      </c>
      <c r="K20" s="4" t="str">
        <f>HYPERLINK("http://141.218.60.56/~jnz1568/getInfo.php?workbook=02_01.xlsx&amp;sheet=A0&amp;row=20&amp;col=11&amp;number=&amp;sourceID=11","")</f>
        <v/>
      </c>
      <c r="L20" s="4" t="str">
        <f>HYPERLINK("http://141.218.60.56/~jnz1568/getInfo.php?workbook=02_01.xlsx&amp;sheet=A0&amp;row=20&amp;col=12&amp;number=&amp;sourceID=11","")</f>
        <v/>
      </c>
      <c r="M20" s="4" t="str">
        <f>HYPERLINK("http://141.218.60.56/~jnz1568/getInfo.php?workbook=02_01.xlsx&amp;sheet=A0&amp;row=20&amp;col=13&amp;number=&amp;sourceID=11","")</f>
        <v/>
      </c>
      <c r="N20" s="4" t="str">
        <f>HYPERLINK("http://141.218.60.56/~jnz1568/getInfo.php?workbook=02_01.xlsx&amp;sheet=A0&amp;row=20&amp;col=14&amp;number=172490000&amp;sourceID=12","172490000")</f>
        <v>172490000</v>
      </c>
      <c r="O20" s="4" t="str">
        <f>HYPERLINK("http://141.218.60.56/~jnz1568/getInfo.php?workbook=02_01.xlsx&amp;sheet=A0&amp;row=20&amp;col=15&amp;number=172490000&amp;sourceID=12","172490000")</f>
        <v>172490000</v>
      </c>
      <c r="P20" s="4" t="str">
        <f>HYPERLINK("http://141.218.60.56/~jnz1568/getInfo.php?workbook=02_01.xlsx&amp;sheet=A0&amp;row=20&amp;col=16&amp;number=&amp;sourceID=12","")</f>
        <v/>
      </c>
      <c r="Q20" s="4" t="str">
        <f>HYPERLINK("http://141.218.60.56/~jnz1568/getInfo.php?workbook=02_01.xlsx&amp;sheet=A0&amp;row=20&amp;col=17&amp;number=0.005797&amp;sourceID=12","0.005797")</f>
        <v>0.005797</v>
      </c>
      <c r="R20" s="4" t="str">
        <f>HYPERLINK("http://141.218.60.56/~jnz1568/getInfo.php?workbook=02_01.xlsx&amp;sheet=A0&amp;row=20&amp;col=18&amp;number=&amp;sourceID=12","")</f>
        <v/>
      </c>
      <c r="S20" s="4" t="str">
        <f>HYPERLINK("http://141.218.60.56/~jnz1568/getInfo.php?workbook=02_01.xlsx&amp;sheet=A0&amp;row=20&amp;col=19&amp;number=&amp;sourceID=12","")</f>
        <v/>
      </c>
      <c r="T20" s="4" t="str">
        <f>HYPERLINK("http://141.218.60.56/~jnz1568/getInfo.php?workbook=02_01.xlsx&amp;sheet=A0&amp;row=20&amp;col=20&amp;number=&amp;sourceID=12","")</f>
        <v/>
      </c>
      <c r="U20" s="4" t="str">
        <f>HYPERLINK("http://141.218.60.56/~jnz1568/getInfo.php?workbook=02_01.xlsx&amp;sheet=A0&amp;row=20&amp;col=21&amp;number==&amp;sourceID=13","=")</f>
        <v>=</v>
      </c>
      <c r="V20" s="4" t="str">
        <f>HYPERLINK("http://141.218.60.56/~jnz1568/getInfo.php?workbook=02_01.xlsx&amp;sheet=A0&amp;row=20&amp;col=22&amp;number=172000000&amp;sourceID=13","172000000")</f>
        <v>172000000</v>
      </c>
      <c r="W20" s="4" t="str">
        <f>HYPERLINK("http://141.218.60.56/~jnz1568/getInfo.php?workbook=02_01.xlsx&amp;sheet=A0&amp;row=20&amp;col=23&amp;number=&amp;sourceID=13","")</f>
        <v/>
      </c>
      <c r="X20" s="4" t="str">
        <f>HYPERLINK("http://141.218.60.56/~jnz1568/getInfo.php?workbook=02_01.xlsx&amp;sheet=A0&amp;row=20&amp;col=24&amp;number=&amp;sourceID=13","")</f>
        <v/>
      </c>
      <c r="Y20" s="4" t="str">
        <f>HYPERLINK("http://141.218.60.56/~jnz1568/getInfo.php?workbook=02_01.xlsx&amp;sheet=A0&amp;row=20&amp;col=25&amp;number=&amp;sourceID=13","")</f>
        <v/>
      </c>
      <c r="Z20" s="4" t="str">
        <f>HYPERLINK("http://141.218.60.56/~jnz1568/getInfo.php?workbook=02_01.xlsx&amp;sheet=A0&amp;row=20&amp;col=26&amp;number=&amp;sourceID=13","")</f>
        <v/>
      </c>
      <c r="AA20" s="4" t="str">
        <f>HYPERLINK("http://141.218.60.56/~jnz1568/getInfo.php?workbook=02_01.xlsx&amp;sheet=A0&amp;row=20&amp;col=27&amp;number=172470000&amp;sourceID=20","172470000")</f>
        <v>172470000</v>
      </c>
    </row>
    <row r="21" spans="1:27">
      <c r="A21" s="3">
        <v>2</v>
      </c>
      <c r="B21" s="3">
        <v>1</v>
      </c>
      <c r="C21" s="3">
        <v>7</v>
      </c>
      <c r="D21" s="3">
        <v>5</v>
      </c>
      <c r="E21" s="3">
        <f>((1/(INDEX(E0!J$4:J$28,C21,1)-INDEX(E0!J$4:J$28,D21,1))))*100000000</f>
        <v>0</v>
      </c>
      <c r="F21" s="4" t="str">
        <f>HYPERLINK("http://141.218.60.56/~jnz1568/getInfo.php?workbook=02_01.xlsx&amp;sheet=A0&amp;row=21&amp;col=6&amp;number=&amp;sourceID=18","")</f>
        <v/>
      </c>
      <c r="G21" s="4" t="str">
        <f>HYPERLINK("http://141.218.60.56/~jnz1568/getInfo.php?workbook=02_01.xlsx&amp;sheet=A0&amp;row=21&amp;col=7&amp;number==&amp;sourceID=11","=")</f>
        <v>=</v>
      </c>
      <c r="H21" s="4" t="str">
        <f>HYPERLINK("http://141.218.60.56/~jnz1568/getInfo.php?workbook=02_01.xlsx&amp;sheet=A0&amp;row=21&amp;col=8&amp;number=8.8761e-05&amp;sourceID=11","8.8761e-05")</f>
        <v>8.8761e-05</v>
      </c>
      <c r="I21" s="4" t="str">
        <f>HYPERLINK("http://141.218.60.56/~jnz1568/getInfo.php?workbook=02_01.xlsx&amp;sheet=A0&amp;row=21&amp;col=9&amp;number=&amp;sourceID=11","")</f>
        <v/>
      </c>
      <c r="J21" s="4" t="str">
        <f>HYPERLINK("http://141.218.60.56/~jnz1568/getInfo.php?workbook=02_01.xlsx&amp;sheet=A0&amp;row=21&amp;col=10&amp;number=&amp;sourceID=11","")</f>
        <v/>
      </c>
      <c r="K21" s="4" t="str">
        <f>HYPERLINK("http://141.218.60.56/~jnz1568/getInfo.php?workbook=02_01.xlsx&amp;sheet=A0&amp;row=21&amp;col=11&amp;number=&amp;sourceID=11","")</f>
        <v/>
      </c>
      <c r="L21" s="4" t="str">
        <f>HYPERLINK("http://141.218.60.56/~jnz1568/getInfo.php?workbook=02_01.xlsx&amp;sheet=A0&amp;row=21&amp;col=12&amp;number=0&amp;sourceID=11","0")</f>
        <v>0</v>
      </c>
      <c r="M21" s="4" t="str">
        <f>HYPERLINK("http://141.218.60.56/~jnz1568/getInfo.php?workbook=02_01.xlsx&amp;sheet=A0&amp;row=21&amp;col=13&amp;number=&amp;sourceID=11","")</f>
        <v/>
      </c>
      <c r="N21" s="4" t="str">
        <f>HYPERLINK("http://141.218.60.56/~jnz1568/getInfo.php?workbook=02_01.xlsx&amp;sheet=A0&amp;row=21&amp;col=14&amp;number=8.8776e-05&amp;sourceID=12","8.8776e-05")</f>
        <v>8.8776e-05</v>
      </c>
      <c r="O21" s="4" t="str">
        <f>HYPERLINK("http://141.218.60.56/~jnz1568/getInfo.php?workbook=02_01.xlsx&amp;sheet=A0&amp;row=21&amp;col=15&amp;number=8.8776e-05&amp;sourceID=12","8.8776e-05")</f>
        <v>8.8776e-05</v>
      </c>
      <c r="P21" s="4" t="str">
        <f>HYPERLINK("http://141.218.60.56/~jnz1568/getInfo.php?workbook=02_01.xlsx&amp;sheet=A0&amp;row=21&amp;col=16&amp;number=&amp;sourceID=12","")</f>
        <v/>
      </c>
      <c r="Q21" s="4" t="str">
        <f>HYPERLINK("http://141.218.60.56/~jnz1568/getInfo.php?workbook=02_01.xlsx&amp;sheet=A0&amp;row=21&amp;col=17&amp;number=&amp;sourceID=12","")</f>
        <v/>
      </c>
      <c r="R21" s="4" t="str">
        <f>HYPERLINK("http://141.218.60.56/~jnz1568/getInfo.php?workbook=02_01.xlsx&amp;sheet=A0&amp;row=21&amp;col=18&amp;number=&amp;sourceID=12","")</f>
        <v/>
      </c>
      <c r="S21" s="4" t="str">
        <f>HYPERLINK("http://141.218.60.56/~jnz1568/getInfo.php?workbook=02_01.xlsx&amp;sheet=A0&amp;row=21&amp;col=19&amp;number=0&amp;sourceID=12","0")</f>
        <v>0</v>
      </c>
      <c r="T21" s="4" t="str">
        <f>HYPERLINK("http://141.218.60.56/~jnz1568/getInfo.php?workbook=02_01.xlsx&amp;sheet=A0&amp;row=21&amp;col=20&amp;number=&amp;sourceID=12","")</f>
        <v/>
      </c>
      <c r="U21" s="4" t="str">
        <f>HYPERLINK("http://141.218.60.56/~jnz1568/getInfo.php?workbook=02_01.xlsx&amp;sheet=A0&amp;row=21&amp;col=21&amp;number=&amp;sourceID=13","")</f>
        <v/>
      </c>
      <c r="V21" s="4" t="str">
        <f>HYPERLINK("http://141.218.60.56/~jnz1568/getInfo.php?workbook=02_01.xlsx&amp;sheet=A0&amp;row=21&amp;col=22&amp;number=&amp;sourceID=13","")</f>
        <v/>
      </c>
      <c r="W21" s="4" t="str">
        <f>HYPERLINK("http://141.218.60.56/~jnz1568/getInfo.php?workbook=02_01.xlsx&amp;sheet=A0&amp;row=21&amp;col=23&amp;number=&amp;sourceID=13","")</f>
        <v/>
      </c>
      <c r="X21" s="4" t="str">
        <f>HYPERLINK("http://141.218.60.56/~jnz1568/getInfo.php?workbook=02_01.xlsx&amp;sheet=A0&amp;row=21&amp;col=24&amp;number=&amp;sourceID=13","")</f>
        <v/>
      </c>
      <c r="Y21" s="4" t="str">
        <f>HYPERLINK("http://141.218.60.56/~jnz1568/getInfo.php?workbook=02_01.xlsx&amp;sheet=A0&amp;row=21&amp;col=25&amp;number=&amp;sourceID=13","")</f>
        <v/>
      </c>
      <c r="Z21" s="4" t="str">
        <f>HYPERLINK("http://141.218.60.56/~jnz1568/getInfo.php?workbook=02_01.xlsx&amp;sheet=A0&amp;row=21&amp;col=26&amp;number=&amp;sourceID=13","")</f>
        <v/>
      </c>
      <c r="AA21" s="4" t="str">
        <f>HYPERLINK("http://141.218.60.56/~jnz1568/getInfo.php?workbook=02_01.xlsx&amp;sheet=A0&amp;row=21&amp;col=27&amp;number=&amp;sourceID=20","")</f>
        <v/>
      </c>
    </row>
    <row r="22" spans="1:27">
      <c r="A22" s="3">
        <v>2</v>
      </c>
      <c r="B22" s="3">
        <v>1</v>
      </c>
      <c r="C22" s="3">
        <v>7</v>
      </c>
      <c r="D22" s="3">
        <v>6</v>
      </c>
      <c r="E22" s="3">
        <f>((1/(INDEX(E0!J$4:J$28,C22,1)-INDEX(E0!J$4:J$28,D22,1))))*100000000</f>
        <v>0</v>
      </c>
      <c r="F22" s="4" t="str">
        <f>HYPERLINK("http://141.218.60.56/~jnz1568/getInfo.php?workbook=02_01.xlsx&amp;sheet=A0&amp;row=22&amp;col=6&amp;number=&amp;sourceID=18","")</f>
        <v/>
      </c>
      <c r="G22" s="4" t="str">
        <f>HYPERLINK("http://141.218.60.56/~jnz1568/getInfo.php?workbook=02_01.xlsx&amp;sheet=A0&amp;row=22&amp;col=7&amp;number==&amp;sourceID=11","=")</f>
        <v>=</v>
      </c>
      <c r="H22" s="4" t="str">
        <f>HYPERLINK("http://141.218.60.56/~jnz1568/getInfo.php?workbook=02_01.xlsx&amp;sheet=A0&amp;row=22&amp;col=8&amp;number=&amp;sourceID=11","")</f>
        <v/>
      </c>
      <c r="I22" s="4" t="str">
        <f>HYPERLINK("http://141.218.60.56/~jnz1568/getInfo.php?workbook=02_01.xlsx&amp;sheet=A0&amp;row=22&amp;col=9&amp;number=0&amp;sourceID=11","0")</f>
        <v>0</v>
      </c>
      <c r="J22" s="4" t="str">
        <f>HYPERLINK("http://141.218.60.56/~jnz1568/getInfo.php?workbook=02_01.xlsx&amp;sheet=A0&amp;row=22&amp;col=10&amp;number=&amp;sourceID=11","")</f>
        <v/>
      </c>
      <c r="K22" s="4" t="str">
        <f>HYPERLINK("http://141.218.60.56/~jnz1568/getInfo.php?workbook=02_01.xlsx&amp;sheet=A0&amp;row=22&amp;col=11&amp;number=0&amp;sourceID=11","0")</f>
        <v>0</v>
      </c>
      <c r="L22" s="4" t="str">
        <f>HYPERLINK("http://141.218.60.56/~jnz1568/getInfo.php?workbook=02_01.xlsx&amp;sheet=A0&amp;row=22&amp;col=12&amp;number=&amp;sourceID=11","")</f>
        <v/>
      </c>
      <c r="M22" s="4" t="str">
        <f>HYPERLINK("http://141.218.60.56/~jnz1568/getInfo.php?workbook=02_01.xlsx&amp;sheet=A0&amp;row=22&amp;col=13&amp;number=&amp;sourceID=11","")</f>
        <v/>
      </c>
      <c r="N22" s="4" t="str">
        <f>HYPERLINK("http://141.218.60.56/~jnz1568/getInfo.php?workbook=02_01.xlsx&amp;sheet=A0&amp;row=22&amp;col=14&amp;number=0&amp;sourceID=12","0")</f>
        <v>0</v>
      </c>
      <c r="O22" s="4" t="str">
        <f>HYPERLINK("http://141.218.60.56/~jnz1568/getInfo.php?workbook=02_01.xlsx&amp;sheet=A0&amp;row=22&amp;col=15&amp;number=&amp;sourceID=12","")</f>
        <v/>
      </c>
      <c r="P22" s="4" t="str">
        <f>HYPERLINK("http://141.218.60.56/~jnz1568/getInfo.php?workbook=02_01.xlsx&amp;sheet=A0&amp;row=22&amp;col=16&amp;number=0&amp;sourceID=12","0")</f>
        <v>0</v>
      </c>
      <c r="Q22" s="4" t="str">
        <f>HYPERLINK("http://141.218.60.56/~jnz1568/getInfo.php?workbook=02_01.xlsx&amp;sheet=A0&amp;row=22&amp;col=17&amp;number=&amp;sourceID=12","")</f>
        <v/>
      </c>
      <c r="R22" s="4" t="str">
        <f>HYPERLINK("http://141.218.60.56/~jnz1568/getInfo.php?workbook=02_01.xlsx&amp;sheet=A0&amp;row=22&amp;col=18&amp;number=0&amp;sourceID=12","0")</f>
        <v>0</v>
      </c>
      <c r="S22" s="4" t="str">
        <f>HYPERLINK("http://141.218.60.56/~jnz1568/getInfo.php?workbook=02_01.xlsx&amp;sheet=A0&amp;row=22&amp;col=19&amp;number=&amp;sourceID=12","")</f>
        <v/>
      </c>
      <c r="T22" s="4" t="str">
        <f>HYPERLINK("http://141.218.60.56/~jnz1568/getInfo.php?workbook=02_01.xlsx&amp;sheet=A0&amp;row=22&amp;col=20&amp;number=&amp;sourceID=12","")</f>
        <v/>
      </c>
      <c r="U22" s="4" t="str">
        <f>HYPERLINK("http://141.218.60.56/~jnz1568/getInfo.php?workbook=02_01.xlsx&amp;sheet=A0&amp;row=22&amp;col=21&amp;number=&amp;sourceID=13","")</f>
        <v/>
      </c>
      <c r="V22" s="4" t="str">
        <f>HYPERLINK("http://141.218.60.56/~jnz1568/getInfo.php?workbook=02_01.xlsx&amp;sheet=A0&amp;row=22&amp;col=22&amp;number=&amp;sourceID=13","")</f>
        <v/>
      </c>
      <c r="W22" s="4" t="str">
        <f>HYPERLINK("http://141.218.60.56/~jnz1568/getInfo.php?workbook=02_01.xlsx&amp;sheet=A0&amp;row=22&amp;col=23&amp;number=&amp;sourceID=13","")</f>
        <v/>
      </c>
      <c r="X22" s="4" t="str">
        <f>HYPERLINK("http://141.218.60.56/~jnz1568/getInfo.php?workbook=02_01.xlsx&amp;sheet=A0&amp;row=22&amp;col=24&amp;number=&amp;sourceID=13","")</f>
        <v/>
      </c>
      <c r="Y22" s="4" t="str">
        <f>HYPERLINK("http://141.218.60.56/~jnz1568/getInfo.php?workbook=02_01.xlsx&amp;sheet=A0&amp;row=22&amp;col=25&amp;number=&amp;sourceID=13","")</f>
        <v/>
      </c>
      <c r="Z22" s="4" t="str">
        <f>HYPERLINK("http://141.218.60.56/~jnz1568/getInfo.php?workbook=02_01.xlsx&amp;sheet=A0&amp;row=22&amp;col=26&amp;number=&amp;sourceID=13","")</f>
        <v/>
      </c>
      <c r="AA22" s="4" t="str">
        <f>HYPERLINK("http://141.218.60.56/~jnz1568/getInfo.php?workbook=02_01.xlsx&amp;sheet=A0&amp;row=22&amp;col=27&amp;number=&amp;sourceID=20","")</f>
        <v/>
      </c>
    </row>
    <row r="23" spans="1:27">
      <c r="A23" s="3">
        <v>2</v>
      </c>
      <c r="B23" s="3">
        <v>1</v>
      </c>
      <c r="C23" s="3">
        <v>8</v>
      </c>
      <c r="D23" s="3">
        <v>1</v>
      </c>
      <c r="E23" s="3">
        <f>((1/(INDEX(E0!J$4:J$28,C23,1)-INDEX(E0!J$4:J$28,D23,1))))*100000000</f>
        <v>0</v>
      </c>
      <c r="F23" s="4" t="str">
        <f>HYPERLINK("http://141.218.60.56/~jnz1568/getInfo.php?workbook=02_01.xlsx&amp;sheet=A0&amp;row=23&amp;col=6&amp;number=&amp;sourceID=18","")</f>
        <v/>
      </c>
      <c r="G23" s="4" t="str">
        <f>HYPERLINK("http://141.218.60.56/~jnz1568/getInfo.php?workbook=02_01.xlsx&amp;sheet=A0&amp;row=23&amp;col=7&amp;number==&amp;sourceID=11","=")</f>
        <v>=</v>
      </c>
      <c r="H23" s="4" t="str">
        <f>HYPERLINK("http://141.218.60.56/~jnz1568/getInfo.php?workbook=02_01.xlsx&amp;sheet=A0&amp;row=23&amp;col=8&amp;number=2677100000&amp;sourceID=11","2677100000")</f>
        <v>2677100000</v>
      </c>
      <c r="I23" s="4" t="str">
        <f>HYPERLINK("http://141.218.60.56/~jnz1568/getInfo.php?workbook=02_01.xlsx&amp;sheet=A0&amp;row=23&amp;col=9&amp;number=&amp;sourceID=11","")</f>
        <v/>
      </c>
      <c r="J23" s="4" t="str">
        <f>HYPERLINK("http://141.218.60.56/~jnz1568/getInfo.php?workbook=02_01.xlsx&amp;sheet=A0&amp;row=23&amp;col=10&amp;number=&amp;sourceID=11","")</f>
        <v/>
      </c>
      <c r="K23" s="4" t="str">
        <f>HYPERLINK("http://141.218.60.56/~jnz1568/getInfo.php?workbook=02_01.xlsx&amp;sheet=A0&amp;row=23&amp;col=11&amp;number=&amp;sourceID=11","")</f>
        <v/>
      </c>
      <c r="L23" s="4" t="str">
        <f>HYPERLINK("http://141.218.60.56/~jnz1568/getInfo.php?workbook=02_01.xlsx&amp;sheet=A0&amp;row=23&amp;col=12&amp;number=4.4989&amp;sourceID=11","4.4989")</f>
        <v>4.4989</v>
      </c>
      <c r="M23" s="4" t="str">
        <f>HYPERLINK("http://141.218.60.56/~jnz1568/getInfo.php?workbook=02_01.xlsx&amp;sheet=A0&amp;row=23&amp;col=13&amp;number=&amp;sourceID=11","")</f>
        <v/>
      </c>
      <c r="N23" s="4" t="str">
        <f>HYPERLINK("http://141.218.60.56/~jnz1568/getInfo.php?workbook=02_01.xlsx&amp;sheet=A0&amp;row=23&amp;col=14&amp;number=2677400000&amp;sourceID=12","2677400000")</f>
        <v>2677400000</v>
      </c>
      <c r="O23" s="4" t="str">
        <f>HYPERLINK("http://141.218.60.56/~jnz1568/getInfo.php?workbook=02_01.xlsx&amp;sheet=A0&amp;row=23&amp;col=15&amp;number=2677400000&amp;sourceID=12","2677400000")</f>
        <v>2677400000</v>
      </c>
      <c r="P23" s="4" t="str">
        <f>HYPERLINK("http://141.218.60.56/~jnz1568/getInfo.php?workbook=02_01.xlsx&amp;sheet=A0&amp;row=23&amp;col=16&amp;number=&amp;sourceID=12","")</f>
        <v/>
      </c>
      <c r="Q23" s="4" t="str">
        <f>HYPERLINK("http://141.218.60.56/~jnz1568/getInfo.php?workbook=02_01.xlsx&amp;sheet=A0&amp;row=23&amp;col=17&amp;number=&amp;sourceID=12","")</f>
        <v/>
      </c>
      <c r="R23" s="4" t="str">
        <f>HYPERLINK("http://141.218.60.56/~jnz1568/getInfo.php?workbook=02_01.xlsx&amp;sheet=A0&amp;row=23&amp;col=18&amp;number=&amp;sourceID=12","")</f>
        <v/>
      </c>
      <c r="S23" s="4" t="str">
        <f>HYPERLINK("http://141.218.60.56/~jnz1568/getInfo.php?workbook=02_01.xlsx&amp;sheet=A0&amp;row=23&amp;col=19&amp;number=4.4995&amp;sourceID=12","4.4995")</f>
        <v>4.4995</v>
      </c>
      <c r="T23" s="4" t="str">
        <f>HYPERLINK("http://141.218.60.56/~jnz1568/getInfo.php?workbook=02_01.xlsx&amp;sheet=A0&amp;row=23&amp;col=20&amp;number=&amp;sourceID=12","")</f>
        <v/>
      </c>
      <c r="U23" s="4" t="str">
        <f>HYPERLINK("http://141.218.60.56/~jnz1568/getInfo.php?workbook=02_01.xlsx&amp;sheet=A0&amp;row=23&amp;col=21&amp;number==SUM(V23:Z23)&amp;sourceID=13","=SUM(V23:Z23)")</f>
        <v>=SUM(V23:Z23)</v>
      </c>
      <c r="V23" s="4" t="str">
        <f>HYPERLINK("http://141.218.60.56/~jnz1568/getInfo.php?workbook=02_01.xlsx&amp;sheet=A0&amp;row=23&amp;col=22&amp;number=2680000000&amp;sourceID=13","2680000000")</f>
        <v>2680000000</v>
      </c>
      <c r="W23" s="4" t="str">
        <f>HYPERLINK("http://141.218.60.56/~jnz1568/getInfo.php?workbook=02_01.xlsx&amp;sheet=A0&amp;row=23&amp;col=23&amp;number=&amp;sourceID=13","")</f>
        <v/>
      </c>
      <c r="X23" s="4" t="str">
        <f>HYPERLINK("http://141.218.60.56/~jnz1568/getInfo.php?workbook=02_01.xlsx&amp;sheet=A0&amp;row=23&amp;col=24&amp;number=&amp;sourceID=13","")</f>
        <v/>
      </c>
      <c r="Y23" s="4" t="str">
        <f>HYPERLINK("http://141.218.60.56/~jnz1568/getInfo.php?workbook=02_01.xlsx&amp;sheet=A0&amp;row=23&amp;col=25&amp;number=&amp;sourceID=13","")</f>
        <v/>
      </c>
      <c r="Z23" s="4" t="str">
        <f>HYPERLINK("http://141.218.60.56/~jnz1568/getInfo.php?workbook=02_01.xlsx&amp;sheet=A0&amp;row=23&amp;col=26&amp;number=&amp;sourceID=13","")</f>
        <v/>
      </c>
      <c r="AA23" s="4" t="str">
        <f>HYPERLINK("http://141.218.60.56/~jnz1568/getInfo.php?workbook=02_01.xlsx&amp;sheet=A0&amp;row=23&amp;col=27&amp;number=2677100000&amp;sourceID=20","2677100000")</f>
        <v>2677100000</v>
      </c>
    </row>
    <row r="24" spans="1:27">
      <c r="A24" s="3">
        <v>2</v>
      </c>
      <c r="B24" s="3">
        <v>1</v>
      </c>
      <c r="C24" s="3">
        <v>8</v>
      </c>
      <c r="D24" s="3">
        <v>2</v>
      </c>
      <c r="E24" s="3">
        <f>((1/(INDEX(E0!J$4:J$28,C24,1)-INDEX(E0!J$4:J$28,D24,1))))*100000000</f>
        <v>0</v>
      </c>
      <c r="F24" s="4" t="str">
        <f>HYPERLINK("http://141.218.60.56/~jnz1568/getInfo.php?workbook=02_01.xlsx&amp;sheet=A0&amp;row=24&amp;col=6&amp;number=&amp;sourceID=18","")</f>
        <v/>
      </c>
      <c r="G24" s="4" t="str">
        <f>HYPERLINK("http://141.218.60.56/~jnz1568/getInfo.php?workbook=02_01.xlsx&amp;sheet=A0&amp;row=24&amp;col=7&amp;number==&amp;sourceID=11","=")</f>
        <v>=</v>
      </c>
      <c r="H24" s="4" t="str">
        <f>HYPERLINK("http://141.218.60.56/~jnz1568/getInfo.php?workbook=02_01.xlsx&amp;sheet=A0&amp;row=24&amp;col=8&amp;number=&amp;sourceID=11","")</f>
        <v/>
      </c>
      <c r="I24" s="4" t="str">
        <f>HYPERLINK("http://141.218.60.56/~jnz1568/getInfo.php?workbook=02_01.xlsx&amp;sheet=A0&amp;row=24&amp;col=9&amp;number=765.44&amp;sourceID=11","765.44")</f>
        <v>765.44</v>
      </c>
      <c r="J24" s="4" t="str">
        <f>HYPERLINK("http://141.218.60.56/~jnz1568/getInfo.php?workbook=02_01.xlsx&amp;sheet=A0&amp;row=24&amp;col=10&amp;number=&amp;sourceID=11","")</f>
        <v/>
      </c>
      <c r="K24" s="4" t="str">
        <f>HYPERLINK("http://141.218.60.56/~jnz1568/getInfo.php?workbook=02_01.xlsx&amp;sheet=A0&amp;row=24&amp;col=11&amp;number=3.4636e-06&amp;sourceID=11","3.4636e-06")</f>
        <v>3.4636e-06</v>
      </c>
      <c r="L24" s="4" t="str">
        <f>HYPERLINK("http://141.218.60.56/~jnz1568/getInfo.php?workbook=02_01.xlsx&amp;sheet=A0&amp;row=24&amp;col=12&amp;number=&amp;sourceID=11","")</f>
        <v/>
      </c>
      <c r="M24" s="4" t="str">
        <f>HYPERLINK("http://141.218.60.56/~jnz1568/getInfo.php?workbook=02_01.xlsx&amp;sheet=A0&amp;row=24&amp;col=13&amp;number=&amp;sourceID=11","")</f>
        <v/>
      </c>
      <c r="N24" s="4" t="str">
        <f>HYPERLINK("http://141.218.60.56/~jnz1568/getInfo.php?workbook=02_01.xlsx&amp;sheet=A0&amp;row=24&amp;col=14&amp;number=765.54&amp;sourceID=12","765.54")</f>
        <v>765.54</v>
      </c>
      <c r="O24" s="4" t="str">
        <f>HYPERLINK("http://141.218.60.56/~jnz1568/getInfo.php?workbook=02_01.xlsx&amp;sheet=A0&amp;row=24&amp;col=15&amp;number=&amp;sourceID=12","")</f>
        <v/>
      </c>
      <c r="P24" s="4" t="str">
        <f>HYPERLINK("http://141.218.60.56/~jnz1568/getInfo.php?workbook=02_01.xlsx&amp;sheet=A0&amp;row=24&amp;col=16&amp;number=765.54&amp;sourceID=12","765.54")</f>
        <v>765.54</v>
      </c>
      <c r="Q24" s="4" t="str">
        <f>HYPERLINK("http://141.218.60.56/~jnz1568/getInfo.php?workbook=02_01.xlsx&amp;sheet=A0&amp;row=24&amp;col=17&amp;number=&amp;sourceID=12","")</f>
        <v/>
      </c>
      <c r="R24" s="4" t="str">
        <f>HYPERLINK("http://141.218.60.56/~jnz1568/getInfo.php?workbook=02_01.xlsx&amp;sheet=A0&amp;row=24&amp;col=18&amp;number=3.4637e-06&amp;sourceID=12","3.4637e-06")</f>
        <v>3.4637e-06</v>
      </c>
      <c r="S24" s="4" t="str">
        <f>HYPERLINK("http://141.218.60.56/~jnz1568/getInfo.php?workbook=02_01.xlsx&amp;sheet=A0&amp;row=24&amp;col=19&amp;number=&amp;sourceID=12","")</f>
        <v/>
      </c>
      <c r="T24" s="4" t="str">
        <f>HYPERLINK("http://141.218.60.56/~jnz1568/getInfo.php?workbook=02_01.xlsx&amp;sheet=A0&amp;row=24&amp;col=20&amp;number=&amp;sourceID=12","")</f>
        <v/>
      </c>
      <c r="U24" s="4" t="str">
        <f>HYPERLINK("http://141.218.60.56/~jnz1568/getInfo.php?workbook=02_01.xlsx&amp;sheet=A0&amp;row=24&amp;col=21&amp;number==SUM(V24:Z24)&amp;sourceID=13","=SUM(V24:Z24)")</f>
        <v>=SUM(V24:Z24)</v>
      </c>
      <c r="V24" s="4" t="str">
        <f>HYPERLINK("http://141.218.60.56/~jnz1568/getInfo.php?workbook=02_01.xlsx&amp;sheet=A0&amp;row=24&amp;col=22&amp;number=&amp;sourceID=13","")</f>
        <v/>
      </c>
      <c r="W24" s="4" t="str">
        <f>HYPERLINK("http://141.218.60.56/~jnz1568/getInfo.php?workbook=02_01.xlsx&amp;sheet=A0&amp;row=24&amp;col=23&amp;number=765&amp;sourceID=13","765")</f>
        <v>765</v>
      </c>
      <c r="X24" s="4" t="str">
        <f>HYPERLINK("http://141.218.60.56/~jnz1568/getInfo.php?workbook=02_01.xlsx&amp;sheet=A0&amp;row=24&amp;col=24&amp;number=&amp;sourceID=13","")</f>
        <v/>
      </c>
      <c r="Y24" s="4" t="str">
        <f>HYPERLINK("http://141.218.60.56/~jnz1568/getInfo.php?workbook=02_01.xlsx&amp;sheet=A0&amp;row=24&amp;col=25&amp;number=3.02e-06&amp;sourceID=13","3.02e-06")</f>
        <v>3.02e-06</v>
      </c>
      <c r="Z24" s="4" t="str">
        <f>HYPERLINK("http://141.218.60.56/~jnz1568/getInfo.php?workbook=02_01.xlsx&amp;sheet=A0&amp;row=24&amp;col=26&amp;number=&amp;sourceID=13","")</f>
        <v/>
      </c>
      <c r="AA24" s="4" t="str">
        <f>HYPERLINK("http://141.218.60.56/~jnz1568/getInfo.php?workbook=02_01.xlsx&amp;sheet=A0&amp;row=24&amp;col=27&amp;number=765.44&amp;sourceID=20","765.44")</f>
        <v>765.44</v>
      </c>
    </row>
    <row r="25" spans="1:27">
      <c r="A25" s="3">
        <v>2</v>
      </c>
      <c r="B25" s="3">
        <v>1</v>
      </c>
      <c r="C25" s="3">
        <v>8</v>
      </c>
      <c r="D25" s="3">
        <v>3</v>
      </c>
      <c r="E25" s="3">
        <f>((1/(INDEX(E0!J$4:J$28,C25,1)-INDEX(E0!J$4:J$28,D25,1))))*100000000</f>
        <v>0</v>
      </c>
      <c r="F25" s="4" t="str">
        <f>HYPERLINK("http://141.218.60.56/~jnz1568/getInfo.php?workbook=02_01.xlsx&amp;sheet=A0&amp;row=25&amp;col=6&amp;number=&amp;sourceID=18","")</f>
        <v/>
      </c>
      <c r="G25" s="4" t="str">
        <f>HYPERLINK("http://141.218.60.56/~jnz1568/getInfo.php?workbook=02_01.xlsx&amp;sheet=A0&amp;row=25&amp;col=7&amp;number==&amp;sourceID=11","=")</f>
        <v>=</v>
      </c>
      <c r="H25" s="4" t="str">
        <f>HYPERLINK("http://141.218.60.56/~jnz1568/getInfo.php?workbook=02_01.xlsx&amp;sheet=A0&amp;row=25&amp;col=8&amp;number=359300000&amp;sourceID=11","359300000")</f>
        <v>359300000</v>
      </c>
      <c r="I25" s="4" t="str">
        <f>HYPERLINK("http://141.218.60.56/~jnz1568/getInfo.php?workbook=02_01.xlsx&amp;sheet=A0&amp;row=25&amp;col=9&amp;number=&amp;sourceID=11","")</f>
        <v/>
      </c>
      <c r="J25" s="4" t="str">
        <f>HYPERLINK("http://141.218.60.56/~jnz1568/getInfo.php?workbook=02_01.xlsx&amp;sheet=A0&amp;row=25&amp;col=10&amp;number=&amp;sourceID=11","")</f>
        <v/>
      </c>
      <c r="K25" s="4" t="str">
        <f>HYPERLINK("http://141.218.60.56/~jnz1568/getInfo.php?workbook=02_01.xlsx&amp;sheet=A0&amp;row=25&amp;col=11&amp;number=&amp;sourceID=11","")</f>
        <v/>
      </c>
      <c r="L25" s="4" t="str">
        <f>HYPERLINK("http://141.218.60.56/~jnz1568/getInfo.php?workbook=02_01.xlsx&amp;sheet=A0&amp;row=25&amp;col=12&amp;number=0.014744&amp;sourceID=11","0.014744")</f>
        <v>0.014744</v>
      </c>
      <c r="M25" s="4" t="str">
        <f>HYPERLINK("http://141.218.60.56/~jnz1568/getInfo.php?workbook=02_01.xlsx&amp;sheet=A0&amp;row=25&amp;col=13&amp;number=&amp;sourceID=11","")</f>
        <v/>
      </c>
      <c r="N25" s="4" t="str">
        <f>HYPERLINK("http://141.218.60.56/~jnz1568/getInfo.php?workbook=02_01.xlsx&amp;sheet=A0&amp;row=25&amp;col=14&amp;number=359350000&amp;sourceID=12","359350000")</f>
        <v>359350000</v>
      </c>
      <c r="O25" s="4" t="str">
        <f>HYPERLINK("http://141.218.60.56/~jnz1568/getInfo.php?workbook=02_01.xlsx&amp;sheet=A0&amp;row=25&amp;col=15&amp;number=359350000&amp;sourceID=12","359350000")</f>
        <v>359350000</v>
      </c>
      <c r="P25" s="4" t="str">
        <f>HYPERLINK("http://141.218.60.56/~jnz1568/getInfo.php?workbook=02_01.xlsx&amp;sheet=A0&amp;row=25&amp;col=16&amp;number=&amp;sourceID=12","")</f>
        <v/>
      </c>
      <c r="Q25" s="4" t="str">
        <f>HYPERLINK("http://141.218.60.56/~jnz1568/getInfo.php?workbook=02_01.xlsx&amp;sheet=A0&amp;row=25&amp;col=17&amp;number=&amp;sourceID=12","")</f>
        <v/>
      </c>
      <c r="R25" s="4" t="str">
        <f>HYPERLINK("http://141.218.60.56/~jnz1568/getInfo.php?workbook=02_01.xlsx&amp;sheet=A0&amp;row=25&amp;col=18&amp;number=&amp;sourceID=12","")</f>
        <v/>
      </c>
      <c r="S25" s="4" t="str">
        <f>HYPERLINK("http://141.218.60.56/~jnz1568/getInfo.php?workbook=02_01.xlsx&amp;sheet=A0&amp;row=25&amp;col=19&amp;number=0.014746&amp;sourceID=12","0.014746")</f>
        <v>0.014746</v>
      </c>
      <c r="T25" s="4" t="str">
        <f>HYPERLINK("http://141.218.60.56/~jnz1568/getInfo.php?workbook=02_01.xlsx&amp;sheet=A0&amp;row=25&amp;col=20&amp;number=&amp;sourceID=12","")</f>
        <v/>
      </c>
      <c r="U25" s="4" t="str">
        <f>HYPERLINK("http://141.218.60.56/~jnz1568/getInfo.php?workbook=02_01.xlsx&amp;sheet=A0&amp;row=25&amp;col=21&amp;number==SUM(V25:Z25)&amp;sourceID=13","=SUM(V25:Z25)")</f>
        <v>=SUM(V25:Z25)</v>
      </c>
      <c r="V25" s="4" t="str">
        <f>HYPERLINK("http://141.218.60.56/~jnz1568/getInfo.php?workbook=02_01.xlsx&amp;sheet=A0&amp;row=25&amp;col=22&amp;number=359000000&amp;sourceID=13","359000000")</f>
        <v>359000000</v>
      </c>
      <c r="W25" s="4" t="str">
        <f>HYPERLINK("http://141.218.60.56/~jnz1568/getInfo.php?workbook=02_01.xlsx&amp;sheet=A0&amp;row=25&amp;col=23&amp;number=&amp;sourceID=13","")</f>
        <v/>
      </c>
      <c r="X25" s="4" t="str">
        <f>HYPERLINK("http://141.218.60.56/~jnz1568/getInfo.php?workbook=02_01.xlsx&amp;sheet=A0&amp;row=25&amp;col=24&amp;number=&amp;sourceID=13","")</f>
        <v/>
      </c>
      <c r="Y25" s="4" t="str">
        <f>HYPERLINK("http://141.218.60.56/~jnz1568/getInfo.php?workbook=02_01.xlsx&amp;sheet=A0&amp;row=25&amp;col=25&amp;number=&amp;sourceID=13","")</f>
        <v/>
      </c>
      <c r="Z25" s="4" t="str">
        <f>HYPERLINK("http://141.218.60.56/~jnz1568/getInfo.php?workbook=02_01.xlsx&amp;sheet=A0&amp;row=25&amp;col=26&amp;number=&amp;sourceID=13","")</f>
        <v/>
      </c>
      <c r="AA25" s="4" t="str">
        <f>HYPERLINK("http://141.218.60.56/~jnz1568/getInfo.php?workbook=02_01.xlsx&amp;sheet=A0&amp;row=25&amp;col=27&amp;number=359300000&amp;sourceID=20","359300000")</f>
        <v>359300000</v>
      </c>
    </row>
    <row r="26" spans="1:27">
      <c r="A26" s="3">
        <v>2</v>
      </c>
      <c r="B26" s="3">
        <v>1</v>
      </c>
      <c r="C26" s="3">
        <v>8</v>
      </c>
      <c r="D26" s="3">
        <v>4</v>
      </c>
      <c r="E26" s="3">
        <f>((1/(INDEX(E0!J$4:J$28,C26,1)-INDEX(E0!J$4:J$28,D26,1))))*100000000</f>
        <v>0</v>
      </c>
      <c r="F26" s="4" t="str">
        <f>HYPERLINK("http://141.218.60.56/~jnz1568/getInfo.php?workbook=02_01.xlsx&amp;sheet=A0&amp;row=26&amp;col=6&amp;number=&amp;sourceID=18","")</f>
        <v/>
      </c>
      <c r="G26" s="4" t="str">
        <f>HYPERLINK("http://141.218.60.56/~jnz1568/getInfo.php?workbook=02_01.xlsx&amp;sheet=A0&amp;row=26&amp;col=7&amp;number==&amp;sourceID=11","=")</f>
        <v>=</v>
      </c>
      <c r="H26" s="4" t="str">
        <f>HYPERLINK("http://141.218.60.56/~jnz1568/getInfo.php?workbook=02_01.xlsx&amp;sheet=A0&amp;row=26&amp;col=8&amp;number=&amp;sourceID=11","")</f>
        <v/>
      </c>
      <c r="I26" s="4" t="str">
        <f>HYPERLINK("http://141.218.60.56/~jnz1568/getInfo.php?workbook=02_01.xlsx&amp;sheet=A0&amp;row=26&amp;col=9&amp;number=765.36&amp;sourceID=11","765.36")</f>
        <v>765.36</v>
      </c>
      <c r="J26" s="4" t="str">
        <f>HYPERLINK("http://141.218.60.56/~jnz1568/getInfo.php?workbook=02_01.xlsx&amp;sheet=A0&amp;row=26&amp;col=10&amp;number=&amp;sourceID=11","")</f>
        <v/>
      </c>
      <c r="K26" s="4" t="str">
        <f>HYPERLINK("http://141.218.60.56/~jnz1568/getInfo.php?workbook=02_01.xlsx&amp;sheet=A0&amp;row=26&amp;col=11&amp;number=3.6154e-06&amp;sourceID=11","3.6154e-06")</f>
        <v>3.6154e-06</v>
      </c>
      <c r="L26" s="4" t="str">
        <f>HYPERLINK("http://141.218.60.56/~jnz1568/getInfo.php?workbook=02_01.xlsx&amp;sheet=A0&amp;row=26&amp;col=12&amp;number=&amp;sourceID=11","")</f>
        <v/>
      </c>
      <c r="M26" s="4" t="str">
        <f>HYPERLINK("http://141.218.60.56/~jnz1568/getInfo.php?workbook=02_01.xlsx&amp;sheet=A0&amp;row=26&amp;col=13&amp;number=6.6987e-08&amp;sourceID=11","6.6987e-08")</f>
        <v>6.6987e-08</v>
      </c>
      <c r="N26" s="4" t="str">
        <f>HYPERLINK("http://141.218.60.56/~jnz1568/getInfo.php?workbook=02_01.xlsx&amp;sheet=A0&amp;row=26&amp;col=14&amp;number=765.47&amp;sourceID=12","765.47")</f>
        <v>765.47</v>
      </c>
      <c r="O26" s="4" t="str">
        <f>HYPERLINK("http://141.218.60.56/~jnz1568/getInfo.php?workbook=02_01.xlsx&amp;sheet=A0&amp;row=26&amp;col=15&amp;number=&amp;sourceID=12","")</f>
        <v/>
      </c>
      <c r="P26" s="4" t="str">
        <f>HYPERLINK("http://141.218.60.56/~jnz1568/getInfo.php?workbook=02_01.xlsx&amp;sheet=A0&amp;row=26&amp;col=16&amp;number=765.47&amp;sourceID=12","765.47")</f>
        <v>765.47</v>
      </c>
      <c r="Q26" s="4" t="str">
        <f>HYPERLINK("http://141.218.60.56/~jnz1568/getInfo.php?workbook=02_01.xlsx&amp;sheet=A0&amp;row=26&amp;col=17&amp;number=&amp;sourceID=12","")</f>
        <v/>
      </c>
      <c r="R26" s="4" t="str">
        <f>HYPERLINK("http://141.218.60.56/~jnz1568/getInfo.php?workbook=02_01.xlsx&amp;sheet=A0&amp;row=26&amp;col=18&amp;number=3.6179e-06&amp;sourceID=12","3.6179e-06")</f>
        <v>3.6179e-06</v>
      </c>
      <c r="S26" s="4" t="str">
        <f>HYPERLINK("http://141.218.60.56/~jnz1568/getInfo.php?workbook=02_01.xlsx&amp;sheet=A0&amp;row=26&amp;col=19&amp;number=&amp;sourceID=12","")</f>
        <v/>
      </c>
      <c r="T26" s="4" t="str">
        <f>HYPERLINK("http://141.218.60.56/~jnz1568/getInfo.php?workbook=02_01.xlsx&amp;sheet=A0&amp;row=26&amp;col=20&amp;number=6.6997e-08&amp;sourceID=12","6.6997e-08")</f>
        <v>6.6997e-08</v>
      </c>
      <c r="U26" s="4" t="str">
        <f>HYPERLINK("http://141.218.60.56/~jnz1568/getInfo.php?workbook=02_01.xlsx&amp;sheet=A0&amp;row=26&amp;col=21&amp;number==SUM(V26:Z26)&amp;sourceID=13","=SUM(V26:Z26)")</f>
        <v>=SUM(V26:Z26)</v>
      </c>
      <c r="V26" s="4" t="str">
        <f>HYPERLINK("http://141.218.60.56/~jnz1568/getInfo.php?workbook=02_01.xlsx&amp;sheet=A0&amp;row=26&amp;col=22&amp;number=&amp;sourceID=13","")</f>
        <v/>
      </c>
      <c r="W26" s="4" t="str">
        <f>HYPERLINK("http://141.218.60.56/~jnz1568/getInfo.php?workbook=02_01.xlsx&amp;sheet=A0&amp;row=26&amp;col=23&amp;number=765&amp;sourceID=13","765")</f>
        <v>765</v>
      </c>
      <c r="X26" s="4" t="str">
        <f>HYPERLINK("http://141.218.60.56/~jnz1568/getInfo.php?workbook=02_01.xlsx&amp;sheet=A0&amp;row=26&amp;col=24&amp;number=&amp;sourceID=13","")</f>
        <v/>
      </c>
      <c r="Y26" s="4" t="str">
        <f>HYPERLINK("http://141.218.60.56/~jnz1568/getInfo.php?workbook=02_01.xlsx&amp;sheet=A0&amp;row=26&amp;col=25&amp;number=3.62e-06&amp;sourceID=13","3.62e-06")</f>
        <v>3.62e-06</v>
      </c>
      <c r="Z26" s="4" t="str">
        <f>HYPERLINK("http://141.218.60.56/~jnz1568/getInfo.php?workbook=02_01.xlsx&amp;sheet=A0&amp;row=26&amp;col=26&amp;number=&amp;sourceID=13","")</f>
        <v/>
      </c>
      <c r="AA26" s="4" t="str">
        <f>HYPERLINK("http://141.218.60.56/~jnz1568/getInfo.php?workbook=02_01.xlsx&amp;sheet=A0&amp;row=26&amp;col=27&amp;number=765.36&amp;sourceID=20","765.36")</f>
        <v>765.36</v>
      </c>
    </row>
    <row r="27" spans="1:27">
      <c r="A27" s="3">
        <v>2</v>
      </c>
      <c r="B27" s="3">
        <v>1</v>
      </c>
      <c r="C27" s="3">
        <v>8</v>
      </c>
      <c r="D27" s="3">
        <v>5</v>
      </c>
      <c r="E27" s="3">
        <f>((1/(INDEX(E0!J$4:J$28,C27,1)-INDEX(E0!J$4:J$28,D27,1))))*100000000</f>
        <v>0</v>
      </c>
      <c r="F27" s="4" t="str">
        <f>HYPERLINK("http://141.218.60.56/~jnz1568/getInfo.php?workbook=02_01.xlsx&amp;sheet=A0&amp;row=27&amp;col=6&amp;number=&amp;sourceID=18","")</f>
        <v/>
      </c>
      <c r="G27" s="4" t="str">
        <f>HYPERLINK("http://141.218.60.56/~jnz1568/getInfo.php?workbook=02_01.xlsx&amp;sheet=A0&amp;row=27&amp;col=7&amp;number==&amp;sourceID=11","=")</f>
        <v>=</v>
      </c>
      <c r="H27" s="4" t="str">
        <f>HYPERLINK("http://141.218.60.56/~jnz1568/getInfo.php?workbook=02_01.xlsx&amp;sheet=A0&amp;row=27&amp;col=8&amp;number=&amp;sourceID=11","")</f>
        <v/>
      </c>
      <c r="I27" s="4" t="str">
        <f>HYPERLINK("http://141.218.60.56/~jnz1568/getInfo.php?workbook=02_01.xlsx&amp;sheet=A0&amp;row=27&amp;col=9&amp;number=0&amp;sourceID=11","0")</f>
        <v>0</v>
      </c>
      <c r="J27" s="4" t="str">
        <f>HYPERLINK("http://141.218.60.56/~jnz1568/getInfo.php?workbook=02_01.xlsx&amp;sheet=A0&amp;row=27&amp;col=10&amp;number=&amp;sourceID=11","")</f>
        <v/>
      </c>
      <c r="K27" s="4" t="str">
        <f>HYPERLINK("http://141.218.60.56/~jnz1568/getInfo.php?workbook=02_01.xlsx&amp;sheet=A0&amp;row=27&amp;col=11&amp;number=4.6684e-11&amp;sourceID=11","4.6684e-11")</f>
        <v>4.6684e-11</v>
      </c>
      <c r="L27" s="4" t="str">
        <f>HYPERLINK("http://141.218.60.56/~jnz1568/getInfo.php?workbook=02_01.xlsx&amp;sheet=A0&amp;row=27&amp;col=12&amp;number=&amp;sourceID=11","")</f>
        <v/>
      </c>
      <c r="M27" s="4" t="str">
        <f>HYPERLINK("http://141.218.60.56/~jnz1568/getInfo.php?workbook=02_01.xlsx&amp;sheet=A0&amp;row=27&amp;col=13&amp;number=&amp;sourceID=11","")</f>
        <v/>
      </c>
      <c r="N27" s="4" t="str">
        <f>HYPERLINK("http://141.218.60.56/~jnz1568/getInfo.php?workbook=02_01.xlsx&amp;sheet=A0&amp;row=27&amp;col=14&amp;number=4.6692e-11&amp;sourceID=12","4.6692e-11")</f>
        <v>4.6692e-11</v>
      </c>
      <c r="O27" s="4" t="str">
        <f>HYPERLINK("http://141.218.60.56/~jnz1568/getInfo.php?workbook=02_01.xlsx&amp;sheet=A0&amp;row=27&amp;col=15&amp;number=&amp;sourceID=12","")</f>
        <v/>
      </c>
      <c r="P27" s="4" t="str">
        <f>HYPERLINK("http://141.218.60.56/~jnz1568/getInfo.php?workbook=02_01.xlsx&amp;sheet=A0&amp;row=27&amp;col=16&amp;number=0&amp;sourceID=12","0")</f>
        <v>0</v>
      </c>
      <c r="Q27" s="4" t="str">
        <f>HYPERLINK("http://141.218.60.56/~jnz1568/getInfo.php?workbook=02_01.xlsx&amp;sheet=A0&amp;row=27&amp;col=17&amp;number=&amp;sourceID=12","")</f>
        <v/>
      </c>
      <c r="R27" s="4" t="str">
        <f>HYPERLINK("http://141.218.60.56/~jnz1568/getInfo.php?workbook=02_01.xlsx&amp;sheet=A0&amp;row=27&amp;col=18&amp;number=4.6692e-11&amp;sourceID=12","4.6692e-11")</f>
        <v>4.6692e-11</v>
      </c>
      <c r="S27" s="4" t="str">
        <f>HYPERLINK("http://141.218.60.56/~jnz1568/getInfo.php?workbook=02_01.xlsx&amp;sheet=A0&amp;row=27&amp;col=19&amp;number=&amp;sourceID=12","")</f>
        <v/>
      </c>
      <c r="T27" s="4" t="str">
        <f>HYPERLINK("http://141.218.60.56/~jnz1568/getInfo.php?workbook=02_01.xlsx&amp;sheet=A0&amp;row=27&amp;col=20&amp;number=&amp;sourceID=12","")</f>
        <v/>
      </c>
      <c r="U27" s="4" t="str">
        <f>HYPERLINK("http://141.218.60.56/~jnz1568/getInfo.php?workbook=02_01.xlsx&amp;sheet=A0&amp;row=27&amp;col=21&amp;number=&amp;sourceID=13","")</f>
        <v/>
      </c>
      <c r="V27" s="4" t="str">
        <f>HYPERLINK("http://141.218.60.56/~jnz1568/getInfo.php?workbook=02_01.xlsx&amp;sheet=A0&amp;row=27&amp;col=22&amp;number=&amp;sourceID=13","")</f>
        <v/>
      </c>
      <c r="W27" s="4" t="str">
        <f>HYPERLINK("http://141.218.60.56/~jnz1568/getInfo.php?workbook=02_01.xlsx&amp;sheet=A0&amp;row=27&amp;col=23&amp;number=&amp;sourceID=13","")</f>
        <v/>
      </c>
      <c r="X27" s="4" t="str">
        <f>HYPERLINK("http://141.218.60.56/~jnz1568/getInfo.php?workbook=02_01.xlsx&amp;sheet=A0&amp;row=27&amp;col=24&amp;number=&amp;sourceID=13","")</f>
        <v/>
      </c>
      <c r="Y27" s="4" t="str">
        <f>HYPERLINK("http://141.218.60.56/~jnz1568/getInfo.php?workbook=02_01.xlsx&amp;sheet=A0&amp;row=27&amp;col=25&amp;number=&amp;sourceID=13","")</f>
        <v/>
      </c>
      <c r="Z27" s="4" t="str">
        <f>HYPERLINK("http://141.218.60.56/~jnz1568/getInfo.php?workbook=02_01.xlsx&amp;sheet=A0&amp;row=27&amp;col=26&amp;number=&amp;sourceID=13","")</f>
        <v/>
      </c>
      <c r="AA27" s="4" t="str">
        <f>HYPERLINK("http://141.218.60.56/~jnz1568/getInfo.php?workbook=02_01.xlsx&amp;sheet=A0&amp;row=27&amp;col=27&amp;number=&amp;sourceID=20","")</f>
        <v/>
      </c>
    </row>
    <row r="28" spans="1:27">
      <c r="A28" s="3">
        <v>2</v>
      </c>
      <c r="B28" s="3">
        <v>1</v>
      </c>
      <c r="C28" s="3">
        <v>8</v>
      </c>
      <c r="D28" s="3">
        <v>6</v>
      </c>
      <c r="E28" s="3">
        <f>((1/(INDEX(E0!J$4:J$28,C28,1)-INDEX(E0!J$4:J$28,D28,1))))*100000000</f>
        <v>0</v>
      </c>
      <c r="F28" s="4" t="str">
        <f>HYPERLINK("http://141.218.60.56/~jnz1568/getInfo.php?workbook=02_01.xlsx&amp;sheet=A0&amp;row=28&amp;col=6&amp;number=&amp;sourceID=18","")</f>
        <v/>
      </c>
      <c r="G28" s="4" t="str">
        <f>HYPERLINK("http://141.218.60.56/~jnz1568/getInfo.php?workbook=02_01.xlsx&amp;sheet=A0&amp;row=28&amp;col=7&amp;number==&amp;sourceID=11","=")</f>
        <v>=</v>
      </c>
      <c r="H28" s="4" t="str">
        <f>HYPERLINK("http://141.218.60.56/~jnz1568/getInfo.php?workbook=02_01.xlsx&amp;sheet=A0&amp;row=28&amp;col=8&amp;number=0.00014201&amp;sourceID=11","0.00014201")</f>
        <v>0.00014201</v>
      </c>
      <c r="I28" s="4" t="str">
        <f>HYPERLINK("http://141.218.60.56/~jnz1568/getInfo.php?workbook=02_01.xlsx&amp;sheet=A0&amp;row=28&amp;col=9&amp;number=&amp;sourceID=11","")</f>
        <v/>
      </c>
      <c r="J28" s="4" t="str">
        <f>HYPERLINK("http://141.218.60.56/~jnz1568/getInfo.php?workbook=02_01.xlsx&amp;sheet=A0&amp;row=28&amp;col=10&amp;number=&amp;sourceID=11","")</f>
        <v/>
      </c>
      <c r="K28" s="4" t="str">
        <f>HYPERLINK("http://141.218.60.56/~jnz1568/getInfo.php?workbook=02_01.xlsx&amp;sheet=A0&amp;row=28&amp;col=11&amp;number=&amp;sourceID=11","")</f>
        <v/>
      </c>
      <c r="L28" s="4" t="str">
        <f>HYPERLINK("http://141.218.60.56/~jnz1568/getInfo.php?workbook=02_01.xlsx&amp;sheet=A0&amp;row=28&amp;col=12&amp;number=0&amp;sourceID=11","0")</f>
        <v>0</v>
      </c>
      <c r="M28" s="4" t="str">
        <f>HYPERLINK("http://141.218.60.56/~jnz1568/getInfo.php?workbook=02_01.xlsx&amp;sheet=A0&amp;row=28&amp;col=13&amp;number=&amp;sourceID=11","")</f>
        <v/>
      </c>
      <c r="N28" s="4" t="str">
        <f>HYPERLINK("http://141.218.60.56/~jnz1568/getInfo.php?workbook=02_01.xlsx&amp;sheet=A0&amp;row=28&amp;col=14&amp;number=0.00014204&amp;sourceID=12","0.00014204")</f>
        <v>0.00014204</v>
      </c>
      <c r="O28" s="4" t="str">
        <f>HYPERLINK("http://141.218.60.56/~jnz1568/getInfo.php?workbook=02_01.xlsx&amp;sheet=A0&amp;row=28&amp;col=15&amp;number=0.00014204&amp;sourceID=12","0.00014204")</f>
        <v>0.00014204</v>
      </c>
      <c r="P28" s="4" t="str">
        <f>HYPERLINK("http://141.218.60.56/~jnz1568/getInfo.php?workbook=02_01.xlsx&amp;sheet=A0&amp;row=28&amp;col=16&amp;number=&amp;sourceID=12","")</f>
        <v/>
      </c>
      <c r="Q28" s="4" t="str">
        <f>HYPERLINK("http://141.218.60.56/~jnz1568/getInfo.php?workbook=02_01.xlsx&amp;sheet=A0&amp;row=28&amp;col=17&amp;number=&amp;sourceID=12","")</f>
        <v/>
      </c>
      <c r="R28" s="4" t="str">
        <f>HYPERLINK("http://141.218.60.56/~jnz1568/getInfo.php?workbook=02_01.xlsx&amp;sheet=A0&amp;row=28&amp;col=18&amp;number=&amp;sourceID=12","")</f>
        <v/>
      </c>
      <c r="S28" s="4" t="str">
        <f>HYPERLINK("http://141.218.60.56/~jnz1568/getInfo.php?workbook=02_01.xlsx&amp;sheet=A0&amp;row=28&amp;col=19&amp;number=0&amp;sourceID=12","0")</f>
        <v>0</v>
      </c>
      <c r="T28" s="4" t="str">
        <f>HYPERLINK("http://141.218.60.56/~jnz1568/getInfo.php?workbook=02_01.xlsx&amp;sheet=A0&amp;row=28&amp;col=20&amp;number=&amp;sourceID=12","")</f>
        <v/>
      </c>
      <c r="U28" s="4" t="str">
        <f>HYPERLINK("http://141.218.60.56/~jnz1568/getInfo.php?workbook=02_01.xlsx&amp;sheet=A0&amp;row=28&amp;col=21&amp;number=&amp;sourceID=13","")</f>
        <v/>
      </c>
      <c r="V28" s="4" t="str">
        <f>HYPERLINK("http://141.218.60.56/~jnz1568/getInfo.php?workbook=02_01.xlsx&amp;sheet=A0&amp;row=28&amp;col=22&amp;number=&amp;sourceID=13","")</f>
        <v/>
      </c>
      <c r="W28" s="4" t="str">
        <f>HYPERLINK("http://141.218.60.56/~jnz1568/getInfo.php?workbook=02_01.xlsx&amp;sheet=A0&amp;row=28&amp;col=23&amp;number=&amp;sourceID=13","")</f>
        <v/>
      </c>
      <c r="X28" s="4" t="str">
        <f>HYPERLINK("http://141.218.60.56/~jnz1568/getInfo.php?workbook=02_01.xlsx&amp;sheet=A0&amp;row=28&amp;col=24&amp;number=&amp;sourceID=13","")</f>
        <v/>
      </c>
      <c r="Y28" s="4" t="str">
        <f>HYPERLINK("http://141.218.60.56/~jnz1568/getInfo.php?workbook=02_01.xlsx&amp;sheet=A0&amp;row=28&amp;col=25&amp;number=&amp;sourceID=13","")</f>
        <v/>
      </c>
      <c r="Z28" s="4" t="str">
        <f>HYPERLINK("http://141.218.60.56/~jnz1568/getInfo.php?workbook=02_01.xlsx&amp;sheet=A0&amp;row=28&amp;col=26&amp;number=&amp;sourceID=13","")</f>
        <v/>
      </c>
      <c r="AA28" s="4" t="str">
        <f>HYPERLINK("http://141.218.60.56/~jnz1568/getInfo.php?workbook=02_01.xlsx&amp;sheet=A0&amp;row=28&amp;col=27&amp;number=&amp;sourceID=20","")</f>
        <v/>
      </c>
    </row>
    <row r="29" spans="1:27">
      <c r="A29" s="3">
        <v>2</v>
      </c>
      <c r="B29" s="3">
        <v>1</v>
      </c>
      <c r="C29" s="3">
        <v>9</v>
      </c>
      <c r="D29" s="3">
        <v>1</v>
      </c>
      <c r="E29" s="3">
        <f>((1/(INDEX(E0!J$4:J$28,C29,1)-INDEX(E0!J$4:J$28,D29,1))))*100000000</f>
        <v>0</v>
      </c>
      <c r="F29" s="4" t="str">
        <f>HYPERLINK("http://141.218.60.56/~jnz1568/getInfo.php?workbook=02_01.xlsx&amp;sheet=A0&amp;row=29&amp;col=6&amp;number=&amp;sourceID=18","")</f>
        <v/>
      </c>
      <c r="G29" s="4" t="str">
        <f>HYPERLINK("http://141.218.60.56/~jnz1568/getInfo.php?workbook=02_01.xlsx&amp;sheet=A0&amp;row=29&amp;col=7&amp;number==&amp;sourceID=11","=")</f>
        <v>=</v>
      </c>
      <c r="H29" s="4" t="str">
        <f>HYPERLINK("http://141.218.60.56/~jnz1568/getInfo.php?workbook=02_01.xlsx&amp;sheet=A0&amp;row=29&amp;col=8&amp;number=&amp;sourceID=11","")</f>
        <v/>
      </c>
      <c r="I29" s="4" t="str">
        <f>HYPERLINK("http://141.218.60.56/~jnz1568/getInfo.php?workbook=02_01.xlsx&amp;sheet=A0&amp;row=29&amp;col=9&amp;number=38010&amp;sourceID=11","38010")</f>
        <v>38010</v>
      </c>
      <c r="J29" s="4" t="str">
        <f>HYPERLINK("http://141.218.60.56/~jnz1568/getInfo.php?workbook=02_01.xlsx&amp;sheet=A0&amp;row=29&amp;col=10&amp;number=&amp;sourceID=11","")</f>
        <v/>
      </c>
      <c r="K29" s="4" t="str">
        <f>HYPERLINK("http://141.218.60.56/~jnz1568/getInfo.php?workbook=02_01.xlsx&amp;sheet=A0&amp;row=29&amp;col=11&amp;number=&amp;sourceID=11","")</f>
        <v/>
      </c>
      <c r="L29" s="4" t="str">
        <f>HYPERLINK("http://141.218.60.56/~jnz1568/getInfo.php?workbook=02_01.xlsx&amp;sheet=A0&amp;row=29&amp;col=12&amp;number=&amp;sourceID=11","")</f>
        <v/>
      </c>
      <c r="M29" s="4" t="str">
        <f>HYPERLINK("http://141.218.60.56/~jnz1568/getInfo.php?workbook=02_01.xlsx&amp;sheet=A0&amp;row=29&amp;col=13&amp;number=7.5711e-05&amp;sourceID=11","7.5711e-05")</f>
        <v>7.5711e-05</v>
      </c>
      <c r="N29" s="4" t="str">
        <f>HYPERLINK("http://141.218.60.56/~jnz1568/getInfo.php?workbook=02_01.xlsx&amp;sheet=A0&amp;row=29&amp;col=14&amp;number=38015&amp;sourceID=12","38015")</f>
        <v>38015</v>
      </c>
      <c r="O29" s="4" t="str">
        <f>HYPERLINK("http://141.218.60.56/~jnz1568/getInfo.php?workbook=02_01.xlsx&amp;sheet=A0&amp;row=29&amp;col=15&amp;number=&amp;sourceID=12","")</f>
        <v/>
      </c>
      <c r="P29" s="4" t="str">
        <f>HYPERLINK("http://141.218.60.56/~jnz1568/getInfo.php?workbook=02_01.xlsx&amp;sheet=A0&amp;row=29&amp;col=16&amp;number=38015&amp;sourceID=12","38015")</f>
        <v>38015</v>
      </c>
      <c r="Q29" s="4" t="str">
        <f>HYPERLINK("http://141.218.60.56/~jnz1568/getInfo.php?workbook=02_01.xlsx&amp;sheet=A0&amp;row=29&amp;col=17&amp;number=&amp;sourceID=12","")</f>
        <v/>
      </c>
      <c r="R29" s="4" t="str">
        <f>HYPERLINK("http://141.218.60.56/~jnz1568/getInfo.php?workbook=02_01.xlsx&amp;sheet=A0&amp;row=29&amp;col=18&amp;number=&amp;sourceID=12","")</f>
        <v/>
      </c>
      <c r="S29" s="4" t="str">
        <f>HYPERLINK("http://141.218.60.56/~jnz1568/getInfo.php?workbook=02_01.xlsx&amp;sheet=A0&amp;row=29&amp;col=19&amp;number=&amp;sourceID=12","")</f>
        <v/>
      </c>
      <c r="T29" s="4" t="str">
        <f>HYPERLINK("http://141.218.60.56/~jnz1568/getInfo.php?workbook=02_01.xlsx&amp;sheet=A0&amp;row=29&amp;col=20&amp;number=7.5721e-05&amp;sourceID=12","7.5721e-05")</f>
        <v>7.5721e-05</v>
      </c>
      <c r="U29" s="4" t="str">
        <f>HYPERLINK("http://141.218.60.56/~jnz1568/getInfo.php?workbook=02_01.xlsx&amp;sheet=A0&amp;row=29&amp;col=21&amp;number==SUM(V29:Z29)&amp;sourceID=13","=SUM(V29:Z29)")</f>
        <v>=SUM(V29:Z29)</v>
      </c>
      <c r="V29" s="4" t="str">
        <f>HYPERLINK("http://141.218.60.56/~jnz1568/getInfo.php?workbook=02_01.xlsx&amp;sheet=A0&amp;row=29&amp;col=22&amp;number=&amp;sourceID=13","")</f>
        <v/>
      </c>
      <c r="W29" s="4" t="str">
        <f>HYPERLINK("http://141.218.60.56/~jnz1568/getInfo.php?workbook=02_01.xlsx&amp;sheet=A0&amp;row=29&amp;col=23&amp;number=38000&amp;sourceID=13","38000")</f>
        <v>38000</v>
      </c>
      <c r="X29" s="4" t="str">
        <f>HYPERLINK("http://141.218.60.56/~jnz1568/getInfo.php?workbook=02_01.xlsx&amp;sheet=A0&amp;row=29&amp;col=24&amp;number=&amp;sourceID=13","")</f>
        <v/>
      </c>
      <c r="Y29" s="4" t="str">
        <f>HYPERLINK("http://141.218.60.56/~jnz1568/getInfo.php?workbook=02_01.xlsx&amp;sheet=A0&amp;row=29&amp;col=25&amp;number=&amp;sourceID=13","")</f>
        <v/>
      </c>
      <c r="Z29" s="4" t="str">
        <f>HYPERLINK("http://141.218.60.56/~jnz1568/getInfo.php?workbook=02_01.xlsx&amp;sheet=A0&amp;row=29&amp;col=26&amp;number=&amp;sourceID=13","")</f>
        <v/>
      </c>
      <c r="AA29" s="4" t="str">
        <f>HYPERLINK("http://141.218.60.56/~jnz1568/getInfo.php?workbook=02_01.xlsx&amp;sheet=A0&amp;row=29&amp;col=27&amp;number=&amp;sourceID=20","")</f>
        <v/>
      </c>
    </row>
    <row r="30" spans="1:27">
      <c r="A30" s="3">
        <v>2</v>
      </c>
      <c r="B30" s="3">
        <v>1</v>
      </c>
      <c r="C30" s="3">
        <v>9</v>
      </c>
      <c r="D30" s="3">
        <v>2</v>
      </c>
      <c r="E30" s="3">
        <f>((1/(INDEX(E0!J$4:J$28,C30,1)-INDEX(E0!J$4:J$28,D30,1))))*100000000</f>
        <v>0</v>
      </c>
      <c r="F30" s="4" t="str">
        <f>HYPERLINK("http://141.218.60.56/~jnz1568/getInfo.php?workbook=02_01.xlsx&amp;sheet=A0&amp;row=30&amp;col=6&amp;number=&amp;sourceID=18","")</f>
        <v/>
      </c>
      <c r="G30" s="4" t="str">
        <f>HYPERLINK("http://141.218.60.56/~jnz1568/getInfo.php?workbook=02_01.xlsx&amp;sheet=A0&amp;row=30&amp;col=7&amp;number==&amp;sourceID=11","=")</f>
        <v>=</v>
      </c>
      <c r="H30" s="4" t="str">
        <f>HYPERLINK("http://141.218.60.56/~jnz1568/getInfo.php?workbook=02_01.xlsx&amp;sheet=A0&amp;row=30&amp;col=8&amp;number=&amp;sourceID=11","")</f>
        <v/>
      </c>
      <c r="I30" s="4" t="str">
        <f>HYPERLINK("http://141.218.60.56/~jnz1568/getInfo.php?workbook=02_01.xlsx&amp;sheet=A0&amp;row=30&amp;col=9&amp;number=&amp;sourceID=11","")</f>
        <v/>
      </c>
      <c r="J30" s="4" t="str">
        <f>HYPERLINK("http://141.218.60.56/~jnz1568/getInfo.php?workbook=02_01.xlsx&amp;sheet=A0&amp;row=30&amp;col=10&amp;number=0.0032215&amp;sourceID=11","0.0032215")</f>
        <v>0.0032215</v>
      </c>
      <c r="K30" s="4" t="str">
        <f>HYPERLINK("http://141.218.60.56/~jnz1568/getInfo.php?workbook=02_01.xlsx&amp;sheet=A0&amp;row=30&amp;col=11&amp;number=&amp;sourceID=11","")</f>
        <v/>
      </c>
      <c r="L30" s="4" t="str">
        <f>HYPERLINK("http://141.218.60.56/~jnz1568/getInfo.php?workbook=02_01.xlsx&amp;sheet=A0&amp;row=30&amp;col=12&amp;number=0.010067&amp;sourceID=11","0.010067")</f>
        <v>0.010067</v>
      </c>
      <c r="M30" s="4" t="str">
        <f>HYPERLINK("http://141.218.60.56/~jnz1568/getInfo.php?workbook=02_01.xlsx&amp;sheet=A0&amp;row=30&amp;col=13&amp;number=&amp;sourceID=11","")</f>
        <v/>
      </c>
      <c r="N30" s="4" t="str">
        <f>HYPERLINK("http://141.218.60.56/~jnz1568/getInfo.php?workbook=02_01.xlsx&amp;sheet=A0&amp;row=30&amp;col=14&amp;number=0.01329&amp;sourceID=12","0.01329")</f>
        <v>0.01329</v>
      </c>
      <c r="O30" s="4" t="str">
        <f>HYPERLINK("http://141.218.60.56/~jnz1568/getInfo.php?workbook=02_01.xlsx&amp;sheet=A0&amp;row=30&amp;col=15&amp;number=&amp;sourceID=12","")</f>
        <v/>
      </c>
      <c r="P30" s="4" t="str">
        <f>HYPERLINK("http://141.218.60.56/~jnz1568/getInfo.php?workbook=02_01.xlsx&amp;sheet=A0&amp;row=30&amp;col=16&amp;number=&amp;sourceID=12","")</f>
        <v/>
      </c>
      <c r="Q30" s="4" t="str">
        <f>HYPERLINK("http://141.218.60.56/~jnz1568/getInfo.php?workbook=02_01.xlsx&amp;sheet=A0&amp;row=30&amp;col=17&amp;number=0.003222&amp;sourceID=12","0.003222")</f>
        <v>0.003222</v>
      </c>
      <c r="R30" s="4" t="str">
        <f>HYPERLINK("http://141.218.60.56/~jnz1568/getInfo.php?workbook=02_01.xlsx&amp;sheet=A0&amp;row=30&amp;col=18&amp;number=&amp;sourceID=12","")</f>
        <v/>
      </c>
      <c r="S30" s="4" t="str">
        <f>HYPERLINK("http://141.218.60.56/~jnz1568/getInfo.php?workbook=02_01.xlsx&amp;sheet=A0&amp;row=30&amp;col=19&amp;number=0.010068&amp;sourceID=12","0.010068")</f>
        <v>0.010068</v>
      </c>
      <c r="T30" s="4" t="str">
        <f>HYPERLINK("http://141.218.60.56/~jnz1568/getInfo.php?workbook=02_01.xlsx&amp;sheet=A0&amp;row=30&amp;col=20&amp;number=&amp;sourceID=12","")</f>
        <v/>
      </c>
      <c r="U30" s="4" t="str">
        <f>HYPERLINK("http://141.218.60.56/~jnz1568/getInfo.php?workbook=02_01.xlsx&amp;sheet=A0&amp;row=30&amp;col=21&amp;number==SUM(V30:Z30)&amp;sourceID=13","=SUM(V30:Z30)")</f>
        <v>=SUM(V30:Z30)</v>
      </c>
      <c r="V30" s="4" t="str">
        <f>HYPERLINK("http://141.218.60.56/~jnz1568/getInfo.php?workbook=02_01.xlsx&amp;sheet=A0&amp;row=30&amp;col=22&amp;number=&amp;sourceID=13","")</f>
        <v/>
      </c>
      <c r="W30" s="4" t="str">
        <f>HYPERLINK("http://141.218.60.56/~jnz1568/getInfo.php?workbook=02_01.xlsx&amp;sheet=A0&amp;row=30&amp;col=23&amp;number=&amp;sourceID=13","")</f>
        <v/>
      </c>
      <c r="X30" s="4" t="str">
        <f>HYPERLINK("http://141.218.60.56/~jnz1568/getInfo.php?workbook=02_01.xlsx&amp;sheet=A0&amp;row=30&amp;col=24&amp;number=0.00501&amp;sourceID=13","0.00501")</f>
        <v>0.00501</v>
      </c>
      <c r="Y30" s="4" t="str">
        <f>HYPERLINK("http://141.218.60.56/~jnz1568/getInfo.php?workbook=02_01.xlsx&amp;sheet=A0&amp;row=30&amp;col=25&amp;number=&amp;sourceID=13","")</f>
        <v/>
      </c>
      <c r="Z30" s="4" t="str">
        <f>HYPERLINK("http://141.218.60.56/~jnz1568/getInfo.php?workbook=02_01.xlsx&amp;sheet=A0&amp;row=30&amp;col=26&amp;number=0.0403&amp;sourceID=13","0.0403")</f>
        <v>0.0403</v>
      </c>
      <c r="AA30" s="4" t="str">
        <f>HYPERLINK("http://141.218.60.56/~jnz1568/getInfo.php?workbook=02_01.xlsx&amp;sheet=A0&amp;row=30&amp;col=27&amp;number=0.013288&amp;sourceID=20","0.013288")</f>
        <v>0.013288</v>
      </c>
    </row>
    <row r="31" spans="1:27">
      <c r="A31" s="3">
        <v>2</v>
      </c>
      <c r="B31" s="3">
        <v>1</v>
      </c>
      <c r="C31" s="3">
        <v>9</v>
      </c>
      <c r="D31" s="3">
        <v>3</v>
      </c>
      <c r="E31" s="3">
        <f>((1/(INDEX(E0!J$4:J$28,C31,1)-INDEX(E0!J$4:J$28,D31,1))))*100000000</f>
        <v>0</v>
      </c>
      <c r="F31" s="4" t="str">
        <f>HYPERLINK("http://141.218.60.56/~jnz1568/getInfo.php?workbook=02_01.xlsx&amp;sheet=A0&amp;row=31&amp;col=6&amp;number=&amp;sourceID=18","")</f>
        <v/>
      </c>
      <c r="G31" s="4" t="str">
        <f>HYPERLINK("http://141.218.60.56/~jnz1568/getInfo.php?workbook=02_01.xlsx&amp;sheet=A0&amp;row=31&amp;col=7&amp;number==&amp;sourceID=11","=")</f>
        <v>=</v>
      </c>
      <c r="H31" s="4" t="str">
        <f>HYPERLINK("http://141.218.60.56/~jnz1568/getInfo.php?workbook=02_01.xlsx&amp;sheet=A0&amp;row=31&amp;col=8&amp;number=&amp;sourceID=11","")</f>
        <v/>
      </c>
      <c r="I31" s="4" t="str">
        <f>HYPERLINK("http://141.218.60.56/~jnz1568/getInfo.php?workbook=02_01.xlsx&amp;sheet=A0&amp;row=31&amp;col=9&amp;number=3266.5&amp;sourceID=11","3266.5")</f>
        <v>3266.5</v>
      </c>
      <c r="J31" s="4" t="str">
        <f>HYPERLINK("http://141.218.60.56/~jnz1568/getInfo.php?workbook=02_01.xlsx&amp;sheet=A0&amp;row=31&amp;col=10&amp;number=&amp;sourceID=11","")</f>
        <v/>
      </c>
      <c r="K31" s="4" t="str">
        <f>HYPERLINK("http://141.218.60.56/~jnz1568/getInfo.php?workbook=02_01.xlsx&amp;sheet=A0&amp;row=31&amp;col=11&amp;number=&amp;sourceID=11","")</f>
        <v/>
      </c>
      <c r="L31" s="4" t="str">
        <f>HYPERLINK("http://141.218.60.56/~jnz1568/getInfo.php?workbook=02_01.xlsx&amp;sheet=A0&amp;row=31&amp;col=12&amp;number=&amp;sourceID=11","")</f>
        <v/>
      </c>
      <c r="M31" s="4" t="str">
        <f>HYPERLINK("http://141.218.60.56/~jnz1568/getInfo.php?workbook=02_01.xlsx&amp;sheet=A0&amp;row=31&amp;col=13&amp;number=1.5886e-07&amp;sourceID=11","1.5886e-07")</f>
        <v>1.5886e-07</v>
      </c>
      <c r="N31" s="4" t="str">
        <f>HYPERLINK("http://141.218.60.56/~jnz1568/getInfo.php?workbook=02_01.xlsx&amp;sheet=A0&amp;row=31&amp;col=14&amp;number=3266.9&amp;sourceID=12","3266.9")</f>
        <v>3266.9</v>
      </c>
      <c r="O31" s="4" t="str">
        <f>HYPERLINK("http://141.218.60.56/~jnz1568/getInfo.php?workbook=02_01.xlsx&amp;sheet=A0&amp;row=31&amp;col=15&amp;number=&amp;sourceID=12","")</f>
        <v/>
      </c>
      <c r="P31" s="4" t="str">
        <f>HYPERLINK("http://141.218.60.56/~jnz1568/getInfo.php?workbook=02_01.xlsx&amp;sheet=A0&amp;row=31&amp;col=16&amp;number=3266.9&amp;sourceID=12","3266.9")</f>
        <v>3266.9</v>
      </c>
      <c r="Q31" s="4" t="str">
        <f>HYPERLINK("http://141.218.60.56/~jnz1568/getInfo.php?workbook=02_01.xlsx&amp;sheet=A0&amp;row=31&amp;col=17&amp;number=&amp;sourceID=12","")</f>
        <v/>
      </c>
      <c r="R31" s="4" t="str">
        <f>HYPERLINK("http://141.218.60.56/~jnz1568/getInfo.php?workbook=02_01.xlsx&amp;sheet=A0&amp;row=31&amp;col=18&amp;number=&amp;sourceID=12","")</f>
        <v/>
      </c>
      <c r="S31" s="4" t="str">
        <f>HYPERLINK("http://141.218.60.56/~jnz1568/getInfo.php?workbook=02_01.xlsx&amp;sheet=A0&amp;row=31&amp;col=19&amp;number=&amp;sourceID=12","")</f>
        <v/>
      </c>
      <c r="T31" s="4" t="str">
        <f>HYPERLINK("http://141.218.60.56/~jnz1568/getInfo.php?workbook=02_01.xlsx&amp;sheet=A0&amp;row=31&amp;col=20&amp;number=1.5888e-07&amp;sourceID=12","1.5888e-07")</f>
        <v>1.5888e-07</v>
      </c>
      <c r="U31" s="4" t="str">
        <f>HYPERLINK("http://141.218.60.56/~jnz1568/getInfo.php?workbook=02_01.xlsx&amp;sheet=A0&amp;row=31&amp;col=21&amp;number==SUM(V31:Z31)&amp;sourceID=13","=SUM(V31:Z31)")</f>
        <v>=SUM(V31:Z31)</v>
      </c>
      <c r="V31" s="4" t="str">
        <f>HYPERLINK("http://141.218.60.56/~jnz1568/getInfo.php?workbook=02_01.xlsx&amp;sheet=A0&amp;row=31&amp;col=22&amp;number=&amp;sourceID=13","")</f>
        <v/>
      </c>
      <c r="W31" s="4" t="str">
        <f>HYPERLINK("http://141.218.60.56/~jnz1568/getInfo.php?workbook=02_01.xlsx&amp;sheet=A0&amp;row=31&amp;col=23&amp;number=3270&amp;sourceID=13","3270")</f>
        <v>3270</v>
      </c>
      <c r="X31" s="4" t="str">
        <f>HYPERLINK("http://141.218.60.56/~jnz1568/getInfo.php?workbook=02_01.xlsx&amp;sheet=A0&amp;row=31&amp;col=24&amp;number=&amp;sourceID=13","")</f>
        <v/>
      </c>
      <c r="Y31" s="4" t="str">
        <f>HYPERLINK("http://141.218.60.56/~jnz1568/getInfo.php?workbook=02_01.xlsx&amp;sheet=A0&amp;row=31&amp;col=25&amp;number=&amp;sourceID=13","")</f>
        <v/>
      </c>
      <c r="Z31" s="4" t="str">
        <f>HYPERLINK("http://141.218.60.56/~jnz1568/getInfo.php?workbook=02_01.xlsx&amp;sheet=A0&amp;row=31&amp;col=26&amp;number=&amp;sourceID=13","")</f>
        <v/>
      </c>
      <c r="AA31" s="4" t="str">
        <f>HYPERLINK("http://141.218.60.56/~jnz1568/getInfo.php?workbook=02_01.xlsx&amp;sheet=A0&amp;row=31&amp;col=27&amp;number=3266.5&amp;sourceID=20","3266.5")</f>
        <v>3266.5</v>
      </c>
    </row>
    <row r="32" spans="1:27">
      <c r="A32" s="3">
        <v>2</v>
      </c>
      <c r="B32" s="3">
        <v>1</v>
      </c>
      <c r="C32" s="3">
        <v>9</v>
      </c>
      <c r="D32" s="3">
        <v>4</v>
      </c>
      <c r="E32" s="3">
        <f>((1/(INDEX(E0!J$4:J$28,C32,1)-INDEX(E0!J$4:J$28,D32,1))))*100000000</f>
        <v>0</v>
      </c>
      <c r="F32" s="4" t="str">
        <f>HYPERLINK("http://141.218.60.56/~jnz1568/getInfo.php?workbook=02_01.xlsx&amp;sheet=A0&amp;row=32&amp;col=6&amp;number=&amp;sourceID=18","")</f>
        <v/>
      </c>
      <c r="G32" s="4" t="str">
        <f>HYPERLINK("http://141.218.60.56/~jnz1568/getInfo.php?workbook=02_01.xlsx&amp;sheet=A0&amp;row=32&amp;col=7&amp;number==&amp;sourceID=11","=")</f>
        <v>=</v>
      </c>
      <c r="H32" s="4" t="str">
        <f>HYPERLINK("http://141.218.60.56/~jnz1568/getInfo.php?workbook=02_01.xlsx&amp;sheet=A0&amp;row=32&amp;col=8&amp;number=1034800000&amp;sourceID=11","1034800000")</f>
        <v>1034800000</v>
      </c>
      <c r="I32" s="4" t="str">
        <f>HYPERLINK("http://141.218.60.56/~jnz1568/getInfo.php?workbook=02_01.xlsx&amp;sheet=A0&amp;row=32&amp;col=9&amp;number=&amp;sourceID=11","")</f>
        <v/>
      </c>
      <c r="J32" s="4" t="str">
        <f>HYPERLINK("http://141.218.60.56/~jnz1568/getInfo.php?workbook=02_01.xlsx&amp;sheet=A0&amp;row=32&amp;col=10&amp;number=0.0025763&amp;sourceID=11","0.0025763")</f>
        <v>0.0025763</v>
      </c>
      <c r="K32" s="4" t="str">
        <f>HYPERLINK("http://141.218.60.56/~jnz1568/getInfo.php?workbook=02_01.xlsx&amp;sheet=A0&amp;row=32&amp;col=11&amp;number=&amp;sourceID=11","")</f>
        <v/>
      </c>
      <c r="L32" s="4" t="str">
        <f>HYPERLINK("http://141.218.60.56/~jnz1568/getInfo.php?workbook=02_01.xlsx&amp;sheet=A0&amp;row=32&amp;col=12&amp;number=0.055035&amp;sourceID=11","0.055035")</f>
        <v>0.055035</v>
      </c>
      <c r="M32" s="4" t="str">
        <f>HYPERLINK("http://141.218.60.56/~jnz1568/getInfo.php?workbook=02_01.xlsx&amp;sheet=A0&amp;row=32&amp;col=13&amp;number=&amp;sourceID=11","")</f>
        <v/>
      </c>
      <c r="N32" s="4" t="str">
        <f>HYPERLINK("http://141.218.60.56/~jnz1568/getInfo.php?workbook=02_01.xlsx&amp;sheet=A0&amp;row=32&amp;col=14&amp;number=1035000000&amp;sourceID=12","1035000000")</f>
        <v>1035000000</v>
      </c>
      <c r="O32" s="4" t="str">
        <f>HYPERLINK("http://141.218.60.56/~jnz1568/getInfo.php?workbook=02_01.xlsx&amp;sheet=A0&amp;row=32&amp;col=15&amp;number=1035000000&amp;sourceID=12","1035000000")</f>
        <v>1035000000</v>
      </c>
      <c r="P32" s="4" t="str">
        <f>HYPERLINK("http://141.218.60.56/~jnz1568/getInfo.php?workbook=02_01.xlsx&amp;sheet=A0&amp;row=32&amp;col=16&amp;number=&amp;sourceID=12","")</f>
        <v/>
      </c>
      <c r="Q32" s="4" t="str">
        <f>HYPERLINK("http://141.218.60.56/~jnz1568/getInfo.php?workbook=02_01.xlsx&amp;sheet=A0&amp;row=32&amp;col=17&amp;number=0.0025767&amp;sourceID=12","0.0025767")</f>
        <v>0.0025767</v>
      </c>
      <c r="R32" s="4" t="str">
        <f>HYPERLINK("http://141.218.60.56/~jnz1568/getInfo.php?workbook=02_01.xlsx&amp;sheet=A0&amp;row=32&amp;col=18&amp;number=&amp;sourceID=12","")</f>
        <v/>
      </c>
      <c r="S32" s="4" t="str">
        <f>HYPERLINK("http://141.218.60.56/~jnz1568/getInfo.php?workbook=02_01.xlsx&amp;sheet=A0&amp;row=32&amp;col=19&amp;number=0.055043&amp;sourceID=12","0.055043")</f>
        <v>0.055043</v>
      </c>
      <c r="T32" s="4" t="str">
        <f>HYPERLINK("http://141.218.60.56/~jnz1568/getInfo.php?workbook=02_01.xlsx&amp;sheet=A0&amp;row=32&amp;col=20&amp;number=&amp;sourceID=12","")</f>
        <v/>
      </c>
      <c r="U32" s="4" t="str">
        <f>HYPERLINK("http://141.218.60.56/~jnz1568/getInfo.php?workbook=02_01.xlsx&amp;sheet=A0&amp;row=32&amp;col=21&amp;number==SUM(V32:Z32)&amp;sourceID=13","=SUM(V32:Z32)")</f>
        <v>=SUM(V32:Z32)</v>
      </c>
      <c r="V32" s="4" t="str">
        <f>HYPERLINK("http://141.218.60.56/~jnz1568/getInfo.php?workbook=02_01.xlsx&amp;sheet=A0&amp;row=32&amp;col=22&amp;number=1040000000&amp;sourceID=13","1040000000")</f>
        <v>1040000000</v>
      </c>
      <c r="W32" s="4" t="str">
        <f>HYPERLINK("http://141.218.60.56/~jnz1568/getInfo.php?workbook=02_01.xlsx&amp;sheet=A0&amp;row=32&amp;col=23&amp;number=&amp;sourceID=13","")</f>
        <v/>
      </c>
      <c r="X32" s="4" t="str">
        <f>HYPERLINK("http://141.218.60.56/~jnz1568/getInfo.php?workbook=02_01.xlsx&amp;sheet=A0&amp;row=32&amp;col=24&amp;number=&amp;sourceID=13","")</f>
        <v/>
      </c>
      <c r="Y32" s="4" t="str">
        <f>HYPERLINK("http://141.218.60.56/~jnz1568/getInfo.php?workbook=02_01.xlsx&amp;sheet=A0&amp;row=32&amp;col=25&amp;number=&amp;sourceID=13","")</f>
        <v/>
      </c>
      <c r="Z32" s="4" t="str">
        <f>HYPERLINK("http://141.218.60.56/~jnz1568/getInfo.php?workbook=02_01.xlsx&amp;sheet=A0&amp;row=32&amp;col=26&amp;number=&amp;sourceID=13","")</f>
        <v/>
      </c>
      <c r="AA32" s="4" t="str">
        <f>HYPERLINK("http://141.218.60.56/~jnz1568/getInfo.php?workbook=02_01.xlsx&amp;sheet=A0&amp;row=32&amp;col=27&amp;number=1034800000&amp;sourceID=20","1034800000")</f>
        <v>1034800000</v>
      </c>
    </row>
    <row r="33" spans="1:27">
      <c r="A33" s="3">
        <v>2</v>
      </c>
      <c r="B33" s="3">
        <v>1</v>
      </c>
      <c r="C33" s="3">
        <v>9</v>
      </c>
      <c r="D33" s="3">
        <v>5</v>
      </c>
      <c r="E33" s="3">
        <f>((1/(INDEX(E0!J$4:J$28,C33,1)-INDEX(E0!J$4:J$28,D33,1))))*100000000</f>
        <v>0</v>
      </c>
      <c r="F33" s="4" t="str">
        <f>HYPERLINK("http://141.218.60.56/~jnz1568/getInfo.php?workbook=02_01.xlsx&amp;sheet=A0&amp;row=33&amp;col=6&amp;number=&amp;sourceID=18","")</f>
        <v/>
      </c>
      <c r="G33" s="4" t="str">
        <f>HYPERLINK("http://141.218.60.56/~jnz1568/getInfo.php?workbook=02_01.xlsx&amp;sheet=A0&amp;row=33&amp;col=7&amp;number==&amp;sourceID=11","=")</f>
        <v>=</v>
      </c>
      <c r="H33" s="4" t="str">
        <f>HYPERLINK("http://141.218.60.56/~jnz1568/getInfo.php?workbook=02_01.xlsx&amp;sheet=A0&amp;row=33&amp;col=8&amp;number=&amp;sourceID=11","")</f>
        <v/>
      </c>
      <c r="I33" s="4" t="str">
        <f>HYPERLINK("http://141.218.60.56/~jnz1568/getInfo.php?workbook=02_01.xlsx&amp;sheet=A0&amp;row=33&amp;col=9&amp;number=&amp;sourceID=11","")</f>
        <v/>
      </c>
      <c r="J33" s="4" t="str">
        <f>HYPERLINK("http://141.218.60.56/~jnz1568/getInfo.php?workbook=02_01.xlsx&amp;sheet=A0&amp;row=33&amp;col=10&amp;number=0&amp;sourceID=11","0")</f>
        <v>0</v>
      </c>
      <c r="K33" s="4" t="str">
        <f>HYPERLINK("http://141.218.60.56/~jnz1568/getInfo.php?workbook=02_01.xlsx&amp;sheet=A0&amp;row=33&amp;col=11&amp;number=&amp;sourceID=11","")</f>
        <v/>
      </c>
      <c r="L33" s="4" t="str">
        <f>HYPERLINK("http://141.218.60.56/~jnz1568/getInfo.php?workbook=02_01.xlsx&amp;sheet=A0&amp;row=33&amp;col=12&amp;number=0&amp;sourceID=11","0")</f>
        <v>0</v>
      </c>
      <c r="M33" s="4" t="str">
        <f>HYPERLINK("http://141.218.60.56/~jnz1568/getInfo.php?workbook=02_01.xlsx&amp;sheet=A0&amp;row=33&amp;col=13&amp;number=&amp;sourceID=11","")</f>
        <v/>
      </c>
      <c r="N33" s="4" t="str">
        <f>HYPERLINK("http://141.218.60.56/~jnz1568/getInfo.php?workbook=02_01.xlsx&amp;sheet=A0&amp;row=33&amp;col=14&amp;number=0&amp;sourceID=12","0")</f>
        <v>0</v>
      </c>
      <c r="O33" s="4" t="str">
        <f>HYPERLINK("http://141.218.60.56/~jnz1568/getInfo.php?workbook=02_01.xlsx&amp;sheet=A0&amp;row=33&amp;col=15&amp;number=&amp;sourceID=12","")</f>
        <v/>
      </c>
      <c r="P33" s="4" t="str">
        <f>HYPERLINK("http://141.218.60.56/~jnz1568/getInfo.php?workbook=02_01.xlsx&amp;sheet=A0&amp;row=33&amp;col=16&amp;number=&amp;sourceID=12","")</f>
        <v/>
      </c>
      <c r="Q33" s="4" t="str">
        <f>HYPERLINK("http://141.218.60.56/~jnz1568/getInfo.php?workbook=02_01.xlsx&amp;sheet=A0&amp;row=33&amp;col=17&amp;number=0&amp;sourceID=12","0")</f>
        <v>0</v>
      </c>
      <c r="R33" s="4" t="str">
        <f>HYPERLINK("http://141.218.60.56/~jnz1568/getInfo.php?workbook=02_01.xlsx&amp;sheet=A0&amp;row=33&amp;col=18&amp;number=&amp;sourceID=12","")</f>
        <v/>
      </c>
      <c r="S33" s="4" t="str">
        <f>HYPERLINK("http://141.218.60.56/~jnz1568/getInfo.php?workbook=02_01.xlsx&amp;sheet=A0&amp;row=33&amp;col=19&amp;number=0&amp;sourceID=12","0")</f>
        <v>0</v>
      </c>
      <c r="T33" s="4" t="str">
        <f>HYPERLINK("http://141.218.60.56/~jnz1568/getInfo.php?workbook=02_01.xlsx&amp;sheet=A0&amp;row=33&amp;col=20&amp;number=&amp;sourceID=12","")</f>
        <v/>
      </c>
      <c r="U33" s="4" t="str">
        <f>HYPERLINK("http://141.218.60.56/~jnz1568/getInfo.php?workbook=02_01.xlsx&amp;sheet=A0&amp;row=33&amp;col=21&amp;number=&amp;sourceID=13","")</f>
        <v/>
      </c>
      <c r="V33" s="4" t="str">
        <f>HYPERLINK("http://141.218.60.56/~jnz1568/getInfo.php?workbook=02_01.xlsx&amp;sheet=A0&amp;row=33&amp;col=22&amp;number=&amp;sourceID=13","")</f>
        <v/>
      </c>
      <c r="W33" s="4" t="str">
        <f>HYPERLINK("http://141.218.60.56/~jnz1568/getInfo.php?workbook=02_01.xlsx&amp;sheet=A0&amp;row=33&amp;col=23&amp;number=&amp;sourceID=13","")</f>
        <v/>
      </c>
      <c r="X33" s="4" t="str">
        <f>HYPERLINK("http://141.218.60.56/~jnz1568/getInfo.php?workbook=02_01.xlsx&amp;sheet=A0&amp;row=33&amp;col=24&amp;number=&amp;sourceID=13","")</f>
        <v/>
      </c>
      <c r="Y33" s="4" t="str">
        <f>HYPERLINK("http://141.218.60.56/~jnz1568/getInfo.php?workbook=02_01.xlsx&amp;sheet=A0&amp;row=33&amp;col=25&amp;number=&amp;sourceID=13","")</f>
        <v/>
      </c>
      <c r="Z33" s="4" t="str">
        <f>HYPERLINK("http://141.218.60.56/~jnz1568/getInfo.php?workbook=02_01.xlsx&amp;sheet=A0&amp;row=33&amp;col=26&amp;number=&amp;sourceID=13","")</f>
        <v/>
      </c>
      <c r="AA33" s="4" t="str">
        <f>HYPERLINK("http://141.218.60.56/~jnz1568/getInfo.php?workbook=02_01.xlsx&amp;sheet=A0&amp;row=33&amp;col=27&amp;number=&amp;sourceID=20","")</f>
        <v/>
      </c>
    </row>
    <row r="34" spans="1:27">
      <c r="A34" s="3">
        <v>2</v>
      </c>
      <c r="B34" s="3">
        <v>1</v>
      </c>
      <c r="C34" s="3">
        <v>9</v>
      </c>
      <c r="D34" s="3">
        <v>6</v>
      </c>
      <c r="E34" s="3">
        <f>((1/(INDEX(E0!J$4:J$28,C34,1)-INDEX(E0!J$4:J$28,D34,1))))*100000000</f>
        <v>0</v>
      </c>
      <c r="F34" s="4" t="str">
        <f>HYPERLINK("http://141.218.60.56/~jnz1568/getInfo.php?workbook=02_01.xlsx&amp;sheet=A0&amp;row=34&amp;col=6&amp;number=&amp;sourceID=18","")</f>
        <v/>
      </c>
      <c r="G34" s="4" t="str">
        <f>HYPERLINK("http://141.218.60.56/~jnz1568/getInfo.php?workbook=02_01.xlsx&amp;sheet=A0&amp;row=34&amp;col=7&amp;number==&amp;sourceID=11","=")</f>
        <v>=</v>
      </c>
      <c r="H34" s="4" t="str">
        <f>HYPERLINK("http://141.218.60.56/~jnz1568/getInfo.php?workbook=02_01.xlsx&amp;sheet=A0&amp;row=34&amp;col=8&amp;number=&amp;sourceID=11","")</f>
        <v/>
      </c>
      <c r="I34" s="4" t="str">
        <f>HYPERLINK("http://141.218.60.56/~jnz1568/getInfo.php?workbook=02_01.xlsx&amp;sheet=A0&amp;row=34&amp;col=9&amp;number=0&amp;sourceID=11","0")</f>
        <v>0</v>
      </c>
      <c r="J34" s="4" t="str">
        <f>HYPERLINK("http://141.218.60.56/~jnz1568/getInfo.php?workbook=02_01.xlsx&amp;sheet=A0&amp;row=34&amp;col=10&amp;number=&amp;sourceID=11","")</f>
        <v/>
      </c>
      <c r="K34" s="4" t="str">
        <f>HYPERLINK("http://141.218.60.56/~jnz1568/getInfo.php?workbook=02_01.xlsx&amp;sheet=A0&amp;row=34&amp;col=11&amp;number=&amp;sourceID=11","")</f>
        <v/>
      </c>
      <c r="L34" s="4" t="str">
        <f>HYPERLINK("http://141.218.60.56/~jnz1568/getInfo.php?workbook=02_01.xlsx&amp;sheet=A0&amp;row=34&amp;col=12&amp;number=&amp;sourceID=11","")</f>
        <v/>
      </c>
      <c r="M34" s="4" t="str">
        <f>HYPERLINK("http://141.218.60.56/~jnz1568/getInfo.php?workbook=02_01.xlsx&amp;sheet=A0&amp;row=34&amp;col=13&amp;number=0&amp;sourceID=11","0")</f>
        <v>0</v>
      </c>
      <c r="N34" s="4" t="str">
        <f>HYPERLINK("http://141.218.60.56/~jnz1568/getInfo.php?workbook=02_01.xlsx&amp;sheet=A0&amp;row=34&amp;col=14&amp;number=0&amp;sourceID=12","0")</f>
        <v>0</v>
      </c>
      <c r="O34" s="4" t="str">
        <f>HYPERLINK("http://141.218.60.56/~jnz1568/getInfo.php?workbook=02_01.xlsx&amp;sheet=A0&amp;row=34&amp;col=15&amp;number=&amp;sourceID=12","")</f>
        <v/>
      </c>
      <c r="P34" s="4" t="str">
        <f>HYPERLINK("http://141.218.60.56/~jnz1568/getInfo.php?workbook=02_01.xlsx&amp;sheet=A0&amp;row=34&amp;col=16&amp;number=0&amp;sourceID=12","0")</f>
        <v>0</v>
      </c>
      <c r="Q34" s="4" t="str">
        <f>HYPERLINK("http://141.218.60.56/~jnz1568/getInfo.php?workbook=02_01.xlsx&amp;sheet=A0&amp;row=34&amp;col=17&amp;number=&amp;sourceID=12","")</f>
        <v/>
      </c>
      <c r="R34" s="4" t="str">
        <f>HYPERLINK("http://141.218.60.56/~jnz1568/getInfo.php?workbook=02_01.xlsx&amp;sheet=A0&amp;row=34&amp;col=18&amp;number=&amp;sourceID=12","")</f>
        <v/>
      </c>
      <c r="S34" s="4" t="str">
        <f>HYPERLINK("http://141.218.60.56/~jnz1568/getInfo.php?workbook=02_01.xlsx&amp;sheet=A0&amp;row=34&amp;col=19&amp;number=&amp;sourceID=12","")</f>
        <v/>
      </c>
      <c r="T34" s="4" t="str">
        <f>HYPERLINK("http://141.218.60.56/~jnz1568/getInfo.php?workbook=02_01.xlsx&amp;sheet=A0&amp;row=34&amp;col=20&amp;number=0&amp;sourceID=12","0")</f>
        <v>0</v>
      </c>
      <c r="U34" s="4" t="str">
        <f>HYPERLINK("http://141.218.60.56/~jnz1568/getInfo.php?workbook=02_01.xlsx&amp;sheet=A0&amp;row=34&amp;col=21&amp;number=&amp;sourceID=13","")</f>
        <v/>
      </c>
      <c r="V34" s="4" t="str">
        <f>HYPERLINK("http://141.218.60.56/~jnz1568/getInfo.php?workbook=02_01.xlsx&amp;sheet=A0&amp;row=34&amp;col=22&amp;number=&amp;sourceID=13","")</f>
        <v/>
      </c>
      <c r="W34" s="4" t="str">
        <f>HYPERLINK("http://141.218.60.56/~jnz1568/getInfo.php?workbook=02_01.xlsx&amp;sheet=A0&amp;row=34&amp;col=23&amp;number=&amp;sourceID=13","")</f>
        <v/>
      </c>
      <c r="X34" s="4" t="str">
        <f>HYPERLINK("http://141.218.60.56/~jnz1568/getInfo.php?workbook=02_01.xlsx&amp;sheet=A0&amp;row=34&amp;col=24&amp;number=&amp;sourceID=13","")</f>
        <v/>
      </c>
      <c r="Y34" s="4" t="str">
        <f>HYPERLINK("http://141.218.60.56/~jnz1568/getInfo.php?workbook=02_01.xlsx&amp;sheet=A0&amp;row=34&amp;col=25&amp;number=&amp;sourceID=13","")</f>
        <v/>
      </c>
      <c r="Z34" s="4" t="str">
        <f>HYPERLINK("http://141.218.60.56/~jnz1568/getInfo.php?workbook=02_01.xlsx&amp;sheet=A0&amp;row=34&amp;col=26&amp;number=&amp;sourceID=13","")</f>
        <v/>
      </c>
      <c r="AA34" s="4" t="str">
        <f>HYPERLINK("http://141.218.60.56/~jnz1568/getInfo.php?workbook=02_01.xlsx&amp;sheet=A0&amp;row=34&amp;col=27&amp;number=&amp;sourceID=20","")</f>
        <v/>
      </c>
    </row>
    <row r="35" spans="1:27">
      <c r="A35" s="3">
        <v>2</v>
      </c>
      <c r="B35" s="3">
        <v>1</v>
      </c>
      <c r="C35" s="3">
        <v>9</v>
      </c>
      <c r="D35" s="3">
        <v>7</v>
      </c>
      <c r="E35" s="3">
        <f>((1/(INDEX(E0!J$4:J$28,C35,1)-INDEX(E0!J$4:J$28,D35,1))))*100000000</f>
        <v>0</v>
      </c>
      <c r="F35" s="4" t="str">
        <f>HYPERLINK("http://141.218.60.56/~jnz1568/getInfo.php?workbook=02_01.xlsx&amp;sheet=A0&amp;row=35&amp;col=6&amp;number=&amp;sourceID=18","")</f>
        <v/>
      </c>
      <c r="G35" s="4" t="str">
        <f>HYPERLINK("http://141.218.60.56/~jnz1568/getInfo.php?workbook=02_01.xlsx&amp;sheet=A0&amp;row=35&amp;col=7&amp;number==&amp;sourceID=11","=")</f>
        <v>=</v>
      </c>
      <c r="H35" s="4" t="str">
        <f>HYPERLINK("http://141.218.60.56/~jnz1568/getInfo.php?workbook=02_01.xlsx&amp;sheet=A0&amp;row=35&amp;col=8&amp;number=&amp;sourceID=11","")</f>
        <v/>
      </c>
      <c r="I35" s="4" t="str">
        <f>HYPERLINK("http://141.218.60.56/~jnz1568/getInfo.php?workbook=02_01.xlsx&amp;sheet=A0&amp;row=35&amp;col=9&amp;number=0&amp;sourceID=11","0")</f>
        <v>0</v>
      </c>
      <c r="J35" s="4" t="str">
        <f>HYPERLINK("http://141.218.60.56/~jnz1568/getInfo.php?workbook=02_01.xlsx&amp;sheet=A0&amp;row=35&amp;col=10&amp;number=&amp;sourceID=11","")</f>
        <v/>
      </c>
      <c r="K35" s="4" t="str">
        <f>HYPERLINK("http://141.218.60.56/~jnz1568/getInfo.php?workbook=02_01.xlsx&amp;sheet=A0&amp;row=35&amp;col=11&amp;number=2.074e-12&amp;sourceID=11","2.074e-12")</f>
        <v>2.074e-12</v>
      </c>
      <c r="L35" s="4" t="str">
        <f>HYPERLINK("http://141.218.60.56/~jnz1568/getInfo.php?workbook=02_01.xlsx&amp;sheet=A0&amp;row=35&amp;col=12&amp;number=&amp;sourceID=11","")</f>
        <v/>
      </c>
      <c r="M35" s="4" t="str">
        <f>HYPERLINK("http://141.218.60.56/~jnz1568/getInfo.php?workbook=02_01.xlsx&amp;sheet=A0&amp;row=35&amp;col=13&amp;number=0&amp;sourceID=11","0")</f>
        <v>0</v>
      </c>
      <c r="N35" s="4" t="str">
        <f>HYPERLINK("http://141.218.60.56/~jnz1568/getInfo.php?workbook=02_01.xlsx&amp;sheet=A0&amp;row=35&amp;col=14&amp;number=2.075e-12&amp;sourceID=12","2.075e-12")</f>
        <v>2.075e-12</v>
      </c>
      <c r="O35" s="4" t="str">
        <f>HYPERLINK("http://141.218.60.56/~jnz1568/getInfo.php?workbook=02_01.xlsx&amp;sheet=A0&amp;row=35&amp;col=15&amp;number=&amp;sourceID=12","")</f>
        <v/>
      </c>
      <c r="P35" s="4" t="str">
        <f>HYPERLINK("http://141.218.60.56/~jnz1568/getInfo.php?workbook=02_01.xlsx&amp;sheet=A0&amp;row=35&amp;col=16&amp;number=0&amp;sourceID=12","0")</f>
        <v>0</v>
      </c>
      <c r="Q35" s="4" t="str">
        <f>HYPERLINK("http://141.218.60.56/~jnz1568/getInfo.php?workbook=02_01.xlsx&amp;sheet=A0&amp;row=35&amp;col=17&amp;number=&amp;sourceID=12","")</f>
        <v/>
      </c>
      <c r="R35" s="4" t="str">
        <f>HYPERLINK("http://141.218.60.56/~jnz1568/getInfo.php?workbook=02_01.xlsx&amp;sheet=A0&amp;row=35&amp;col=18&amp;number=2.075e-12&amp;sourceID=12","2.075e-12")</f>
        <v>2.075e-12</v>
      </c>
      <c r="S35" s="4" t="str">
        <f>HYPERLINK("http://141.218.60.56/~jnz1568/getInfo.php?workbook=02_01.xlsx&amp;sheet=A0&amp;row=35&amp;col=19&amp;number=&amp;sourceID=12","")</f>
        <v/>
      </c>
      <c r="T35" s="4" t="str">
        <f>HYPERLINK("http://141.218.60.56/~jnz1568/getInfo.php?workbook=02_01.xlsx&amp;sheet=A0&amp;row=35&amp;col=20&amp;number=0&amp;sourceID=12","0")</f>
        <v>0</v>
      </c>
      <c r="U35" s="4" t="str">
        <f>HYPERLINK("http://141.218.60.56/~jnz1568/getInfo.php?workbook=02_01.xlsx&amp;sheet=A0&amp;row=35&amp;col=21&amp;number=&amp;sourceID=13","")</f>
        <v/>
      </c>
      <c r="V35" s="4" t="str">
        <f>HYPERLINK("http://141.218.60.56/~jnz1568/getInfo.php?workbook=02_01.xlsx&amp;sheet=A0&amp;row=35&amp;col=22&amp;number=&amp;sourceID=13","")</f>
        <v/>
      </c>
      <c r="W35" s="4" t="str">
        <f>HYPERLINK("http://141.218.60.56/~jnz1568/getInfo.php?workbook=02_01.xlsx&amp;sheet=A0&amp;row=35&amp;col=23&amp;number=&amp;sourceID=13","")</f>
        <v/>
      </c>
      <c r="X35" s="4" t="str">
        <f>HYPERLINK("http://141.218.60.56/~jnz1568/getInfo.php?workbook=02_01.xlsx&amp;sheet=A0&amp;row=35&amp;col=24&amp;number=&amp;sourceID=13","")</f>
        <v/>
      </c>
      <c r="Y35" s="4" t="str">
        <f>HYPERLINK("http://141.218.60.56/~jnz1568/getInfo.php?workbook=02_01.xlsx&amp;sheet=A0&amp;row=35&amp;col=25&amp;number=&amp;sourceID=13","")</f>
        <v/>
      </c>
      <c r="Z35" s="4" t="str">
        <f>HYPERLINK("http://141.218.60.56/~jnz1568/getInfo.php?workbook=02_01.xlsx&amp;sheet=A0&amp;row=35&amp;col=26&amp;number=&amp;sourceID=13","")</f>
        <v/>
      </c>
      <c r="AA35" s="4" t="str">
        <f>HYPERLINK("http://141.218.60.56/~jnz1568/getInfo.php?workbook=02_01.xlsx&amp;sheet=A0&amp;row=35&amp;col=27&amp;number=&amp;sourceID=20","")</f>
        <v/>
      </c>
    </row>
    <row r="36" spans="1:27">
      <c r="A36" s="3">
        <v>2</v>
      </c>
      <c r="B36" s="3">
        <v>1</v>
      </c>
      <c r="C36" s="3">
        <v>9</v>
      </c>
      <c r="D36" s="3">
        <v>8</v>
      </c>
      <c r="E36" s="3">
        <f>((1/(INDEX(E0!J$4:J$28,C36,1)-INDEX(E0!J$4:J$28,D36,1))))*100000000</f>
        <v>0</v>
      </c>
      <c r="F36" s="4" t="str">
        <f>HYPERLINK("http://141.218.60.56/~jnz1568/getInfo.php?workbook=02_01.xlsx&amp;sheet=A0&amp;row=36&amp;col=6&amp;number=&amp;sourceID=18","")</f>
        <v/>
      </c>
      <c r="G36" s="4" t="str">
        <f>HYPERLINK("http://141.218.60.56/~jnz1568/getInfo.php?workbook=02_01.xlsx&amp;sheet=A0&amp;row=36&amp;col=7&amp;number==&amp;sourceID=11","=")</f>
        <v>=</v>
      </c>
      <c r="H36" s="4" t="str">
        <f>HYPERLINK("http://141.218.60.56/~jnz1568/getInfo.php?workbook=02_01.xlsx&amp;sheet=A0&amp;row=36&amp;col=8&amp;number=3.9438e-06&amp;sourceID=11","3.9438e-06")</f>
        <v>3.9438e-06</v>
      </c>
      <c r="I36" s="4" t="str">
        <f>HYPERLINK("http://141.218.60.56/~jnz1568/getInfo.php?workbook=02_01.xlsx&amp;sheet=A0&amp;row=36&amp;col=9&amp;number=&amp;sourceID=11","")</f>
        <v/>
      </c>
      <c r="J36" s="4" t="str">
        <f>HYPERLINK("http://141.218.60.56/~jnz1568/getInfo.php?workbook=02_01.xlsx&amp;sheet=A0&amp;row=36&amp;col=10&amp;number=0&amp;sourceID=11","0")</f>
        <v>0</v>
      </c>
      <c r="K36" s="4" t="str">
        <f>HYPERLINK("http://141.218.60.56/~jnz1568/getInfo.php?workbook=02_01.xlsx&amp;sheet=A0&amp;row=36&amp;col=11&amp;number=&amp;sourceID=11","")</f>
        <v/>
      </c>
      <c r="L36" s="4" t="str">
        <f>HYPERLINK("http://141.218.60.56/~jnz1568/getInfo.php?workbook=02_01.xlsx&amp;sheet=A0&amp;row=36&amp;col=12&amp;number=0&amp;sourceID=11","0")</f>
        <v>0</v>
      </c>
      <c r="M36" s="4" t="str">
        <f>HYPERLINK("http://141.218.60.56/~jnz1568/getInfo.php?workbook=02_01.xlsx&amp;sheet=A0&amp;row=36&amp;col=13&amp;number=&amp;sourceID=11","")</f>
        <v/>
      </c>
      <c r="N36" s="4" t="str">
        <f>HYPERLINK("http://141.218.60.56/~jnz1568/getInfo.php?workbook=02_01.xlsx&amp;sheet=A0&amp;row=36&amp;col=14&amp;number=3.9445e-06&amp;sourceID=12","3.9445e-06")</f>
        <v>3.9445e-06</v>
      </c>
      <c r="O36" s="4" t="str">
        <f>HYPERLINK("http://141.218.60.56/~jnz1568/getInfo.php?workbook=02_01.xlsx&amp;sheet=A0&amp;row=36&amp;col=15&amp;number=3.9445e-06&amp;sourceID=12","3.9445e-06")</f>
        <v>3.9445e-06</v>
      </c>
      <c r="P36" s="4" t="str">
        <f>HYPERLINK("http://141.218.60.56/~jnz1568/getInfo.php?workbook=02_01.xlsx&amp;sheet=A0&amp;row=36&amp;col=16&amp;number=&amp;sourceID=12","")</f>
        <v/>
      </c>
      <c r="Q36" s="4" t="str">
        <f>HYPERLINK("http://141.218.60.56/~jnz1568/getInfo.php?workbook=02_01.xlsx&amp;sheet=A0&amp;row=36&amp;col=17&amp;number=0&amp;sourceID=12","0")</f>
        <v>0</v>
      </c>
      <c r="R36" s="4" t="str">
        <f>HYPERLINK("http://141.218.60.56/~jnz1568/getInfo.php?workbook=02_01.xlsx&amp;sheet=A0&amp;row=36&amp;col=18&amp;number=&amp;sourceID=12","")</f>
        <v/>
      </c>
      <c r="S36" s="4" t="str">
        <f>HYPERLINK("http://141.218.60.56/~jnz1568/getInfo.php?workbook=02_01.xlsx&amp;sheet=A0&amp;row=36&amp;col=19&amp;number=0&amp;sourceID=12","0")</f>
        <v>0</v>
      </c>
      <c r="T36" s="4" t="str">
        <f>HYPERLINK("http://141.218.60.56/~jnz1568/getInfo.php?workbook=02_01.xlsx&amp;sheet=A0&amp;row=36&amp;col=20&amp;number=&amp;sourceID=12","")</f>
        <v/>
      </c>
      <c r="U36" s="4" t="str">
        <f>HYPERLINK("http://141.218.60.56/~jnz1568/getInfo.php?workbook=02_01.xlsx&amp;sheet=A0&amp;row=36&amp;col=21&amp;number=&amp;sourceID=13","")</f>
        <v/>
      </c>
      <c r="V36" s="4" t="str">
        <f>HYPERLINK("http://141.218.60.56/~jnz1568/getInfo.php?workbook=02_01.xlsx&amp;sheet=A0&amp;row=36&amp;col=22&amp;number=&amp;sourceID=13","")</f>
        <v/>
      </c>
      <c r="W36" s="4" t="str">
        <f>HYPERLINK("http://141.218.60.56/~jnz1568/getInfo.php?workbook=02_01.xlsx&amp;sheet=A0&amp;row=36&amp;col=23&amp;number=&amp;sourceID=13","")</f>
        <v/>
      </c>
      <c r="X36" s="4" t="str">
        <f>HYPERLINK("http://141.218.60.56/~jnz1568/getInfo.php?workbook=02_01.xlsx&amp;sheet=A0&amp;row=36&amp;col=24&amp;number=&amp;sourceID=13","")</f>
        <v/>
      </c>
      <c r="Y36" s="4" t="str">
        <f>HYPERLINK("http://141.218.60.56/~jnz1568/getInfo.php?workbook=02_01.xlsx&amp;sheet=A0&amp;row=36&amp;col=25&amp;number=&amp;sourceID=13","")</f>
        <v/>
      </c>
      <c r="Z36" s="4" t="str">
        <f>HYPERLINK("http://141.218.60.56/~jnz1568/getInfo.php?workbook=02_01.xlsx&amp;sheet=A0&amp;row=36&amp;col=26&amp;number=&amp;sourceID=13","")</f>
        <v/>
      </c>
      <c r="AA36" s="4" t="str">
        <f>HYPERLINK("http://141.218.60.56/~jnz1568/getInfo.php?workbook=02_01.xlsx&amp;sheet=A0&amp;row=36&amp;col=27&amp;number=&amp;sourceID=20","")</f>
        <v/>
      </c>
    </row>
    <row r="37" spans="1:27">
      <c r="A37" s="3">
        <v>2</v>
      </c>
      <c r="B37" s="3">
        <v>1</v>
      </c>
      <c r="C37" s="3">
        <v>10</v>
      </c>
      <c r="D37" s="3">
        <v>1</v>
      </c>
      <c r="E37" s="3">
        <f>((1/(INDEX(E0!J$4:J$28,C37,1)-INDEX(E0!J$4:J$28,D37,1))))*100000000</f>
        <v>0</v>
      </c>
      <c r="F37" s="4" t="str">
        <f>HYPERLINK("http://141.218.60.56/~jnz1568/getInfo.php?workbook=02_01.xlsx&amp;sheet=A0&amp;row=37&amp;col=6&amp;number=&amp;sourceID=18","")</f>
        <v/>
      </c>
      <c r="G37" s="4" t="str">
        <f>HYPERLINK("http://141.218.60.56/~jnz1568/getInfo.php?workbook=02_01.xlsx&amp;sheet=A0&amp;row=37&amp;col=7&amp;number==&amp;sourceID=11","=")</f>
        <v>=</v>
      </c>
      <c r="H37" s="4" t="str">
        <f>HYPERLINK("http://141.218.60.56/~jnz1568/getInfo.php?workbook=02_01.xlsx&amp;sheet=A0&amp;row=37&amp;col=8&amp;number=1091400000&amp;sourceID=11","1091400000")</f>
        <v>1091400000</v>
      </c>
      <c r="I37" s="4" t="str">
        <f>HYPERLINK("http://141.218.60.56/~jnz1568/getInfo.php?workbook=02_01.xlsx&amp;sheet=A0&amp;row=37&amp;col=9&amp;number=&amp;sourceID=11","")</f>
        <v/>
      </c>
      <c r="J37" s="4" t="str">
        <f>HYPERLINK("http://141.218.60.56/~jnz1568/getInfo.php?workbook=02_01.xlsx&amp;sheet=A0&amp;row=37&amp;col=10&amp;number=&amp;sourceID=11","")</f>
        <v/>
      </c>
      <c r="K37" s="4" t="str">
        <f>HYPERLINK("http://141.218.60.56/~jnz1568/getInfo.php?workbook=02_01.xlsx&amp;sheet=A0&amp;row=37&amp;col=11&amp;number=&amp;sourceID=11","")</f>
        <v/>
      </c>
      <c r="L37" s="4" t="str">
        <f>HYPERLINK("http://141.218.60.56/~jnz1568/getInfo.php?workbook=02_01.xlsx&amp;sheet=A0&amp;row=37&amp;col=12&amp;number=&amp;sourceID=11","")</f>
        <v/>
      </c>
      <c r="M37" s="4" t="str">
        <f>HYPERLINK("http://141.218.60.56/~jnz1568/getInfo.php?workbook=02_01.xlsx&amp;sheet=A0&amp;row=37&amp;col=13&amp;number=&amp;sourceID=11","")</f>
        <v/>
      </c>
      <c r="N37" s="4" t="str">
        <f>HYPERLINK("http://141.218.60.56/~jnz1568/getInfo.php?workbook=02_01.xlsx&amp;sheet=A0&amp;row=37&amp;col=14&amp;number=1091500000&amp;sourceID=12","1091500000")</f>
        <v>1091500000</v>
      </c>
      <c r="O37" s="4" t="str">
        <f>HYPERLINK("http://141.218.60.56/~jnz1568/getInfo.php?workbook=02_01.xlsx&amp;sheet=A0&amp;row=37&amp;col=15&amp;number=1091500000&amp;sourceID=12","1091500000")</f>
        <v>1091500000</v>
      </c>
      <c r="P37" s="4" t="str">
        <f>HYPERLINK("http://141.218.60.56/~jnz1568/getInfo.php?workbook=02_01.xlsx&amp;sheet=A0&amp;row=37&amp;col=16&amp;number=&amp;sourceID=12","")</f>
        <v/>
      </c>
      <c r="Q37" s="4" t="str">
        <f>HYPERLINK("http://141.218.60.56/~jnz1568/getInfo.php?workbook=02_01.xlsx&amp;sheet=A0&amp;row=37&amp;col=17&amp;number=&amp;sourceID=12","")</f>
        <v/>
      </c>
      <c r="R37" s="4" t="str">
        <f>HYPERLINK("http://141.218.60.56/~jnz1568/getInfo.php?workbook=02_01.xlsx&amp;sheet=A0&amp;row=37&amp;col=18&amp;number=&amp;sourceID=12","")</f>
        <v/>
      </c>
      <c r="S37" s="4" t="str">
        <f>HYPERLINK("http://141.218.60.56/~jnz1568/getInfo.php?workbook=02_01.xlsx&amp;sheet=A0&amp;row=37&amp;col=19&amp;number=&amp;sourceID=12","")</f>
        <v/>
      </c>
      <c r="T37" s="4" t="str">
        <f>HYPERLINK("http://141.218.60.56/~jnz1568/getInfo.php?workbook=02_01.xlsx&amp;sheet=A0&amp;row=37&amp;col=20&amp;number=&amp;sourceID=12","")</f>
        <v/>
      </c>
      <c r="U37" s="4" t="str">
        <f>HYPERLINK("http://141.218.60.56/~jnz1568/getInfo.php?workbook=02_01.xlsx&amp;sheet=A0&amp;row=37&amp;col=21&amp;number==SUM(V37:Z37)&amp;sourceID=13","=SUM(V37:Z37)")</f>
        <v>=SUM(V37:Z37)</v>
      </c>
      <c r="V37" s="4" t="str">
        <f>HYPERLINK("http://141.218.60.56/~jnz1568/getInfo.php?workbook=02_01.xlsx&amp;sheet=A0&amp;row=37&amp;col=22&amp;number=1090000000&amp;sourceID=13","1090000000")</f>
        <v>1090000000</v>
      </c>
      <c r="W37" s="4" t="str">
        <f>HYPERLINK("http://141.218.60.56/~jnz1568/getInfo.php?workbook=02_01.xlsx&amp;sheet=A0&amp;row=37&amp;col=23&amp;number=&amp;sourceID=13","")</f>
        <v/>
      </c>
      <c r="X37" s="4" t="str">
        <f>HYPERLINK("http://141.218.60.56/~jnz1568/getInfo.php?workbook=02_01.xlsx&amp;sheet=A0&amp;row=37&amp;col=24&amp;number=&amp;sourceID=13","")</f>
        <v/>
      </c>
      <c r="Y37" s="4" t="str">
        <f>HYPERLINK("http://141.218.60.56/~jnz1568/getInfo.php?workbook=02_01.xlsx&amp;sheet=A0&amp;row=37&amp;col=25&amp;number=&amp;sourceID=13","")</f>
        <v/>
      </c>
      <c r="Z37" s="4" t="str">
        <f>HYPERLINK("http://141.218.60.56/~jnz1568/getInfo.php?workbook=02_01.xlsx&amp;sheet=A0&amp;row=37&amp;col=26&amp;number=&amp;sourceID=13","")</f>
        <v/>
      </c>
      <c r="AA37" s="4" t="str">
        <f>HYPERLINK("http://141.218.60.56/~jnz1568/getInfo.php?workbook=02_01.xlsx&amp;sheet=A0&amp;row=37&amp;col=27&amp;number=1091400000&amp;sourceID=20","1091400000")</f>
        <v>1091400000</v>
      </c>
    </row>
    <row r="38" spans="1:27">
      <c r="A38" s="3">
        <v>2</v>
      </c>
      <c r="B38" s="3">
        <v>1</v>
      </c>
      <c r="C38" s="3">
        <v>10</v>
      </c>
      <c r="D38" s="3">
        <v>2</v>
      </c>
      <c r="E38" s="3">
        <f>((1/(INDEX(E0!J$4:J$28,C38,1)-INDEX(E0!J$4:J$28,D38,1))))*100000000</f>
        <v>0</v>
      </c>
      <c r="F38" s="4" t="str">
        <f>HYPERLINK("http://141.218.60.56/~jnz1568/getInfo.php?workbook=02_01.xlsx&amp;sheet=A0&amp;row=38&amp;col=6&amp;number=&amp;sourceID=18","")</f>
        <v/>
      </c>
      <c r="G38" s="4" t="str">
        <f>HYPERLINK("http://141.218.60.56/~jnz1568/getInfo.php?workbook=02_01.xlsx&amp;sheet=A0&amp;row=38&amp;col=7&amp;number==SUM(H38:M38)&amp;sourceID=11","=SUM(H38:M38)")</f>
        <v>=SUM(H38:M38)</v>
      </c>
      <c r="H38" s="4" t="str">
        <f>HYPERLINK("http://141.218.60.56/~jnz1568/getInfo.php?workbook=02_01.xlsx&amp;sheet=A0&amp;row=38&amp;col=8&amp;number=&amp;sourceID=11","")</f>
        <v/>
      </c>
      <c r="I38" s="4" t="str">
        <f>HYPERLINK("http://141.218.60.56/~jnz1568/getInfo.php?workbook=02_01.xlsx&amp;sheet=A0&amp;row=38&amp;col=9&amp;number=&amp;sourceID=11","")</f>
        <v/>
      </c>
      <c r="J38" s="4" t="str">
        <f>HYPERLINK("http://141.218.60.56/~jnz1568/getInfo.php?workbook=02_01.xlsx&amp;sheet=A0&amp;row=38&amp;col=10&amp;number=&amp;sourceID=11","")</f>
        <v/>
      </c>
      <c r="K38" s="4" t="str">
        <f>HYPERLINK("http://141.218.60.56/~jnz1568/getInfo.php?workbook=02_01.xlsx&amp;sheet=A0&amp;row=38&amp;col=11&amp;number=3.9479e-07&amp;sourceID=11","3.9479e-07")</f>
        <v>3.9479e-07</v>
      </c>
      <c r="L38" s="4" t="str">
        <f>HYPERLINK("http://141.218.60.56/~jnz1568/getInfo.php?workbook=02_01.xlsx&amp;sheet=A0&amp;row=38&amp;col=12&amp;number=&amp;sourceID=11","")</f>
        <v/>
      </c>
      <c r="M38" s="4" t="str">
        <f>HYPERLINK("http://141.218.60.56/~jnz1568/getInfo.php?workbook=02_01.xlsx&amp;sheet=A0&amp;row=38&amp;col=13&amp;number=&amp;sourceID=11","")</f>
        <v/>
      </c>
      <c r="N38" s="4" t="str">
        <f>HYPERLINK("http://141.218.60.56/~jnz1568/getInfo.php?workbook=02_01.xlsx&amp;sheet=A0&amp;row=38&amp;col=14&amp;number=3.9335e-07&amp;sourceID=12","3.9335e-07")</f>
        <v>3.9335e-07</v>
      </c>
      <c r="O38" s="4" t="str">
        <f>HYPERLINK("http://141.218.60.56/~jnz1568/getInfo.php?workbook=02_01.xlsx&amp;sheet=A0&amp;row=38&amp;col=15&amp;number=&amp;sourceID=12","")</f>
        <v/>
      </c>
      <c r="P38" s="4" t="str">
        <f>HYPERLINK("http://141.218.60.56/~jnz1568/getInfo.php?workbook=02_01.xlsx&amp;sheet=A0&amp;row=38&amp;col=16&amp;number=&amp;sourceID=12","")</f>
        <v/>
      </c>
      <c r="Q38" s="4" t="str">
        <f>HYPERLINK("http://141.218.60.56/~jnz1568/getInfo.php?workbook=02_01.xlsx&amp;sheet=A0&amp;row=38&amp;col=17&amp;number=&amp;sourceID=12","")</f>
        <v/>
      </c>
      <c r="R38" s="4" t="str">
        <f>HYPERLINK("http://141.218.60.56/~jnz1568/getInfo.php?workbook=02_01.xlsx&amp;sheet=A0&amp;row=38&amp;col=18&amp;number=3.9335e-07&amp;sourceID=12","3.9335e-07")</f>
        <v>3.9335e-07</v>
      </c>
      <c r="S38" s="4" t="str">
        <f>HYPERLINK("http://141.218.60.56/~jnz1568/getInfo.php?workbook=02_01.xlsx&amp;sheet=A0&amp;row=38&amp;col=19&amp;number=&amp;sourceID=12","")</f>
        <v/>
      </c>
      <c r="T38" s="4" t="str">
        <f>HYPERLINK("http://141.218.60.56/~jnz1568/getInfo.php?workbook=02_01.xlsx&amp;sheet=A0&amp;row=38&amp;col=20&amp;number=&amp;sourceID=12","")</f>
        <v/>
      </c>
      <c r="U38" s="4" t="str">
        <f>HYPERLINK("http://141.218.60.56/~jnz1568/getInfo.php?workbook=02_01.xlsx&amp;sheet=A0&amp;row=38&amp;col=21&amp;number==&amp;sourceID=13","=")</f>
        <v>=</v>
      </c>
      <c r="V38" s="4" t="str">
        <f>HYPERLINK("http://141.218.60.56/~jnz1568/getInfo.php?workbook=02_01.xlsx&amp;sheet=A0&amp;row=38&amp;col=22&amp;number=&amp;sourceID=13","")</f>
        <v/>
      </c>
      <c r="W38" s="4" t="str">
        <f>HYPERLINK("http://141.218.60.56/~jnz1568/getInfo.php?workbook=02_01.xlsx&amp;sheet=A0&amp;row=38&amp;col=23&amp;number=&amp;sourceID=13","")</f>
        <v/>
      </c>
      <c r="X38" s="4" t="str">
        <f>HYPERLINK("http://141.218.60.56/~jnz1568/getInfo.php?workbook=02_01.xlsx&amp;sheet=A0&amp;row=38&amp;col=24&amp;number=&amp;sourceID=13","")</f>
        <v/>
      </c>
      <c r="Y38" s="4" t="str">
        <f>HYPERLINK("http://141.218.60.56/~jnz1568/getInfo.php?workbook=02_01.xlsx&amp;sheet=A0&amp;row=38&amp;col=25&amp;number=3.94e-07&amp;sourceID=13","3.94e-07")</f>
        <v>3.94e-07</v>
      </c>
      <c r="Z38" s="4" t="str">
        <f>HYPERLINK("http://141.218.60.56/~jnz1568/getInfo.php?workbook=02_01.xlsx&amp;sheet=A0&amp;row=38&amp;col=26&amp;number=&amp;sourceID=13","")</f>
        <v/>
      </c>
      <c r="AA38" s="4" t="str">
        <f>HYPERLINK("http://141.218.60.56/~jnz1568/getInfo.php?workbook=02_01.xlsx&amp;sheet=A0&amp;row=38&amp;col=27&amp;number=&amp;sourceID=20","")</f>
        <v/>
      </c>
    </row>
    <row r="39" spans="1:27">
      <c r="A39" s="3">
        <v>2</v>
      </c>
      <c r="B39" s="3">
        <v>1</v>
      </c>
      <c r="C39" s="3">
        <v>10</v>
      </c>
      <c r="D39" s="3">
        <v>3</v>
      </c>
      <c r="E39" s="3">
        <f>((1/(INDEX(E0!J$4:J$28,C39,1)-INDEX(E0!J$4:J$28,D39,1))))*100000000</f>
        <v>0</v>
      </c>
      <c r="F39" s="4" t="str">
        <f>HYPERLINK("http://141.218.60.56/~jnz1568/getInfo.php?workbook=02_01.xlsx&amp;sheet=A0&amp;row=39&amp;col=6&amp;number=&amp;sourceID=18","")</f>
        <v/>
      </c>
      <c r="G39" s="4" t="str">
        <f>HYPERLINK("http://141.218.60.56/~jnz1568/getInfo.php?workbook=02_01.xlsx&amp;sheet=A0&amp;row=39&amp;col=7&amp;number==&amp;sourceID=11","=")</f>
        <v>=</v>
      </c>
      <c r="H39" s="4" t="str">
        <f>HYPERLINK("http://141.218.60.56/~jnz1568/getInfo.php?workbook=02_01.xlsx&amp;sheet=A0&amp;row=39&amp;col=8&amp;number=154770000&amp;sourceID=11","154770000")</f>
        <v>154770000</v>
      </c>
      <c r="I39" s="4" t="str">
        <f>HYPERLINK("http://141.218.60.56/~jnz1568/getInfo.php?workbook=02_01.xlsx&amp;sheet=A0&amp;row=39&amp;col=9&amp;number=&amp;sourceID=11","")</f>
        <v/>
      </c>
      <c r="J39" s="4" t="str">
        <f>HYPERLINK("http://141.218.60.56/~jnz1568/getInfo.php?workbook=02_01.xlsx&amp;sheet=A0&amp;row=39&amp;col=10&amp;number=&amp;sourceID=11","")</f>
        <v/>
      </c>
      <c r="K39" s="4" t="str">
        <f>HYPERLINK("http://141.218.60.56/~jnz1568/getInfo.php?workbook=02_01.xlsx&amp;sheet=A0&amp;row=39&amp;col=11&amp;number=&amp;sourceID=11","")</f>
        <v/>
      </c>
      <c r="L39" s="4" t="str">
        <f>HYPERLINK("http://141.218.60.56/~jnz1568/getInfo.php?workbook=02_01.xlsx&amp;sheet=A0&amp;row=39&amp;col=12&amp;number=&amp;sourceID=11","")</f>
        <v/>
      </c>
      <c r="M39" s="4" t="str">
        <f>HYPERLINK("http://141.218.60.56/~jnz1568/getInfo.php?workbook=02_01.xlsx&amp;sheet=A0&amp;row=39&amp;col=13&amp;number=&amp;sourceID=11","")</f>
        <v/>
      </c>
      <c r="N39" s="4" t="str">
        <f>HYPERLINK("http://141.218.60.56/~jnz1568/getInfo.php?workbook=02_01.xlsx&amp;sheet=A0&amp;row=39&amp;col=14&amp;number=154790000&amp;sourceID=12","154790000")</f>
        <v>154790000</v>
      </c>
      <c r="O39" s="4" t="str">
        <f>HYPERLINK("http://141.218.60.56/~jnz1568/getInfo.php?workbook=02_01.xlsx&amp;sheet=A0&amp;row=39&amp;col=15&amp;number=154790000&amp;sourceID=12","154790000")</f>
        <v>154790000</v>
      </c>
      <c r="P39" s="4" t="str">
        <f>HYPERLINK("http://141.218.60.56/~jnz1568/getInfo.php?workbook=02_01.xlsx&amp;sheet=A0&amp;row=39&amp;col=16&amp;number=&amp;sourceID=12","")</f>
        <v/>
      </c>
      <c r="Q39" s="4" t="str">
        <f>HYPERLINK("http://141.218.60.56/~jnz1568/getInfo.php?workbook=02_01.xlsx&amp;sheet=A0&amp;row=39&amp;col=17&amp;number=&amp;sourceID=12","")</f>
        <v/>
      </c>
      <c r="R39" s="4" t="str">
        <f>HYPERLINK("http://141.218.60.56/~jnz1568/getInfo.php?workbook=02_01.xlsx&amp;sheet=A0&amp;row=39&amp;col=18&amp;number=&amp;sourceID=12","")</f>
        <v/>
      </c>
      <c r="S39" s="4" t="str">
        <f>HYPERLINK("http://141.218.60.56/~jnz1568/getInfo.php?workbook=02_01.xlsx&amp;sheet=A0&amp;row=39&amp;col=19&amp;number=&amp;sourceID=12","")</f>
        <v/>
      </c>
      <c r="T39" s="4" t="str">
        <f>HYPERLINK("http://141.218.60.56/~jnz1568/getInfo.php?workbook=02_01.xlsx&amp;sheet=A0&amp;row=39&amp;col=20&amp;number=&amp;sourceID=12","")</f>
        <v/>
      </c>
      <c r="U39" s="4" t="str">
        <f>HYPERLINK("http://141.218.60.56/~jnz1568/getInfo.php?workbook=02_01.xlsx&amp;sheet=A0&amp;row=39&amp;col=21&amp;number==&amp;sourceID=13","=")</f>
        <v>=</v>
      </c>
      <c r="V39" s="4" t="str">
        <f>HYPERLINK("http://141.218.60.56/~jnz1568/getInfo.php?workbook=02_01.xlsx&amp;sheet=A0&amp;row=39&amp;col=22&amp;number=155000000&amp;sourceID=13","155000000")</f>
        <v>155000000</v>
      </c>
      <c r="W39" s="4" t="str">
        <f>HYPERLINK("http://141.218.60.56/~jnz1568/getInfo.php?workbook=02_01.xlsx&amp;sheet=A0&amp;row=39&amp;col=23&amp;number=&amp;sourceID=13","")</f>
        <v/>
      </c>
      <c r="X39" s="4" t="str">
        <f>HYPERLINK("http://141.218.60.56/~jnz1568/getInfo.php?workbook=02_01.xlsx&amp;sheet=A0&amp;row=39&amp;col=24&amp;number=&amp;sourceID=13","")</f>
        <v/>
      </c>
      <c r="Y39" s="4" t="str">
        <f>HYPERLINK("http://141.218.60.56/~jnz1568/getInfo.php?workbook=02_01.xlsx&amp;sheet=A0&amp;row=39&amp;col=25&amp;number=&amp;sourceID=13","")</f>
        <v/>
      </c>
      <c r="Z39" s="4" t="str">
        <f>HYPERLINK("http://141.218.60.56/~jnz1568/getInfo.php?workbook=02_01.xlsx&amp;sheet=A0&amp;row=39&amp;col=26&amp;number=&amp;sourceID=13","")</f>
        <v/>
      </c>
      <c r="AA39" s="4" t="str">
        <f>HYPERLINK("http://141.218.60.56/~jnz1568/getInfo.php?workbook=02_01.xlsx&amp;sheet=A0&amp;row=39&amp;col=27&amp;number=&amp;sourceID=20","")</f>
        <v/>
      </c>
    </row>
    <row r="40" spans="1:27">
      <c r="A40" s="3">
        <v>2</v>
      </c>
      <c r="B40" s="3">
        <v>1</v>
      </c>
      <c r="C40" s="3">
        <v>10</v>
      </c>
      <c r="D40" s="3">
        <v>4</v>
      </c>
      <c r="E40" s="3">
        <f>((1/(INDEX(E0!J$4:J$28,C40,1)-INDEX(E0!J$4:J$28,D40,1))))*100000000</f>
        <v>0</v>
      </c>
      <c r="F40" s="4" t="str">
        <f>HYPERLINK("http://141.218.60.56/~jnz1568/getInfo.php?workbook=02_01.xlsx&amp;sheet=A0&amp;row=40&amp;col=6&amp;number=&amp;sourceID=18","")</f>
        <v/>
      </c>
      <c r="G40" s="4" t="str">
        <f>HYPERLINK("http://141.218.60.56/~jnz1568/getInfo.php?workbook=02_01.xlsx&amp;sheet=A0&amp;row=40&amp;col=7&amp;number==&amp;sourceID=11","=")</f>
        <v>=</v>
      </c>
      <c r="H40" s="4" t="str">
        <f>HYPERLINK("http://141.218.60.56/~jnz1568/getInfo.php?workbook=02_01.xlsx&amp;sheet=A0&amp;row=40&amp;col=8&amp;number=&amp;sourceID=11","")</f>
        <v/>
      </c>
      <c r="I40" s="4" t="str">
        <f>HYPERLINK("http://141.218.60.56/~jnz1568/getInfo.php?workbook=02_01.xlsx&amp;sheet=A0&amp;row=40&amp;col=9&amp;number=659.2&amp;sourceID=11","659.2")</f>
        <v>659.2</v>
      </c>
      <c r="J40" s="4" t="str">
        <f>HYPERLINK("http://141.218.60.56/~jnz1568/getInfo.php?workbook=02_01.xlsx&amp;sheet=A0&amp;row=40&amp;col=10&amp;number=&amp;sourceID=11","")</f>
        <v/>
      </c>
      <c r="K40" s="4" t="str">
        <f>HYPERLINK("http://141.218.60.56/~jnz1568/getInfo.php?workbook=02_01.xlsx&amp;sheet=A0&amp;row=40&amp;col=11&amp;number=7.7009e-06&amp;sourceID=11","7.7009e-06")</f>
        <v>7.7009e-06</v>
      </c>
      <c r="L40" s="4" t="str">
        <f>HYPERLINK("http://141.218.60.56/~jnz1568/getInfo.php?workbook=02_01.xlsx&amp;sheet=A0&amp;row=40&amp;col=12&amp;number=&amp;sourceID=11","")</f>
        <v/>
      </c>
      <c r="M40" s="4" t="str">
        <f>HYPERLINK("http://141.218.60.56/~jnz1568/getInfo.php?workbook=02_01.xlsx&amp;sheet=A0&amp;row=40&amp;col=13&amp;number=&amp;sourceID=11","")</f>
        <v/>
      </c>
      <c r="N40" s="4" t="str">
        <f>HYPERLINK("http://141.218.60.56/~jnz1568/getInfo.php?workbook=02_01.xlsx&amp;sheet=A0&amp;row=40&amp;col=14&amp;number=659.29&amp;sourceID=12","659.29")</f>
        <v>659.29</v>
      </c>
      <c r="O40" s="4" t="str">
        <f>HYPERLINK("http://141.218.60.56/~jnz1568/getInfo.php?workbook=02_01.xlsx&amp;sheet=A0&amp;row=40&amp;col=15&amp;number=&amp;sourceID=12","")</f>
        <v/>
      </c>
      <c r="P40" s="4" t="str">
        <f>HYPERLINK("http://141.218.60.56/~jnz1568/getInfo.php?workbook=02_01.xlsx&amp;sheet=A0&amp;row=40&amp;col=16&amp;number=659.29&amp;sourceID=12","659.29")</f>
        <v>659.29</v>
      </c>
      <c r="Q40" s="4" t="str">
        <f>HYPERLINK("http://141.218.60.56/~jnz1568/getInfo.php?workbook=02_01.xlsx&amp;sheet=A0&amp;row=40&amp;col=17&amp;number=&amp;sourceID=12","")</f>
        <v/>
      </c>
      <c r="R40" s="4" t="str">
        <f>HYPERLINK("http://141.218.60.56/~jnz1568/getInfo.php?workbook=02_01.xlsx&amp;sheet=A0&amp;row=40&amp;col=18&amp;number=7.7086e-06&amp;sourceID=12","7.7086e-06")</f>
        <v>7.7086e-06</v>
      </c>
      <c r="S40" s="4" t="str">
        <f>HYPERLINK("http://141.218.60.56/~jnz1568/getInfo.php?workbook=02_01.xlsx&amp;sheet=A0&amp;row=40&amp;col=19&amp;number=&amp;sourceID=12","")</f>
        <v/>
      </c>
      <c r="T40" s="4" t="str">
        <f>HYPERLINK("http://141.218.60.56/~jnz1568/getInfo.php?workbook=02_01.xlsx&amp;sheet=A0&amp;row=40&amp;col=20&amp;number=&amp;sourceID=12","")</f>
        <v/>
      </c>
      <c r="U40" s="4" t="str">
        <f>HYPERLINK("http://141.218.60.56/~jnz1568/getInfo.php?workbook=02_01.xlsx&amp;sheet=A0&amp;row=40&amp;col=21&amp;number==&amp;sourceID=13","=")</f>
        <v>=</v>
      </c>
      <c r="V40" s="4" t="str">
        <f>HYPERLINK("http://141.218.60.56/~jnz1568/getInfo.php?workbook=02_01.xlsx&amp;sheet=A0&amp;row=40&amp;col=22&amp;number=&amp;sourceID=13","")</f>
        <v/>
      </c>
      <c r="W40" s="4" t="str">
        <f>HYPERLINK("http://141.218.60.56/~jnz1568/getInfo.php?workbook=02_01.xlsx&amp;sheet=A0&amp;row=40&amp;col=23&amp;number=658&amp;sourceID=13","658")</f>
        <v>658</v>
      </c>
      <c r="X40" s="4" t="str">
        <f>HYPERLINK("http://141.218.60.56/~jnz1568/getInfo.php?workbook=02_01.xlsx&amp;sheet=A0&amp;row=40&amp;col=24&amp;number=&amp;sourceID=13","")</f>
        <v/>
      </c>
      <c r="Y40" s="4" t="str">
        <f>HYPERLINK("http://141.218.60.56/~jnz1568/getInfo.php?workbook=02_01.xlsx&amp;sheet=A0&amp;row=40&amp;col=25&amp;number=8.65e-06&amp;sourceID=13","8.65e-06")</f>
        <v>8.65e-06</v>
      </c>
      <c r="Z40" s="4" t="str">
        <f>HYPERLINK("http://141.218.60.56/~jnz1568/getInfo.php?workbook=02_01.xlsx&amp;sheet=A0&amp;row=40&amp;col=26&amp;number=&amp;sourceID=13","")</f>
        <v/>
      </c>
      <c r="AA40" s="4" t="str">
        <f>HYPERLINK("http://141.218.60.56/~jnz1568/getInfo.php?workbook=02_01.xlsx&amp;sheet=A0&amp;row=40&amp;col=27&amp;number=&amp;sourceID=20","")</f>
        <v/>
      </c>
    </row>
    <row r="41" spans="1:27">
      <c r="A41" s="3">
        <v>2</v>
      </c>
      <c r="B41" s="3">
        <v>1</v>
      </c>
      <c r="C41" s="3">
        <v>10</v>
      </c>
      <c r="D41" s="3">
        <v>5</v>
      </c>
      <c r="E41" s="3">
        <f>((1/(INDEX(E0!J$4:J$28,C41,1)-INDEX(E0!J$4:J$28,D41,1))))*100000000</f>
        <v>0</v>
      </c>
      <c r="F41" s="4" t="str">
        <f>HYPERLINK("http://141.218.60.56/~jnz1568/getInfo.php?workbook=02_01.xlsx&amp;sheet=A0&amp;row=41&amp;col=6&amp;number=&amp;sourceID=18","")</f>
        <v/>
      </c>
      <c r="G41" s="4" t="str">
        <f>HYPERLINK("http://141.218.60.56/~jnz1568/getInfo.php?workbook=02_01.xlsx&amp;sheet=A0&amp;row=41&amp;col=7&amp;number==&amp;sourceID=11","=")</f>
        <v>=</v>
      </c>
      <c r="H41" s="4" t="str">
        <f>HYPERLINK("http://141.218.60.56/~jnz1568/getInfo.php?workbook=02_01.xlsx&amp;sheet=A0&amp;row=41&amp;col=8&amp;number=&amp;sourceID=11","")</f>
        <v/>
      </c>
      <c r="I41" s="4" t="str">
        <f>HYPERLINK("http://141.218.60.56/~jnz1568/getInfo.php?workbook=02_01.xlsx&amp;sheet=A0&amp;row=41&amp;col=9&amp;number=&amp;sourceID=11","")</f>
        <v/>
      </c>
      <c r="J41" s="4" t="str">
        <f>HYPERLINK("http://141.218.60.56/~jnz1568/getInfo.php?workbook=02_01.xlsx&amp;sheet=A0&amp;row=41&amp;col=10&amp;number=&amp;sourceID=11","")</f>
        <v/>
      </c>
      <c r="K41" s="4" t="str">
        <f>HYPERLINK("http://141.218.60.56/~jnz1568/getInfo.php?workbook=02_01.xlsx&amp;sheet=A0&amp;row=41&amp;col=11&amp;number=6.5649e-09&amp;sourceID=11","6.5649e-09")</f>
        <v>6.5649e-09</v>
      </c>
      <c r="L41" s="4" t="str">
        <f>HYPERLINK("http://141.218.60.56/~jnz1568/getInfo.php?workbook=02_01.xlsx&amp;sheet=A0&amp;row=41&amp;col=12&amp;number=&amp;sourceID=11","")</f>
        <v/>
      </c>
      <c r="M41" s="4" t="str">
        <f>HYPERLINK("http://141.218.60.56/~jnz1568/getInfo.php?workbook=02_01.xlsx&amp;sheet=A0&amp;row=41&amp;col=13&amp;number=&amp;sourceID=11","")</f>
        <v/>
      </c>
      <c r="N41" s="4" t="str">
        <f>HYPERLINK("http://141.218.60.56/~jnz1568/getInfo.php?workbook=02_01.xlsx&amp;sheet=A0&amp;row=41&amp;col=14&amp;number=6.5657e-09&amp;sourceID=12","6.5657e-09")</f>
        <v>6.5657e-09</v>
      </c>
      <c r="O41" s="4" t="str">
        <f>HYPERLINK("http://141.218.60.56/~jnz1568/getInfo.php?workbook=02_01.xlsx&amp;sheet=A0&amp;row=41&amp;col=15&amp;number=&amp;sourceID=12","")</f>
        <v/>
      </c>
      <c r="P41" s="4" t="str">
        <f>HYPERLINK("http://141.218.60.56/~jnz1568/getInfo.php?workbook=02_01.xlsx&amp;sheet=A0&amp;row=41&amp;col=16&amp;number=&amp;sourceID=12","")</f>
        <v/>
      </c>
      <c r="Q41" s="4" t="str">
        <f>HYPERLINK("http://141.218.60.56/~jnz1568/getInfo.php?workbook=02_01.xlsx&amp;sheet=A0&amp;row=41&amp;col=17&amp;number=&amp;sourceID=12","")</f>
        <v/>
      </c>
      <c r="R41" s="4" t="str">
        <f>HYPERLINK("http://141.218.60.56/~jnz1568/getInfo.php?workbook=02_01.xlsx&amp;sheet=A0&amp;row=41&amp;col=18&amp;number=6.5657e-09&amp;sourceID=12","6.5657e-09")</f>
        <v>6.5657e-09</v>
      </c>
      <c r="S41" s="4" t="str">
        <f>HYPERLINK("http://141.218.60.56/~jnz1568/getInfo.php?workbook=02_01.xlsx&amp;sheet=A0&amp;row=41&amp;col=19&amp;number=&amp;sourceID=12","")</f>
        <v/>
      </c>
      <c r="T41" s="4" t="str">
        <f>HYPERLINK("http://141.218.60.56/~jnz1568/getInfo.php?workbook=02_01.xlsx&amp;sheet=A0&amp;row=41&amp;col=20&amp;number=&amp;sourceID=12","")</f>
        <v/>
      </c>
      <c r="U41" s="4" t="str">
        <f>HYPERLINK("http://141.218.60.56/~jnz1568/getInfo.php?workbook=02_01.xlsx&amp;sheet=A0&amp;row=41&amp;col=21&amp;number==&amp;sourceID=13","=")</f>
        <v>=</v>
      </c>
      <c r="V41" s="4" t="str">
        <f>HYPERLINK("http://141.218.60.56/~jnz1568/getInfo.php?workbook=02_01.xlsx&amp;sheet=A0&amp;row=41&amp;col=22&amp;number=&amp;sourceID=13","")</f>
        <v/>
      </c>
      <c r="W41" s="4" t="str">
        <f>HYPERLINK("http://141.218.60.56/~jnz1568/getInfo.php?workbook=02_01.xlsx&amp;sheet=A0&amp;row=41&amp;col=23&amp;number=&amp;sourceID=13","")</f>
        <v/>
      </c>
      <c r="X41" s="4" t="str">
        <f>HYPERLINK("http://141.218.60.56/~jnz1568/getInfo.php?workbook=02_01.xlsx&amp;sheet=A0&amp;row=41&amp;col=24&amp;number=&amp;sourceID=13","")</f>
        <v/>
      </c>
      <c r="Y41" s="4" t="str">
        <f>HYPERLINK("http://141.218.60.56/~jnz1568/getInfo.php?workbook=02_01.xlsx&amp;sheet=A0&amp;row=41&amp;col=25&amp;number=6.56e-09&amp;sourceID=13","6.56e-09")</f>
        <v>6.56e-09</v>
      </c>
      <c r="Z41" s="4" t="str">
        <f>HYPERLINK("http://141.218.60.56/~jnz1568/getInfo.php?workbook=02_01.xlsx&amp;sheet=A0&amp;row=41&amp;col=26&amp;number=&amp;sourceID=13","")</f>
        <v/>
      </c>
      <c r="AA41" s="4" t="str">
        <f>HYPERLINK("http://141.218.60.56/~jnz1568/getInfo.php?workbook=02_01.xlsx&amp;sheet=A0&amp;row=41&amp;col=27&amp;number=&amp;sourceID=20","")</f>
        <v/>
      </c>
    </row>
    <row r="42" spans="1:27">
      <c r="A42" s="3">
        <v>2</v>
      </c>
      <c r="B42" s="3">
        <v>1</v>
      </c>
      <c r="C42" s="3">
        <v>10</v>
      </c>
      <c r="D42" s="3">
        <v>6</v>
      </c>
      <c r="E42" s="3">
        <f>((1/(INDEX(E0!J$4:J$28,C42,1)-INDEX(E0!J$4:J$28,D42,1))))*100000000</f>
        <v>0</v>
      </c>
      <c r="F42" s="4" t="str">
        <f>HYPERLINK("http://141.218.60.56/~jnz1568/getInfo.php?workbook=02_01.xlsx&amp;sheet=A0&amp;row=42&amp;col=6&amp;number=&amp;sourceID=18","")</f>
        <v/>
      </c>
      <c r="G42" s="4" t="str">
        <f>HYPERLINK("http://141.218.60.56/~jnz1568/getInfo.php?workbook=02_01.xlsx&amp;sheet=A0&amp;row=42&amp;col=7&amp;number==&amp;sourceID=11","=")</f>
        <v>=</v>
      </c>
      <c r="H42" s="4" t="str">
        <f>HYPERLINK("http://141.218.60.56/~jnz1568/getInfo.php?workbook=02_01.xlsx&amp;sheet=A0&amp;row=42&amp;col=8&amp;number=49068000&amp;sourceID=11","49068000")</f>
        <v>49068000</v>
      </c>
      <c r="I42" s="4" t="str">
        <f>HYPERLINK("http://141.218.60.56/~jnz1568/getInfo.php?workbook=02_01.xlsx&amp;sheet=A0&amp;row=42&amp;col=9&amp;number=&amp;sourceID=11","")</f>
        <v/>
      </c>
      <c r="J42" s="4" t="str">
        <f>HYPERLINK("http://141.218.60.56/~jnz1568/getInfo.php?workbook=02_01.xlsx&amp;sheet=A0&amp;row=42&amp;col=10&amp;number=&amp;sourceID=11","")</f>
        <v/>
      </c>
      <c r="K42" s="4" t="str">
        <f>HYPERLINK("http://141.218.60.56/~jnz1568/getInfo.php?workbook=02_01.xlsx&amp;sheet=A0&amp;row=42&amp;col=11&amp;number=&amp;sourceID=11","")</f>
        <v/>
      </c>
      <c r="L42" s="4" t="str">
        <f>HYPERLINK("http://141.218.60.56/~jnz1568/getInfo.php?workbook=02_01.xlsx&amp;sheet=A0&amp;row=42&amp;col=12&amp;number=&amp;sourceID=11","")</f>
        <v/>
      </c>
      <c r="M42" s="4" t="str">
        <f>HYPERLINK("http://141.218.60.56/~jnz1568/getInfo.php?workbook=02_01.xlsx&amp;sheet=A0&amp;row=42&amp;col=13&amp;number=&amp;sourceID=11","")</f>
        <v/>
      </c>
      <c r="N42" s="4" t="str">
        <f>HYPERLINK("http://141.218.60.56/~jnz1568/getInfo.php?workbook=02_01.xlsx&amp;sheet=A0&amp;row=42&amp;col=14&amp;number=49075000&amp;sourceID=12","49075000")</f>
        <v>49075000</v>
      </c>
      <c r="O42" s="4" t="str">
        <f>HYPERLINK("http://141.218.60.56/~jnz1568/getInfo.php?workbook=02_01.xlsx&amp;sheet=A0&amp;row=42&amp;col=15&amp;number=49075000&amp;sourceID=12","49075000")</f>
        <v>49075000</v>
      </c>
      <c r="P42" s="4" t="str">
        <f>HYPERLINK("http://141.218.60.56/~jnz1568/getInfo.php?workbook=02_01.xlsx&amp;sheet=A0&amp;row=42&amp;col=16&amp;number=&amp;sourceID=12","")</f>
        <v/>
      </c>
      <c r="Q42" s="4" t="str">
        <f>HYPERLINK("http://141.218.60.56/~jnz1568/getInfo.php?workbook=02_01.xlsx&amp;sheet=A0&amp;row=42&amp;col=17&amp;number=&amp;sourceID=12","")</f>
        <v/>
      </c>
      <c r="R42" s="4" t="str">
        <f>HYPERLINK("http://141.218.60.56/~jnz1568/getInfo.php?workbook=02_01.xlsx&amp;sheet=A0&amp;row=42&amp;col=18&amp;number=&amp;sourceID=12","")</f>
        <v/>
      </c>
      <c r="S42" s="4" t="str">
        <f>HYPERLINK("http://141.218.60.56/~jnz1568/getInfo.php?workbook=02_01.xlsx&amp;sheet=A0&amp;row=42&amp;col=19&amp;number=&amp;sourceID=12","")</f>
        <v/>
      </c>
      <c r="T42" s="4" t="str">
        <f>HYPERLINK("http://141.218.60.56/~jnz1568/getInfo.php?workbook=02_01.xlsx&amp;sheet=A0&amp;row=42&amp;col=20&amp;number=&amp;sourceID=12","")</f>
        <v/>
      </c>
      <c r="U42" s="4" t="str">
        <f>HYPERLINK("http://141.218.60.56/~jnz1568/getInfo.php?workbook=02_01.xlsx&amp;sheet=A0&amp;row=42&amp;col=21&amp;number==&amp;sourceID=13","=")</f>
        <v>=</v>
      </c>
      <c r="V42" s="4" t="str">
        <f>HYPERLINK("http://141.218.60.56/~jnz1568/getInfo.php?workbook=02_01.xlsx&amp;sheet=A0&amp;row=42&amp;col=22&amp;number=49100000&amp;sourceID=13","49100000")</f>
        <v>49100000</v>
      </c>
      <c r="W42" s="4" t="str">
        <f>HYPERLINK("http://141.218.60.56/~jnz1568/getInfo.php?workbook=02_01.xlsx&amp;sheet=A0&amp;row=42&amp;col=23&amp;number=&amp;sourceID=13","")</f>
        <v/>
      </c>
      <c r="X42" s="4" t="str">
        <f>HYPERLINK("http://141.218.60.56/~jnz1568/getInfo.php?workbook=02_01.xlsx&amp;sheet=A0&amp;row=42&amp;col=24&amp;number=&amp;sourceID=13","")</f>
        <v/>
      </c>
      <c r="Y42" s="4" t="str">
        <f>HYPERLINK("http://141.218.60.56/~jnz1568/getInfo.php?workbook=02_01.xlsx&amp;sheet=A0&amp;row=42&amp;col=25&amp;number=&amp;sourceID=13","")</f>
        <v/>
      </c>
      <c r="Z42" s="4" t="str">
        <f>HYPERLINK("http://141.218.60.56/~jnz1568/getInfo.php?workbook=02_01.xlsx&amp;sheet=A0&amp;row=42&amp;col=26&amp;number=&amp;sourceID=13","")</f>
        <v/>
      </c>
      <c r="AA42" s="4" t="str">
        <f>HYPERLINK("http://141.218.60.56/~jnz1568/getInfo.php?workbook=02_01.xlsx&amp;sheet=A0&amp;row=42&amp;col=27&amp;number=&amp;sourceID=20","")</f>
        <v/>
      </c>
    </row>
    <row r="43" spans="1:27">
      <c r="A43" s="3">
        <v>2</v>
      </c>
      <c r="B43" s="3">
        <v>1</v>
      </c>
      <c r="C43" s="3">
        <v>10</v>
      </c>
      <c r="D43" s="3">
        <v>7</v>
      </c>
      <c r="E43" s="3">
        <f>((1/(INDEX(E0!J$4:J$28,C43,1)-INDEX(E0!J$4:J$28,D43,1))))*100000000</f>
        <v>0</v>
      </c>
      <c r="F43" s="4" t="str">
        <f>HYPERLINK("http://141.218.60.56/~jnz1568/getInfo.php?workbook=02_01.xlsx&amp;sheet=A0&amp;row=43&amp;col=6&amp;number=&amp;sourceID=18","")</f>
        <v/>
      </c>
      <c r="G43" s="4" t="str">
        <f>HYPERLINK("http://141.218.60.56/~jnz1568/getInfo.php?workbook=02_01.xlsx&amp;sheet=A0&amp;row=43&amp;col=7&amp;number==&amp;sourceID=11","=")</f>
        <v>=</v>
      </c>
      <c r="H43" s="4" t="str">
        <f>HYPERLINK("http://141.218.60.56/~jnz1568/getInfo.php?workbook=02_01.xlsx&amp;sheet=A0&amp;row=43&amp;col=8&amp;number=5566500&amp;sourceID=11","5566500")</f>
        <v>5566500</v>
      </c>
      <c r="I43" s="4" t="str">
        <f>HYPERLINK("http://141.218.60.56/~jnz1568/getInfo.php?workbook=02_01.xlsx&amp;sheet=A0&amp;row=43&amp;col=9&amp;number=&amp;sourceID=11","")</f>
        <v/>
      </c>
      <c r="J43" s="4" t="str">
        <f>HYPERLINK("http://141.218.60.56/~jnz1568/getInfo.php?workbook=02_01.xlsx&amp;sheet=A0&amp;row=43&amp;col=10&amp;number=&amp;sourceID=11","")</f>
        <v/>
      </c>
      <c r="K43" s="4" t="str">
        <f>HYPERLINK("http://141.218.60.56/~jnz1568/getInfo.php?workbook=02_01.xlsx&amp;sheet=A0&amp;row=43&amp;col=11&amp;number=&amp;sourceID=11","")</f>
        <v/>
      </c>
      <c r="L43" s="4" t="str">
        <f>HYPERLINK("http://141.218.60.56/~jnz1568/getInfo.php?workbook=02_01.xlsx&amp;sheet=A0&amp;row=43&amp;col=12&amp;number=1.119e-06&amp;sourceID=11","1.119e-06")</f>
        <v>1.119e-06</v>
      </c>
      <c r="M43" s="4" t="str">
        <f>HYPERLINK("http://141.218.60.56/~jnz1568/getInfo.php?workbook=02_01.xlsx&amp;sheet=A0&amp;row=43&amp;col=13&amp;number=&amp;sourceID=11","")</f>
        <v/>
      </c>
      <c r="N43" s="4" t="str">
        <f>HYPERLINK("http://141.218.60.56/~jnz1568/getInfo.php?workbook=02_01.xlsx&amp;sheet=A0&amp;row=43&amp;col=14&amp;number=5567200&amp;sourceID=12","5567200")</f>
        <v>5567200</v>
      </c>
      <c r="O43" s="4" t="str">
        <f>HYPERLINK("http://141.218.60.56/~jnz1568/getInfo.php?workbook=02_01.xlsx&amp;sheet=A0&amp;row=43&amp;col=15&amp;number=5567200&amp;sourceID=12","5567200")</f>
        <v>5567200</v>
      </c>
      <c r="P43" s="4" t="str">
        <f>HYPERLINK("http://141.218.60.56/~jnz1568/getInfo.php?workbook=02_01.xlsx&amp;sheet=A0&amp;row=43&amp;col=16&amp;number=&amp;sourceID=12","")</f>
        <v/>
      </c>
      <c r="Q43" s="4" t="str">
        <f>HYPERLINK("http://141.218.60.56/~jnz1568/getInfo.php?workbook=02_01.xlsx&amp;sheet=A0&amp;row=43&amp;col=17&amp;number=&amp;sourceID=12","")</f>
        <v/>
      </c>
      <c r="R43" s="4" t="str">
        <f>HYPERLINK("http://141.218.60.56/~jnz1568/getInfo.php?workbook=02_01.xlsx&amp;sheet=A0&amp;row=43&amp;col=18&amp;number=&amp;sourceID=12","")</f>
        <v/>
      </c>
      <c r="S43" s="4" t="str">
        <f>HYPERLINK("http://141.218.60.56/~jnz1568/getInfo.php?workbook=02_01.xlsx&amp;sheet=A0&amp;row=43&amp;col=19&amp;number=1.1192e-06&amp;sourceID=12","1.1192e-06")</f>
        <v>1.1192e-06</v>
      </c>
      <c r="T43" s="4" t="str">
        <f>HYPERLINK("http://141.218.60.56/~jnz1568/getInfo.php?workbook=02_01.xlsx&amp;sheet=A0&amp;row=43&amp;col=20&amp;number=&amp;sourceID=12","")</f>
        <v/>
      </c>
      <c r="U43" s="4" t="str">
        <f>HYPERLINK("http://141.218.60.56/~jnz1568/getInfo.php?workbook=02_01.xlsx&amp;sheet=A0&amp;row=43&amp;col=21&amp;number==&amp;sourceID=13","=")</f>
        <v>=</v>
      </c>
      <c r="V43" s="4" t="str">
        <f>HYPERLINK("http://141.218.60.56/~jnz1568/getInfo.php?workbook=02_01.xlsx&amp;sheet=A0&amp;row=43&amp;col=22&amp;number=5560000&amp;sourceID=13","5560000")</f>
        <v>5560000</v>
      </c>
      <c r="W43" s="4" t="str">
        <f>HYPERLINK("http://141.218.60.56/~jnz1568/getInfo.php?workbook=02_01.xlsx&amp;sheet=A0&amp;row=43&amp;col=23&amp;number=&amp;sourceID=13","")</f>
        <v/>
      </c>
      <c r="X43" s="4" t="str">
        <f>HYPERLINK("http://141.218.60.56/~jnz1568/getInfo.php?workbook=02_01.xlsx&amp;sheet=A0&amp;row=43&amp;col=24&amp;number=&amp;sourceID=13","")</f>
        <v/>
      </c>
      <c r="Y43" s="4" t="str">
        <f>HYPERLINK("http://141.218.60.56/~jnz1568/getInfo.php?workbook=02_01.xlsx&amp;sheet=A0&amp;row=43&amp;col=25&amp;number=&amp;sourceID=13","")</f>
        <v/>
      </c>
      <c r="Z43" s="4" t="str">
        <f>HYPERLINK("http://141.218.60.56/~jnz1568/getInfo.php?workbook=02_01.xlsx&amp;sheet=A0&amp;row=43&amp;col=26&amp;number=&amp;sourceID=13","")</f>
        <v/>
      </c>
      <c r="AA43" s="4" t="str">
        <f>HYPERLINK("http://141.218.60.56/~jnz1568/getInfo.php?workbook=02_01.xlsx&amp;sheet=A0&amp;row=43&amp;col=27&amp;number=&amp;sourceID=20","")</f>
        <v/>
      </c>
    </row>
    <row r="44" spans="1:27">
      <c r="A44" s="3">
        <v>2</v>
      </c>
      <c r="B44" s="3">
        <v>1</v>
      </c>
      <c r="C44" s="3">
        <v>10</v>
      </c>
      <c r="D44" s="3">
        <v>8</v>
      </c>
      <c r="E44" s="3">
        <f>((1/(INDEX(E0!J$4:J$28,C44,1)-INDEX(E0!J$4:J$28,D44,1))))*100000000</f>
        <v>0</v>
      </c>
      <c r="F44" s="4" t="str">
        <f>HYPERLINK("http://141.218.60.56/~jnz1568/getInfo.php?workbook=02_01.xlsx&amp;sheet=A0&amp;row=44&amp;col=6&amp;number=&amp;sourceID=18","")</f>
        <v/>
      </c>
      <c r="G44" s="4" t="str">
        <f>HYPERLINK("http://141.218.60.56/~jnz1568/getInfo.php?workbook=02_01.xlsx&amp;sheet=A0&amp;row=44&amp;col=7&amp;number==&amp;sourceID=11","=")</f>
        <v>=</v>
      </c>
      <c r="H44" s="4" t="str">
        <f>HYPERLINK("http://141.218.60.56/~jnz1568/getInfo.php?workbook=02_01.xlsx&amp;sheet=A0&amp;row=44&amp;col=8&amp;number=&amp;sourceID=11","")</f>
        <v/>
      </c>
      <c r="I44" s="4" t="str">
        <f>HYPERLINK("http://141.218.60.56/~jnz1568/getInfo.php?workbook=02_01.xlsx&amp;sheet=A0&amp;row=44&amp;col=9&amp;number=163.25&amp;sourceID=11","163.25")</f>
        <v>163.25</v>
      </c>
      <c r="J44" s="4" t="str">
        <f>HYPERLINK("http://141.218.60.56/~jnz1568/getInfo.php?workbook=02_01.xlsx&amp;sheet=A0&amp;row=44&amp;col=10&amp;number=&amp;sourceID=11","")</f>
        <v/>
      </c>
      <c r="K44" s="4" t="str">
        <f>HYPERLINK("http://141.218.60.56/~jnz1568/getInfo.php?workbook=02_01.xlsx&amp;sheet=A0&amp;row=44&amp;col=11&amp;number=5.5052e-07&amp;sourceID=11","5.5052e-07")</f>
        <v>5.5052e-07</v>
      </c>
      <c r="L44" s="4" t="str">
        <f>HYPERLINK("http://141.218.60.56/~jnz1568/getInfo.php?workbook=02_01.xlsx&amp;sheet=A0&amp;row=44&amp;col=12&amp;number=&amp;sourceID=11","")</f>
        <v/>
      </c>
      <c r="M44" s="4" t="str">
        <f>HYPERLINK("http://141.218.60.56/~jnz1568/getInfo.php?workbook=02_01.xlsx&amp;sheet=A0&amp;row=44&amp;col=13&amp;number=&amp;sourceID=11","")</f>
        <v/>
      </c>
      <c r="N44" s="4" t="str">
        <f>HYPERLINK("http://141.218.60.56/~jnz1568/getInfo.php?workbook=02_01.xlsx&amp;sheet=A0&amp;row=44&amp;col=14&amp;number=163.27&amp;sourceID=12","163.27")</f>
        <v>163.27</v>
      </c>
      <c r="O44" s="4" t="str">
        <f>HYPERLINK("http://141.218.60.56/~jnz1568/getInfo.php?workbook=02_01.xlsx&amp;sheet=A0&amp;row=44&amp;col=15&amp;number=&amp;sourceID=12","")</f>
        <v/>
      </c>
      <c r="P44" s="4" t="str">
        <f>HYPERLINK("http://141.218.60.56/~jnz1568/getInfo.php?workbook=02_01.xlsx&amp;sheet=A0&amp;row=44&amp;col=16&amp;number=163.27&amp;sourceID=12","163.27")</f>
        <v>163.27</v>
      </c>
      <c r="Q44" s="4" t="str">
        <f>HYPERLINK("http://141.218.60.56/~jnz1568/getInfo.php?workbook=02_01.xlsx&amp;sheet=A0&amp;row=44&amp;col=17&amp;number=&amp;sourceID=12","")</f>
        <v/>
      </c>
      <c r="R44" s="4" t="str">
        <f>HYPERLINK("http://141.218.60.56/~jnz1568/getInfo.php?workbook=02_01.xlsx&amp;sheet=A0&amp;row=44&amp;col=18&amp;number=5.5016e-07&amp;sourceID=12","5.5016e-07")</f>
        <v>5.5016e-07</v>
      </c>
      <c r="S44" s="4" t="str">
        <f>HYPERLINK("http://141.218.60.56/~jnz1568/getInfo.php?workbook=02_01.xlsx&amp;sheet=A0&amp;row=44&amp;col=19&amp;number=&amp;sourceID=12","")</f>
        <v/>
      </c>
      <c r="T44" s="4" t="str">
        <f>HYPERLINK("http://141.218.60.56/~jnz1568/getInfo.php?workbook=02_01.xlsx&amp;sheet=A0&amp;row=44&amp;col=20&amp;number=&amp;sourceID=12","")</f>
        <v/>
      </c>
      <c r="U44" s="4" t="str">
        <f>HYPERLINK("http://141.218.60.56/~jnz1568/getInfo.php?workbook=02_01.xlsx&amp;sheet=A0&amp;row=44&amp;col=21&amp;number==&amp;sourceID=13","=")</f>
        <v>=</v>
      </c>
      <c r="V44" s="4" t="str">
        <f>HYPERLINK("http://141.218.60.56/~jnz1568/getInfo.php?workbook=02_01.xlsx&amp;sheet=A0&amp;row=44&amp;col=22&amp;number=&amp;sourceID=13","")</f>
        <v/>
      </c>
      <c r="W44" s="4" t="str">
        <f>HYPERLINK("http://141.218.60.56/~jnz1568/getInfo.php?workbook=02_01.xlsx&amp;sheet=A0&amp;row=44&amp;col=23&amp;number=163&amp;sourceID=13","163")</f>
        <v>163</v>
      </c>
      <c r="X44" s="4" t="str">
        <f>HYPERLINK("http://141.218.60.56/~jnz1568/getInfo.php?workbook=02_01.xlsx&amp;sheet=A0&amp;row=44&amp;col=24&amp;number=&amp;sourceID=13","")</f>
        <v/>
      </c>
      <c r="Y44" s="4" t="str">
        <f>HYPERLINK("http://141.218.60.56/~jnz1568/getInfo.php?workbook=02_01.xlsx&amp;sheet=A0&amp;row=44&amp;col=25&amp;number=5.71e-07&amp;sourceID=13","5.71e-07")</f>
        <v>5.71e-07</v>
      </c>
      <c r="Z44" s="4" t="str">
        <f>HYPERLINK("http://141.218.60.56/~jnz1568/getInfo.php?workbook=02_01.xlsx&amp;sheet=A0&amp;row=44&amp;col=26&amp;number=&amp;sourceID=13","")</f>
        <v/>
      </c>
      <c r="AA44" s="4" t="str">
        <f>HYPERLINK("http://141.218.60.56/~jnz1568/getInfo.php?workbook=02_01.xlsx&amp;sheet=A0&amp;row=44&amp;col=27&amp;number=&amp;sourceID=20","")</f>
        <v/>
      </c>
    </row>
    <row r="45" spans="1:27">
      <c r="A45" s="3">
        <v>2</v>
      </c>
      <c r="B45" s="3">
        <v>1</v>
      </c>
      <c r="C45" s="3">
        <v>10</v>
      </c>
      <c r="D45" s="3">
        <v>9</v>
      </c>
      <c r="E45" s="3">
        <f>((1/(INDEX(E0!J$4:J$28,C45,1)-INDEX(E0!J$4:J$28,D45,1))))*100000000</f>
        <v>0</v>
      </c>
      <c r="F45" s="4" t="str">
        <f>HYPERLINK("http://141.218.60.56/~jnz1568/getInfo.php?workbook=02_01.xlsx&amp;sheet=A0&amp;row=45&amp;col=6&amp;number=&amp;sourceID=18","")</f>
        <v/>
      </c>
      <c r="G45" s="4" t="str">
        <f>HYPERLINK("http://141.218.60.56/~jnz1568/getInfo.php?workbook=02_01.xlsx&amp;sheet=A0&amp;row=45&amp;col=7&amp;number==&amp;sourceID=11","=")</f>
        <v>=</v>
      </c>
      <c r="H45" s="4" t="str">
        <f>HYPERLINK("http://141.218.60.56/~jnz1568/getInfo.php?workbook=02_01.xlsx&amp;sheet=A0&amp;row=45&amp;col=8&amp;number=&amp;sourceID=11","")</f>
        <v/>
      </c>
      <c r="I45" s="4" t="str">
        <f>HYPERLINK("http://141.218.60.56/~jnz1568/getInfo.php?workbook=02_01.xlsx&amp;sheet=A0&amp;row=45&amp;col=9&amp;number=&amp;sourceID=11","")</f>
        <v/>
      </c>
      <c r="J45" s="4" t="str">
        <f>HYPERLINK("http://141.218.60.56/~jnz1568/getInfo.php?workbook=02_01.xlsx&amp;sheet=A0&amp;row=45&amp;col=10&amp;number=0.00012021&amp;sourceID=11","0.00012021")</f>
        <v>0.00012021</v>
      </c>
      <c r="K45" s="4" t="str">
        <f>HYPERLINK("http://141.218.60.56/~jnz1568/getInfo.php?workbook=02_01.xlsx&amp;sheet=A0&amp;row=45&amp;col=11&amp;number=&amp;sourceID=11","")</f>
        <v/>
      </c>
      <c r="L45" s="4" t="str">
        <f>HYPERLINK("http://141.218.60.56/~jnz1568/getInfo.php?workbook=02_01.xlsx&amp;sheet=A0&amp;row=45&amp;col=12&amp;number=1.1938e-05&amp;sourceID=11","1.1938e-05")</f>
        <v>1.1938e-05</v>
      </c>
      <c r="M45" s="4" t="str">
        <f>HYPERLINK("http://141.218.60.56/~jnz1568/getInfo.php?workbook=02_01.xlsx&amp;sheet=A0&amp;row=45&amp;col=13&amp;number=&amp;sourceID=11","")</f>
        <v/>
      </c>
      <c r="N45" s="4" t="str">
        <f>HYPERLINK("http://141.218.60.56/~jnz1568/getInfo.php?workbook=02_01.xlsx&amp;sheet=A0&amp;row=45&amp;col=14&amp;number=0.00013217&amp;sourceID=12","0.00013217")</f>
        <v>0.00013217</v>
      </c>
      <c r="O45" s="4" t="str">
        <f>HYPERLINK("http://141.218.60.56/~jnz1568/getInfo.php?workbook=02_01.xlsx&amp;sheet=A0&amp;row=45&amp;col=15&amp;number=&amp;sourceID=12","")</f>
        <v/>
      </c>
      <c r="P45" s="4" t="str">
        <f>HYPERLINK("http://141.218.60.56/~jnz1568/getInfo.php?workbook=02_01.xlsx&amp;sheet=A0&amp;row=45&amp;col=16&amp;number=&amp;sourceID=12","")</f>
        <v/>
      </c>
      <c r="Q45" s="4" t="str">
        <f>HYPERLINK("http://141.218.60.56/~jnz1568/getInfo.php?workbook=02_01.xlsx&amp;sheet=A0&amp;row=45&amp;col=17&amp;number=0.00012023&amp;sourceID=12","0.00012023")</f>
        <v>0.00012023</v>
      </c>
      <c r="R45" s="4" t="str">
        <f>HYPERLINK("http://141.218.60.56/~jnz1568/getInfo.php?workbook=02_01.xlsx&amp;sheet=A0&amp;row=45&amp;col=18&amp;number=&amp;sourceID=12","")</f>
        <v/>
      </c>
      <c r="S45" s="4" t="str">
        <f>HYPERLINK("http://141.218.60.56/~jnz1568/getInfo.php?workbook=02_01.xlsx&amp;sheet=A0&amp;row=45&amp;col=19&amp;number=1.1939e-05&amp;sourceID=12","1.1939e-05")</f>
        <v>1.1939e-05</v>
      </c>
      <c r="T45" s="4" t="str">
        <f>HYPERLINK("http://141.218.60.56/~jnz1568/getInfo.php?workbook=02_01.xlsx&amp;sheet=A0&amp;row=45&amp;col=20&amp;number=&amp;sourceID=12","")</f>
        <v/>
      </c>
      <c r="U45" s="4" t="str">
        <f>HYPERLINK("http://141.218.60.56/~jnz1568/getInfo.php?workbook=02_01.xlsx&amp;sheet=A0&amp;row=45&amp;col=21&amp;number==&amp;sourceID=13","=")</f>
        <v>=</v>
      </c>
      <c r="V45" s="4" t="str">
        <f>HYPERLINK("http://141.218.60.56/~jnz1568/getInfo.php?workbook=02_01.xlsx&amp;sheet=A0&amp;row=45&amp;col=22&amp;number=&amp;sourceID=13","")</f>
        <v/>
      </c>
      <c r="W45" s="4" t="str">
        <f>HYPERLINK("http://141.218.60.56/~jnz1568/getInfo.php?workbook=02_01.xlsx&amp;sheet=A0&amp;row=45&amp;col=23&amp;number=&amp;sourceID=13","")</f>
        <v/>
      </c>
      <c r="X45" s="4" t="str">
        <f>HYPERLINK("http://141.218.60.56/~jnz1568/getInfo.php?workbook=02_01.xlsx&amp;sheet=A0&amp;row=45&amp;col=24&amp;number=0.000187&amp;sourceID=13","0.000187")</f>
        <v>0.000187</v>
      </c>
      <c r="Y45" s="4" t="str">
        <f>HYPERLINK("http://141.218.60.56/~jnz1568/getInfo.php?workbook=02_01.xlsx&amp;sheet=A0&amp;row=45&amp;col=25&amp;number=&amp;sourceID=13","")</f>
        <v/>
      </c>
      <c r="Z45" s="4" t="str">
        <f>HYPERLINK("http://141.218.60.56/~jnz1568/getInfo.php?workbook=02_01.xlsx&amp;sheet=A0&amp;row=45&amp;col=26&amp;number=4.77e-05&amp;sourceID=13","4.77e-05")</f>
        <v>4.77e-05</v>
      </c>
      <c r="AA45" s="4" t="str">
        <f>HYPERLINK("http://141.218.60.56/~jnz1568/getInfo.php?workbook=02_01.xlsx&amp;sheet=A0&amp;row=45&amp;col=27&amp;number=&amp;sourceID=20","")</f>
        <v/>
      </c>
    </row>
    <row r="46" spans="1:27">
      <c r="A46" s="3">
        <v>2</v>
      </c>
      <c r="B46" s="3">
        <v>1</v>
      </c>
      <c r="C46" s="3">
        <v>11</v>
      </c>
      <c r="D46" s="3">
        <v>1</v>
      </c>
      <c r="E46" s="3">
        <f>((1/(INDEX(E0!J$4:J$28,C46,1)-INDEX(E0!J$4:J$28,D46,1))))*100000000</f>
        <v>0</v>
      </c>
      <c r="F46" s="4" t="str">
        <f>HYPERLINK("http://141.218.60.56/~jnz1568/getInfo.php?workbook=02_01.xlsx&amp;sheet=A0&amp;row=46&amp;col=6&amp;number=&amp;sourceID=18","")</f>
        <v/>
      </c>
      <c r="G46" s="4" t="str">
        <f>HYPERLINK("http://141.218.60.56/~jnz1568/getInfo.php?workbook=02_01.xlsx&amp;sheet=A0&amp;row=46&amp;col=7&amp;number==&amp;sourceID=11","=")</f>
        <v>=</v>
      </c>
      <c r="H46" s="4" t="str">
        <f>HYPERLINK("http://141.218.60.56/~jnz1568/getInfo.php?workbook=02_01.xlsx&amp;sheet=A0&amp;row=46&amp;col=8&amp;number=&amp;sourceID=11","")</f>
        <v/>
      </c>
      <c r="I46" s="4" t="str">
        <f>HYPERLINK("http://141.218.60.56/~jnz1568/getInfo.php?workbook=02_01.xlsx&amp;sheet=A0&amp;row=46&amp;col=9&amp;number=&amp;sourceID=11","")</f>
        <v/>
      </c>
      <c r="J46" s="4" t="str">
        <f>HYPERLINK("http://141.218.60.56/~jnz1568/getInfo.php?workbook=02_01.xlsx&amp;sheet=A0&amp;row=46&amp;col=10&amp;number=&amp;sourceID=11","")</f>
        <v/>
      </c>
      <c r="K46" s="4" t="str">
        <f>HYPERLINK("http://141.218.60.56/~jnz1568/getInfo.php?workbook=02_01.xlsx&amp;sheet=A0&amp;row=46&amp;col=11&amp;number=0.00054328&amp;sourceID=11","0.00054328")</f>
        <v>0.00054328</v>
      </c>
      <c r="L46" s="4" t="str">
        <f>HYPERLINK("http://141.218.60.56/~jnz1568/getInfo.php?workbook=02_01.xlsx&amp;sheet=A0&amp;row=46&amp;col=12&amp;number=&amp;sourceID=11","")</f>
        <v/>
      </c>
      <c r="M46" s="4" t="str">
        <f>HYPERLINK("http://141.218.60.56/~jnz1568/getInfo.php?workbook=02_01.xlsx&amp;sheet=A0&amp;row=46&amp;col=13&amp;number=&amp;sourceID=11","")</f>
        <v/>
      </c>
      <c r="N46" s="4" t="str">
        <f>HYPERLINK("http://141.218.60.56/~jnz1568/getInfo.php?workbook=02_01.xlsx&amp;sheet=A0&amp;row=46&amp;col=14&amp;number=0.00054017&amp;sourceID=12","0.00054017")</f>
        <v>0.00054017</v>
      </c>
      <c r="O46" s="4" t="str">
        <f>HYPERLINK("http://141.218.60.56/~jnz1568/getInfo.php?workbook=02_01.xlsx&amp;sheet=A0&amp;row=46&amp;col=15&amp;number=&amp;sourceID=12","")</f>
        <v/>
      </c>
      <c r="P46" s="4" t="str">
        <f>HYPERLINK("http://141.218.60.56/~jnz1568/getInfo.php?workbook=02_01.xlsx&amp;sheet=A0&amp;row=46&amp;col=16&amp;number=&amp;sourceID=12","")</f>
        <v/>
      </c>
      <c r="Q46" s="4" t="str">
        <f>HYPERLINK("http://141.218.60.56/~jnz1568/getInfo.php?workbook=02_01.xlsx&amp;sheet=A0&amp;row=46&amp;col=17&amp;number=&amp;sourceID=12","")</f>
        <v/>
      </c>
      <c r="R46" s="4" t="str">
        <f>HYPERLINK("http://141.218.60.56/~jnz1568/getInfo.php?workbook=02_01.xlsx&amp;sheet=A0&amp;row=46&amp;col=18&amp;number=0.00054017&amp;sourceID=12","0.00054017")</f>
        <v>0.00054017</v>
      </c>
      <c r="S46" s="4" t="str">
        <f>HYPERLINK("http://141.218.60.56/~jnz1568/getInfo.php?workbook=02_01.xlsx&amp;sheet=A0&amp;row=46&amp;col=19&amp;number=&amp;sourceID=12","")</f>
        <v/>
      </c>
      <c r="T46" s="4" t="str">
        <f>HYPERLINK("http://141.218.60.56/~jnz1568/getInfo.php?workbook=02_01.xlsx&amp;sheet=A0&amp;row=46&amp;col=20&amp;number=&amp;sourceID=12","")</f>
        <v/>
      </c>
      <c r="U46" s="4" t="str">
        <f>HYPERLINK("http://141.218.60.56/~jnz1568/getInfo.php?workbook=02_01.xlsx&amp;sheet=A0&amp;row=46&amp;col=21&amp;number==&amp;sourceID=13","=")</f>
        <v>=</v>
      </c>
      <c r="V46" s="4" t="str">
        <f>HYPERLINK("http://141.218.60.56/~jnz1568/getInfo.php?workbook=02_01.xlsx&amp;sheet=A0&amp;row=46&amp;col=22&amp;number=&amp;sourceID=13","")</f>
        <v/>
      </c>
      <c r="W46" s="4" t="str">
        <f>HYPERLINK("http://141.218.60.56/~jnz1568/getInfo.php?workbook=02_01.xlsx&amp;sheet=A0&amp;row=46&amp;col=23&amp;number=&amp;sourceID=13","")</f>
        <v/>
      </c>
      <c r="X46" s="4" t="str">
        <f>HYPERLINK("http://141.218.60.56/~jnz1568/getInfo.php?workbook=02_01.xlsx&amp;sheet=A0&amp;row=46&amp;col=24&amp;number=&amp;sourceID=13","")</f>
        <v/>
      </c>
      <c r="Y46" s="4" t="str">
        <f>HYPERLINK("http://141.218.60.56/~jnz1568/getInfo.php?workbook=02_01.xlsx&amp;sheet=A0&amp;row=46&amp;col=25&amp;number=0.000548&amp;sourceID=13","0.000548")</f>
        <v>0.000548</v>
      </c>
      <c r="Z46" s="4" t="str">
        <f>HYPERLINK("http://141.218.60.56/~jnz1568/getInfo.php?workbook=02_01.xlsx&amp;sheet=A0&amp;row=46&amp;col=26&amp;number=&amp;sourceID=13","")</f>
        <v/>
      </c>
      <c r="AA46" s="4" t="str">
        <f>HYPERLINK("http://141.218.60.56/~jnz1568/getInfo.php?workbook=02_01.xlsx&amp;sheet=A0&amp;row=46&amp;col=27&amp;number=&amp;sourceID=20","")</f>
        <v/>
      </c>
    </row>
    <row r="47" spans="1:27">
      <c r="A47" s="3">
        <v>2</v>
      </c>
      <c r="B47" s="3">
        <v>1</v>
      </c>
      <c r="C47" s="3">
        <v>11</v>
      </c>
      <c r="D47" s="3">
        <v>2</v>
      </c>
      <c r="E47" s="3">
        <f>((1/(INDEX(E0!J$4:J$28,C47,1)-INDEX(E0!J$4:J$28,D47,1))))*100000000</f>
        <v>0</v>
      </c>
      <c r="F47" s="4" t="str">
        <f>HYPERLINK("http://141.218.60.56/~jnz1568/getInfo.php?workbook=02_01.xlsx&amp;sheet=A0&amp;row=47&amp;col=6&amp;number=&amp;sourceID=18","")</f>
        <v/>
      </c>
      <c r="G47" s="4" t="str">
        <f>HYPERLINK("http://141.218.60.56/~jnz1568/getInfo.php?workbook=02_01.xlsx&amp;sheet=A0&amp;row=47&amp;col=7&amp;number==&amp;sourceID=11","=")</f>
        <v>=</v>
      </c>
      <c r="H47" s="4" t="str">
        <f>HYPERLINK("http://141.218.60.56/~jnz1568/getInfo.php?workbook=02_01.xlsx&amp;sheet=A0&amp;row=47&amp;col=8&amp;number=13758000&amp;sourceID=11","13758000")</f>
        <v>13758000</v>
      </c>
      <c r="I47" s="4" t="str">
        <f>HYPERLINK("http://141.218.60.56/~jnz1568/getInfo.php?workbook=02_01.xlsx&amp;sheet=A0&amp;row=47&amp;col=9&amp;number=&amp;sourceID=11","")</f>
        <v/>
      </c>
      <c r="J47" s="4" t="str">
        <f>HYPERLINK("http://141.218.60.56/~jnz1568/getInfo.php?workbook=02_01.xlsx&amp;sheet=A0&amp;row=47&amp;col=10&amp;number=&amp;sourceID=11","")</f>
        <v/>
      </c>
      <c r="K47" s="4" t="str">
        <f>HYPERLINK("http://141.218.60.56/~jnz1568/getInfo.php?workbook=02_01.xlsx&amp;sheet=A0&amp;row=47&amp;col=11&amp;number=&amp;sourceID=11","")</f>
        <v/>
      </c>
      <c r="L47" s="4" t="str">
        <f>HYPERLINK("http://141.218.60.56/~jnz1568/getInfo.php?workbook=02_01.xlsx&amp;sheet=A0&amp;row=47&amp;col=12&amp;number=&amp;sourceID=11","")</f>
        <v/>
      </c>
      <c r="M47" s="4" t="str">
        <f>HYPERLINK("http://141.218.60.56/~jnz1568/getInfo.php?workbook=02_01.xlsx&amp;sheet=A0&amp;row=47&amp;col=13&amp;number=&amp;sourceID=11","")</f>
        <v/>
      </c>
      <c r="N47" s="4" t="str">
        <f>HYPERLINK("http://141.218.60.56/~jnz1568/getInfo.php?workbook=02_01.xlsx&amp;sheet=A0&amp;row=47&amp;col=14&amp;number=13759000&amp;sourceID=12","13759000")</f>
        <v>13759000</v>
      </c>
      <c r="O47" s="4" t="str">
        <f>HYPERLINK("http://141.218.60.56/~jnz1568/getInfo.php?workbook=02_01.xlsx&amp;sheet=A0&amp;row=47&amp;col=15&amp;number=13759000&amp;sourceID=12","13759000")</f>
        <v>13759000</v>
      </c>
      <c r="P47" s="4" t="str">
        <f>HYPERLINK("http://141.218.60.56/~jnz1568/getInfo.php?workbook=02_01.xlsx&amp;sheet=A0&amp;row=47&amp;col=16&amp;number=&amp;sourceID=12","")</f>
        <v/>
      </c>
      <c r="Q47" s="4" t="str">
        <f>HYPERLINK("http://141.218.60.56/~jnz1568/getInfo.php?workbook=02_01.xlsx&amp;sheet=A0&amp;row=47&amp;col=17&amp;number=&amp;sourceID=12","")</f>
        <v/>
      </c>
      <c r="R47" s="4" t="str">
        <f>HYPERLINK("http://141.218.60.56/~jnz1568/getInfo.php?workbook=02_01.xlsx&amp;sheet=A0&amp;row=47&amp;col=18&amp;number=&amp;sourceID=12","")</f>
        <v/>
      </c>
      <c r="S47" s="4" t="str">
        <f>HYPERLINK("http://141.218.60.56/~jnz1568/getInfo.php?workbook=02_01.xlsx&amp;sheet=A0&amp;row=47&amp;col=19&amp;number=&amp;sourceID=12","")</f>
        <v/>
      </c>
      <c r="T47" s="4" t="str">
        <f>HYPERLINK("http://141.218.60.56/~jnz1568/getInfo.php?workbook=02_01.xlsx&amp;sheet=A0&amp;row=47&amp;col=20&amp;number=&amp;sourceID=12","")</f>
        <v/>
      </c>
      <c r="U47" s="4" t="str">
        <f>HYPERLINK("http://141.218.60.56/~jnz1568/getInfo.php?workbook=02_01.xlsx&amp;sheet=A0&amp;row=47&amp;col=21&amp;number==&amp;sourceID=13","=")</f>
        <v>=</v>
      </c>
      <c r="V47" s="4" t="str">
        <f>HYPERLINK("http://141.218.60.56/~jnz1568/getInfo.php?workbook=02_01.xlsx&amp;sheet=A0&amp;row=47&amp;col=22&amp;number=13700000&amp;sourceID=13","13700000")</f>
        <v>13700000</v>
      </c>
      <c r="W47" s="4" t="str">
        <f>HYPERLINK("http://141.218.60.56/~jnz1568/getInfo.php?workbook=02_01.xlsx&amp;sheet=A0&amp;row=47&amp;col=23&amp;number=&amp;sourceID=13","")</f>
        <v/>
      </c>
      <c r="X47" s="4" t="str">
        <f>HYPERLINK("http://141.218.60.56/~jnz1568/getInfo.php?workbook=02_01.xlsx&amp;sheet=A0&amp;row=47&amp;col=24&amp;number=&amp;sourceID=13","")</f>
        <v/>
      </c>
      <c r="Y47" s="4" t="str">
        <f>HYPERLINK("http://141.218.60.56/~jnz1568/getInfo.php?workbook=02_01.xlsx&amp;sheet=A0&amp;row=47&amp;col=25&amp;number=&amp;sourceID=13","")</f>
        <v/>
      </c>
      <c r="Z47" s="4" t="str">
        <f>HYPERLINK("http://141.218.60.56/~jnz1568/getInfo.php?workbook=02_01.xlsx&amp;sheet=A0&amp;row=47&amp;col=26&amp;number=&amp;sourceID=13","")</f>
        <v/>
      </c>
      <c r="AA47" s="4" t="str">
        <f>HYPERLINK("http://141.218.60.56/~jnz1568/getInfo.php?workbook=02_01.xlsx&amp;sheet=A0&amp;row=47&amp;col=27&amp;number=&amp;sourceID=20","")</f>
        <v/>
      </c>
    </row>
    <row r="48" spans="1:27">
      <c r="A48" s="3">
        <v>2</v>
      </c>
      <c r="B48" s="3">
        <v>1</v>
      </c>
      <c r="C48" s="3">
        <v>11</v>
      </c>
      <c r="D48" s="3">
        <v>3</v>
      </c>
      <c r="E48" s="3">
        <f>((1/(INDEX(E0!J$4:J$28,C48,1)-INDEX(E0!J$4:J$28,D48,1))))*100000000</f>
        <v>0</v>
      </c>
      <c r="F48" s="4" t="str">
        <f>HYPERLINK("http://141.218.60.56/~jnz1568/getInfo.php?workbook=02_01.xlsx&amp;sheet=A0&amp;row=48&amp;col=6&amp;number=&amp;sourceID=18","")</f>
        <v/>
      </c>
      <c r="G48" s="4" t="str">
        <f>HYPERLINK("http://141.218.60.56/~jnz1568/getInfo.php?workbook=02_01.xlsx&amp;sheet=A0&amp;row=48&amp;col=7&amp;number==&amp;sourceID=11","=")</f>
        <v>=</v>
      </c>
      <c r="H48" s="4" t="str">
        <f>HYPERLINK("http://141.218.60.56/~jnz1568/getInfo.php?workbook=02_01.xlsx&amp;sheet=A0&amp;row=48&amp;col=8&amp;number=&amp;sourceID=11","")</f>
        <v/>
      </c>
      <c r="I48" s="4" t="str">
        <f>HYPERLINK("http://141.218.60.56/~jnz1568/getInfo.php?workbook=02_01.xlsx&amp;sheet=A0&amp;row=48&amp;col=9&amp;number=&amp;sourceID=11","")</f>
        <v/>
      </c>
      <c r="J48" s="4" t="str">
        <f>HYPERLINK("http://141.218.60.56/~jnz1568/getInfo.php?workbook=02_01.xlsx&amp;sheet=A0&amp;row=48&amp;col=10&amp;number=&amp;sourceID=11","")</f>
        <v/>
      </c>
      <c r="K48" s="4" t="str">
        <f>HYPERLINK("http://141.218.60.56/~jnz1568/getInfo.php?workbook=02_01.xlsx&amp;sheet=A0&amp;row=48&amp;col=11&amp;number=1.6572e-06&amp;sourceID=11","1.6572e-06")</f>
        <v>1.6572e-06</v>
      </c>
      <c r="L48" s="4" t="str">
        <f>HYPERLINK("http://141.218.60.56/~jnz1568/getInfo.php?workbook=02_01.xlsx&amp;sheet=A0&amp;row=48&amp;col=12&amp;number=&amp;sourceID=11","")</f>
        <v/>
      </c>
      <c r="M48" s="4" t="str">
        <f>HYPERLINK("http://141.218.60.56/~jnz1568/getInfo.php?workbook=02_01.xlsx&amp;sheet=A0&amp;row=48&amp;col=13&amp;number=&amp;sourceID=11","")</f>
        <v/>
      </c>
      <c r="N48" s="4" t="str">
        <f>HYPERLINK("http://141.218.60.56/~jnz1568/getInfo.php?workbook=02_01.xlsx&amp;sheet=A0&amp;row=48&amp;col=14&amp;number=1.6579e-06&amp;sourceID=12","1.6579e-06")</f>
        <v>1.6579e-06</v>
      </c>
      <c r="O48" s="4" t="str">
        <f>HYPERLINK("http://141.218.60.56/~jnz1568/getInfo.php?workbook=02_01.xlsx&amp;sheet=A0&amp;row=48&amp;col=15&amp;number=&amp;sourceID=12","")</f>
        <v/>
      </c>
      <c r="P48" s="4" t="str">
        <f>HYPERLINK("http://141.218.60.56/~jnz1568/getInfo.php?workbook=02_01.xlsx&amp;sheet=A0&amp;row=48&amp;col=16&amp;number=&amp;sourceID=12","")</f>
        <v/>
      </c>
      <c r="Q48" s="4" t="str">
        <f>HYPERLINK("http://141.218.60.56/~jnz1568/getInfo.php?workbook=02_01.xlsx&amp;sheet=A0&amp;row=48&amp;col=17&amp;number=&amp;sourceID=12","")</f>
        <v/>
      </c>
      <c r="R48" s="4" t="str">
        <f>HYPERLINK("http://141.218.60.56/~jnz1568/getInfo.php?workbook=02_01.xlsx&amp;sheet=A0&amp;row=48&amp;col=18&amp;number=1.6579e-06&amp;sourceID=12","1.6579e-06")</f>
        <v>1.6579e-06</v>
      </c>
      <c r="S48" s="4" t="str">
        <f>HYPERLINK("http://141.218.60.56/~jnz1568/getInfo.php?workbook=02_01.xlsx&amp;sheet=A0&amp;row=48&amp;col=19&amp;number=&amp;sourceID=12","")</f>
        <v/>
      </c>
      <c r="T48" s="4" t="str">
        <f>HYPERLINK("http://141.218.60.56/~jnz1568/getInfo.php?workbook=02_01.xlsx&amp;sheet=A0&amp;row=48&amp;col=20&amp;number=&amp;sourceID=12","")</f>
        <v/>
      </c>
      <c r="U48" s="4" t="str">
        <f>HYPERLINK("http://141.218.60.56/~jnz1568/getInfo.php?workbook=02_01.xlsx&amp;sheet=A0&amp;row=48&amp;col=21&amp;number==&amp;sourceID=13","=")</f>
        <v>=</v>
      </c>
      <c r="V48" s="4" t="str">
        <f>HYPERLINK("http://141.218.60.56/~jnz1568/getInfo.php?workbook=02_01.xlsx&amp;sheet=A0&amp;row=48&amp;col=22&amp;number=&amp;sourceID=13","")</f>
        <v/>
      </c>
      <c r="W48" s="4" t="str">
        <f>HYPERLINK("http://141.218.60.56/~jnz1568/getInfo.php?workbook=02_01.xlsx&amp;sheet=A0&amp;row=48&amp;col=23&amp;number=&amp;sourceID=13","")</f>
        <v/>
      </c>
      <c r="X48" s="4" t="str">
        <f>HYPERLINK("http://141.218.60.56/~jnz1568/getInfo.php?workbook=02_01.xlsx&amp;sheet=A0&amp;row=48&amp;col=24&amp;number=&amp;sourceID=13","")</f>
        <v/>
      </c>
      <c r="Y48" s="4" t="str">
        <f>HYPERLINK("http://141.218.60.56/~jnz1568/getInfo.php?workbook=02_01.xlsx&amp;sheet=A0&amp;row=48&amp;col=25&amp;number=1.66e-06&amp;sourceID=13","1.66e-06")</f>
        <v>1.66e-06</v>
      </c>
      <c r="Z48" s="4" t="str">
        <f>HYPERLINK("http://141.218.60.56/~jnz1568/getInfo.php?workbook=02_01.xlsx&amp;sheet=A0&amp;row=48&amp;col=26&amp;number=&amp;sourceID=13","")</f>
        <v/>
      </c>
      <c r="AA48" s="4" t="str">
        <f>HYPERLINK("http://141.218.60.56/~jnz1568/getInfo.php?workbook=02_01.xlsx&amp;sheet=A0&amp;row=48&amp;col=27&amp;number=&amp;sourceID=20","")</f>
        <v/>
      </c>
    </row>
    <row r="49" spans="1:27">
      <c r="A49" s="3">
        <v>2</v>
      </c>
      <c r="B49" s="3">
        <v>1</v>
      </c>
      <c r="C49" s="3">
        <v>11</v>
      </c>
      <c r="D49" s="3">
        <v>4</v>
      </c>
      <c r="E49" s="3">
        <f>((1/(INDEX(E0!J$4:J$28,C49,1)-INDEX(E0!J$4:J$28,D49,1))))*100000000</f>
        <v>0</v>
      </c>
      <c r="F49" s="4" t="str">
        <f>HYPERLINK("http://141.218.60.56/~jnz1568/getInfo.php?workbook=02_01.xlsx&amp;sheet=A0&amp;row=49&amp;col=6&amp;number=&amp;sourceID=18","")</f>
        <v/>
      </c>
      <c r="G49" s="4" t="str">
        <f>HYPERLINK("http://141.218.60.56/~jnz1568/getInfo.php?workbook=02_01.xlsx&amp;sheet=A0&amp;row=49&amp;col=7&amp;number==&amp;sourceID=11","=")</f>
        <v>=</v>
      </c>
      <c r="H49" s="4" t="str">
        <f>HYPERLINK("http://141.218.60.56/~jnz1568/getInfo.php?workbook=02_01.xlsx&amp;sheet=A0&amp;row=49&amp;col=8&amp;number=27526000&amp;sourceID=11","27526000")</f>
        <v>27526000</v>
      </c>
      <c r="I49" s="4" t="str">
        <f>HYPERLINK("http://141.218.60.56/~jnz1568/getInfo.php?workbook=02_01.xlsx&amp;sheet=A0&amp;row=49&amp;col=9&amp;number=&amp;sourceID=11","")</f>
        <v/>
      </c>
      <c r="J49" s="4" t="str">
        <f>HYPERLINK("http://141.218.60.56/~jnz1568/getInfo.php?workbook=02_01.xlsx&amp;sheet=A0&amp;row=49&amp;col=10&amp;number=&amp;sourceID=11","")</f>
        <v/>
      </c>
      <c r="K49" s="4" t="str">
        <f>HYPERLINK("http://141.218.60.56/~jnz1568/getInfo.php?workbook=02_01.xlsx&amp;sheet=A0&amp;row=49&amp;col=11&amp;number=&amp;sourceID=11","")</f>
        <v/>
      </c>
      <c r="L49" s="4" t="str">
        <f>HYPERLINK("http://141.218.60.56/~jnz1568/getInfo.php?workbook=02_01.xlsx&amp;sheet=A0&amp;row=49&amp;col=12&amp;number=0.0020583&amp;sourceID=11","0.0020583")</f>
        <v>0.0020583</v>
      </c>
      <c r="M49" s="4" t="str">
        <f>HYPERLINK("http://141.218.60.56/~jnz1568/getInfo.php?workbook=02_01.xlsx&amp;sheet=A0&amp;row=49&amp;col=13&amp;number=&amp;sourceID=11","")</f>
        <v/>
      </c>
      <c r="N49" s="4" t="str">
        <f>HYPERLINK("http://141.218.60.56/~jnz1568/getInfo.php?workbook=02_01.xlsx&amp;sheet=A0&amp;row=49&amp;col=14&amp;number=27530000&amp;sourceID=12","27530000")</f>
        <v>27530000</v>
      </c>
      <c r="O49" s="4" t="str">
        <f>HYPERLINK("http://141.218.60.56/~jnz1568/getInfo.php?workbook=02_01.xlsx&amp;sheet=A0&amp;row=49&amp;col=15&amp;number=27530000&amp;sourceID=12","27530000")</f>
        <v>27530000</v>
      </c>
      <c r="P49" s="4" t="str">
        <f>HYPERLINK("http://141.218.60.56/~jnz1568/getInfo.php?workbook=02_01.xlsx&amp;sheet=A0&amp;row=49&amp;col=16&amp;number=&amp;sourceID=12","")</f>
        <v/>
      </c>
      <c r="Q49" s="4" t="str">
        <f>HYPERLINK("http://141.218.60.56/~jnz1568/getInfo.php?workbook=02_01.xlsx&amp;sheet=A0&amp;row=49&amp;col=17&amp;number=&amp;sourceID=12","")</f>
        <v/>
      </c>
      <c r="R49" s="4" t="str">
        <f>HYPERLINK("http://141.218.60.56/~jnz1568/getInfo.php?workbook=02_01.xlsx&amp;sheet=A0&amp;row=49&amp;col=18&amp;number=&amp;sourceID=12","")</f>
        <v/>
      </c>
      <c r="S49" s="4" t="str">
        <f>HYPERLINK("http://141.218.60.56/~jnz1568/getInfo.php?workbook=02_01.xlsx&amp;sheet=A0&amp;row=49&amp;col=19&amp;number=0.0020585&amp;sourceID=12","0.0020585")</f>
        <v>0.0020585</v>
      </c>
      <c r="T49" s="4" t="str">
        <f>HYPERLINK("http://141.218.60.56/~jnz1568/getInfo.php?workbook=02_01.xlsx&amp;sheet=A0&amp;row=49&amp;col=20&amp;number=&amp;sourceID=12","")</f>
        <v/>
      </c>
      <c r="U49" s="4" t="str">
        <f>HYPERLINK("http://141.218.60.56/~jnz1568/getInfo.php?workbook=02_01.xlsx&amp;sheet=A0&amp;row=49&amp;col=21&amp;number==&amp;sourceID=13","=")</f>
        <v>=</v>
      </c>
      <c r="V49" s="4" t="str">
        <f>HYPERLINK("http://141.218.60.56/~jnz1568/getInfo.php?workbook=02_01.xlsx&amp;sheet=A0&amp;row=49&amp;col=22&amp;number=27500000&amp;sourceID=13","27500000")</f>
        <v>27500000</v>
      </c>
      <c r="W49" s="4" t="str">
        <f>HYPERLINK("http://141.218.60.56/~jnz1568/getInfo.php?workbook=02_01.xlsx&amp;sheet=A0&amp;row=49&amp;col=23&amp;number=&amp;sourceID=13","")</f>
        <v/>
      </c>
      <c r="X49" s="4" t="str">
        <f>HYPERLINK("http://141.218.60.56/~jnz1568/getInfo.php?workbook=02_01.xlsx&amp;sheet=A0&amp;row=49&amp;col=24&amp;number=&amp;sourceID=13","")</f>
        <v/>
      </c>
      <c r="Y49" s="4" t="str">
        <f>HYPERLINK("http://141.218.60.56/~jnz1568/getInfo.php?workbook=02_01.xlsx&amp;sheet=A0&amp;row=49&amp;col=25&amp;number=&amp;sourceID=13","")</f>
        <v/>
      </c>
      <c r="Z49" s="4" t="str">
        <f>HYPERLINK("http://141.218.60.56/~jnz1568/getInfo.php?workbook=02_01.xlsx&amp;sheet=A0&amp;row=49&amp;col=26&amp;number=&amp;sourceID=13","")</f>
        <v/>
      </c>
      <c r="AA49" s="4" t="str">
        <f>HYPERLINK("http://141.218.60.56/~jnz1568/getInfo.php?workbook=02_01.xlsx&amp;sheet=A0&amp;row=49&amp;col=27&amp;number=&amp;sourceID=20","")</f>
        <v/>
      </c>
    </row>
    <row r="50" spans="1:27">
      <c r="A50" s="3">
        <v>2</v>
      </c>
      <c r="B50" s="3">
        <v>1</v>
      </c>
      <c r="C50" s="3">
        <v>11</v>
      </c>
      <c r="D50" s="3">
        <v>5</v>
      </c>
      <c r="E50" s="3">
        <f>((1/(INDEX(E0!J$4:J$28,C50,1)-INDEX(E0!J$4:J$28,D50,1))))*100000000</f>
        <v>0</v>
      </c>
      <c r="F50" s="4" t="str">
        <f>HYPERLINK("http://141.218.60.56/~jnz1568/getInfo.php?workbook=02_01.xlsx&amp;sheet=A0&amp;row=50&amp;col=6&amp;number=&amp;sourceID=18","")</f>
        <v/>
      </c>
      <c r="G50" s="4" t="str">
        <f>HYPERLINK("http://141.218.60.56/~jnz1568/getInfo.php?workbook=02_01.xlsx&amp;sheet=A0&amp;row=50&amp;col=7&amp;number==&amp;sourceID=11","=")</f>
        <v>=</v>
      </c>
      <c r="H50" s="4" t="str">
        <f>HYPERLINK("http://141.218.60.56/~jnz1568/getInfo.php?workbook=02_01.xlsx&amp;sheet=A0&amp;row=50&amp;col=8&amp;number=9794000&amp;sourceID=11","9794000")</f>
        <v>9794000</v>
      </c>
      <c r="I50" s="4" t="str">
        <f>HYPERLINK("http://141.218.60.56/~jnz1568/getInfo.php?workbook=02_01.xlsx&amp;sheet=A0&amp;row=50&amp;col=9&amp;number=&amp;sourceID=11","")</f>
        <v/>
      </c>
      <c r="J50" s="4" t="str">
        <f>HYPERLINK("http://141.218.60.56/~jnz1568/getInfo.php?workbook=02_01.xlsx&amp;sheet=A0&amp;row=50&amp;col=10&amp;number=&amp;sourceID=11","")</f>
        <v/>
      </c>
      <c r="K50" s="4" t="str">
        <f>HYPERLINK("http://141.218.60.56/~jnz1568/getInfo.php?workbook=02_01.xlsx&amp;sheet=A0&amp;row=50&amp;col=11&amp;number=&amp;sourceID=11","")</f>
        <v/>
      </c>
      <c r="L50" s="4" t="str">
        <f>HYPERLINK("http://141.218.60.56/~jnz1568/getInfo.php?workbook=02_01.xlsx&amp;sheet=A0&amp;row=50&amp;col=12&amp;number=&amp;sourceID=11","")</f>
        <v/>
      </c>
      <c r="M50" s="4" t="str">
        <f>HYPERLINK("http://141.218.60.56/~jnz1568/getInfo.php?workbook=02_01.xlsx&amp;sheet=A0&amp;row=50&amp;col=13&amp;number=&amp;sourceID=11","")</f>
        <v/>
      </c>
      <c r="N50" s="4" t="str">
        <f>HYPERLINK("http://141.218.60.56/~jnz1568/getInfo.php?workbook=02_01.xlsx&amp;sheet=A0&amp;row=50&amp;col=14&amp;number=9795300&amp;sourceID=12","9795300")</f>
        <v>9795300</v>
      </c>
      <c r="O50" s="4" t="str">
        <f>HYPERLINK("http://141.218.60.56/~jnz1568/getInfo.php?workbook=02_01.xlsx&amp;sheet=A0&amp;row=50&amp;col=15&amp;number=9795300&amp;sourceID=12","9795300")</f>
        <v>9795300</v>
      </c>
      <c r="P50" s="4" t="str">
        <f>HYPERLINK("http://141.218.60.56/~jnz1568/getInfo.php?workbook=02_01.xlsx&amp;sheet=A0&amp;row=50&amp;col=16&amp;number=&amp;sourceID=12","")</f>
        <v/>
      </c>
      <c r="Q50" s="4" t="str">
        <f>HYPERLINK("http://141.218.60.56/~jnz1568/getInfo.php?workbook=02_01.xlsx&amp;sheet=A0&amp;row=50&amp;col=17&amp;number=&amp;sourceID=12","")</f>
        <v/>
      </c>
      <c r="R50" s="4" t="str">
        <f>HYPERLINK("http://141.218.60.56/~jnz1568/getInfo.php?workbook=02_01.xlsx&amp;sheet=A0&amp;row=50&amp;col=18&amp;number=&amp;sourceID=12","")</f>
        <v/>
      </c>
      <c r="S50" s="4" t="str">
        <f>HYPERLINK("http://141.218.60.56/~jnz1568/getInfo.php?workbook=02_01.xlsx&amp;sheet=A0&amp;row=50&amp;col=19&amp;number=&amp;sourceID=12","")</f>
        <v/>
      </c>
      <c r="T50" s="4" t="str">
        <f>HYPERLINK("http://141.218.60.56/~jnz1568/getInfo.php?workbook=02_01.xlsx&amp;sheet=A0&amp;row=50&amp;col=20&amp;number=&amp;sourceID=12","")</f>
        <v/>
      </c>
      <c r="U50" s="4" t="str">
        <f>HYPERLINK("http://141.218.60.56/~jnz1568/getInfo.php?workbook=02_01.xlsx&amp;sheet=A0&amp;row=50&amp;col=21&amp;number==&amp;sourceID=13","=")</f>
        <v>=</v>
      </c>
      <c r="V50" s="4" t="str">
        <f>HYPERLINK("http://141.218.60.56/~jnz1568/getInfo.php?workbook=02_01.xlsx&amp;sheet=A0&amp;row=50&amp;col=22&amp;number=9790000&amp;sourceID=13","9790000")</f>
        <v>9790000</v>
      </c>
      <c r="W50" s="4" t="str">
        <f>HYPERLINK("http://141.218.60.56/~jnz1568/getInfo.php?workbook=02_01.xlsx&amp;sheet=A0&amp;row=50&amp;col=23&amp;number=&amp;sourceID=13","")</f>
        <v/>
      </c>
      <c r="X50" s="4" t="str">
        <f>HYPERLINK("http://141.218.60.56/~jnz1568/getInfo.php?workbook=02_01.xlsx&amp;sheet=A0&amp;row=50&amp;col=24&amp;number=&amp;sourceID=13","")</f>
        <v/>
      </c>
      <c r="Y50" s="4" t="str">
        <f>HYPERLINK("http://141.218.60.56/~jnz1568/getInfo.php?workbook=02_01.xlsx&amp;sheet=A0&amp;row=50&amp;col=25&amp;number=&amp;sourceID=13","")</f>
        <v/>
      </c>
      <c r="Z50" s="4" t="str">
        <f>HYPERLINK("http://141.218.60.56/~jnz1568/getInfo.php?workbook=02_01.xlsx&amp;sheet=A0&amp;row=50&amp;col=26&amp;number=&amp;sourceID=13","")</f>
        <v/>
      </c>
      <c r="AA50" s="4" t="str">
        <f>HYPERLINK("http://141.218.60.56/~jnz1568/getInfo.php?workbook=02_01.xlsx&amp;sheet=A0&amp;row=50&amp;col=27&amp;number=&amp;sourceID=20","")</f>
        <v/>
      </c>
    </row>
    <row r="51" spans="1:27">
      <c r="A51" s="3">
        <v>2</v>
      </c>
      <c r="B51" s="3">
        <v>1</v>
      </c>
      <c r="C51" s="3">
        <v>11</v>
      </c>
      <c r="D51" s="3">
        <v>6</v>
      </c>
      <c r="E51" s="3">
        <f>((1/(INDEX(E0!J$4:J$28,C51,1)-INDEX(E0!J$4:J$28,D51,1))))*100000000</f>
        <v>0</v>
      </c>
      <c r="F51" s="4" t="str">
        <f>HYPERLINK("http://141.218.60.56/~jnz1568/getInfo.php?workbook=02_01.xlsx&amp;sheet=A0&amp;row=51&amp;col=6&amp;number=&amp;sourceID=18","")</f>
        <v/>
      </c>
      <c r="G51" s="4" t="str">
        <f>HYPERLINK("http://141.218.60.56/~jnz1568/getInfo.php?workbook=02_01.xlsx&amp;sheet=A0&amp;row=51&amp;col=7&amp;number==&amp;sourceID=11","=")</f>
        <v>=</v>
      </c>
      <c r="H51" s="4" t="str">
        <f>HYPERLINK("http://141.218.60.56/~jnz1568/getInfo.php?workbook=02_01.xlsx&amp;sheet=A0&amp;row=51&amp;col=8&amp;number=&amp;sourceID=11","")</f>
        <v/>
      </c>
      <c r="I51" s="4" t="str">
        <f>HYPERLINK("http://141.218.60.56/~jnz1568/getInfo.php?workbook=02_01.xlsx&amp;sheet=A0&amp;row=51&amp;col=9&amp;number=&amp;sourceID=11","")</f>
        <v/>
      </c>
      <c r="J51" s="4" t="str">
        <f>HYPERLINK("http://141.218.60.56/~jnz1568/getInfo.php?workbook=02_01.xlsx&amp;sheet=A0&amp;row=51&amp;col=10&amp;number=&amp;sourceID=11","")</f>
        <v/>
      </c>
      <c r="K51" s="4" t="str">
        <f>HYPERLINK("http://141.218.60.56/~jnz1568/getInfo.php?workbook=02_01.xlsx&amp;sheet=A0&amp;row=51&amp;col=11&amp;number=2.1015e-08&amp;sourceID=11","2.1015e-08")</f>
        <v>2.1015e-08</v>
      </c>
      <c r="L51" s="4" t="str">
        <f>HYPERLINK("http://141.218.60.56/~jnz1568/getInfo.php?workbook=02_01.xlsx&amp;sheet=A0&amp;row=51&amp;col=12&amp;number=&amp;sourceID=11","")</f>
        <v/>
      </c>
      <c r="M51" s="4" t="str">
        <f>HYPERLINK("http://141.218.60.56/~jnz1568/getInfo.php?workbook=02_01.xlsx&amp;sheet=A0&amp;row=51&amp;col=13&amp;number=&amp;sourceID=11","")</f>
        <v/>
      </c>
      <c r="N51" s="4" t="str">
        <f>HYPERLINK("http://141.218.60.56/~jnz1568/getInfo.php?workbook=02_01.xlsx&amp;sheet=A0&amp;row=51&amp;col=14&amp;number=2.0964e-08&amp;sourceID=12","2.0964e-08")</f>
        <v>2.0964e-08</v>
      </c>
      <c r="O51" s="4" t="str">
        <f>HYPERLINK("http://141.218.60.56/~jnz1568/getInfo.php?workbook=02_01.xlsx&amp;sheet=A0&amp;row=51&amp;col=15&amp;number=&amp;sourceID=12","")</f>
        <v/>
      </c>
      <c r="P51" s="4" t="str">
        <f>HYPERLINK("http://141.218.60.56/~jnz1568/getInfo.php?workbook=02_01.xlsx&amp;sheet=A0&amp;row=51&amp;col=16&amp;number=&amp;sourceID=12","")</f>
        <v/>
      </c>
      <c r="Q51" s="4" t="str">
        <f>HYPERLINK("http://141.218.60.56/~jnz1568/getInfo.php?workbook=02_01.xlsx&amp;sheet=A0&amp;row=51&amp;col=17&amp;number=&amp;sourceID=12","")</f>
        <v/>
      </c>
      <c r="R51" s="4" t="str">
        <f>HYPERLINK("http://141.218.60.56/~jnz1568/getInfo.php?workbook=02_01.xlsx&amp;sheet=A0&amp;row=51&amp;col=18&amp;number=2.0964e-08&amp;sourceID=12","2.0964e-08")</f>
        <v>2.0964e-08</v>
      </c>
      <c r="S51" s="4" t="str">
        <f>HYPERLINK("http://141.218.60.56/~jnz1568/getInfo.php?workbook=02_01.xlsx&amp;sheet=A0&amp;row=51&amp;col=19&amp;number=&amp;sourceID=12","")</f>
        <v/>
      </c>
      <c r="T51" s="4" t="str">
        <f>HYPERLINK("http://141.218.60.56/~jnz1568/getInfo.php?workbook=02_01.xlsx&amp;sheet=A0&amp;row=51&amp;col=20&amp;number=&amp;sourceID=12","")</f>
        <v/>
      </c>
      <c r="U51" s="4" t="str">
        <f>HYPERLINK("http://141.218.60.56/~jnz1568/getInfo.php?workbook=02_01.xlsx&amp;sheet=A0&amp;row=51&amp;col=21&amp;number==&amp;sourceID=13","=")</f>
        <v>=</v>
      </c>
      <c r="V51" s="4" t="str">
        <f>HYPERLINK("http://141.218.60.56/~jnz1568/getInfo.php?workbook=02_01.xlsx&amp;sheet=A0&amp;row=51&amp;col=22&amp;number=&amp;sourceID=13","")</f>
        <v/>
      </c>
      <c r="W51" s="4" t="str">
        <f>HYPERLINK("http://141.218.60.56/~jnz1568/getInfo.php?workbook=02_01.xlsx&amp;sheet=A0&amp;row=51&amp;col=23&amp;number=&amp;sourceID=13","")</f>
        <v/>
      </c>
      <c r="X51" s="4" t="str">
        <f>HYPERLINK("http://141.218.60.56/~jnz1568/getInfo.php?workbook=02_01.xlsx&amp;sheet=A0&amp;row=51&amp;col=24&amp;number=&amp;sourceID=13","")</f>
        <v/>
      </c>
      <c r="Y51" s="4" t="str">
        <f>HYPERLINK("http://141.218.60.56/~jnz1568/getInfo.php?workbook=02_01.xlsx&amp;sheet=A0&amp;row=51&amp;col=25&amp;number=2.1e-08&amp;sourceID=13","2.1e-08")</f>
        <v>2.1e-08</v>
      </c>
      <c r="Z51" s="4" t="str">
        <f>HYPERLINK("http://141.218.60.56/~jnz1568/getInfo.php?workbook=02_01.xlsx&amp;sheet=A0&amp;row=51&amp;col=26&amp;number=&amp;sourceID=13","")</f>
        <v/>
      </c>
      <c r="AA51" s="4" t="str">
        <f>HYPERLINK("http://141.218.60.56/~jnz1568/getInfo.php?workbook=02_01.xlsx&amp;sheet=A0&amp;row=51&amp;col=27&amp;number=&amp;sourceID=20","")</f>
        <v/>
      </c>
    </row>
    <row r="52" spans="1:27">
      <c r="A52" s="3">
        <v>2</v>
      </c>
      <c r="B52" s="3">
        <v>1</v>
      </c>
      <c r="C52" s="3">
        <v>11</v>
      </c>
      <c r="D52" s="3">
        <v>7</v>
      </c>
      <c r="E52" s="3">
        <f>((1/(INDEX(E0!J$4:J$28,C52,1)-INDEX(E0!J$4:J$28,D52,1))))*100000000</f>
        <v>0</v>
      </c>
      <c r="F52" s="4" t="str">
        <f>HYPERLINK("http://141.218.60.56/~jnz1568/getInfo.php?workbook=02_01.xlsx&amp;sheet=A0&amp;row=52&amp;col=6&amp;number=&amp;sourceID=18","")</f>
        <v/>
      </c>
      <c r="G52" s="4" t="str">
        <f>HYPERLINK("http://141.218.60.56/~jnz1568/getInfo.php?workbook=02_01.xlsx&amp;sheet=A0&amp;row=52&amp;col=7&amp;number==&amp;sourceID=11","=")</f>
        <v>=</v>
      </c>
      <c r="H52" s="4" t="str">
        <f>HYPERLINK("http://141.218.60.56/~jnz1568/getInfo.php?workbook=02_01.xlsx&amp;sheet=A0&amp;row=52&amp;col=8&amp;number=&amp;sourceID=11","")</f>
        <v/>
      </c>
      <c r="I52" s="4" t="str">
        <f>HYPERLINK("http://141.218.60.56/~jnz1568/getInfo.php?workbook=02_01.xlsx&amp;sheet=A0&amp;row=52&amp;col=9&amp;number=26.336&amp;sourceID=11","26.336")</f>
        <v>26.336</v>
      </c>
      <c r="J52" s="4" t="str">
        <f>HYPERLINK("http://141.218.60.56/~jnz1568/getInfo.php?workbook=02_01.xlsx&amp;sheet=A0&amp;row=52&amp;col=10&amp;number=&amp;sourceID=11","")</f>
        <v/>
      </c>
      <c r="K52" s="4" t="str">
        <f>HYPERLINK("http://141.218.60.56/~jnz1568/getInfo.php?workbook=02_01.xlsx&amp;sheet=A0&amp;row=52&amp;col=11&amp;number=6.507e-12&amp;sourceID=11","6.507e-12")</f>
        <v>6.507e-12</v>
      </c>
      <c r="L52" s="4" t="str">
        <f>HYPERLINK("http://141.218.60.56/~jnz1568/getInfo.php?workbook=02_01.xlsx&amp;sheet=A0&amp;row=52&amp;col=12&amp;number=&amp;sourceID=11","")</f>
        <v/>
      </c>
      <c r="M52" s="4" t="str">
        <f>HYPERLINK("http://141.218.60.56/~jnz1568/getInfo.php?workbook=02_01.xlsx&amp;sheet=A0&amp;row=52&amp;col=13&amp;number=&amp;sourceID=11","")</f>
        <v/>
      </c>
      <c r="N52" s="4" t="str">
        <f>HYPERLINK("http://141.218.60.56/~jnz1568/getInfo.php?workbook=02_01.xlsx&amp;sheet=A0&amp;row=52&amp;col=14&amp;number=26.34&amp;sourceID=12","26.34")</f>
        <v>26.34</v>
      </c>
      <c r="O52" s="4" t="str">
        <f>HYPERLINK("http://141.218.60.56/~jnz1568/getInfo.php?workbook=02_01.xlsx&amp;sheet=A0&amp;row=52&amp;col=15&amp;number=&amp;sourceID=12","")</f>
        <v/>
      </c>
      <c r="P52" s="4" t="str">
        <f>HYPERLINK("http://141.218.60.56/~jnz1568/getInfo.php?workbook=02_01.xlsx&amp;sheet=A0&amp;row=52&amp;col=16&amp;number=26.34&amp;sourceID=12","26.34")</f>
        <v>26.34</v>
      </c>
      <c r="Q52" s="4" t="str">
        <f>HYPERLINK("http://141.218.60.56/~jnz1568/getInfo.php?workbook=02_01.xlsx&amp;sheet=A0&amp;row=52&amp;col=17&amp;number=&amp;sourceID=12","")</f>
        <v/>
      </c>
      <c r="R52" s="4" t="str">
        <f>HYPERLINK("http://141.218.60.56/~jnz1568/getInfo.php?workbook=02_01.xlsx&amp;sheet=A0&amp;row=52&amp;col=18&amp;number=6.956e-12&amp;sourceID=12","6.956e-12")</f>
        <v>6.956e-12</v>
      </c>
      <c r="S52" s="4" t="str">
        <f>HYPERLINK("http://141.218.60.56/~jnz1568/getInfo.php?workbook=02_01.xlsx&amp;sheet=A0&amp;row=52&amp;col=19&amp;number=&amp;sourceID=12","")</f>
        <v/>
      </c>
      <c r="T52" s="4" t="str">
        <f>HYPERLINK("http://141.218.60.56/~jnz1568/getInfo.php?workbook=02_01.xlsx&amp;sheet=A0&amp;row=52&amp;col=20&amp;number=&amp;sourceID=12","")</f>
        <v/>
      </c>
      <c r="U52" s="4" t="str">
        <f>HYPERLINK("http://141.218.60.56/~jnz1568/getInfo.php?workbook=02_01.xlsx&amp;sheet=A0&amp;row=52&amp;col=21&amp;number==&amp;sourceID=13","=")</f>
        <v>=</v>
      </c>
      <c r="V52" s="4" t="str">
        <f>HYPERLINK("http://141.218.60.56/~jnz1568/getInfo.php?workbook=02_01.xlsx&amp;sheet=A0&amp;row=52&amp;col=22&amp;number=&amp;sourceID=13","")</f>
        <v/>
      </c>
      <c r="W52" s="4" t="str">
        <f>HYPERLINK("http://141.218.60.56/~jnz1568/getInfo.php?workbook=02_01.xlsx&amp;sheet=A0&amp;row=52&amp;col=23&amp;number=26.3&amp;sourceID=13","26.3")</f>
        <v>26.3</v>
      </c>
      <c r="X52" s="4" t="str">
        <f>HYPERLINK("http://141.218.60.56/~jnz1568/getInfo.php?workbook=02_01.xlsx&amp;sheet=A0&amp;row=52&amp;col=24&amp;number=&amp;sourceID=13","")</f>
        <v/>
      </c>
      <c r="Y52" s="4" t="str">
        <f>HYPERLINK("http://141.218.60.56/~jnz1568/getInfo.php?workbook=02_01.xlsx&amp;sheet=A0&amp;row=52&amp;col=25&amp;number=2.31e-12&amp;sourceID=13","2.31e-12")</f>
        <v>2.31e-12</v>
      </c>
      <c r="Z52" s="4" t="str">
        <f>HYPERLINK("http://141.218.60.56/~jnz1568/getInfo.php?workbook=02_01.xlsx&amp;sheet=A0&amp;row=52&amp;col=26&amp;number=&amp;sourceID=13","")</f>
        <v/>
      </c>
      <c r="AA52" s="4" t="str">
        <f>HYPERLINK("http://141.218.60.56/~jnz1568/getInfo.php?workbook=02_01.xlsx&amp;sheet=A0&amp;row=52&amp;col=27&amp;number=&amp;sourceID=20","")</f>
        <v/>
      </c>
    </row>
    <row r="53" spans="1:27">
      <c r="A53" s="3">
        <v>2</v>
      </c>
      <c r="B53" s="3">
        <v>1</v>
      </c>
      <c r="C53" s="3">
        <v>11</v>
      </c>
      <c r="D53" s="3">
        <v>8</v>
      </c>
      <c r="E53" s="3">
        <f>((1/(INDEX(E0!J$4:J$28,C53,1)-INDEX(E0!J$4:J$28,D53,1))))*100000000</f>
        <v>0</v>
      </c>
      <c r="F53" s="4" t="str">
        <f>HYPERLINK("http://141.218.60.56/~jnz1568/getInfo.php?workbook=02_01.xlsx&amp;sheet=A0&amp;row=53&amp;col=6&amp;number=&amp;sourceID=18","")</f>
        <v/>
      </c>
      <c r="G53" s="4" t="str">
        <f>HYPERLINK("http://141.218.60.56/~jnz1568/getInfo.php?workbook=02_01.xlsx&amp;sheet=A0&amp;row=53&amp;col=7&amp;number==&amp;sourceID=11","=")</f>
        <v>=</v>
      </c>
      <c r="H53" s="4" t="str">
        <f>HYPERLINK("http://141.218.60.56/~jnz1568/getInfo.php?workbook=02_01.xlsx&amp;sheet=A0&amp;row=53&amp;col=8&amp;number=19596000&amp;sourceID=11","19596000")</f>
        <v>19596000</v>
      </c>
      <c r="I53" s="4" t="str">
        <f>HYPERLINK("http://141.218.60.56/~jnz1568/getInfo.php?workbook=02_01.xlsx&amp;sheet=A0&amp;row=53&amp;col=9&amp;number=&amp;sourceID=11","")</f>
        <v/>
      </c>
      <c r="J53" s="4" t="str">
        <f>HYPERLINK("http://141.218.60.56/~jnz1568/getInfo.php?workbook=02_01.xlsx&amp;sheet=A0&amp;row=53&amp;col=10&amp;number=&amp;sourceID=11","")</f>
        <v/>
      </c>
      <c r="K53" s="4" t="str">
        <f>HYPERLINK("http://141.218.60.56/~jnz1568/getInfo.php?workbook=02_01.xlsx&amp;sheet=A0&amp;row=53&amp;col=11&amp;number=&amp;sourceID=11","")</f>
        <v/>
      </c>
      <c r="L53" s="4" t="str">
        <f>HYPERLINK("http://141.218.60.56/~jnz1568/getInfo.php?workbook=02_01.xlsx&amp;sheet=A0&amp;row=53&amp;col=12&amp;number=9.8481e-05&amp;sourceID=11","9.8481e-05")</f>
        <v>9.8481e-05</v>
      </c>
      <c r="M53" s="4" t="str">
        <f>HYPERLINK("http://141.218.60.56/~jnz1568/getInfo.php?workbook=02_01.xlsx&amp;sheet=A0&amp;row=53&amp;col=13&amp;number=&amp;sourceID=11","")</f>
        <v/>
      </c>
      <c r="N53" s="4" t="str">
        <f>HYPERLINK("http://141.218.60.56/~jnz1568/getInfo.php?workbook=02_01.xlsx&amp;sheet=A0&amp;row=53&amp;col=14&amp;number=19599000&amp;sourceID=12","19599000")</f>
        <v>19599000</v>
      </c>
      <c r="O53" s="4" t="str">
        <f>HYPERLINK("http://141.218.60.56/~jnz1568/getInfo.php?workbook=02_01.xlsx&amp;sheet=A0&amp;row=53&amp;col=15&amp;number=19599000&amp;sourceID=12","19599000")</f>
        <v>19599000</v>
      </c>
      <c r="P53" s="4" t="str">
        <f>HYPERLINK("http://141.218.60.56/~jnz1568/getInfo.php?workbook=02_01.xlsx&amp;sheet=A0&amp;row=53&amp;col=16&amp;number=&amp;sourceID=12","")</f>
        <v/>
      </c>
      <c r="Q53" s="4" t="str">
        <f>HYPERLINK("http://141.218.60.56/~jnz1568/getInfo.php?workbook=02_01.xlsx&amp;sheet=A0&amp;row=53&amp;col=17&amp;number=&amp;sourceID=12","")</f>
        <v/>
      </c>
      <c r="R53" s="4" t="str">
        <f>HYPERLINK("http://141.218.60.56/~jnz1568/getInfo.php?workbook=02_01.xlsx&amp;sheet=A0&amp;row=53&amp;col=18&amp;number=&amp;sourceID=12","")</f>
        <v/>
      </c>
      <c r="S53" s="4" t="str">
        <f>HYPERLINK("http://141.218.60.56/~jnz1568/getInfo.php?workbook=02_01.xlsx&amp;sheet=A0&amp;row=53&amp;col=19&amp;number=9.8494e-05&amp;sourceID=12","9.8494e-05")</f>
        <v>9.8494e-05</v>
      </c>
      <c r="T53" s="4" t="str">
        <f>HYPERLINK("http://141.218.60.56/~jnz1568/getInfo.php?workbook=02_01.xlsx&amp;sheet=A0&amp;row=53&amp;col=20&amp;number=&amp;sourceID=12","")</f>
        <v/>
      </c>
      <c r="U53" s="4" t="str">
        <f>HYPERLINK("http://141.218.60.56/~jnz1568/getInfo.php?workbook=02_01.xlsx&amp;sheet=A0&amp;row=53&amp;col=21&amp;number==&amp;sourceID=13","=")</f>
        <v>=</v>
      </c>
      <c r="V53" s="4" t="str">
        <f>HYPERLINK("http://141.218.60.56/~jnz1568/getInfo.php?workbook=02_01.xlsx&amp;sheet=A0&amp;row=53&amp;col=22&amp;number=19600000&amp;sourceID=13","19600000")</f>
        <v>19600000</v>
      </c>
      <c r="W53" s="4" t="str">
        <f>HYPERLINK("http://141.218.60.56/~jnz1568/getInfo.php?workbook=02_01.xlsx&amp;sheet=A0&amp;row=53&amp;col=23&amp;number=&amp;sourceID=13","")</f>
        <v/>
      </c>
      <c r="X53" s="4" t="str">
        <f>HYPERLINK("http://141.218.60.56/~jnz1568/getInfo.php?workbook=02_01.xlsx&amp;sheet=A0&amp;row=53&amp;col=24&amp;number=&amp;sourceID=13","")</f>
        <v/>
      </c>
      <c r="Y53" s="4" t="str">
        <f>HYPERLINK("http://141.218.60.56/~jnz1568/getInfo.php?workbook=02_01.xlsx&amp;sheet=A0&amp;row=53&amp;col=25&amp;number=&amp;sourceID=13","")</f>
        <v/>
      </c>
      <c r="Z53" s="4" t="str">
        <f>HYPERLINK("http://141.218.60.56/~jnz1568/getInfo.php?workbook=02_01.xlsx&amp;sheet=A0&amp;row=53&amp;col=26&amp;number=&amp;sourceID=13","")</f>
        <v/>
      </c>
      <c r="AA53" s="4" t="str">
        <f>HYPERLINK("http://141.218.60.56/~jnz1568/getInfo.php?workbook=02_01.xlsx&amp;sheet=A0&amp;row=53&amp;col=27&amp;number=&amp;sourceID=20","")</f>
        <v/>
      </c>
    </row>
    <row r="54" spans="1:27">
      <c r="A54" s="3">
        <v>2</v>
      </c>
      <c r="B54" s="3">
        <v>1</v>
      </c>
      <c r="C54" s="3">
        <v>11</v>
      </c>
      <c r="D54" s="3">
        <v>9</v>
      </c>
      <c r="E54" s="3">
        <f>((1/(INDEX(E0!J$4:J$28,C54,1)-INDEX(E0!J$4:J$28,D54,1))))*100000000</f>
        <v>0</v>
      </c>
      <c r="F54" s="4" t="str">
        <f>HYPERLINK("http://141.218.60.56/~jnz1568/getInfo.php?workbook=02_01.xlsx&amp;sheet=A0&amp;row=54&amp;col=6&amp;number=&amp;sourceID=18","")</f>
        <v/>
      </c>
      <c r="G54" s="4" t="str">
        <f>HYPERLINK("http://141.218.60.56/~jnz1568/getInfo.php?workbook=02_01.xlsx&amp;sheet=A0&amp;row=54&amp;col=7&amp;number==&amp;sourceID=11","=")</f>
        <v>=</v>
      </c>
      <c r="H54" s="4" t="str">
        <f>HYPERLINK("http://141.218.60.56/~jnz1568/getInfo.php?workbook=02_01.xlsx&amp;sheet=A0&amp;row=54&amp;col=8&amp;number=&amp;sourceID=11","")</f>
        <v/>
      </c>
      <c r="I54" s="4" t="str">
        <f>HYPERLINK("http://141.218.60.56/~jnz1568/getInfo.php?workbook=02_01.xlsx&amp;sheet=A0&amp;row=54&amp;col=9&amp;number=39.505&amp;sourceID=11","39.505")</f>
        <v>39.505</v>
      </c>
      <c r="J54" s="4" t="str">
        <f>HYPERLINK("http://141.218.60.56/~jnz1568/getInfo.php?workbook=02_01.xlsx&amp;sheet=A0&amp;row=54&amp;col=10&amp;number=&amp;sourceID=11","")</f>
        <v/>
      </c>
      <c r="K54" s="4" t="str">
        <f>HYPERLINK("http://141.218.60.56/~jnz1568/getInfo.php?workbook=02_01.xlsx&amp;sheet=A0&amp;row=54&amp;col=11&amp;number=&amp;sourceID=11","")</f>
        <v/>
      </c>
      <c r="L54" s="4" t="str">
        <f>HYPERLINK("http://141.218.60.56/~jnz1568/getInfo.php?workbook=02_01.xlsx&amp;sheet=A0&amp;row=54&amp;col=12&amp;number=&amp;sourceID=11","")</f>
        <v/>
      </c>
      <c r="M54" s="4" t="str">
        <f>HYPERLINK("http://141.218.60.56/~jnz1568/getInfo.php?workbook=02_01.xlsx&amp;sheet=A0&amp;row=54&amp;col=13&amp;number=2.3529e-10&amp;sourceID=11","2.3529e-10")</f>
        <v>2.3529e-10</v>
      </c>
      <c r="N54" s="4" t="str">
        <f>HYPERLINK("http://141.218.60.56/~jnz1568/getInfo.php?workbook=02_01.xlsx&amp;sheet=A0&amp;row=54&amp;col=14&amp;number=39.511&amp;sourceID=12","39.511")</f>
        <v>39.511</v>
      </c>
      <c r="O54" s="4" t="str">
        <f>HYPERLINK("http://141.218.60.56/~jnz1568/getInfo.php?workbook=02_01.xlsx&amp;sheet=A0&amp;row=54&amp;col=15&amp;number=&amp;sourceID=12","")</f>
        <v/>
      </c>
      <c r="P54" s="4" t="str">
        <f>HYPERLINK("http://141.218.60.56/~jnz1568/getInfo.php?workbook=02_01.xlsx&amp;sheet=A0&amp;row=54&amp;col=16&amp;number=39.511&amp;sourceID=12","39.511")</f>
        <v>39.511</v>
      </c>
      <c r="Q54" s="4" t="str">
        <f>HYPERLINK("http://141.218.60.56/~jnz1568/getInfo.php?workbook=02_01.xlsx&amp;sheet=A0&amp;row=54&amp;col=17&amp;number=&amp;sourceID=12","")</f>
        <v/>
      </c>
      <c r="R54" s="4" t="str">
        <f>HYPERLINK("http://141.218.60.56/~jnz1568/getInfo.php?workbook=02_01.xlsx&amp;sheet=A0&amp;row=54&amp;col=18&amp;number=&amp;sourceID=12","")</f>
        <v/>
      </c>
      <c r="S54" s="4" t="str">
        <f>HYPERLINK("http://141.218.60.56/~jnz1568/getInfo.php?workbook=02_01.xlsx&amp;sheet=A0&amp;row=54&amp;col=19&amp;number=&amp;sourceID=12","")</f>
        <v/>
      </c>
      <c r="T54" s="4" t="str">
        <f>HYPERLINK("http://141.218.60.56/~jnz1568/getInfo.php?workbook=02_01.xlsx&amp;sheet=A0&amp;row=54&amp;col=20&amp;number=2.3532e-10&amp;sourceID=12","2.3532e-10")</f>
        <v>2.3532e-10</v>
      </c>
      <c r="U54" s="4" t="str">
        <f>HYPERLINK("http://141.218.60.56/~jnz1568/getInfo.php?workbook=02_01.xlsx&amp;sheet=A0&amp;row=54&amp;col=21&amp;number==&amp;sourceID=13","=")</f>
        <v>=</v>
      </c>
      <c r="V54" s="4" t="str">
        <f>HYPERLINK("http://141.218.60.56/~jnz1568/getInfo.php?workbook=02_01.xlsx&amp;sheet=A0&amp;row=54&amp;col=22&amp;number=&amp;sourceID=13","")</f>
        <v/>
      </c>
      <c r="W54" s="4" t="str">
        <f>HYPERLINK("http://141.218.60.56/~jnz1568/getInfo.php?workbook=02_01.xlsx&amp;sheet=A0&amp;row=54&amp;col=23&amp;number=39.5&amp;sourceID=13","39.5")</f>
        <v>39.5</v>
      </c>
      <c r="X54" s="4" t="str">
        <f>HYPERLINK("http://141.218.60.56/~jnz1568/getInfo.php?workbook=02_01.xlsx&amp;sheet=A0&amp;row=54&amp;col=24&amp;number=&amp;sourceID=13","")</f>
        <v/>
      </c>
      <c r="Y54" s="4" t="str">
        <f>HYPERLINK("http://141.218.60.56/~jnz1568/getInfo.php?workbook=02_01.xlsx&amp;sheet=A0&amp;row=54&amp;col=25&amp;number=&amp;sourceID=13","")</f>
        <v/>
      </c>
      <c r="Z54" s="4" t="str">
        <f>HYPERLINK("http://141.218.60.56/~jnz1568/getInfo.php?workbook=02_01.xlsx&amp;sheet=A0&amp;row=54&amp;col=26&amp;number=&amp;sourceID=13","")</f>
        <v/>
      </c>
      <c r="AA54" s="4" t="str">
        <f>HYPERLINK("http://141.218.60.56/~jnz1568/getInfo.php?workbook=02_01.xlsx&amp;sheet=A0&amp;row=54&amp;col=27&amp;number=&amp;sourceID=20","")</f>
        <v/>
      </c>
    </row>
    <row r="55" spans="1:27">
      <c r="A55" s="3">
        <v>2</v>
      </c>
      <c r="B55" s="3">
        <v>1</v>
      </c>
      <c r="C55" s="3">
        <v>12</v>
      </c>
      <c r="D55" s="3">
        <v>1</v>
      </c>
      <c r="E55" s="3">
        <f>((1/(INDEX(E0!J$4:J$28,C55,1)-INDEX(E0!J$4:J$28,D55,1))))*100000000</f>
        <v>0</v>
      </c>
      <c r="F55" s="4" t="str">
        <f>HYPERLINK("http://141.218.60.56/~jnz1568/getInfo.php?workbook=02_01.xlsx&amp;sheet=A0&amp;row=55&amp;col=6&amp;number=&amp;sourceID=18","")</f>
        <v/>
      </c>
      <c r="G55" s="4" t="str">
        <f>HYPERLINK("http://141.218.60.56/~jnz1568/getInfo.php?workbook=02_01.xlsx&amp;sheet=A0&amp;row=55&amp;col=7&amp;number==&amp;sourceID=11","=")</f>
        <v>=</v>
      </c>
      <c r="H55" s="4" t="str">
        <f>HYPERLINK("http://141.218.60.56/~jnz1568/getInfo.php?workbook=02_01.xlsx&amp;sheet=A0&amp;row=55&amp;col=8&amp;number=&amp;sourceID=11","")</f>
        <v/>
      </c>
      <c r="I55" s="4" t="str">
        <f>HYPERLINK("http://141.218.60.56/~jnz1568/getInfo.php?workbook=02_01.xlsx&amp;sheet=A0&amp;row=55&amp;col=9&amp;number=20922&amp;sourceID=11","20922")</f>
        <v>20922</v>
      </c>
      <c r="J55" s="4" t="str">
        <f>HYPERLINK("http://141.218.60.56/~jnz1568/getInfo.php?workbook=02_01.xlsx&amp;sheet=A0&amp;row=55&amp;col=10&amp;number=&amp;sourceID=11","")</f>
        <v/>
      </c>
      <c r="K55" s="4" t="str">
        <f>HYPERLINK("http://141.218.60.56/~jnz1568/getInfo.php?workbook=02_01.xlsx&amp;sheet=A0&amp;row=55&amp;col=11&amp;number=4.4267e-06&amp;sourceID=11","4.4267e-06")</f>
        <v>4.4267e-06</v>
      </c>
      <c r="L55" s="4" t="str">
        <f>HYPERLINK("http://141.218.60.56/~jnz1568/getInfo.php?workbook=02_01.xlsx&amp;sheet=A0&amp;row=55&amp;col=12&amp;number=&amp;sourceID=11","")</f>
        <v/>
      </c>
      <c r="M55" s="4" t="str">
        <f>HYPERLINK("http://141.218.60.56/~jnz1568/getInfo.php?workbook=02_01.xlsx&amp;sheet=A0&amp;row=55&amp;col=13&amp;number=&amp;sourceID=11","")</f>
        <v/>
      </c>
      <c r="N55" s="4" t="str">
        <f>HYPERLINK("http://141.218.60.56/~jnz1568/getInfo.php?workbook=02_01.xlsx&amp;sheet=A0&amp;row=55&amp;col=14&amp;number=20925&amp;sourceID=12","20925")</f>
        <v>20925</v>
      </c>
      <c r="O55" s="4" t="str">
        <f>HYPERLINK("http://141.218.60.56/~jnz1568/getInfo.php?workbook=02_01.xlsx&amp;sheet=A0&amp;row=55&amp;col=15&amp;number=&amp;sourceID=12","")</f>
        <v/>
      </c>
      <c r="P55" s="4" t="str">
        <f>HYPERLINK("http://141.218.60.56/~jnz1568/getInfo.php?workbook=02_01.xlsx&amp;sheet=A0&amp;row=55&amp;col=16&amp;number=20925&amp;sourceID=12","20925")</f>
        <v>20925</v>
      </c>
      <c r="Q55" s="4" t="str">
        <f>HYPERLINK("http://141.218.60.56/~jnz1568/getInfo.php?workbook=02_01.xlsx&amp;sheet=A0&amp;row=55&amp;col=17&amp;number=&amp;sourceID=12","")</f>
        <v/>
      </c>
      <c r="R55" s="4" t="str">
        <f>HYPERLINK("http://141.218.60.56/~jnz1568/getInfo.php?workbook=02_01.xlsx&amp;sheet=A0&amp;row=55&amp;col=18&amp;number=4.5702e-06&amp;sourceID=12","4.5702e-06")</f>
        <v>4.5702e-06</v>
      </c>
      <c r="S55" s="4" t="str">
        <f>HYPERLINK("http://141.218.60.56/~jnz1568/getInfo.php?workbook=02_01.xlsx&amp;sheet=A0&amp;row=55&amp;col=19&amp;number=&amp;sourceID=12","")</f>
        <v/>
      </c>
      <c r="T55" s="4" t="str">
        <f>HYPERLINK("http://141.218.60.56/~jnz1568/getInfo.php?workbook=02_01.xlsx&amp;sheet=A0&amp;row=55&amp;col=20&amp;number=&amp;sourceID=12","")</f>
        <v/>
      </c>
      <c r="U55" s="4" t="str">
        <f>HYPERLINK("http://141.218.60.56/~jnz1568/getInfo.php?workbook=02_01.xlsx&amp;sheet=A0&amp;row=55&amp;col=21&amp;number==&amp;sourceID=13","=")</f>
        <v>=</v>
      </c>
      <c r="V55" s="4" t="str">
        <f>HYPERLINK("http://141.218.60.56/~jnz1568/getInfo.php?workbook=02_01.xlsx&amp;sheet=A0&amp;row=55&amp;col=22&amp;number=&amp;sourceID=13","")</f>
        <v/>
      </c>
      <c r="W55" s="4" t="str">
        <f>HYPERLINK("http://141.218.60.56/~jnz1568/getInfo.php?workbook=02_01.xlsx&amp;sheet=A0&amp;row=55&amp;col=23&amp;number=21000&amp;sourceID=13","21000")</f>
        <v>21000</v>
      </c>
      <c r="X55" s="4" t="str">
        <f>HYPERLINK("http://141.218.60.56/~jnz1568/getInfo.php?workbook=02_01.xlsx&amp;sheet=A0&amp;row=55&amp;col=24&amp;number=&amp;sourceID=13","")</f>
        <v/>
      </c>
      <c r="Y55" s="4" t="str">
        <f>HYPERLINK("http://141.218.60.56/~jnz1568/getInfo.php?workbook=02_01.xlsx&amp;sheet=A0&amp;row=55&amp;col=25&amp;number=1.25e-05&amp;sourceID=13","1.25e-05")</f>
        <v>1.25e-05</v>
      </c>
      <c r="Z55" s="4" t="str">
        <f>HYPERLINK("http://141.218.60.56/~jnz1568/getInfo.php?workbook=02_01.xlsx&amp;sheet=A0&amp;row=55&amp;col=26&amp;number=&amp;sourceID=13","")</f>
        <v/>
      </c>
      <c r="AA55" s="4" t="str">
        <f>HYPERLINK("http://141.218.60.56/~jnz1568/getInfo.php?workbook=02_01.xlsx&amp;sheet=A0&amp;row=55&amp;col=27&amp;number=&amp;sourceID=20","")</f>
        <v/>
      </c>
    </row>
    <row r="56" spans="1:27">
      <c r="A56" s="3">
        <v>2</v>
      </c>
      <c r="B56" s="3">
        <v>1</v>
      </c>
      <c r="C56" s="3">
        <v>12</v>
      </c>
      <c r="D56" s="3">
        <v>2</v>
      </c>
      <c r="E56" s="3">
        <f>((1/(INDEX(E0!J$4:J$28,C56,1)-INDEX(E0!J$4:J$28,D56,1))))*100000000</f>
        <v>0</v>
      </c>
      <c r="F56" s="4" t="str">
        <f>HYPERLINK("http://141.218.60.56/~jnz1568/getInfo.php?workbook=02_01.xlsx&amp;sheet=A0&amp;row=56&amp;col=6&amp;number=&amp;sourceID=18","")</f>
        <v/>
      </c>
      <c r="G56" s="4" t="str">
        <f>HYPERLINK("http://141.218.60.56/~jnz1568/getInfo.php?workbook=02_01.xlsx&amp;sheet=A0&amp;row=56&amp;col=7&amp;number==&amp;sourceID=11","=")</f>
        <v>=</v>
      </c>
      <c r="H56" s="4" t="str">
        <f>HYPERLINK("http://141.218.60.56/~jnz1568/getInfo.php?workbook=02_01.xlsx&amp;sheet=A0&amp;row=56&amp;col=8&amp;number=275150000&amp;sourceID=11","275150000")</f>
        <v>275150000</v>
      </c>
      <c r="I56" s="4" t="str">
        <f>HYPERLINK("http://141.218.60.56/~jnz1568/getInfo.php?workbook=02_01.xlsx&amp;sheet=A0&amp;row=56&amp;col=9&amp;number=&amp;sourceID=11","")</f>
        <v/>
      </c>
      <c r="J56" s="4" t="str">
        <f>HYPERLINK("http://141.218.60.56/~jnz1568/getInfo.php?workbook=02_01.xlsx&amp;sheet=A0&amp;row=56&amp;col=10&amp;number=&amp;sourceID=11","")</f>
        <v/>
      </c>
      <c r="K56" s="4" t="str">
        <f>HYPERLINK("http://141.218.60.56/~jnz1568/getInfo.php?workbook=02_01.xlsx&amp;sheet=A0&amp;row=56&amp;col=11&amp;number=&amp;sourceID=11","")</f>
        <v/>
      </c>
      <c r="L56" s="4" t="str">
        <f>HYPERLINK("http://141.218.60.56/~jnz1568/getInfo.php?workbook=02_01.xlsx&amp;sheet=A0&amp;row=56&amp;col=12&amp;number=0.00082301&amp;sourceID=11","0.00082301")</f>
        <v>0.00082301</v>
      </c>
      <c r="M56" s="4" t="str">
        <f>HYPERLINK("http://141.218.60.56/~jnz1568/getInfo.php?workbook=02_01.xlsx&amp;sheet=A0&amp;row=56&amp;col=13&amp;number=&amp;sourceID=11","")</f>
        <v/>
      </c>
      <c r="N56" s="4" t="str">
        <f>HYPERLINK("http://141.218.60.56/~jnz1568/getInfo.php?workbook=02_01.xlsx&amp;sheet=A0&amp;row=56&amp;col=14&amp;number=275190000&amp;sourceID=12","275190000")</f>
        <v>275190000</v>
      </c>
      <c r="O56" s="4" t="str">
        <f>HYPERLINK("http://141.218.60.56/~jnz1568/getInfo.php?workbook=02_01.xlsx&amp;sheet=A0&amp;row=56&amp;col=15&amp;number=275190000&amp;sourceID=12","275190000")</f>
        <v>275190000</v>
      </c>
      <c r="P56" s="4" t="str">
        <f>HYPERLINK("http://141.218.60.56/~jnz1568/getInfo.php?workbook=02_01.xlsx&amp;sheet=A0&amp;row=56&amp;col=16&amp;number=&amp;sourceID=12","")</f>
        <v/>
      </c>
      <c r="Q56" s="4" t="str">
        <f>HYPERLINK("http://141.218.60.56/~jnz1568/getInfo.php?workbook=02_01.xlsx&amp;sheet=A0&amp;row=56&amp;col=17&amp;number=&amp;sourceID=12","")</f>
        <v/>
      </c>
      <c r="R56" s="4" t="str">
        <f>HYPERLINK("http://141.218.60.56/~jnz1568/getInfo.php?workbook=02_01.xlsx&amp;sheet=A0&amp;row=56&amp;col=18&amp;number=&amp;sourceID=12","")</f>
        <v/>
      </c>
      <c r="S56" s="4" t="str">
        <f>HYPERLINK("http://141.218.60.56/~jnz1568/getInfo.php?workbook=02_01.xlsx&amp;sheet=A0&amp;row=56&amp;col=19&amp;number=0.00082312&amp;sourceID=12","0.00082312")</f>
        <v>0.00082312</v>
      </c>
      <c r="T56" s="4" t="str">
        <f>HYPERLINK("http://141.218.60.56/~jnz1568/getInfo.php?workbook=02_01.xlsx&amp;sheet=A0&amp;row=56&amp;col=20&amp;number=&amp;sourceID=12","")</f>
        <v/>
      </c>
      <c r="U56" s="4" t="str">
        <f>HYPERLINK("http://141.218.60.56/~jnz1568/getInfo.php?workbook=02_01.xlsx&amp;sheet=A0&amp;row=56&amp;col=21&amp;number==&amp;sourceID=13","=")</f>
        <v>=</v>
      </c>
      <c r="V56" s="4" t="str">
        <f>HYPERLINK("http://141.218.60.56/~jnz1568/getInfo.php?workbook=02_01.xlsx&amp;sheet=A0&amp;row=56&amp;col=22&amp;number=275000000&amp;sourceID=13","275000000")</f>
        <v>275000000</v>
      </c>
      <c r="W56" s="4" t="str">
        <f>HYPERLINK("http://141.218.60.56/~jnz1568/getInfo.php?workbook=02_01.xlsx&amp;sheet=A0&amp;row=56&amp;col=23&amp;number=&amp;sourceID=13","")</f>
        <v/>
      </c>
      <c r="X56" s="4" t="str">
        <f>HYPERLINK("http://141.218.60.56/~jnz1568/getInfo.php?workbook=02_01.xlsx&amp;sheet=A0&amp;row=56&amp;col=24&amp;number=&amp;sourceID=13","")</f>
        <v/>
      </c>
      <c r="Y56" s="4" t="str">
        <f>HYPERLINK("http://141.218.60.56/~jnz1568/getInfo.php?workbook=02_01.xlsx&amp;sheet=A0&amp;row=56&amp;col=25&amp;number=&amp;sourceID=13","")</f>
        <v/>
      </c>
      <c r="Z56" s="4" t="str">
        <f>HYPERLINK("http://141.218.60.56/~jnz1568/getInfo.php?workbook=02_01.xlsx&amp;sheet=A0&amp;row=56&amp;col=26&amp;number=&amp;sourceID=13","")</f>
        <v/>
      </c>
      <c r="AA56" s="4" t="str">
        <f>HYPERLINK("http://141.218.60.56/~jnz1568/getInfo.php?workbook=02_01.xlsx&amp;sheet=A0&amp;row=56&amp;col=27&amp;number=&amp;sourceID=20","")</f>
        <v/>
      </c>
    </row>
    <row r="57" spans="1:27">
      <c r="A57" s="3">
        <v>2</v>
      </c>
      <c r="B57" s="3">
        <v>1</v>
      </c>
      <c r="C57" s="3">
        <v>12</v>
      </c>
      <c r="D57" s="3">
        <v>3</v>
      </c>
      <c r="E57" s="3">
        <f>((1/(INDEX(E0!J$4:J$28,C57,1)-INDEX(E0!J$4:J$28,D57,1))))*100000000</f>
        <v>0</v>
      </c>
      <c r="F57" s="4" t="str">
        <f>HYPERLINK("http://141.218.60.56/~jnz1568/getInfo.php?workbook=02_01.xlsx&amp;sheet=A0&amp;row=57&amp;col=6&amp;number=&amp;sourceID=18","")</f>
        <v/>
      </c>
      <c r="G57" s="4" t="str">
        <f>HYPERLINK("http://141.218.60.56/~jnz1568/getInfo.php?workbook=02_01.xlsx&amp;sheet=A0&amp;row=57&amp;col=7&amp;number==&amp;sourceID=11","=")</f>
        <v>=</v>
      </c>
      <c r="H57" s="4" t="str">
        <f>HYPERLINK("http://141.218.60.56/~jnz1568/getInfo.php?workbook=02_01.xlsx&amp;sheet=A0&amp;row=57&amp;col=8&amp;number=&amp;sourceID=11","")</f>
        <v/>
      </c>
      <c r="I57" s="4" t="str">
        <f>HYPERLINK("http://141.218.60.56/~jnz1568/getInfo.php?workbook=02_01.xlsx&amp;sheet=A0&amp;row=57&amp;col=9&amp;number=329.81&amp;sourceID=11","329.81")</f>
        <v>329.81</v>
      </c>
      <c r="J57" s="4" t="str">
        <f>HYPERLINK("http://141.218.60.56/~jnz1568/getInfo.php?workbook=02_01.xlsx&amp;sheet=A0&amp;row=57&amp;col=10&amp;number=&amp;sourceID=11","")</f>
        <v/>
      </c>
      <c r="K57" s="4" t="str">
        <f>HYPERLINK("http://141.218.60.56/~jnz1568/getInfo.php?workbook=02_01.xlsx&amp;sheet=A0&amp;row=57&amp;col=11&amp;number=6.1808e-08&amp;sourceID=11","6.1808e-08")</f>
        <v>6.1808e-08</v>
      </c>
      <c r="L57" s="4" t="str">
        <f>HYPERLINK("http://141.218.60.56/~jnz1568/getInfo.php?workbook=02_01.xlsx&amp;sheet=A0&amp;row=57&amp;col=12&amp;number=&amp;sourceID=11","")</f>
        <v/>
      </c>
      <c r="M57" s="4" t="str">
        <f>HYPERLINK("http://141.218.60.56/~jnz1568/getInfo.php?workbook=02_01.xlsx&amp;sheet=A0&amp;row=57&amp;col=13&amp;number=&amp;sourceID=11","")</f>
        <v/>
      </c>
      <c r="N57" s="4" t="str">
        <f>HYPERLINK("http://141.218.60.56/~jnz1568/getInfo.php?workbook=02_01.xlsx&amp;sheet=A0&amp;row=57&amp;col=14&amp;number=329.85&amp;sourceID=12","329.85")</f>
        <v>329.85</v>
      </c>
      <c r="O57" s="4" t="str">
        <f>HYPERLINK("http://141.218.60.56/~jnz1568/getInfo.php?workbook=02_01.xlsx&amp;sheet=A0&amp;row=57&amp;col=15&amp;number=&amp;sourceID=12","")</f>
        <v/>
      </c>
      <c r="P57" s="4" t="str">
        <f>HYPERLINK("http://141.218.60.56/~jnz1568/getInfo.php?workbook=02_01.xlsx&amp;sheet=A0&amp;row=57&amp;col=16&amp;number=329.85&amp;sourceID=12","329.85")</f>
        <v>329.85</v>
      </c>
      <c r="Q57" s="4" t="str">
        <f>HYPERLINK("http://141.218.60.56/~jnz1568/getInfo.php?workbook=02_01.xlsx&amp;sheet=A0&amp;row=57&amp;col=17&amp;number=&amp;sourceID=12","")</f>
        <v/>
      </c>
      <c r="R57" s="4" t="str">
        <f>HYPERLINK("http://141.218.60.56/~jnz1568/getInfo.php?workbook=02_01.xlsx&amp;sheet=A0&amp;row=57&amp;col=18&amp;number=6.1837e-08&amp;sourceID=12","6.1837e-08")</f>
        <v>6.1837e-08</v>
      </c>
      <c r="S57" s="4" t="str">
        <f>HYPERLINK("http://141.218.60.56/~jnz1568/getInfo.php?workbook=02_01.xlsx&amp;sheet=A0&amp;row=57&amp;col=19&amp;number=&amp;sourceID=12","")</f>
        <v/>
      </c>
      <c r="T57" s="4" t="str">
        <f>HYPERLINK("http://141.218.60.56/~jnz1568/getInfo.php?workbook=02_01.xlsx&amp;sheet=A0&amp;row=57&amp;col=20&amp;number=&amp;sourceID=12","")</f>
        <v/>
      </c>
      <c r="U57" s="4" t="str">
        <f>HYPERLINK("http://141.218.60.56/~jnz1568/getInfo.php?workbook=02_01.xlsx&amp;sheet=A0&amp;row=57&amp;col=21&amp;number==&amp;sourceID=13","=")</f>
        <v>=</v>
      </c>
      <c r="V57" s="4" t="str">
        <f>HYPERLINK("http://141.218.60.56/~jnz1568/getInfo.php?workbook=02_01.xlsx&amp;sheet=A0&amp;row=57&amp;col=22&amp;number=&amp;sourceID=13","")</f>
        <v/>
      </c>
      <c r="W57" s="4" t="str">
        <f>HYPERLINK("http://141.218.60.56/~jnz1568/getInfo.php?workbook=02_01.xlsx&amp;sheet=A0&amp;row=57&amp;col=23&amp;number=329&amp;sourceID=13","329")</f>
        <v>329</v>
      </c>
      <c r="X57" s="4" t="str">
        <f>HYPERLINK("http://141.218.60.56/~jnz1568/getInfo.php?workbook=02_01.xlsx&amp;sheet=A0&amp;row=57&amp;col=24&amp;number=&amp;sourceID=13","")</f>
        <v/>
      </c>
      <c r="Y57" s="4" t="str">
        <f>HYPERLINK("http://141.218.60.56/~jnz1568/getInfo.php?workbook=02_01.xlsx&amp;sheet=A0&amp;row=57&amp;col=25&amp;number=1.34e-07&amp;sourceID=13","1.34e-07")</f>
        <v>1.34e-07</v>
      </c>
      <c r="Z57" s="4" t="str">
        <f>HYPERLINK("http://141.218.60.56/~jnz1568/getInfo.php?workbook=02_01.xlsx&amp;sheet=A0&amp;row=57&amp;col=26&amp;number=&amp;sourceID=13","")</f>
        <v/>
      </c>
      <c r="AA57" s="4" t="str">
        <f>HYPERLINK("http://141.218.60.56/~jnz1568/getInfo.php?workbook=02_01.xlsx&amp;sheet=A0&amp;row=57&amp;col=27&amp;number=&amp;sourceID=20","")</f>
        <v/>
      </c>
    </row>
    <row r="58" spans="1:27">
      <c r="A58" s="3">
        <v>2</v>
      </c>
      <c r="B58" s="3">
        <v>1</v>
      </c>
      <c r="C58" s="3">
        <v>12</v>
      </c>
      <c r="D58" s="3">
        <v>4</v>
      </c>
      <c r="E58" s="3">
        <f>((1/(INDEX(E0!J$4:J$28,C58,1)-INDEX(E0!J$4:J$28,D58,1))))*100000000</f>
        <v>0</v>
      </c>
      <c r="F58" s="4" t="str">
        <f>HYPERLINK("http://141.218.60.56/~jnz1568/getInfo.php?workbook=02_01.xlsx&amp;sheet=A0&amp;row=58&amp;col=6&amp;number=&amp;sourceID=18","")</f>
        <v/>
      </c>
      <c r="G58" s="4" t="str">
        <f>HYPERLINK("http://141.218.60.56/~jnz1568/getInfo.php?workbook=02_01.xlsx&amp;sheet=A0&amp;row=58&amp;col=7&amp;number==&amp;sourceID=11","=")</f>
        <v>=</v>
      </c>
      <c r="H58" s="4" t="str">
        <f>HYPERLINK("http://141.218.60.56/~jnz1568/getInfo.php?workbook=02_01.xlsx&amp;sheet=A0&amp;row=58&amp;col=8&amp;number=55021000&amp;sourceID=11","55021000")</f>
        <v>55021000</v>
      </c>
      <c r="I58" s="4" t="str">
        <f>HYPERLINK("http://141.218.60.56/~jnz1568/getInfo.php?workbook=02_01.xlsx&amp;sheet=A0&amp;row=58&amp;col=9&amp;number=&amp;sourceID=11","")</f>
        <v/>
      </c>
      <c r="J58" s="4" t="str">
        <f>HYPERLINK("http://141.218.60.56/~jnz1568/getInfo.php?workbook=02_01.xlsx&amp;sheet=A0&amp;row=58&amp;col=10&amp;number=1.2548e-11&amp;sourceID=11","1.2548e-11")</f>
        <v>1.2548e-11</v>
      </c>
      <c r="K58" s="4" t="str">
        <f>HYPERLINK("http://141.218.60.56/~jnz1568/getInfo.php?workbook=02_01.xlsx&amp;sheet=A0&amp;row=58&amp;col=11&amp;number=&amp;sourceID=11","")</f>
        <v/>
      </c>
      <c r="L58" s="4" t="str">
        <f>HYPERLINK("http://141.218.60.56/~jnz1568/getInfo.php?workbook=02_01.xlsx&amp;sheet=A0&amp;row=58&amp;col=12&amp;number=&amp;sourceID=11","")</f>
        <v/>
      </c>
      <c r="M58" s="4" t="str">
        <f>HYPERLINK("http://141.218.60.56/~jnz1568/getInfo.php?workbook=02_01.xlsx&amp;sheet=A0&amp;row=58&amp;col=13&amp;number=&amp;sourceID=11","")</f>
        <v/>
      </c>
      <c r="N58" s="4" t="str">
        <f>HYPERLINK("http://141.218.60.56/~jnz1568/getInfo.php?workbook=02_01.xlsx&amp;sheet=A0&amp;row=58&amp;col=14&amp;number=55028000&amp;sourceID=12","55028000")</f>
        <v>55028000</v>
      </c>
      <c r="O58" s="4" t="str">
        <f>HYPERLINK("http://141.218.60.56/~jnz1568/getInfo.php?workbook=02_01.xlsx&amp;sheet=A0&amp;row=58&amp;col=15&amp;number=55028000&amp;sourceID=12","55028000")</f>
        <v>55028000</v>
      </c>
      <c r="P58" s="4" t="str">
        <f>HYPERLINK("http://141.218.60.56/~jnz1568/getInfo.php?workbook=02_01.xlsx&amp;sheet=A0&amp;row=58&amp;col=16&amp;number=&amp;sourceID=12","")</f>
        <v/>
      </c>
      <c r="Q58" s="4" t="str">
        <f>HYPERLINK("http://141.218.60.56/~jnz1568/getInfo.php?workbook=02_01.xlsx&amp;sheet=A0&amp;row=58&amp;col=17&amp;number=1.252e-11&amp;sourceID=12","1.252e-11")</f>
        <v>1.252e-11</v>
      </c>
      <c r="R58" s="4" t="str">
        <f>HYPERLINK("http://141.218.60.56/~jnz1568/getInfo.php?workbook=02_01.xlsx&amp;sheet=A0&amp;row=58&amp;col=18&amp;number=&amp;sourceID=12","")</f>
        <v/>
      </c>
      <c r="S58" s="4" t="str">
        <f>HYPERLINK("http://141.218.60.56/~jnz1568/getInfo.php?workbook=02_01.xlsx&amp;sheet=A0&amp;row=58&amp;col=19&amp;number=&amp;sourceID=12","")</f>
        <v/>
      </c>
      <c r="T58" s="4" t="str">
        <f>HYPERLINK("http://141.218.60.56/~jnz1568/getInfo.php?workbook=02_01.xlsx&amp;sheet=A0&amp;row=58&amp;col=20&amp;number=&amp;sourceID=12","")</f>
        <v/>
      </c>
      <c r="U58" s="4" t="str">
        <f>HYPERLINK("http://141.218.60.56/~jnz1568/getInfo.php?workbook=02_01.xlsx&amp;sheet=A0&amp;row=58&amp;col=21&amp;number==&amp;sourceID=13","=")</f>
        <v>=</v>
      </c>
      <c r="V58" s="4" t="str">
        <f>HYPERLINK("http://141.218.60.56/~jnz1568/getInfo.php?workbook=02_01.xlsx&amp;sheet=A0&amp;row=58&amp;col=22&amp;number=55000000&amp;sourceID=13","55000000")</f>
        <v>55000000</v>
      </c>
      <c r="W58" s="4" t="str">
        <f>HYPERLINK("http://141.218.60.56/~jnz1568/getInfo.php?workbook=02_01.xlsx&amp;sheet=A0&amp;row=58&amp;col=23&amp;number=&amp;sourceID=13","")</f>
        <v/>
      </c>
      <c r="X58" s="4" t="str">
        <f>HYPERLINK("http://141.218.60.56/~jnz1568/getInfo.php?workbook=02_01.xlsx&amp;sheet=A0&amp;row=58&amp;col=24&amp;number=&amp;sourceID=13","")</f>
        <v/>
      </c>
      <c r="Y58" s="4" t="str">
        <f>HYPERLINK("http://141.218.60.56/~jnz1568/getInfo.php?workbook=02_01.xlsx&amp;sheet=A0&amp;row=58&amp;col=25&amp;number=&amp;sourceID=13","")</f>
        <v/>
      </c>
      <c r="Z58" s="4" t="str">
        <f>HYPERLINK("http://141.218.60.56/~jnz1568/getInfo.php?workbook=02_01.xlsx&amp;sheet=A0&amp;row=58&amp;col=26&amp;number=&amp;sourceID=13","")</f>
        <v/>
      </c>
      <c r="AA58" s="4" t="str">
        <f>HYPERLINK("http://141.218.60.56/~jnz1568/getInfo.php?workbook=02_01.xlsx&amp;sheet=A0&amp;row=58&amp;col=27&amp;number=&amp;sourceID=20","")</f>
        <v/>
      </c>
    </row>
    <row r="59" spans="1:27">
      <c r="A59" s="3">
        <v>2</v>
      </c>
      <c r="B59" s="3">
        <v>1</v>
      </c>
      <c r="C59" s="3">
        <v>12</v>
      </c>
      <c r="D59" s="3">
        <v>5</v>
      </c>
      <c r="E59" s="3">
        <f>((1/(INDEX(E0!J$4:J$28,C59,1)-INDEX(E0!J$4:J$28,D59,1))))*100000000</f>
        <v>0</v>
      </c>
      <c r="F59" s="4" t="str">
        <f>HYPERLINK("http://141.218.60.56/~jnz1568/getInfo.php?workbook=02_01.xlsx&amp;sheet=A0&amp;row=59&amp;col=6&amp;number=&amp;sourceID=18","")</f>
        <v/>
      </c>
      <c r="G59" s="4" t="str">
        <f>HYPERLINK("http://141.218.60.56/~jnz1568/getInfo.php?workbook=02_01.xlsx&amp;sheet=A0&amp;row=59&amp;col=7&amp;number==&amp;sourceID=11","=")</f>
        <v>=</v>
      </c>
      <c r="H59" s="4" t="str">
        <f>HYPERLINK("http://141.218.60.56/~jnz1568/getInfo.php?workbook=02_01.xlsx&amp;sheet=A0&amp;row=59&amp;col=8&amp;number=93873000&amp;sourceID=11","93873000")</f>
        <v>93873000</v>
      </c>
      <c r="I59" s="4" t="str">
        <f>HYPERLINK("http://141.218.60.56/~jnz1568/getInfo.php?workbook=02_01.xlsx&amp;sheet=A0&amp;row=59&amp;col=9&amp;number=&amp;sourceID=11","")</f>
        <v/>
      </c>
      <c r="J59" s="4" t="str">
        <f>HYPERLINK("http://141.218.60.56/~jnz1568/getInfo.php?workbook=02_01.xlsx&amp;sheet=A0&amp;row=59&amp;col=10&amp;number=&amp;sourceID=11","")</f>
        <v/>
      </c>
      <c r="K59" s="4" t="str">
        <f>HYPERLINK("http://141.218.60.56/~jnz1568/getInfo.php?workbook=02_01.xlsx&amp;sheet=A0&amp;row=59&amp;col=11&amp;number=&amp;sourceID=11","")</f>
        <v/>
      </c>
      <c r="L59" s="4" t="str">
        <f>HYPERLINK("http://141.218.60.56/~jnz1568/getInfo.php?workbook=02_01.xlsx&amp;sheet=A0&amp;row=59&amp;col=12&amp;number=1.8875e-05&amp;sourceID=11","1.8875e-05")</f>
        <v>1.8875e-05</v>
      </c>
      <c r="M59" s="4" t="str">
        <f>HYPERLINK("http://141.218.60.56/~jnz1568/getInfo.php?workbook=02_01.xlsx&amp;sheet=A0&amp;row=59&amp;col=13&amp;number=&amp;sourceID=11","")</f>
        <v/>
      </c>
      <c r="N59" s="4" t="str">
        <f>HYPERLINK("http://141.218.60.56/~jnz1568/getInfo.php?workbook=02_01.xlsx&amp;sheet=A0&amp;row=59&amp;col=14&amp;number=93886000&amp;sourceID=12","93886000")</f>
        <v>93886000</v>
      </c>
      <c r="O59" s="4" t="str">
        <f>HYPERLINK("http://141.218.60.56/~jnz1568/getInfo.php?workbook=02_01.xlsx&amp;sheet=A0&amp;row=59&amp;col=15&amp;number=93886000&amp;sourceID=12","93886000")</f>
        <v>93886000</v>
      </c>
      <c r="P59" s="4" t="str">
        <f>HYPERLINK("http://141.218.60.56/~jnz1568/getInfo.php?workbook=02_01.xlsx&amp;sheet=A0&amp;row=59&amp;col=16&amp;number=&amp;sourceID=12","")</f>
        <v/>
      </c>
      <c r="Q59" s="4" t="str">
        <f>HYPERLINK("http://141.218.60.56/~jnz1568/getInfo.php?workbook=02_01.xlsx&amp;sheet=A0&amp;row=59&amp;col=17&amp;number=&amp;sourceID=12","")</f>
        <v/>
      </c>
      <c r="R59" s="4" t="str">
        <f>HYPERLINK("http://141.218.60.56/~jnz1568/getInfo.php?workbook=02_01.xlsx&amp;sheet=A0&amp;row=59&amp;col=18&amp;number=&amp;sourceID=12","")</f>
        <v/>
      </c>
      <c r="S59" s="4" t="str">
        <f>HYPERLINK("http://141.218.60.56/~jnz1568/getInfo.php?workbook=02_01.xlsx&amp;sheet=A0&amp;row=59&amp;col=19&amp;number=1.8877e-05&amp;sourceID=12","1.8877e-05")</f>
        <v>1.8877e-05</v>
      </c>
      <c r="T59" s="4" t="str">
        <f>HYPERLINK("http://141.218.60.56/~jnz1568/getInfo.php?workbook=02_01.xlsx&amp;sheet=A0&amp;row=59&amp;col=20&amp;number=&amp;sourceID=12","")</f>
        <v/>
      </c>
      <c r="U59" s="4" t="str">
        <f>HYPERLINK("http://141.218.60.56/~jnz1568/getInfo.php?workbook=02_01.xlsx&amp;sheet=A0&amp;row=59&amp;col=21&amp;number==&amp;sourceID=13","=")</f>
        <v>=</v>
      </c>
      <c r="V59" s="4" t="str">
        <f>HYPERLINK("http://141.218.60.56/~jnz1568/getInfo.php?workbook=02_01.xlsx&amp;sheet=A0&amp;row=59&amp;col=22&amp;number=93900000&amp;sourceID=13","93900000")</f>
        <v>93900000</v>
      </c>
      <c r="W59" s="4" t="str">
        <f>HYPERLINK("http://141.218.60.56/~jnz1568/getInfo.php?workbook=02_01.xlsx&amp;sheet=A0&amp;row=59&amp;col=23&amp;number=&amp;sourceID=13","")</f>
        <v/>
      </c>
      <c r="X59" s="4" t="str">
        <f>HYPERLINK("http://141.218.60.56/~jnz1568/getInfo.php?workbook=02_01.xlsx&amp;sheet=A0&amp;row=59&amp;col=24&amp;number=&amp;sourceID=13","")</f>
        <v/>
      </c>
      <c r="Y59" s="4" t="str">
        <f>HYPERLINK("http://141.218.60.56/~jnz1568/getInfo.php?workbook=02_01.xlsx&amp;sheet=A0&amp;row=59&amp;col=25&amp;number=&amp;sourceID=13","")</f>
        <v/>
      </c>
      <c r="Z59" s="4" t="str">
        <f>HYPERLINK("http://141.218.60.56/~jnz1568/getInfo.php?workbook=02_01.xlsx&amp;sheet=A0&amp;row=59&amp;col=26&amp;number=&amp;sourceID=13","")</f>
        <v/>
      </c>
      <c r="AA59" s="4" t="str">
        <f>HYPERLINK("http://141.218.60.56/~jnz1568/getInfo.php?workbook=02_01.xlsx&amp;sheet=A0&amp;row=59&amp;col=27&amp;number=&amp;sourceID=20","")</f>
        <v/>
      </c>
    </row>
    <row r="60" spans="1:27">
      <c r="A60" s="3">
        <v>2</v>
      </c>
      <c r="B60" s="3">
        <v>1</v>
      </c>
      <c r="C60" s="3">
        <v>12</v>
      </c>
      <c r="D60" s="3">
        <v>6</v>
      </c>
      <c r="E60" s="3">
        <f>((1/(INDEX(E0!J$4:J$28,C60,1)-INDEX(E0!J$4:J$28,D60,1))))*100000000</f>
        <v>0</v>
      </c>
      <c r="F60" s="4" t="str">
        <f>HYPERLINK("http://141.218.60.56/~jnz1568/getInfo.php?workbook=02_01.xlsx&amp;sheet=A0&amp;row=60&amp;col=6&amp;number=&amp;sourceID=18","")</f>
        <v/>
      </c>
      <c r="G60" s="4" t="str">
        <f>HYPERLINK("http://141.218.60.56/~jnz1568/getInfo.php?workbook=02_01.xlsx&amp;sheet=A0&amp;row=60&amp;col=7&amp;number==&amp;sourceID=11","=")</f>
        <v>=</v>
      </c>
      <c r="H60" s="4" t="str">
        <f>HYPERLINK("http://141.218.60.56/~jnz1568/getInfo.php?workbook=02_01.xlsx&amp;sheet=A0&amp;row=60&amp;col=8&amp;number=&amp;sourceID=11","")</f>
        <v/>
      </c>
      <c r="I60" s="4" t="str">
        <f>HYPERLINK("http://141.218.60.56/~jnz1568/getInfo.php?workbook=02_01.xlsx&amp;sheet=A0&amp;row=60&amp;col=9&amp;number=240.75&amp;sourceID=11","240.75")</f>
        <v>240.75</v>
      </c>
      <c r="J60" s="4" t="str">
        <f>HYPERLINK("http://141.218.60.56/~jnz1568/getInfo.php?workbook=02_01.xlsx&amp;sheet=A0&amp;row=60&amp;col=10&amp;number=&amp;sourceID=11","")</f>
        <v/>
      </c>
      <c r="K60" s="4" t="str">
        <f>HYPERLINK("http://141.218.60.56/~jnz1568/getInfo.php?workbook=02_01.xlsx&amp;sheet=A0&amp;row=60&amp;col=11&amp;number=5.5348e-10&amp;sourceID=11","5.5348e-10")</f>
        <v>5.5348e-10</v>
      </c>
      <c r="L60" s="4" t="str">
        <f>HYPERLINK("http://141.218.60.56/~jnz1568/getInfo.php?workbook=02_01.xlsx&amp;sheet=A0&amp;row=60&amp;col=12&amp;number=&amp;sourceID=11","")</f>
        <v/>
      </c>
      <c r="M60" s="4" t="str">
        <f>HYPERLINK("http://141.218.60.56/~jnz1568/getInfo.php?workbook=02_01.xlsx&amp;sheet=A0&amp;row=60&amp;col=13&amp;number=&amp;sourceID=11","")</f>
        <v/>
      </c>
      <c r="N60" s="4" t="str">
        <f>HYPERLINK("http://141.218.60.56/~jnz1568/getInfo.php?workbook=02_01.xlsx&amp;sheet=A0&amp;row=60&amp;col=14&amp;number=240.78&amp;sourceID=12","240.78")</f>
        <v>240.78</v>
      </c>
      <c r="O60" s="4" t="str">
        <f>HYPERLINK("http://141.218.60.56/~jnz1568/getInfo.php?workbook=02_01.xlsx&amp;sheet=A0&amp;row=60&amp;col=15&amp;number=&amp;sourceID=12","")</f>
        <v/>
      </c>
      <c r="P60" s="4" t="str">
        <f>HYPERLINK("http://141.218.60.56/~jnz1568/getInfo.php?workbook=02_01.xlsx&amp;sheet=A0&amp;row=60&amp;col=16&amp;number=240.78&amp;sourceID=12","240.78")</f>
        <v>240.78</v>
      </c>
      <c r="Q60" s="4" t="str">
        <f>HYPERLINK("http://141.218.60.56/~jnz1568/getInfo.php?workbook=02_01.xlsx&amp;sheet=A0&amp;row=60&amp;col=17&amp;number=&amp;sourceID=12","")</f>
        <v/>
      </c>
      <c r="R60" s="4" t="str">
        <f>HYPERLINK("http://141.218.60.56/~jnz1568/getInfo.php?workbook=02_01.xlsx&amp;sheet=A0&amp;row=60&amp;col=18&amp;number=5.5355e-10&amp;sourceID=12","5.5355e-10")</f>
        <v>5.5355e-10</v>
      </c>
      <c r="S60" s="4" t="str">
        <f>HYPERLINK("http://141.218.60.56/~jnz1568/getInfo.php?workbook=02_01.xlsx&amp;sheet=A0&amp;row=60&amp;col=19&amp;number=&amp;sourceID=12","")</f>
        <v/>
      </c>
      <c r="T60" s="4" t="str">
        <f>HYPERLINK("http://141.218.60.56/~jnz1568/getInfo.php?workbook=02_01.xlsx&amp;sheet=A0&amp;row=60&amp;col=20&amp;number=&amp;sourceID=12","")</f>
        <v/>
      </c>
      <c r="U60" s="4" t="str">
        <f>HYPERLINK("http://141.218.60.56/~jnz1568/getInfo.php?workbook=02_01.xlsx&amp;sheet=A0&amp;row=60&amp;col=21&amp;number==&amp;sourceID=13","=")</f>
        <v>=</v>
      </c>
      <c r="V60" s="4" t="str">
        <f>HYPERLINK("http://141.218.60.56/~jnz1568/getInfo.php?workbook=02_01.xlsx&amp;sheet=A0&amp;row=60&amp;col=22&amp;number=&amp;sourceID=13","")</f>
        <v/>
      </c>
      <c r="W60" s="4" t="str">
        <f>HYPERLINK("http://141.218.60.56/~jnz1568/getInfo.php?workbook=02_01.xlsx&amp;sheet=A0&amp;row=60&amp;col=23&amp;number=241&amp;sourceID=13","241")</f>
        <v>241</v>
      </c>
      <c r="X60" s="4" t="str">
        <f>HYPERLINK("http://141.218.60.56/~jnz1568/getInfo.php?workbook=02_01.xlsx&amp;sheet=A0&amp;row=60&amp;col=24&amp;number=&amp;sourceID=13","")</f>
        <v/>
      </c>
      <c r="Y60" s="4" t="str">
        <f>HYPERLINK("http://141.218.60.56/~jnz1568/getInfo.php?workbook=02_01.xlsx&amp;sheet=A0&amp;row=60&amp;col=25&amp;number=8.8e-10&amp;sourceID=13","8.8e-10")</f>
        <v>8.8e-10</v>
      </c>
      <c r="Z60" s="4" t="str">
        <f>HYPERLINK("http://141.218.60.56/~jnz1568/getInfo.php?workbook=02_01.xlsx&amp;sheet=A0&amp;row=60&amp;col=26&amp;number=&amp;sourceID=13","")</f>
        <v/>
      </c>
      <c r="AA60" s="4" t="str">
        <f>HYPERLINK("http://141.218.60.56/~jnz1568/getInfo.php?workbook=02_01.xlsx&amp;sheet=A0&amp;row=60&amp;col=27&amp;number=&amp;sourceID=20","")</f>
        <v/>
      </c>
    </row>
    <row r="61" spans="1:27">
      <c r="A61" s="3">
        <v>2</v>
      </c>
      <c r="B61" s="3">
        <v>1</v>
      </c>
      <c r="C61" s="3">
        <v>12</v>
      </c>
      <c r="D61" s="3">
        <v>7</v>
      </c>
      <c r="E61" s="3">
        <f>((1/(INDEX(E0!J$4:J$28,C61,1)-INDEX(E0!J$4:J$28,D61,1))))*100000000</f>
        <v>0</v>
      </c>
      <c r="F61" s="4" t="str">
        <f>HYPERLINK("http://141.218.60.56/~jnz1568/getInfo.php?workbook=02_01.xlsx&amp;sheet=A0&amp;row=61&amp;col=6&amp;number=&amp;sourceID=18","")</f>
        <v/>
      </c>
      <c r="G61" s="4" t="str">
        <f>HYPERLINK("http://141.218.60.56/~jnz1568/getInfo.php?workbook=02_01.xlsx&amp;sheet=A0&amp;row=61&amp;col=7&amp;number==&amp;sourceID=11","=")</f>
        <v>=</v>
      </c>
      <c r="H61" s="4" t="str">
        <f>HYPERLINK("http://141.218.60.56/~jnz1568/getInfo.php?workbook=02_01.xlsx&amp;sheet=A0&amp;row=61&amp;col=8&amp;number=&amp;sourceID=11","")</f>
        <v/>
      </c>
      <c r="I61" s="4" t="str">
        <f>HYPERLINK("http://141.218.60.56/~jnz1568/getInfo.php?workbook=02_01.xlsx&amp;sheet=A0&amp;row=61&amp;col=9&amp;number=53.322&amp;sourceID=11","53.322")</f>
        <v>53.322</v>
      </c>
      <c r="J61" s="4" t="str">
        <f>HYPERLINK("http://141.218.60.56/~jnz1568/getInfo.php?workbook=02_01.xlsx&amp;sheet=A0&amp;row=61&amp;col=10&amp;number=&amp;sourceID=11","")</f>
        <v/>
      </c>
      <c r="K61" s="4" t="str">
        <f>HYPERLINK("http://141.218.60.56/~jnz1568/getInfo.php?workbook=02_01.xlsx&amp;sheet=A0&amp;row=61&amp;col=11&amp;number=1.8677e-08&amp;sourceID=11","1.8677e-08")</f>
        <v>1.8677e-08</v>
      </c>
      <c r="L61" s="4" t="str">
        <f>HYPERLINK("http://141.218.60.56/~jnz1568/getInfo.php?workbook=02_01.xlsx&amp;sheet=A0&amp;row=61&amp;col=12&amp;number=&amp;sourceID=11","")</f>
        <v/>
      </c>
      <c r="M61" s="4" t="str">
        <f>HYPERLINK("http://141.218.60.56/~jnz1568/getInfo.php?workbook=02_01.xlsx&amp;sheet=A0&amp;row=61&amp;col=13&amp;number=1.1668e-11&amp;sourceID=11","1.1668e-11")</f>
        <v>1.1668e-11</v>
      </c>
      <c r="N61" s="4" t="str">
        <f>HYPERLINK("http://141.218.60.56/~jnz1568/getInfo.php?workbook=02_01.xlsx&amp;sheet=A0&amp;row=61&amp;col=14&amp;number=53.33&amp;sourceID=12","53.33")</f>
        <v>53.33</v>
      </c>
      <c r="O61" s="4" t="str">
        <f>HYPERLINK("http://141.218.60.56/~jnz1568/getInfo.php?workbook=02_01.xlsx&amp;sheet=A0&amp;row=61&amp;col=15&amp;number=&amp;sourceID=12","")</f>
        <v/>
      </c>
      <c r="P61" s="4" t="str">
        <f>HYPERLINK("http://141.218.60.56/~jnz1568/getInfo.php?workbook=02_01.xlsx&amp;sheet=A0&amp;row=61&amp;col=16&amp;number=53.33&amp;sourceID=12","53.33")</f>
        <v>53.33</v>
      </c>
      <c r="Q61" s="4" t="str">
        <f>HYPERLINK("http://141.218.60.56/~jnz1568/getInfo.php?workbook=02_01.xlsx&amp;sheet=A0&amp;row=61&amp;col=17&amp;number=&amp;sourceID=12","")</f>
        <v/>
      </c>
      <c r="R61" s="4" t="str">
        <f>HYPERLINK("http://141.218.60.56/~jnz1568/getInfo.php?workbook=02_01.xlsx&amp;sheet=A0&amp;row=61&amp;col=18&amp;number=1.8679e-08&amp;sourceID=12","1.8679e-08")</f>
        <v>1.8679e-08</v>
      </c>
      <c r="S61" s="4" t="str">
        <f>HYPERLINK("http://141.218.60.56/~jnz1568/getInfo.php?workbook=02_01.xlsx&amp;sheet=A0&amp;row=61&amp;col=19&amp;number=&amp;sourceID=12","")</f>
        <v/>
      </c>
      <c r="T61" s="4" t="str">
        <f>HYPERLINK("http://141.218.60.56/~jnz1568/getInfo.php?workbook=02_01.xlsx&amp;sheet=A0&amp;row=61&amp;col=20&amp;number=1.1669e-11&amp;sourceID=12","1.1669e-11")</f>
        <v>1.1669e-11</v>
      </c>
      <c r="U61" s="4" t="str">
        <f>HYPERLINK("http://141.218.60.56/~jnz1568/getInfo.php?workbook=02_01.xlsx&amp;sheet=A0&amp;row=61&amp;col=21&amp;number==&amp;sourceID=13","=")</f>
        <v>=</v>
      </c>
      <c r="V61" s="4" t="str">
        <f>HYPERLINK("http://141.218.60.56/~jnz1568/getInfo.php?workbook=02_01.xlsx&amp;sheet=A0&amp;row=61&amp;col=22&amp;number=&amp;sourceID=13","")</f>
        <v/>
      </c>
      <c r="W61" s="4" t="str">
        <f>HYPERLINK("http://141.218.60.56/~jnz1568/getInfo.php?workbook=02_01.xlsx&amp;sheet=A0&amp;row=61&amp;col=23&amp;number=53.3&amp;sourceID=13","53.3")</f>
        <v>53.3</v>
      </c>
      <c r="X61" s="4" t="str">
        <f>HYPERLINK("http://141.218.60.56/~jnz1568/getInfo.php?workbook=02_01.xlsx&amp;sheet=A0&amp;row=61&amp;col=24&amp;number=&amp;sourceID=13","")</f>
        <v/>
      </c>
      <c r="Y61" s="4" t="str">
        <f>HYPERLINK("http://141.218.60.56/~jnz1568/getInfo.php?workbook=02_01.xlsx&amp;sheet=A0&amp;row=61&amp;col=25&amp;number=1.87e-08&amp;sourceID=13","1.87e-08")</f>
        <v>1.87e-08</v>
      </c>
      <c r="Z61" s="4" t="str">
        <f>HYPERLINK("http://141.218.60.56/~jnz1568/getInfo.php?workbook=02_01.xlsx&amp;sheet=A0&amp;row=61&amp;col=26&amp;number=&amp;sourceID=13","")</f>
        <v/>
      </c>
      <c r="AA61" s="4" t="str">
        <f>HYPERLINK("http://141.218.60.56/~jnz1568/getInfo.php?workbook=02_01.xlsx&amp;sheet=A0&amp;row=61&amp;col=27&amp;number=&amp;sourceID=20","")</f>
        <v/>
      </c>
    </row>
    <row r="62" spans="1:27">
      <c r="A62" s="3">
        <v>2</v>
      </c>
      <c r="B62" s="3">
        <v>1</v>
      </c>
      <c r="C62" s="3">
        <v>12</v>
      </c>
      <c r="D62" s="3">
        <v>8</v>
      </c>
      <c r="E62" s="3">
        <f>((1/(INDEX(E0!J$4:J$28,C62,1)-INDEX(E0!J$4:J$28,D62,1))))*100000000</f>
        <v>0</v>
      </c>
      <c r="F62" s="4" t="str">
        <f>HYPERLINK("http://141.218.60.56/~jnz1568/getInfo.php?workbook=02_01.xlsx&amp;sheet=A0&amp;row=62&amp;col=6&amp;number=&amp;sourceID=18","")</f>
        <v/>
      </c>
      <c r="G62" s="4" t="str">
        <f>HYPERLINK("http://141.218.60.56/~jnz1568/getInfo.php?workbook=02_01.xlsx&amp;sheet=A0&amp;row=62&amp;col=7&amp;number==&amp;sourceID=11","=")</f>
        <v>=</v>
      </c>
      <c r="H62" s="4" t="str">
        <f>HYPERLINK("http://141.218.60.56/~jnz1568/getInfo.php?workbook=02_01.xlsx&amp;sheet=A0&amp;row=62&amp;col=8&amp;number=18775000&amp;sourceID=11","18775000")</f>
        <v>18775000</v>
      </c>
      <c r="I62" s="4" t="str">
        <f>HYPERLINK("http://141.218.60.56/~jnz1568/getInfo.php?workbook=02_01.xlsx&amp;sheet=A0&amp;row=62&amp;col=9&amp;number=&amp;sourceID=11","")</f>
        <v/>
      </c>
      <c r="J62" s="4" t="str">
        <f>HYPERLINK("http://141.218.60.56/~jnz1568/getInfo.php?workbook=02_01.xlsx&amp;sheet=A0&amp;row=62&amp;col=10&amp;number=0.00032194&amp;sourceID=11","0.00032194")</f>
        <v>0.00032194</v>
      </c>
      <c r="K62" s="4" t="str">
        <f>HYPERLINK("http://141.218.60.56/~jnz1568/getInfo.php?workbook=02_01.xlsx&amp;sheet=A0&amp;row=62&amp;col=11&amp;number=&amp;sourceID=11","")</f>
        <v/>
      </c>
      <c r="L62" s="4" t="str">
        <f>HYPERLINK("http://141.218.60.56/~jnz1568/getInfo.php?workbook=02_01.xlsx&amp;sheet=A0&amp;row=62&amp;col=12&amp;number=&amp;sourceID=11","")</f>
        <v/>
      </c>
      <c r="M62" s="4" t="str">
        <f>HYPERLINK("http://141.218.60.56/~jnz1568/getInfo.php?workbook=02_01.xlsx&amp;sheet=A0&amp;row=62&amp;col=13&amp;number=&amp;sourceID=11","")</f>
        <v/>
      </c>
      <c r="N62" s="4" t="str">
        <f>HYPERLINK("http://141.218.60.56/~jnz1568/getInfo.php?workbook=02_01.xlsx&amp;sheet=A0&amp;row=62&amp;col=14&amp;number=18778000&amp;sourceID=12","18778000")</f>
        <v>18778000</v>
      </c>
      <c r="O62" s="4" t="str">
        <f>HYPERLINK("http://141.218.60.56/~jnz1568/getInfo.php?workbook=02_01.xlsx&amp;sheet=A0&amp;row=62&amp;col=15&amp;number=18778000&amp;sourceID=12","18778000")</f>
        <v>18778000</v>
      </c>
      <c r="P62" s="4" t="str">
        <f>HYPERLINK("http://141.218.60.56/~jnz1568/getInfo.php?workbook=02_01.xlsx&amp;sheet=A0&amp;row=62&amp;col=16&amp;number=&amp;sourceID=12","")</f>
        <v/>
      </c>
      <c r="Q62" s="4" t="str">
        <f>HYPERLINK("http://141.218.60.56/~jnz1568/getInfo.php?workbook=02_01.xlsx&amp;sheet=A0&amp;row=62&amp;col=17&amp;number=0.00032198&amp;sourceID=12","0.00032198")</f>
        <v>0.00032198</v>
      </c>
      <c r="R62" s="4" t="str">
        <f>HYPERLINK("http://141.218.60.56/~jnz1568/getInfo.php?workbook=02_01.xlsx&amp;sheet=A0&amp;row=62&amp;col=18&amp;number=&amp;sourceID=12","")</f>
        <v/>
      </c>
      <c r="S62" s="4" t="str">
        <f>HYPERLINK("http://141.218.60.56/~jnz1568/getInfo.php?workbook=02_01.xlsx&amp;sheet=A0&amp;row=62&amp;col=19&amp;number=&amp;sourceID=12","")</f>
        <v/>
      </c>
      <c r="T62" s="4" t="str">
        <f>HYPERLINK("http://141.218.60.56/~jnz1568/getInfo.php?workbook=02_01.xlsx&amp;sheet=A0&amp;row=62&amp;col=20&amp;number=&amp;sourceID=12","")</f>
        <v/>
      </c>
      <c r="U62" s="4" t="str">
        <f>HYPERLINK("http://141.218.60.56/~jnz1568/getInfo.php?workbook=02_01.xlsx&amp;sheet=A0&amp;row=62&amp;col=21&amp;number==&amp;sourceID=13","=")</f>
        <v>=</v>
      </c>
      <c r="V62" s="4" t="str">
        <f>HYPERLINK("http://141.218.60.56/~jnz1568/getInfo.php?workbook=02_01.xlsx&amp;sheet=A0&amp;row=62&amp;col=22&amp;number=18800000&amp;sourceID=13","18800000")</f>
        <v>18800000</v>
      </c>
      <c r="W62" s="4" t="str">
        <f>HYPERLINK("http://141.218.60.56/~jnz1568/getInfo.php?workbook=02_01.xlsx&amp;sheet=A0&amp;row=62&amp;col=23&amp;number=&amp;sourceID=13","")</f>
        <v/>
      </c>
      <c r="X62" s="4" t="str">
        <f>HYPERLINK("http://141.218.60.56/~jnz1568/getInfo.php?workbook=02_01.xlsx&amp;sheet=A0&amp;row=62&amp;col=24&amp;number=&amp;sourceID=13","")</f>
        <v/>
      </c>
      <c r="Y62" s="4" t="str">
        <f>HYPERLINK("http://141.218.60.56/~jnz1568/getInfo.php?workbook=02_01.xlsx&amp;sheet=A0&amp;row=62&amp;col=25&amp;number=&amp;sourceID=13","")</f>
        <v/>
      </c>
      <c r="Z62" s="4" t="str">
        <f>HYPERLINK("http://141.218.60.56/~jnz1568/getInfo.php?workbook=02_01.xlsx&amp;sheet=A0&amp;row=62&amp;col=26&amp;number=&amp;sourceID=13","")</f>
        <v/>
      </c>
      <c r="AA62" s="4" t="str">
        <f>HYPERLINK("http://141.218.60.56/~jnz1568/getInfo.php?workbook=02_01.xlsx&amp;sheet=A0&amp;row=62&amp;col=27&amp;number=&amp;sourceID=20","")</f>
        <v/>
      </c>
    </row>
    <row r="63" spans="1:27">
      <c r="A63" s="3">
        <v>2</v>
      </c>
      <c r="B63" s="3">
        <v>1</v>
      </c>
      <c r="C63" s="3">
        <v>12</v>
      </c>
      <c r="D63" s="3">
        <v>9</v>
      </c>
      <c r="E63" s="3">
        <f>((1/(INDEX(E0!J$4:J$28,C63,1)-INDEX(E0!J$4:J$28,D63,1))))*100000000</f>
        <v>0</v>
      </c>
      <c r="F63" s="4" t="str">
        <f>HYPERLINK("http://141.218.60.56/~jnz1568/getInfo.php?workbook=02_01.xlsx&amp;sheet=A0&amp;row=63&amp;col=6&amp;number=&amp;sourceID=18","")</f>
        <v/>
      </c>
      <c r="G63" s="4" t="str">
        <f>HYPERLINK("http://141.218.60.56/~jnz1568/getInfo.php?workbook=02_01.xlsx&amp;sheet=A0&amp;row=63&amp;col=7&amp;number==&amp;sourceID=11","=")</f>
        <v>=</v>
      </c>
      <c r="H63" s="4" t="str">
        <f>HYPERLINK("http://141.218.60.56/~jnz1568/getInfo.php?workbook=02_01.xlsx&amp;sheet=A0&amp;row=63&amp;col=8&amp;number=&amp;sourceID=11","")</f>
        <v/>
      </c>
      <c r="I63" s="4" t="str">
        <f>HYPERLINK("http://141.218.60.56/~jnz1568/getInfo.php?workbook=02_01.xlsx&amp;sheet=A0&amp;row=63&amp;col=9&amp;number=22.852&amp;sourceID=11","22.852")</f>
        <v>22.852</v>
      </c>
      <c r="J63" s="4" t="str">
        <f>HYPERLINK("http://141.218.60.56/~jnz1568/getInfo.php?workbook=02_01.xlsx&amp;sheet=A0&amp;row=63&amp;col=10&amp;number=&amp;sourceID=11","")</f>
        <v/>
      </c>
      <c r="K63" s="4" t="str">
        <f>HYPERLINK("http://141.218.60.56/~jnz1568/getInfo.php?workbook=02_01.xlsx&amp;sheet=A0&amp;row=63&amp;col=11&amp;number=5.5835e-08&amp;sourceID=11","5.5835e-08")</f>
        <v>5.5835e-08</v>
      </c>
      <c r="L63" s="4" t="str">
        <f>HYPERLINK("http://141.218.60.56/~jnz1568/getInfo.php?workbook=02_01.xlsx&amp;sheet=A0&amp;row=63&amp;col=12&amp;number=&amp;sourceID=11","")</f>
        <v/>
      </c>
      <c r="M63" s="4" t="str">
        <f>HYPERLINK("http://141.218.60.56/~jnz1568/getInfo.php?workbook=02_01.xlsx&amp;sheet=A0&amp;row=63&amp;col=13&amp;number=7.778e-12&amp;sourceID=11","7.778e-12")</f>
        <v>7.778e-12</v>
      </c>
      <c r="N63" s="4" t="str">
        <f>HYPERLINK("http://141.218.60.56/~jnz1568/getInfo.php?workbook=02_01.xlsx&amp;sheet=A0&amp;row=63&amp;col=14&amp;number=22.855&amp;sourceID=12","22.855")</f>
        <v>22.855</v>
      </c>
      <c r="O63" s="4" t="str">
        <f>HYPERLINK("http://141.218.60.56/~jnz1568/getInfo.php?workbook=02_01.xlsx&amp;sheet=A0&amp;row=63&amp;col=15&amp;number=&amp;sourceID=12","")</f>
        <v/>
      </c>
      <c r="P63" s="4" t="str">
        <f>HYPERLINK("http://141.218.60.56/~jnz1568/getInfo.php?workbook=02_01.xlsx&amp;sheet=A0&amp;row=63&amp;col=16&amp;number=22.855&amp;sourceID=12","22.855")</f>
        <v>22.855</v>
      </c>
      <c r="Q63" s="4" t="str">
        <f>HYPERLINK("http://141.218.60.56/~jnz1568/getInfo.php?workbook=02_01.xlsx&amp;sheet=A0&amp;row=63&amp;col=17&amp;number=&amp;sourceID=12","")</f>
        <v/>
      </c>
      <c r="R63" s="4" t="str">
        <f>HYPERLINK("http://141.218.60.56/~jnz1568/getInfo.php?workbook=02_01.xlsx&amp;sheet=A0&amp;row=63&amp;col=18&amp;number=5.5756e-08&amp;sourceID=12","5.5756e-08")</f>
        <v>5.5756e-08</v>
      </c>
      <c r="S63" s="4" t="str">
        <f>HYPERLINK("http://141.218.60.56/~jnz1568/getInfo.php?workbook=02_01.xlsx&amp;sheet=A0&amp;row=63&amp;col=19&amp;number=&amp;sourceID=12","")</f>
        <v/>
      </c>
      <c r="T63" s="4" t="str">
        <f>HYPERLINK("http://141.218.60.56/~jnz1568/getInfo.php?workbook=02_01.xlsx&amp;sheet=A0&amp;row=63&amp;col=20&amp;number=7.779e-12&amp;sourceID=12","7.779e-12")</f>
        <v>7.779e-12</v>
      </c>
      <c r="U63" s="4" t="str">
        <f>HYPERLINK("http://141.218.60.56/~jnz1568/getInfo.php?workbook=02_01.xlsx&amp;sheet=A0&amp;row=63&amp;col=21&amp;number==&amp;sourceID=13","=")</f>
        <v>=</v>
      </c>
      <c r="V63" s="4" t="str">
        <f>HYPERLINK("http://141.218.60.56/~jnz1568/getInfo.php?workbook=02_01.xlsx&amp;sheet=A0&amp;row=63&amp;col=22&amp;number=&amp;sourceID=13","")</f>
        <v/>
      </c>
      <c r="W63" s="4" t="str">
        <f>HYPERLINK("http://141.218.60.56/~jnz1568/getInfo.php?workbook=02_01.xlsx&amp;sheet=A0&amp;row=63&amp;col=23&amp;number=22.9&amp;sourceID=13","22.9")</f>
        <v>22.9</v>
      </c>
      <c r="X63" s="4" t="str">
        <f>HYPERLINK("http://141.218.60.56/~jnz1568/getInfo.php?workbook=02_01.xlsx&amp;sheet=A0&amp;row=63&amp;col=24&amp;number=&amp;sourceID=13","")</f>
        <v/>
      </c>
      <c r="Y63" s="4" t="str">
        <f>HYPERLINK("http://141.218.60.56/~jnz1568/getInfo.php?workbook=02_01.xlsx&amp;sheet=A0&amp;row=63&amp;col=25&amp;number=6.09e-08&amp;sourceID=13","6.09e-08")</f>
        <v>6.09e-08</v>
      </c>
      <c r="Z63" s="4" t="str">
        <f>HYPERLINK("http://141.218.60.56/~jnz1568/getInfo.php?workbook=02_01.xlsx&amp;sheet=A0&amp;row=63&amp;col=26&amp;number=&amp;sourceID=13","")</f>
        <v/>
      </c>
      <c r="AA63" s="4" t="str">
        <f>HYPERLINK("http://141.218.60.56/~jnz1568/getInfo.php?workbook=02_01.xlsx&amp;sheet=A0&amp;row=63&amp;col=27&amp;number=&amp;sourceID=20","")</f>
        <v/>
      </c>
    </row>
    <row r="64" spans="1:27">
      <c r="A64" s="3">
        <v>2</v>
      </c>
      <c r="B64" s="3">
        <v>1</v>
      </c>
      <c r="C64" s="3">
        <v>12</v>
      </c>
      <c r="D64" s="3">
        <v>10</v>
      </c>
      <c r="E64" s="3">
        <f>((1/(INDEX(E0!J$4:J$28,C64,1)-INDEX(E0!J$4:J$28,D64,1))))*100000000</f>
        <v>0</v>
      </c>
      <c r="F64" s="4" t="str">
        <f>HYPERLINK("http://141.218.60.56/~jnz1568/getInfo.php?workbook=02_01.xlsx&amp;sheet=A0&amp;row=64&amp;col=6&amp;number=&amp;sourceID=18","")</f>
        <v/>
      </c>
      <c r="G64" s="4" t="str">
        <f>HYPERLINK("http://141.218.60.56/~jnz1568/getInfo.php?workbook=02_01.xlsx&amp;sheet=A0&amp;row=64&amp;col=7&amp;number==&amp;sourceID=11","=")</f>
        <v>=</v>
      </c>
      <c r="H64" s="4" t="str">
        <f>HYPERLINK("http://141.218.60.56/~jnz1568/getInfo.php?workbook=02_01.xlsx&amp;sheet=A0&amp;row=64&amp;col=8&amp;number=2.8435e-05&amp;sourceID=11","2.8435e-05")</f>
        <v>2.8435e-05</v>
      </c>
      <c r="I64" s="4" t="str">
        <f>HYPERLINK("http://141.218.60.56/~jnz1568/getInfo.php?workbook=02_01.xlsx&amp;sheet=A0&amp;row=64&amp;col=9&amp;number=&amp;sourceID=11","")</f>
        <v/>
      </c>
      <c r="J64" s="4" t="str">
        <f>HYPERLINK("http://141.218.60.56/~jnz1568/getInfo.php?workbook=02_01.xlsx&amp;sheet=A0&amp;row=64&amp;col=10&amp;number=&amp;sourceID=11","")</f>
        <v/>
      </c>
      <c r="K64" s="4" t="str">
        <f>HYPERLINK("http://141.218.60.56/~jnz1568/getInfo.php?workbook=02_01.xlsx&amp;sheet=A0&amp;row=64&amp;col=11&amp;number=&amp;sourceID=11","")</f>
        <v/>
      </c>
      <c r="L64" s="4" t="str">
        <f>HYPERLINK("http://141.218.60.56/~jnz1568/getInfo.php?workbook=02_01.xlsx&amp;sheet=A0&amp;row=64&amp;col=12&amp;number=0&amp;sourceID=11","0")</f>
        <v>0</v>
      </c>
      <c r="M64" s="4" t="str">
        <f>HYPERLINK("http://141.218.60.56/~jnz1568/getInfo.php?workbook=02_01.xlsx&amp;sheet=A0&amp;row=64&amp;col=13&amp;number=&amp;sourceID=11","")</f>
        <v/>
      </c>
      <c r="N64" s="4" t="str">
        <f>HYPERLINK("http://141.218.60.56/~jnz1568/getInfo.php?workbook=02_01.xlsx&amp;sheet=A0&amp;row=64&amp;col=14&amp;number=2.8446e-05&amp;sourceID=12","2.8446e-05")</f>
        <v>2.8446e-05</v>
      </c>
      <c r="O64" s="4" t="str">
        <f>HYPERLINK("http://141.218.60.56/~jnz1568/getInfo.php?workbook=02_01.xlsx&amp;sheet=A0&amp;row=64&amp;col=15&amp;number=2.8446e-05&amp;sourceID=12","2.8446e-05")</f>
        <v>2.8446e-05</v>
      </c>
      <c r="P64" s="4" t="str">
        <f>HYPERLINK("http://141.218.60.56/~jnz1568/getInfo.php?workbook=02_01.xlsx&amp;sheet=A0&amp;row=64&amp;col=16&amp;number=&amp;sourceID=12","")</f>
        <v/>
      </c>
      <c r="Q64" s="4" t="str">
        <f>HYPERLINK("http://141.218.60.56/~jnz1568/getInfo.php?workbook=02_01.xlsx&amp;sheet=A0&amp;row=64&amp;col=17&amp;number=&amp;sourceID=12","")</f>
        <v/>
      </c>
      <c r="R64" s="4" t="str">
        <f>HYPERLINK("http://141.218.60.56/~jnz1568/getInfo.php?workbook=02_01.xlsx&amp;sheet=A0&amp;row=64&amp;col=18&amp;number=&amp;sourceID=12","")</f>
        <v/>
      </c>
      <c r="S64" s="4" t="str">
        <f>HYPERLINK("http://141.218.60.56/~jnz1568/getInfo.php?workbook=02_01.xlsx&amp;sheet=A0&amp;row=64&amp;col=19&amp;number=0&amp;sourceID=12","0")</f>
        <v>0</v>
      </c>
      <c r="T64" s="4" t="str">
        <f>HYPERLINK("http://141.218.60.56/~jnz1568/getInfo.php?workbook=02_01.xlsx&amp;sheet=A0&amp;row=64&amp;col=20&amp;number=&amp;sourceID=12","")</f>
        <v/>
      </c>
      <c r="U64" s="4" t="str">
        <f>HYPERLINK("http://141.218.60.56/~jnz1568/getInfo.php?workbook=02_01.xlsx&amp;sheet=A0&amp;row=64&amp;col=21&amp;number=&amp;sourceID=13","")</f>
        <v/>
      </c>
      <c r="V64" s="4" t="str">
        <f>HYPERLINK("http://141.218.60.56/~jnz1568/getInfo.php?workbook=02_01.xlsx&amp;sheet=A0&amp;row=64&amp;col=22&amp;number=&amp;sourceID=13","")</f>
        <v/>
      </c>
      <c r="W64" s="4" t="str">
        <f>HYPERLINK("http://141.218.60.56/~jnz1568/getInfo.php?workbook=02_01.xlsx&amp;sheet=A0&amp;row=64&amp;col=23&amp;number=&amp;sourceID=13","")</f>
        <v/>
      </c>
      <c r="X64" s="4" t="str">
        <f>HYPERLINK("http://141.218.60.56/~jnz1568/getInfo.php?workbook=02_01.xlsx&amp;sheet=A0&amp;row=64&amp;col=24&amp;number=&amp;sourceID=13","")</f>
        <v/>
      </c>
      <c r="Y64" s="4" t="str">
        <f>HYPERLINK("http://141.218.60.56/~jnz1568/getInfo.php?workbook=02_01.xlsx&amp;sheet=A0&amp;row=64&amp;col=25&amp;number=&amp;sourceID=13","")</f>
        <v/>
      </c>
      <c r="Z64" s="4" t="str">
        <f>HYPERLINK("http://141.218.60.56/~jnz1568/getInfo.php?workbook=02_01.xlsx&amp;sheet=A0&amp;row=64&amp;col=26&amp;number=&amp;sourceID=13","")</f>
        <v/>
      </c>
      <c r="AA64" s="4" t="str">
        <f>HYPERLINK("http://141.218.60.56/~jnz1568/getInfo.php?workbook=02_01.xlsx&amp;sheet=A0&amp;row=64&amp;col=27&amp;number=&amp;sourceID=20","")</f>
        <v/>
      </c>
    </row>
    <row r="65" spans="1:27">
      <c r="A65" s="3">
        <v>2</v>
      </c>
      <c r="B65" s="3">
        <v>1</v>
      </c>
      <c r="C65" s="3">
        <v>12</v>
      </c>
      <c r="D65" s="3">
        <v>11</v>
      </c>
      <c r="E65" s="3">
        <f>((1/(INDEX(E0!J$4:J$28,C65,1)-INDEX(E0!J$4:J$28,D65,1))))*100000000</f>
        <v>0</v>
      </c>
      <c r="F65" s="4" t="str">
        <f>HYPERLINK("http://141.218.60.56/~jnz1568/getInfo.php?workbook=02_01.xlsx&amp;sheet=A0&amp;row=65&amp;col=6&amp;number=&amp;sourceID=18","")</f>
        <v/>
      </c>
      <c r="G65" s="4" t="str">
        <f>HYPERLINK("http://141.218.60.56/~jnz1568/getInfo.php?workbook=02_01.xlsx&amp;sheet=A0&amp;row=65&amp;col=7&amp;number==&amp;sourceID=11","=")</f>
        <v>=</v>
      </c>
      <c r="H65" s="4" t="str">
        <f>HYPERLINK("http://141.218.60.56/~jnz1568/getInfo.php?workbook=02_01.xlsx&amp;sheet=A0&amp;row=65&amp;col=8&amp;number=&amp;sourceID=11","")</f>
        <v/>
      </c>
      <c r="I65" s="4" t="str">
        <f>HYPERLINK("http://141.218.60.56/~jnz1568/getInfo.php?workbook=02_01.xlsx&amp;sheet=A0&amp;row=65&amp;col=9&amp;number=0&amp;sourceID=11","0")</f>
        <v>0</v>
      </c>
      <c r="J65" s="4" t="str">
        <f>HYPERLINK("http://141.218.60.56/~jnz1568/getInfo.php?workbook=02_01.xlsx&amp;sheet=A0&amp;row=65&amp;col=10&amp;number=&amp;sourceID=11","")</f>
        <v/>
      </c>
      <c r="K65" s="4" t="str">
        <f>HYPERLINK("http://141.218.60.56/~jnz1568/getInfo.php?workbook=02_01.xlsx&amp;sheet=A0&amp;row=65&amp;col=11&amp;number=0&amp;sourceID=11","0")</f>
        <v>0</v>
      </c>
      <c r="L65" s="4" t="str">
        <f>HYPERLINK("http://141.218.60.56/~jnz1568/getInfo.php?workbook=02_01.xlsx&amp;sheet=A0&amp;row=65&amp;col=12&amp;number=&amp;sourceID=11","")</f>
        <v/>
      </c>
      <c r="M65" s="4" t="str">
        <f>HYPERLINK("http://141.218.60.56/~jnz1568/getInfo.php?workbook=02_01.xlsx&amp;sheet=A0&amp;row=65&amp;col=13&amp;number=&amp;sourceID=11","")</f>
        <v/>
      </c>
      <c r="N65" s="4" t="str">
        <f>HYPERLINK("http://141.218.60.56/~jnz1568/getInfo.php?workbook=02_01.xlsx&amp;sheet=A0&amp;row=65&amp;col=14&amp;number=0&amp;sourceID=12","0")</f>
        <v>0</v>
      </c>
      <c r="O65" s="4" t="str">
        <f>HYPERLINK("http://141.218.60.56/~jnz1568/getInfo.php?workbook=02_01.xlsx&amp;sheet=A0&amp;row=65&amp;col=15&amp;number=&amp;sourceID=12","")</f>
        <v/>
      </c>
      <c r="P65" s="4" t="str">
        <f>HYPERLINK("http://141.218.60.56/~jnz1568/getInfo.php?workbook=02_01.xlsx&amp;sheet=A0&amp;row=65&amp;col=16&amp;number=0&amp;sourceID=12","0")</f>
        <v>0</v>
      </c>
      <c r="Q65" s="4" t="str">
        <f>HYPERLINK("http://141.218.60.56/~jnz1568/getInfo.php?workbook=02_01.xlsx&amp;sheet=A0&amp;row=65&amp;col=17&amp;number=&amp;sourceID=12","")</f>
        <v/>
      </c>
      <c r="R65" s="4" t="str">
        <f>HYPERLINK("http://141.218.60.56/~jnz1568/getInfo.php?workbook=02_01.xlsx&amp;sheet=A0&amp;row=65&amp;col=18&amp;number=0&amp;sourceID=12","0")</f>
        <v>0</v>
      </c>
      <c r="S65" s="4" t="str">
        <f>HYPERLINK("http://141.218.60.56/~jnz1568/getInfo.php?workbook=02_01.xlsx&amp;sheet=A0&amp;row=65&amp;col=19&amp;number=&amp;sourceID=12","")</f>
        <v/>
      </c>
      <c r="T65" s="4" t="str">
        <f>HYPERLINK("http://141.218.60.56/~jnz1568/getInfo.php?workbook=02_01.xlsx&amp;sheet=A0&amp;row=65&amp;col=20&amp;number=&amp;sourceID=12","")</f>
        <v/>
      </c>
      <c r="U65" s="4" t="str">
        <f>HYPERLINK("http://141.218.60.56/~jnz1568/getInfo.php?workbook=02_01.xlsx&amp;sheet=A0&amp;row=65&amp;col=21&amp;number=&amp;sourceID=13","")</f>
        <v/>
      </c>
      <c r="V65" s="4" t="str">
        <f>HYPERLINK("http://141.218.60.56/~jnz1568/getInfo.php?workbook=02_01.xlsx&amp;sheet=A0&amp;row=65&amp;col=22&amp;number=&amp;sourceID=13","")</f>
        <v/>
      </c>
      <c r="W65" s="4" t="str">
        <f>HYPERLINK("http://141.218.60.56/~jnz1568/getInfo.php?workbook=02_01.xlsx&amp;sheet=A0&amp;row=65&amp;col=23&amp;number=&amp;sourceID=13","")</f>
        <v/>
      </c>
      <c r="X65" s="4" t="str">
        <f>HYPERLINK("http://141.218.60.56/~jnz1568/getInfo.php?workbook=02_01.xlsx&amp;sheet=A0&amp;row=65&amp;col=24&amp;number=&amp;sourceID=13","")</f>
        <v/>
      </c>
      <c r="Y65" s="4" t="str">
        <f>HYPERLINK("http://141.218.60.56/~jnz1568/getInfo.php?workbook=02_01.xlsx&amp;sheet=A0&amp;row=65&amp;col=25&amp;number=&amp;sourceID=13","")</f>
        <v/>
      </c>
      <c r="Z65" s="4" t="str">
        <f>HYPERLINK("http://141.218.60.56/~jnz1568/getInfo.php?workbook=02_01.xlsx&amp;sheet=A0&amp;row=65&amp;col=26&amp;number=&amp;sourceID=13","")</f>
        <v/>
      </c>
      <c r="AA65" s="4" t="str">
        <f>HYPERLINK("http://141.218.60.56/~jnz1568/getInfo.php?workbook=02_01.xlsx&amp;sheet=A0&amp;row=65&amp;col=27&amp;number=&amp;sourceID=20","")</f>
        <v/>
      </c>
    </row>
    <row r="66" spans="1:27">
      <c r="A66" s="3">
        <v>2</v>
      </c>
      <c r="B66" s="3">
        <v>1</v>
      </c>
      <c r="C66" s="3">
        <v>13</v>
      </c>
      <c r="D66" s="3">
        <v>1</v>
      </c>
      <c r="E66" s="3">
        <f>((1/(INDEX(E0!J$4:J$28,C66,1)-INDEX(E0!J$4:J$28,D66,1))))*100000000</f>
        <v>0</v>
      </c>
      <c r="F66" s="4" t="str">
        <f>HYPERLINK("http://141.218.60.56/~jnz1568/getInfo.php?workbook=02_01.xlsx&amp;sheet=A0&amp;row=66&amp;col=6&amp;number=&amp;sourceID=18","")</f>
        <v/>
      </c>
      <c r="G66" s="4" t="str">
        <f>HYPERLINK("http://141.218.60.56/~jnz1568/getInfo.php?workbook=02_01.xlsx&amp;sheet=A0&amp;row=66&amp;col=7&amp;number==&amp;sourceID=11","=")</f>
        <v>=</v>
      </c>
      <c r="H66" s="4" t="str">
        <f>HYPERLINK("http://141.218.60.56/~jnz1568/getInfo.php?workbook=02_01.xlsx&amp;sheet=A0&amp;row=66&amp;col=8&amp;number=1091400000&amp;sourceID=11","1091400000")</f>
        <v>1091400000</v>
      </c>
      <c r="I66" s="4" t="str">
        <f>HYPERLINK("http://141.218.60.56/~jnz1568/getInfo.php?workbook=02_01.xlsx&amp;sheet=A0&amp;row=66&amp;col=9&amp;number=&amp;sourceID=11","")</f>
        <v/>
      </c>
      <c r="J66" s="4" t="str">
        <f>HYPERLINK("http://141.218.60.56/~jnz1568/getInfo.php?workbook=02_01.xlsx&amp;sheet=A0&amp;row=66&amp;col=10&amp;number=&amp;sourceID=11","")</f>
        <v/>
      </c>
      <c r="K66" s="4" t="str">
        <f>HYPERLINK("http://141.218.60.56/~jnz1568/getInfo.php?workbook=02_01.xlsx&amp;sheet=A0&amp;row=66&amp;col=11&amp;number=&amp;sourceID=11","")</f>
        <v/>
      </c>
      <c r="L66" s="4" t="str">
        <f>HYPERLINK("http://141.218.60.56/~jnz1568/getInfo.php?workbook=02_01.xlsx&amp;sheet=A0&amp;row=66&amp;col=12&amp;number=2.0402&amp;sourceID=11","2.0402")</f>
        <v>2.0402</v>
      </c>
      <c r="M66" s="4" t="str">
        <f>HYPERLINK("http://141.218.60.56/~jnz1568/getInfo.php?workbook=02_01.xlsx&amp;sheet=A0&amp;row=66&amp;col=13&amp;number=&amp;sourceID=11","")</f>
        <v/>
      </c>
      <c r="N66" s="4" t="str">
        <f>HYPERLINK("http://141.218.60.56/~jnz1568/getInfo.php?workbook=02_01.xlsx&amp;sheet=A0&amp;row=66&amp;col=14&amp;number=1091600000&amp;sourceID=12","1091600000")</f>
        <v>1091600000</v>
      </c>
      <c r="O66" s="4" t="str">
        <f>HYPERLINK("http://141.218.60.56/~jnz1568/getInfo.php?workbook=02_01.xlsx&amp;sheet=A0&amp;row=66&amp;col=15&amp;number=1091600000&amp;sourceID=12","1091600000")</f>
        <v>1091600000</v>
      </c>
      <c r="P66" s="4" t="str">
        <f>HYPERLINK("http://141.218.60.56/~jnz1568/getInfo.php?workbook=02_01.xlsx&amp;sheet=A0&amp;row=66&amp;col=16&amp;number=&amp;sourceID=12","")</f>
        <v/>
      </c>
      <c r="Q66" s="4" t="str">
        <f>HYPERLINK("http://141.218.60.56/~jnz1568/getInfo.php?workbook=02_01.xlsx&amp;sheet=A0&amp;row=66&amp;col=17&amp;number=&amp;sourceID=12","")</f>
        <v/>
      </c>
      <c r="R66" s="4" t="str">
        <f>HYPERLINK("http://141.218.60.56/~jnz1568/getInfo.php?workbook=02_01.xlsx&amp;sheet=A0&amp;row=66&amp;col=18&amp;number=&amp;sourceID=12","")</f>
        <v/>
      </c>
      <c r="S66" s="4" t="str">
        <f>HYPERLINK("http://141.218.60.56/~jnz1568/getInfo.php?workbook=02_01.xlsx&amp;sheet=A0&amp;row=66&amp;col=19&amp;number=2.0405&amp;sourceID=12","2.0405")</f>
        <v>2.0405</v>
      </c>
      <c r="T66" s="4" t="str">
        <f>HYPERLINK("http://141.218.60.56/~jnz1568/getInfo.php?workbook=02_01.xlsx&amp;sheet=A0&amp;row=66&amp;col=20&amp;number=&amp;sourceID=12","")</f>
        <v/>
      </c>
      <c r="U66" s="4" t="str">
        <f>HYPERLINK("http://141.218.60.56/~jnz1568/getInfo.php?workbook=02_01.xlsx&amp;sheet=A0&amp;row=66&amp;col=21&amp;number==SUM(V66:Z66)&amp;sourceID=13","=SUM(V66:Z66)")</f>
        <v>=SUM(V66:Z66)</v>
      </c>
      <c r="V66" s="4" t="str">
        <f>HYPERLINK("http://141.218.60.56/~jnz1568/getInfo.php?workbook=02_01.xlsx&amp;sheet=A0&amp;row=66&amp;col=22&amp;number=1090000000&amp;sourceID=13","1090000000")</f>
        <v>1090000000</v>
      </c>
      <c r="W66" s="4" t="str">
        <f>HYPERLINK("http://141.218.60.56/~jnz1568/getInfo.php?workbook=02_01.xlsx&amp;sheet=A0&amp;row=66&amp;col=23&amp;number=&amp;sourceID=13","")</f>
        <v/>
      </c>
      <c r="X66" s="4" t="str">
        <f>HYPERLINK("http://141.218.60.56/~jnz1568/getInfo.php?workbook=02_01.xlsx&amp;sheet=A0&amp;row=66&amp;col=24&amp;number=&amp;sourceID=13","")</f>
        <v/>
      </c>
      <c r="Y66" s="4" t="str">
        <f>HYPERLINK("http://141.218.60.56/~jnz1568/getInfo.php?workbook=02_01.xlsx&amp;sheet=A0&amp;row=66&amp;col=25&amp;number=&amp;sourceID=13","")</f>
        <v/>
      </c>
      <c r="Z66" s="4" t="str">
        <f>HYPERLINK("http://141.218.60.56/~jnz1568/getInfo.php?workbook=02_01.xlsx&amp;sheet=A0&amp;row=66&amp;col=26&amp;number=&amp;sourceID=13","")</f>
        <v/>
      </c>
      <c r="AA66" s="4" t="str">
        <f>HYPERLINK("http://141.218.60.56/~jnz1568/getInfo.php?workbook=02_01.xlsx&amp;sheet=A0&amp;row=66&amp;col=27&amp;number=1091400000&amp;sourceID=20","1091400000")</f>
        <v>1091400000</v>
      </c>
    </row>
    <row r="67" spans="1:27">
      <c r="A67" s="3">
        <v>2</v>
      </c>
      <c r="B67" s="3">
        <v>1</v>
      </c>
      <c r="C67" s="3">
        <v>13</v>
      </c>
      <c r="D67" s="3">
        <v>2</v>
      </c>
      <c r="E67" s="3">
        <f>((1/(INDEX(E0!J$4:J$28,C67,1)-INDEX(E0!J$4:J$28,D67,1))))*100000000</f>
        <v>0</v>
      </c>
      <c r="F67" s="4" t="str">
        <f>HYPERLINK("http://141.218.60.56/~jnz1568/getInfo.php?workbook=02_01.xlsx&amp;sheet=A0&amp;row=67&amp;col=6&amp;number=&amp;sourceID=18","")</f>
        <v/>
      </c>
      <c r="G67" s="4" t="str">
        <f>HYPERLINK("http://141.218.60.56/~jnz1568/getInfo.php?workbook=02_01.xlsx&amp;sheet=A0&amp;row=67&amp;col=7&amp;number==&amp;sourceID=11","=")</f>
        <v>=</v>
      </c>
      <c r="H67" s="4" t="str">
        <f>HYPERLINK("http://141.218.60.56/~jnz1568/getInfo.php?workbook=02_01.xlsx&amp;sheet=A0&amp;row=67&amp;col=8&amp;number=&amp;sourceID=11","")</f>
        <v/>
      </c>
      <c r="I67" s="4" t="str">
        <f>HYPERLINK("http://141.218.60.56/~jnz1568/getInfo.php?workbook=02_01.xlsx&amp;sheet=A0&amp;row=67&amp;col=9&amp;number=329.68&amp;sourceID=11","329.68")</f>
        <v>329.68</v>
      </c>
      <c r="J67" s="4" t="str">
        <f>HYPERLINK("http://141.218.60.56/~jnz1568/getInfo.php?workbook=02_01.xlsx&amp;sheet=A0&amp;row=67&amp;col=10&amp;number=&amp;sourceID=11","")</f>
        <v/>
      </c>
      <c r="K67" s="4" t="str">
        <f>HYPERLINK("http://141.218.60.56/~jnz1568/getInfo.php?workbook=02_01.xlsx&amp;sheet=A0&amp;row=67&amp;col=11&amp;number=1.7816e-06&amp;sourceID=11","1.7816e-06")</f>
        <v>1.7816e-06</v>
      </c>
      <c r="L67" s="4" t="str">
        <f>HYPERLINK("http://141.218.60.56/~jnz1568/getInfo.php?workbook=02_01.xlsx&amp;sheet=A0&amp;row=67&amp;col=12&amp;number=&amp;sourceID=11","")</f>
        <v/>
      </c>
      <c r="M67" s="4" t="str">
        <f>HYPERLINK("http://141.218.60.56/~jnz1568/getInfo.php?workbook=02_01.xlsx&amp;sheet=A0&amp;row=67&amp;col=13&amp;number=&amp;sourceID=11","")</f>
        <v/>
      </c>
      <c r="N67" s="4" t="str">
        <f>HYPERLINK("http://141.218.60.56/~jnz1568/getInfo.php?workbook=02_01.xlsx&amp;sheet=A0&amp;row=67&amp;col=14&amp;number=329.72&amp;sourceID=12","329.72")</f>
        <v>329.72</v>
      </c>
      <c r="O67" s="4" t="str">
        <f>HYPERLINK("http://141.218.60.56/~jnz1568/getInfo.php?workbook=02_01.xlsx&amp;sheet=A0&amp;row=67&amp;col=15&amp;number=&amp;sourceID=12","")</f>
        <v/>
      </c>
      <c r="P67" s="4" t="str">
        <f>HYPERLINK("http://141.218.60.56/~jnz1568/getInfo.php?workbook=02_01.xlsx&amp;sheet=A0&amp;row=67&amp;col=16&amp;number=329.72&amp;sourceID=12","329.72")</f>
        <v>329.72</v>
      </c>
      <c r="Q67" s="4" t="str">
        <f>HYPERLINK("http://141.218.60.56/~jnz1568/getInfo.php?workbook=02_01.xlsx&amp;sheet=A0&amp;row=67&amp;col=17&amp;number=&amp;sourceID=12","")</f>
        <v/>
      </c>
      <c r="R67" s="4" t="str">
        <f>HYPERLINK("http://141.218.60.56/~jnz1568/getInfo.php?workbook=02_01.xlsx&amp;sheet=A0&amp;row=67&amp;col=18&amp;number=1.7803e-06&amp;sourceID=12","1.7803e-06")</f>
        <v>1.7803e-06</v>
      </c>
      <c r="S67" s="4" t="str">
        <f>HYPERLINK("http://141.218.60.56/~jnz1568/getInfo.php?workbook=02_01.xlsx&amp;sheet=A0&amp;row=67&amp;col=19&amp;number=&amp;sourceID=12","")</f>
        <v/>
      </c>
      <c r="T67" s="4" t="str">
        <f>HYPERLINK("http://141.218.60.56/~jnz1568/getInfo.php?workbook=02_01.xlsx&amp;sheet=A0&amp;row=67&amp;col=20&amp;number=&amp;sourceID=12","")</f>
        <v/>
      </c>
      <c r="U67" s="4" t="str">
        <f>HYPERLINK("http://141.218.60.56/~jnz1568/getInfo.php?workbook=02_01.xlsx&amp;sheet=A0&amp;row=67&amp;col=21&amp;number==&amp;sourceID=13","=")</f>
        <v>=</v>
      </c>
      <c r="V67" s="4" t="str">
        <f>HYPERLINK("http://141.218.60.56/~jnz1568/getInfo.php?workbook=02_01.xlsx&amp;sheet=A0&amp;row=67&amp;col=22&amp;number=&amp;sourceID=13","")</f>
        <v/>
      </c>
      <c r="W67" s="4" t="str">
        <f>HYPERLINK("http://141.218.60.56/~jnz1568/getInfo.php?workbook=02_01.xlsx&amp;sheet=A0&amp;row=67&amp;col=23&amp;number=329&amp;sourceID=13","329")</f>
        <v>329</v>
      </c>
      <c r="X67" s="4" t="str">
        <f>HYPERLINK("http://141.218.60.56/~jnz1568/getInfo.php?workbook=02_01.xlsx&amp;sheet=A0&amp;row=67&amp;col=24&amp;number=&amp;sourceID=13","")</f>
        <v/>
      </c>
      <c r="Y67" s="4" t="str">
        <f>HYPERLINK("http://141.218.60.56/~jnz1568/getInfo.php?workbook=02_01.xlsx&amp;sheet=A0&amp;row=67&amp;col=25&amp;number=1.48e-06&amp;sourceID=13","1.48e-06")</f>
        <v>1.48e-06</v>
      </c>
      <c r="Z67" s="4" t="str">
        <f>HYPERLINK("http://141.218.60.56/~jnz1568/getInfo.php?workbook=02_01.xlsx&amp;sheet=A0&amp;row=67&amp;col=26&amp;number=&amp;sourceID=13","")</f>
        <v/>
      </c>
      <c r="AA67" s="4" t="str">
        <f>HYPERLINK("http://141.218.60.56/~jnz1568/getInfo.php?workbook=02_01.xlsx&amp;sheet=A0&amp;row=67&amp;col=27&amp;number=&amp;sourceID=20","")</f>
        <v/>
      </c>
    </row>
    <row r="68" spans="1:27">
      <c r="A68" s="3">
        <v>2</v>
      </c>
      <c r="B68" s="3">
        <v>1</v>
      </c>
      <c r="C68" s="3">
        <v>13</v>
      </c>
      <c r="D68" s="3">
        <v>3</v>
      </c>
      <c r="E68" s="3">
        <f>((1/(INDEX(E0!J$4:J$28,C68,1)-INDEX(E0!J$4:J$28,D68,1))))*100000000</f>
        <v>0</v>
      </c>
      <c r="F68" s="4" t="str">
        <f>HYPERLINK("http://141.218.60.56/~jnz1568/getInfo.php?workbook=02_01.xlsx&amp;sheet=A0&amp;row=68&amp;col=6&amp;number=&amp;sourceID=18","")</f>
        <v/>
      </c>
      <c r="G68" s="4" t="str">
        <f>HYPERLINK("http://141.218.60.56/~jnz1568/getInfo.php?workbook=02_01.xlsx&amp;sheet=A0&amp;row=68&amp;col=7&amp;number==&amp;sourceID=11","=")</f>
        <v>=</v>
      </c>
      <c r="H68" s="4" t="str">
        <f>HYPERLINK("http://141.218.60.56/~jnz1568/getInfo.php?workbook=02_01.xlsx&amp;sheet=A0&amp;row=68&amp;col=8&amp;number=154750000&amp;sourceID=11","154750000")</f>
        <v>154750000</v>
      </c>
      <c r="I68" s="4" t="str">
        <f>HYPERLINK("http://141.218.60.56/~jnz1568/getInfo.php?workbook=02_01.xlsx&amp;sheet=A0&amp;row=68&amp;col=9&amp;number=&amp;sourceID=11","")</f>
        <v/>
      </c>
      <c r="J68" s="4" t="str">
        <f>HYPERLINK("http://141.218.60.56/~jnz1568/getInfo.php?workbook=02_01.xlsx&amp;sheet=A0&amp;row=68&amp;col=10&amp;number=&amp;sourceID=11","")</f>
        <v/>
      </c>
      <c r="K68" s="4" t="str">
        <f>HYPERLINK("http://141.218.60.56/~jnz1568/getInfo.php?workbook=02_01.xlsx&amp;sheet=A0&amp;row=68&amp;col=11&amp;number=&amp;sourceID=11","")</f>
        <v/>
      </c>
      <c r="L68" s="4" t="str">
        <f>HYPERLINK("http://141.218.60.56/~jnz1568/getInfo.php?workbook=02_01.xlsx&amp;sheet=A0&amp;row=68&amp;col=12&amp;number=0.011573&amp;sourceID=11","0.011573")</f>
        <v>0.011573</v>
      </c>
      <c r="M68" s="4" t="str">
        <f>HYPERLINK("http://141.218.60.56/~jnz1568/getInfo.php?workbook=02_01.xlsx&amp;sheet=A0&amp;row=68&amp;col=13&amp;number=&amp;sourceID=11","")</f>
        <v/>
      </c>
      <c r="N68" s="4" t="str">
        <f>HYPERLINK("http://141.218.60.56/~jnz1568/getInfo.php?workbook=02_01.xlsx&amp;sheet=A0&amp;row=68&amp;col=14&amp;number=154770000&amp;sourceID=12","154770000")</f>
        <v>154770000</v>
      </c>
      <c r="O68" s="4" t="str">
        <f>HYPERLINK("http://141.218.60.56/~jnz1568/getInfo.php?workbook=02_01.xlsx&amp;sheet=A0&amp;row=68&amp;col=15&amp;number=154770000&amp;sourceID=12","154770000")</f>
        <v>154770000</v>
      </c>
      <c r="P68" s="4" t="str">
        <f>HYPERLINK("http://141.218.60.56/~jnz1568/getInfo.php?workbook=02_01.xlsx&amp;sheet=A0&amp;row=68&amp;col=16&amp;number=&amp;sourceID=12","")</f>
        <v/>
      </c>
      <c r="Q68" s="4" t="str">
        <f>HYPERLINK("http://141.218.60.56/~jnz1568/getInfo.php?workbook=02_01.xlsx&amp;sheet=A0&amp;row=68&amp;col=17&amp;number=&amp;sourceID=12","")</f>
        <v/>
      </c>
      <c r="R68" s="4" t="str">
        <f>HYPERLINK("http://141.218.60.56/~jnz1568/getInfo.php?workbook=02_01.xlsx&amp;sheet=A0&amp;row=68&amp;col=18&amp;number=&amp;sourceID=12","")</f>
        <v/>
      </c>
      <c r="S68" s="4" t="str">
        <f>HYPERLINK("http://141.218.60.56/~jnz1568/getInfo.php?workbook=02_01.xlsx&amp;sheet=A0&amp;row=68&amp;col=19&amp;number=0.011574&amp;sourceID=12","0.011574")</f>
        <v>0.011574</v>
      </c>
      <c r="T68" s="4" t="str">
        <f>HYPERLINK("http://141.218.60.56/~jnz1568/getInfo.php?workbook=02_01.xlsx&amp;sheet=A0&amp;row=68&amp;col=20&amp;number=&amp;sourceID=12","")</f>
        <v/>
      </c>
      <c r="U68" s="4" t="str">
        <f>HYPERLINK("http://141.218.60.56/~jnz1568/getInfo.php?workbook=02_01.xlsx&amp;sheet=A0&amp;row=68&amp;col=21&amp;number==&amp;sourceID=13","=")</f>
        <v>=</v>
      </c>
      <c r="V68" s="4" t="str">
        <f>HYPERLINK("http://141.218.60.56/~jnz1568/getInfo.php?workbook=02_01.xlsx&amp;sheet=A0&amp;row=68&amp;col=22&amp;number=155000000&amp;sourceID=13","155000000")</f>
        <v>155000000</v>
      </c>
      <c r="W68" s="4" t="str">
        <f>HYPERLINK("http://141.218.60.56/~jnz1568/getInfo.php?workbook=02_01.xlsx&amp;sheet=A0&amp;row=68&amp;col=23&amp;number=&amp;sourceID=13","")</f>
        <v/>
      </c>
      <c r="X68" s="4" t="str">
        <f>HYPERLINK("http://141.218.60.56/~jnz1568/getInfo.php?workbook=02_01.xlsx&amp;sheet=A0&amp;row=68&amp;col=24&amp;number=&amp;sourceID=13","")</f>
        <v/>
      </c>
      <c r="Y68" s="4" t="str">
        <f>HYPERLINK("http://141.218.60.56/~jnz1568/getInfo.php?workbook=02_01.xlsx&amp;sheet=A0&amp;row=68&amp;col=25&amp;number=&amp;sourceID=13","")</f>
        <v/>
      </c>
      <c r="Z68" s="4" t="str">
        <f>HYPERLINK("http://141.218.60.56/~jnz1568/getInfo.php?workbook=02_01.xlsx&amp;sheet=A0&amp;row=68&amp;col=26&amp;number=&amp;sourceID=13","")</f>
        <v/>
      </c>
      <c r="AA68" s="4" t="str">
        <f>HYPERLINK("http://141.218.60.56/~jnz1568/getInfo.php?workbook=02_01.xlsx&amp;sheet=A0&amp;row=68&amp;col=27&amp;number=&amp;sourceID=20","")</f>
        <v/>
      </c>
    </row>
    <row r="69" spans="1:27">
      <c r="A69" s="3">
        <v>2</v>
      </c>
      <c r="B69" s="3">
        <v>1</v>
      </c>
      <c r="C69" s="3">
        <v>13</v>
      </c>
      <c r="D69" s="3">
        <v>4</v>
      </c>
      <c r="E69" s="3">
        <f>((1/(INDEX(E0!J$4:J$28,C69,1)-INDEX(E0!J$4:J$28,D69,1))))*100000000</f>
        <v>0</v>
      </c>
      <c r="F69" s="4" t="str">
        <f>HYPERLINK("http://141.218.60.56/~jnz1568/getInfo.php?workbook=02_01.xlsx&amp;sheet=A0&amp;row=69&amp;col=6&amp;number=&amp;sourceID=18","")</f>
        <v/>
      </c>
      <c r="G69" s="4" t="str">
        <f>HYPERLINK("http://141.218.60.56/~jnz1568/getInfo.php?workbook=02_01.xlsx&amp;sheet=A0&amp;row=69&amp;col=7&amp;number==&amp;sourceID=11","=")</f>
        <v>=</v>
      </c>
      <c r="H69" s="4" t="str">
        <f>HYPERLINK("http://141.218.60.56/~jnz1568/getInfo.php?workbook=02_01.xlsx&amp;sheet=A0&amp;row=69&amp;col=8&amp;number=&amp;sourceID=11","")</f>
        <v/>
      </c>
      <c r="I69" s="4" t="str">
        <f>HYPERLINK("http://141.218.60.56/~jnz1568/getInfo.php?workbook=02_01.xlsx&amp;sheet=A0&amp;row=69&amp;col=9&amp;number=329.62&amp;sourceID=11","329.62")</f>
        <v>329.62</v>
      </c>
      <c r="J69" s="4" t="str">
        <f>HYPERLINK("http://141.218.60.56/~jnz1568/getInfo.php?workbook=02_01.xlsx&amp;sheet=A0&amp;row=69&amp;col=10&amp;number=&amp;sourceID=11","")</f>
        <v/>
      </c>
      <c r="K69" s="4" t="str">
        <f>HYPERLINK("http://141.218.60.56/~jnz1568/getInfo.php?workbook=02_01.xlsx&amp;sheet=A0&amp;row=69&amp;col=11&amp;number=2.8377e-06&amp;sourceID=11","2.8377e-06")</f>
        <v>2.8377e-06</v>
      </c>
      <c r="L69" s="4" t="str">
        <f>HYPERLINK("http://141.218.60.56/~jnz1568/getInfo.php?workbook=02_01.xlsx&amp;sheet=A0&amp;row=69&amp;col=12&amp;number=&amp;sourceID=11","")</f>
        <v/>
      </c>
      <c r="M69" s="4" t="str">
        <f>HYPERLINK("http://141.218.60.56/~jnz1568/getInfo.php?workbook=02_01.xlsx&amp;sheet=A0&amp;row=69&amp;col=13&amp;number=5.2578e-08&amp;sourceID=11","5.2578e-08")</f>
        <v>5.2578e-08</v>
      </c>
      <c r="N69" s="4" t="str">
        <f>HYPERLINK("http://141.218.60.56/~jnz1568/getInfo.php?workbook=02_01.xlsx&amp;sheet=A0&amp;row=69&amp;col=14&amp;number=329.66&amp;sourceID=12","329.66")</f>
        <v>329.66</v>
      </c>
      <c r="O69" s="4" t="str">
        <f>HYPERLINK("http://141.218.60.56/~jnz1568/getInfo.php?workbook=02_01.xlsx&amp;sheet=A0&amp;row=69&amp;col=15&amp;number=&amp;sourceID=12","")</f>
        <v/>
      </c>
      <c r="P69" s="4" t="str">
        <f>HYPERLINK("http://141.218.60.56/~jnz1568/getInfo.php?workbook=02_01.xlsx&amp;sheet=A0&amp;row=69&amp;col=16&amp;number=329.66&amp;sourceID=12","329.66")</f>
        <v>329.66</v>
      </c>
      <c r="Q69" s="4" t="str">
        <f>HYPERLINK("http://141.218.60.56/~jnz1568/getInfo.php?workbook=02_01.xlsx&amp;sheet=A0&amp;row=69&amp;col=17&amp;number=&amp;sourceID=12","")</f>
        <v/>
      </c>
      <c r="R69" s="4" t="str">
        <f>HYPERLINK("http://141.218.60.56/~jnz1568/getInfo.php?workbook=02_01.xlsx&amp;sheet=A0&amp;row=69&amp;col=18&amp;number=2.8431e-06&amp;sourceID=12","2.8431e-06")</f>
        <v>2.8431e-06</v>
      </c>
      <c r="S69" s="4" t="str">
        <f>HYPERLINK("http://141.218.60.56/~jnz1568/getInfo.php?workbook=02_01.xlsx&amp;sheet=A0&amp;row=69&amp;col=19&amp;number=&amp;sourceID=12","")</f>
        <v/>
      </c>
      <c r="T69" s="4" t="str">
        <f>HYPERLINK("http://141.218.60.56/~jnz1568/getInfo.php?workbook=02_01.xlsx&amp;sheet=A0&amp;row=69&amp;col=20&amp;number=5.2585e-08&amp;sourceID=12","5.2585e-08")</f>
        <v>5.2585e-08</v>
      </c>
      <c r="U69" s="4" t="str">
        <f>HYPERLINK("http://141.218.60.56/~jnz1568/getInfo.php?workbook=02_01.xlsx&amp;sheet=A0&amp;row=69&amp;col=21&amp;number==&amp;sourceID=13","=")</f>
        <v>=</v>
      </c>
      <c r="V69" s="4" t="str">
        <f>HYPERLINK("http://141.218.60.56/~jnz1568/getInfo.php?workbook=02_01.xlsx&amp;sheet=A0&amp;row=69&amp;col=22&amp;number=&amp;sourceID=13","")</f>
        <v/>
      </c>
      <c r="W69" s="4" t="str">
        <f>HYPERLINK("http://141.218.60.56/~jnz1568/getInfo.php?workbook=02_01.xlsx&amp;sheet=A0&amp;row=69&amp;col=23&amp;number=329&amp;sourceID=13","329")</f>
        <v>329</v>
      </c>
      <c r="X69" s="4" t="str">
        <f>HYPERLINK("http://141.218.60.56/~jnz1568/getInfo.php?workbook=02_01.xlsx&amp;sheet=A0&amp;row=69&amp;col=24&amp;number=&amp;sourceID=13","")</f>
        <v/>
      </c>
      <c r="Y69" s="4" t="str">
        <f>HYPERLINK("http://141.218.60.56/~jnz1568/getInfo.php?workbook=02_01.xlsx&amp;sheet=A0&amp;row=69&amp;col=25&amp;number=2.84e-06&amp;sourceID=13","2.84e-06")</f>
        <v>2.84e-06</v>
      </c>
      <c r="Z69" s="4" t="str">
        <f>HYPERLINK("http://141.218.60.56/~jnz1568/getInfo.php?workbook=02_01.xlsx&amp;sheet=A0&amp;row=69&amp;col=26&amp;number=&amp;sourceID=13","")</f>
        <v/>
      </c>
      <c r="AA69" s="4" t="str">
        <f>HYPERLINK("http://141.218.60.56/~jnz1568/getInfo.php?workbook=02_01.xlsx&amp;sheet=A0&amp;row=69&amp;col=27&amp;number=&amp;sourceID=20","")</f>
        <v/>
      </c>
    </row>
    <row r="70" spans="1:27">
      <c r="A70" s="3">
        <v>2</v>
      </c>
      <c r="B70" s="3">
        <v>1</v>
      </c>
      <c r="C70" s="3">
        <v>13</v>
      </c>
      <c r="D70" s="3">
        <v>5</v>
      </c>
      <c r="E70" s="3">
        <f>((1/(INDEX(E0!J$4:J$28,C70,1)-INDEX(E0!J$4:J$28,D70,1))))*100000000</f>
        <v>0</v>
      </c>
      <c r="F70" s="4" t="str">
        <f>HYPERLINK("http://141.218.60.56/~jnz1568/getInfo.php?workbook=02_01.xlsx&amp;sheet=A0&amp;row=70&amp;col=6&amp;number=&amp;sourceID=18","")</f>
        <v/>
      </c>
      <c r="G70" s="4" t="str">
        <f>HYPERLINK("http://141.218.60.56/~jnz1568/getInfo.php?workbook=02_01.xlsx&amp;sheet=A0&amp;row=70&amp;col=7&amp;number==SUM(H70:M70)&amp;sourceID=11","=SUM(H70:M70)")</f>
        <v>=SUM(H70:M70)</v>
      </c>
      <c r="H70" s="4" t="str">
        <f>HYPERLINK("http://141.218.60.56/~jnz1568/getInfo.php?workbook=02_01.xlsx&amp;sheet=A0&amp;row=70&amp;col=8&amp;number=&amp;sourceID=11","")</f>
        <v/>
      </c>
      <c r="I70" s="4" t="str">
        <f>HYPERLINK("http://141.218.60.56/~jnz1568/getInfo.php?workbook=02_01.xlsx&amp;sheet=A0&amp;row=70&amp;col=9&amp;number=81.625&amp;sourceID=11","81.625")</f>
        <v>81.625</v>
      </c>
      <c r="J70" s="4" t="str">
        <f>HYPERLINK("http://141.218.60.56/~jnz1568/getInfo.php?workbook=02_01.xlsx&amp;sheet=A0&amp;row=70&amp;col=10&amp;number=&amp;sourceID=11","")</f>
        <v/>
      </c>
      <c r="K70" s="4" t="str">
        <f>HYPERLINK("http://141.218.60.56/~jnz1568/getInfo.php?workbook=02_01.xlsx&amp;sheet=A0&amp;row=70&amp;col=11&amp;number=1.9664e-07&amp;sourceID=11","1.9664e-07")</f>
        <v>1.9664e-07</v>
      </c>
      <c r="L70" s="4" t="str">
        <f>HYPERLINK("http://141.218.60.56/~jnz1568/getInfo.php?workbook=02_01.xlsx&amp;sheet=A0&amp;row=70&amp;col=12&amp;number=&amp;sourceID=11","")</f>
        <v/>
      </c>
      <c r="M70" s="4" t="str">
        <f>HYPERLINK("http://141.218.60.56/~jnz1568/getInfo.php?workbook=02_01.xlsx&amp;sheet=A0&amp;row=70&amp;col=13&amp;number=&amp;sourceID=11","")</f>
        <v/>
      </c>
      <c r="N70" s="4" t="str">
        <f>HYPERLINK("http://141.218.60.56/~jnz1568/getInfo.php?workbook=02_01.xlsx&amp;sheet=A0&amp;row=70&amp;col=14&amp;number=81.636&amp;sourceID=12","81.636")</f>
        <v>81.636</v>
      </c>
      <c r="O70" s="4" t="str">
        <f>HYPERLINK("http://141.218.60.56/~jnz1568/getInfo.php?workbook=02_01.xlsx&amp;sheet=A0&amp;row=70&amp;col=15&amp;number=&amp;sourceID=12","")</f>
        <v/>
      </c>
      <c r="P70" s="4" t="str">
        <f>HYPERLINK("http://141.218.60.56/~jnz1568/getInfo.php?workbook=02_01.xlsx&amp;sheet=A0&amp;row=70&amp;col=16&amp;number=81.636&amp;sourceID=12","81.636")</f>
        <v>81.636</v>
      </c>
      <c r="Q70" s="4" t="str">
        <f>HYPERLINK("http://141.218.60.56/~jnz1568/getInfo.php?workbook=02_01.xlsx&amp;sheet=A0&amp;row=70&amp;col=17&amp;number=&amp;sourceID=12","")</f>
        <v/>
      </c>
      <c r="R70" s="4" t="str">
        <f>HYPERLINK("http://141.218.60.56/~jnz1568/getInfo.php?workbook=02_01.xlsx&amp;sheet=A0&amp;row=70&amp;col=18&amp;number=1.9669e-07&amp;sourceID=12","1.9669e-07")</f>
        <v>1.9669e-07</v>
      </c>
      <c r="S70" s="4" t="str">
        <f>HYPERLINK("http://141.218.60.56/~jnz1568/getInfo.php?workbook=02_01.xlsx&amp;sheet=A0&amp;row=70&amp;col=19&amp;number=&amp;sourceID=12","")</f>
        <v/>
      </c>
      <c r="T70" s="4" t="str">
        <f>HYPERLINK("http://141.218.60.56/~jnz1568/getInfo.php?workbook=02_01.xlsx&amp;sheet=A0&amp;row=70&amp;col=20&amp;number=&amp;sourceID=12","")</f>
        <v/>
      </c>
      <c r="U70" s="4" t="str">
        <f>HYPERLINK("http://141.218.60.56/~jnz1568/getInfo.php?workbook=02_01.xlsx&amp;sheet=A0&amp;row=70&amp;col=21&amp;number==&amp;sourceID=13","=")</f>
        <v>=</v>
      </c>
      <c r="V70" s="4" t="str">
        <f>HYPERLINK("http://141.218.60.56/~jnz1568/getInfo.php?workbook=02_01.xlsx&amp;sheet=A0&amp;row=70&amp;col=22&amp;number=&amp;sourceID=13","")</f>
        <v/>
      </c>
      <c r="W70" s="4" t="str">
        <f>HYPERLINK("http://141.218.60.56/~jnz1568/getInfo.php?workbook=02_01.xlsx&amp;sheet=A0&amp;row=70&amp;col=23&amp;number=81.6&amp;sourceID=13","81.6")</f>
        <v>81.6</v>
      </c>
      <c r="X70" s="4" t="str">
        <f>HYPERLINK("http://141.218.60.56/~jnz1568/getInfo.php?workbook=02_01.xlsx&amp;sheet=A0&amp;row=70&amp;col=24&amp;number=&amp;sourceID=13","")</f>
        <v/>
      </c>
      <c r="Y70" s="4" t="str">
        <f>HYPERLINK("http://141.218.60.56/~jnz1568/getInfo.php?workbook=02_01.xlsx&amp;sheet=A0&amp;row=70&amp;col=25&amp;number=1.88e-07&amp;sourceID=13","1.88e-07")</f>
        <v>1.88e-07</v>
      </c>
      <c r="Z70" s="4" t="str">
        <f>HYPERLINK("http://141.218.60.56/~jnz1568/getInfo.php?workbook=02_01.xlsx&amp;sheet=A0&amp;row=70&amp;col=26&amp;number=&amp;sourceID=13","")</f>
        <v/>
      </c>
      <c r="AA70" s="4" t="str">
        <f>HYPERLINK("http://141.218.60.56/~jnz1568/getInfo.php?workbook=02_01.xlsx&amp;sheet=A0&amp;row=70&amp;col=27&amp;number=&amp;sourceID=20","")</f>
        <v/>
      </c>
    </row>
    <row r="71" spans="1:27">
      <c r="A71" s="3">
        <v>2</v>
      </c>
      <c r="B71" s="3">
        <v>1</v>
      </c>
      <c r="C71" s="3">
        <v>13</v>
      </c>
      <c r="D71" s="3">
        <v>6</v>
      </c>
      <c r="E71" s="3">
        <f>((1/(INDEX(E0!J$4:J$28,C71,1)-INDEX(E0!J$4:J$28,D71,1))))*100000000</f>
        <v>0</v>
      </c>
      <c r="F71" s="4" t="str">
        <f>HYPERLINK("http://141.218.60.56/~jnz1568/getInfo.php?workbook=02_01.xlsx&amp;sheet=A0&amp;row=71&amp;col=6&amp;number=&amp;sourceID=18","")</f>
        <v/>
      </c>
      <c r="G71" s="4" t="str">
        <f>HYPERLINK("http://141.218.60.56/~jnz1568/getInfo.php?workbook=02_01.xlsx&amp;sheet=A0&amp;row=71&amp;col=7&amp;number==&amp;sourceID=11","=")</f>
        <v>=</v>
      </c>
      <c r="H71" s="4" t="str">
        <f>HYPERLINK("http://141.218.60.56/~jnz1568/getInfo.php?workbook=02_01.xlsx&amp;sheet=A0&amp;row=71&amp;col=8&amp;number=49057000&amp;sourceID=11","49057000")</f>
        <v>49057000</v>
      </c>
      <c r="I71" s="4" t="str">
        <f>HYPERLINK("http://141.218.60.56/~jnz1568/getInfo.php?workbook=02_01.xlsx&amp;sheet=A0&amp;row=71&amp;col=9&amp;number=&amp;sourceID=11","")</f>
        <v/>
      </c>
      <c r="J71" s="4" t="str">
        <f>HYPERLINK("http://141.218.60.56/~jnz1568/getInfo.php?workbook=02_01.xlsx&amp;sheet=A0&amp;row=71&amp;col=10&amp;number=&amp;sourceID=11","")</f>
        <v/>
      </c>
      <c r="K71" s="4" t="str">
        <f>HYPERLINK("http://141.218.60.56/~jnz1568/getInfo.php?workbook=02_01.xlsx&amp;sheet=A0&amp;row=71&amp;col=11&amp;number=&amp;sourceID=11","")</f>
        <v/>
      </c>
      <c r="L71" s="4" t="str">
        <f>HYPERLINK("http://141.218.60.56/~jnz1568/getInfo.php?workbook=02_01.xlsx&amp;sheet=A0&amp;row=71&amp;col=12&amp;number=0.00024659&amp;sourceID=11","0.00024659")</f>
        <v>0.00024659</v>
      </c>
      <c r="M71" s="4" t="str">
        <f>HYPERLINK("http://141.218.60.56/~jnz1568/getInfo.php?workbook=02_01.xlsx&amp;sheet=A0&amp;row=71&amp;col=13&amp;number=&amp;sourceID=11","")</f>
        <v/>
      </c>
      <c r="N71" s="4" t="str">
        <f>HYPERLINK("http://141.218.60.56/~jnz1568/getInfo.php?workbook=02_01.xlsx&amp;sheet=A0&amp;row=71&amp;col=14&amp;number=49063000&amp;sourceID=12","49063000")</f>
        <v>49063000</v>
      </c>
      <c r="O71" s="4" t="str">
        <f>HYPERLINK("http://141.218.60.56/~jnz1568/getInfo.php?workbook=02_01.xlsx&amp;sheet=A0&amp;row=71&amp;col=15&amp;number=49063000&amp;sourceID=12","49063000")</f>
        <v>49063000</v>
      </c>
      <c r="P71" s="4" t="str">
        <f>HYPERLINK("http://141.218.60.56/~jnz1568/getInfo.php?workbook=02_01.xlsx&amp;sheet=A0&amp;row=71&amp;col=16&amp;number=&amp;sourceID=12","")</f>
        <v/>
      </c>
      <c r="Q71" s="4" t="str">
        <f>HYPERLINK("http://141.218.60.56/~jnz1568/getInfo.php?workbook=02_01.xlsx&amp;sheet=A0&amp;row=71&amp;col=17&amp;number=&amp;sourceID=12","")</f>
        <v/>
      </c>
      <c r="R71" s="4" t="str">
        <f>HYPERLINK("http://141.218.60.56/~jnz1568/getInfo.php?workbook=02_01.xlsx&amp;sheet=A0&amp;row=71&amp;col=18&amp;number=&amp;sourceID=12","")</f>
        <v/>
      </c>
      <c r="S71" s="4" t="str">
        <f>HYPERLINK("http://141.218.60.56/~jnz1568/getInfo.php?workbook=02_01.xlsx&amp;sheet=A0&amp;row=71&amp;col=19&amp;number=0.00024663&amp;sourceID=12","0.00024663")</f>
        <v>0.00024663</v>
      </c>
      <c r="T71" s="4" t="str">
        <f>HYPERLINK("http://141.218.60.56/~jnz1568/getInfo.php?workbook=02_01.xlsx&amp;sheet=A0&amp;row=71&amp;col=20&amp;number=&amp;sourceID=12","")</f>
        <v/>
      </c>
      <c r="U71" s="4" t="str">
        <f>HYPERLINK("http://141.218.60.56/~jnz1568/getInfo.php?workbook=02_01.xlsx&amp;sheet=A0&amp;row=71&amp;col=21&amp;number==&amp;sourceID=13","=")</f>
        <v>=</v>
      </c>
      <c r="V71" s="4" t="str">
        <f>HYPERLINK("http://141.218.60.56/~jnz1568/getInfo.php?workbook=02_01.xlsx&amp;sheet=A0&amp;row=71&amp;col=22&amp;number=49000000&amp;sourceID=13","49000000")</f>
        <v>49000000</v>
      </c>
      <c r="W71" s="4" t="str">
        <f>HYPERLINK("http://141.218.60.56/~jnz1568/getInfo.php?workbook=02_01.xlsx&amp;sheet=A0&amp;row=71&amp;col=23&amp;number=&amp;sourceID=13","")</f>
        <v/>
      </c>
      <c r="X71" s="4" t="str">
        <f>HYPERLINK("http://141.218.60.56/~jnz1568/getInfo.php?workbook=02_01.xlsx&amp;sheet=A0&amp;row=71&amp;col=24&amp;number=&amp;sourceID=13","")</f>
        <v/>
      </c>
      <c r="Y71" s="4" t="str">
        <f>HYPERLINK("http://141.218.60.56/~jnz1568/getInfo.php?workbook=02_01.xlsx&amp;sheet=A0&amp;row=71&amp;col=25&amp;number=&amp;sourceID=13","")</f>
        <v/>
      </c>
      <c r="Z71" s="4" t="str">
        <f>HYPERLINK("http://141.218.60.56/~jnz1568/getInfo.php?workbook=02_01.xlsx&amp;sheet=A0&amp;row=71&amp;col=26&amp;number=&amp;sourceID=13","")</f>
        <v/>
      </c>
      <c r="AA71" s="4" t="str">
        <f>HYPERLINK("http://141.218.60.56/~jnz1568/getInfo.php?workbook=02_01.xlsx&amp;sheet=A0&amp;row=71&amp;col=27&amp;number=&amp;sourceID=20","")</f>
        <v/>
      </c>
    </row>
    <row r="72" spans="1:27">
      <c r="A72" s="3">
        <v>2</v>
      </c>
      <c r="B72" s="3">
        <v>1</v>
      </c>
      <c r="C72" s="3">
        <v>13</v>
      </c>
      <c r="D72" s="3">
        <v>7</v>
      </c>
      <c r="E72" s="3">
        <f>((1/(INDEX(E0!J$4:J$28,C72,1)-INDEX(E0!J$4:J$28,D72,1))))*100000000</f>
        <v>0</v>
      </c>
      <c r="F72" s="4" t="str">
        <f>HYPERLINK("http://141.218.60.56/~jnz1568/getInfo.php?workbook=02_01.xlsx&amp;sheet=A0&amp;row=72&amp;col=6&amp;number=&amp;sourceID=18","")</f>
        <v/>
      </c>
      <c r="G72" s="4" t="str">
        <f>HYPERLINK("http://141.218.60.56/~jnz1568/getInfo.php?workbook=02_01.xlsx&amp;sheet=A0&amp;row=72&amp;col=7&amp;number==&amp;sourceID=11","=")</f>
        <v>=</v>
      </c>
      <c r="H72" s="4" t="str">
        <f>HYPERLINK("http://141.218.60.56/~jnz1568/getInfo.php?workbook=02_01.xlsx&amp;sheet=A0&amp;row=72&amp;col=8&amp;number=556310&amp;sourceID=11","556310")</f>
        <v>556310</v>
      </c>
      <c r="I72" s="4" t="str">
        <f>HYPERLINK("http://141.218.60.56/~jnz1568/getInfo.php?workbook=02_01.xlsx&amp;sheet=A0&amp;row=72&amp;col=9&amp;number=&amp;sourceID=11","")</f>
        <v/>
      </c>
      <c r="J72" s="4" t="str">
        <f>HYPERLINK("http://141.218.60.56/~jnz1568/getInfo.php?workbook=02_01.xlsx&amp;sheet=A0&amp;row=72&amp;col=10&amp;number=7.2138e-05&amp;sourceID=11","7.2138e-05")</f>
        <v>7.2138e-05</v>
      </c>
      <c r="K72" s="4" t="str">
        <f>HYPERLINK("http://141.218.60.56/~jnz1568/getInfo.php?workbook=02_01.xlsx&amp;sheet=A0&amp;row=72&amp;col=11&amp;number=&amp;sourceID=11","")</f>
        <v/>
      </c>
      <c r="L72" s="4" t="str">
        <f>HYPERLINK("http://141.218.60.56/~jnz1568/getInfo.php?workbook=02_01.xlsx&amp;sheet=A0&amp;row=72&amp;col=12&amp;number=&amp;sourceID=11","")</f>
        <v/>
      </c>
      <c r="M72" s="4" t="str">
        <f>HYPERLINK("http://141.218.60.56/~jnz1568/getInfo.php?workbook=02_01.xlsx&amp;sheet=A0&amp;row=72&amp;col=13&amp;number=&amp;sourceID=11","")</f>
        <v/>
      </c>
      <c r="N72" s="4" t="str">
        <f>HYPERLINK("http://141.218.60.56/~jnz1568/getInfo.php?workbook=02_01.xlsx&amp;sheet=A0&amp;row=72&amp;col=14&amp;number=556380&amp;sourceID=12","556380")</f>
        <v>556380</v>
      </c>
      <c r="O72" s="4" t="str">
        <f>HYPERLINK("http://141.218.60.56/~jnz1568/getInfo.php?workbook=02_01.xlsx&amp;sheet=A0&amp;row=72&amp;col=15&amp;number=556380&amp;sourceID=12","556380")</f>
        <v>556380</v>
      </c>
      <c r="P72" s="4" t="str">
        <f>HYPERLINK("http://141.218.60.56/~jnz1568/getInfo.php?workbook=02_01.xlsx&amp;sheet=A0&amp;row=72&amp;col=16&amp;number=&amp;sourceID=12","")</f>
        <v/>
      </c>
      <c r="Q72" s="4" t="str">
        <f>HYPERLINK("http://141.218.60.56/~jnz1568/getInfo.php?workbook=02_01.xlsx&amp;sheet=A0&amp;row=72&amp;col=17&amp;number=7.2148e-05&amp;sourceID=12","7.2148e-05")</f>
        <v>7.2148e-05</v>
      </c>
      <c r="R72" s="4" t="str">
        <f>HYPERLINK("http://141.218.60.56/~jnz1568/getInfo.php?workbook=02_01.xlsx&amp;sheet=A0&amp;row=72&amp;col=18&amp;number=&amp;sourceID=12","")</f>
        <v/>
      </c>
      <c r="S72" s="4" t="str">
        <f>HYPERLINK("http://141.218.60.56/~jnz1568/getInfo.php?workbook=02_01.xlsx&amp;sheet=A0&amp;row=72&amp;col=19&amp;number=&amp;sourceID=12","")</f>
        <v/>
      </c>
      <c r="T72" s="4" t="str">
        <f>HYPERLINK("http://141.218.60.56/~jnz1568/getInfo.php?workbook=02_01.xlsx&amp;sheet=A0&amp;row=72&amp;col=20&amp;number=&amp;sourceID=12","")</f>
        <v/>
      </c>
      <c r="U72" s="4" t="str">
        <f>HYPERLINK("http://141.218.60.56/~jnz1568/getInfo.php?workbook=02_01.xlsx&amp;sheet=A0&amp;row=72&amp;col=21&amp;number==&amp;sourceID=13","=")</f>
        <v>=</v>
      </c>
      <c r="V72" s="4" t="str">
        <f>HYPERLINK("http://141.218.60.56/~jnz1568/getInfo.php?workbook=02_01.xlsx&amp;sheet=A0&amp;row=72&amp;col=22&amp;number=556000&amp;sourceID=13","556000")</f>
        <v>556000</v>
      </c>
      <c r="W72" s="4" t="str">
        <f>HYPERLINK("http://141.218.60.56/~jnz1568/getInfo.php?workbook=02_01.xlsx&amp;sheet=A0&amp;row=72&amp;col=23&amp;number=&amp;sourceID=13","")</f>
        <v/>
      </c>
      <c r="X72" s="4" t="str">
        <f>HYPERLINK("http://141.218.60.56/~jnz1568/getInfo.php?workbook=02_01.xlsx&amp;sheet=A0&amp;row=72&amp;col=24&amp;number=&amp;sourceID=13","")</f>
        <v/>
      </c>
      <c r="Y72" s="4" t="str">
        <f>HYPERLINK("http://141.218.60.56/~jnz1568/getInfo.php?workbook=02_01.xlsx&amp;sheet=A0&amp;row=72&amp;col=25&amp;number=&amp;sourceID=13","")</f>
        <v/>
      </c>
      <c r="Z72" s="4" t="str">
        <f>HYPERLINK("http://141.218.60.56/~jnz1568/getInfo.php?workbook=02_01.xlsx&amp;sheet=A0&amp;row=72&amp;col=26&amp;number=&amp;sourceID=13","")</f>
        <v/>
      </c>
      <c r="AA72" s="4" t="str">
        <f>HYPERLINK("http://141.218.60.56/~jnz1568/getInfo.php?workbook=02_01.xlsx&amp;sheet=A0&amp;row=72&amp;col=27&amp;number=&amp;sourceID=20","")</f>
        <v/>
      </c>
    </row>
    <row r="73" spans="1:27">
      <c r="A73" s="3">
        <v>2</v>
      </c>
      <c r="B73" s="3">
        <v>1</v>
      </c>
      <c r="C73" s="3">
        <v>13</v>
      </c>
      <c r="D73" s="3">
        <v>8</v>
      </c>
      <c r="E73" s="3">
        <f>((1/(INDEX(E0!J$4:J$28,C73,1)-INDEX(E0!J$4:J$28,D73,1))))*100000000</f>
        <v>0</v>
      </c>
      <c r="F73" s="4" t="str">
        <f>HYPERLINK("http://141.218.60.56/~jnz1568/getInfo.php?workbook=02_01.xlsx&amp;sheet=A0&amp;row=73&amp;col=6&amp;number=&amp;sourceID=18","")</f>
        <v/>
      </c>
      <c r="G73" s="4" t="str">
        <f>HYPERLINK("http://141.218.60.56/~jnz1568/getInfo.php?workbook=02_01.xlsx&amp;sheet=A0&amp;row=73&amp;col=7&amp;number==&amp;sourceID=11","=")</f>
        <v>=</v>
      </c>
      <c r="H73" s="4" t="str">
        <f>HYPERLINK("http://141.218.60.56/~jnz1568/getInfo.php?workbook=02_01.xlsx&amp;sheet=A0&amp;row=73&amp;col=8&amp;number=&amp;sourceID=11","")</f>
        <v/>
      </c>
      <c r="I73" s="4" t="str">
        <f>HYPERLINK("http://141.218.60.56/~jnz1568/getInfo.php?workbook=02_01.xlsx&amp;sheet=A0&amp;row=73&amp;col=9&amp;number=81.62&amp;sourceID=11","81.62")</f>
        <v>81.62</v>
      </c>
      <c r="J73" s="4" t="str">
        <f>HYPERLINK("http://141.218.60.56/~jnz1568/getInfo.php?workbook=02_01.xlsx&amp;sheet=A0&amp;row=73&amp;col=10&amp;number=&amp;sourceID=11","")</f>
        <v/>
      </c>
      <c r="K73" s="4" t="str">
        <f>HYPERLINK("http://141.218.60.56/~jnz1568/getInfo.php?workbook=02_01.xlsx&amp;sheet=A0&amp;row=73&amp;col=11&amp;number=4.7429e-08&amp;sourceID=11","4.7429e-08")</f>
        <v>4.7429e-08</v>
      </c>
      <c r="L73" s="4" t="str">
        <f>HYPERLINK("http://141.218.60.56/~jnz1568/getInfo.php?workbook=02_01.xlsx&amp;sheet=A0&amp;row=73&amp;col=12&amp;number=&amp;sourceID=11","")</f>
        <v/>
      </c>
      <c r="M73" s="4" t="str">
        <f>HYPERLINK("http://141.218.60.56/~jnz1568/getInfo.php?workbook=02_01.xlsx&amp;sheet=A0&amp;row=73&amp;col=13&amp;number=8.7512e-10&amp;sourceID=11","8.7512e-10")</f>
        <v>8.7512e-10</v>
      </c>
      <c r="N73" s="4" t="str">
        <f>HYPERLINK("http://141.218.60.56/~jnz1568/getInfo.php?workbook=02_01.xlsx&amp;sheet=A0&amp;row=73&amp;col=14&amp;number=81.631&amp;sourceID=12","81.631")</f>
        <v>81.631</v>
      </c>
      <c r="O73" s="4" t="str">
        <f>HYPERLINK("http://141.218.60.56/~jnz1568/getInfo.php?workbook=02_01.xlsx&amp;sheet=A0&amp;row=73&amp;col=15&amp;number=&amp;sourceID=12","")</f>
        <v/>
      </c>
      <c r="P73" s="4" t="str">
        <f>HYPERLINK("http://141.218.60.56/~jnz1568/getInfo.php?workbook=02_01.xlsx&amp;sheet=A0&amp;row=73&amp;col=16&amp;number=81.631&amp;sourceID=12","81.631")</f>
        <v>81.631</v>
      </c>
      <c r="Q73" s="4" t="str">
        <f>HYPERLINK("http://141.218.60.56/~jnz1568/getInfo.php?workbook=02_01.xlsx&amp;sheet=A0&amp;row=73&amp;col=17&amp;number=&amp;sourceID=12","")</f>
        <v/>
      </c>
      <c r="R73" s="4" t="str">
        <f>HYPERLINK("http://141.218.60.56/~jnz1568/getInfo.php?workbook=02_01.xlsx&amp;sheet=A0&amp;row=73&amp;col=18&amp;number=4.7263e-08&amp;sourceID=12","4.7263e-08")</f>
        <v>4.7263e-08</v>
      </c>
      <c r="S73" s="4" t="str">
        <f>HYPERLINK("http://141.218.60.56/~jnz1568/getInfo.php?workbook=02_01.xlsx&amp;sheet=A0&amp;row=73&amp;col=19&amp;number=&amp;sourceID=12","")</f>
        <v/>
      </c>
      <c r="T73" s="4" t="str">
        <f>HYPERLINK("http://141.218.60.56/~jnz1568/getInfo.php?workbook=02_01.xlsx&amp;sheet=A0&amp;row=73&amp;col=20&amp;number=8.7523e-10&amp;sourceID=12","8.7523e-10")</f>
        <v>8.7523e-10</v>
      </c>
      <c r="U73" s="4" t="str">
        <f>HYPERLINK("http://141.218.60.56/~jnz1568/getInfo.php?workbook=02_01.xlsx&amp;sheet=A0&amp;row=73&amp;col=21&amp;number==&amp;sourceID=13","=")</f>
        <v>=</v>
      </c>
      <c r="V73" s="4" t="str">
        <f>HYPERLINK("http://141.218.60.56/~jnz1568/getInfo.php?workbook=02_01.xlsx&amp;sheet=A0&amp;row=73&amp;col=22&amp;number=&amp;sourceID=13","")</f>
        <v/>
      </c>
      <c r="W73" s="4" t="str">
        <f>HYPERLINK("http://141.218.60.56/~jnz1568/getInfo.php?workbook=02_01.xlsx&amp;sheet=A0&amp;row=73&amp;col=23&amp;number=81.6&amp;sourceID=13","81.6")</f>
        <v>81.6</v>
      </c>
      <c r="X73" s="4" t="str">
        <f>HYPERLINK("http://141.218.60.56/~jnz1568/getInfo.php?workbook=02_01.xlsx&amp;sheet=A0&amp;row=73&amp;col=24&amp;number=&amp;sourceID=13","")</f>
        <v/>
      </c>
      <c r="Y73" s="4" t="str">
        <f>HYPERLINK("http://141.218.60.56/~jnz1568/getInfo.php?workbook=02_01.xlsx&amp;sheet=A0&amp;row=73&amp;col=25&amp;number=4.73e-08&amp;sourceID=13","4.73e-08")</f>
        <v>4.73e-08</v>
      </c>
      <c r="Z73" s="4" t="str">
        <f>HYPERLINK("http://141.218.60.56/~jnz1568/getInfo.php?workbook=02_01.xlsx&amp;sheet=A0&amp;row=73&amp;col=26&amp;number=&amp;sourceID=13","")</f>
        <v/>
      </c>
      <c r="AA73" s="4" t="str">
        <f>HYPERLINK("http://141.218.60.56/~jnz1568/getInfo.php?workbook=02_01.xlsx&amp;sheet=A0&amp;row=73&amp;col=27&amp;number=&amp;sourceID=20","")</f>
        <v/>
      </c>
    </row>
    <row r="74" spans="1:27">
      <c r="A74" s="3">
        <v>2</v>
      </c>
      <c r="B74" s="3">
        <v>1</v>
      </c>
      <c r="C74" s="3">
        <v>13</v>
      </c>
      <c r="D74" s="3">
        <v>9</v>
      </c>
      <c r="E74" s="3">
        <f>((1/(INDEX(E0!J$4:J$28,C74,1)-INDEX(E0!J$4:J$28,D74,1))))*100000000</f>
        <v>0</v>
      </c>
      <c r="F74" s="4" t="str">
        <f>HYPERLINK("http://141.218.60.56/~jnz1568/getInfo.php?workbook=02_01.xlsx&amp;sheet=A0&amp;row=74&amp;col=6&amp;number=&amp;sourceID=18","")</f>
        <v/>
      </c>
      <c r="G74" s="4" t="str">
        <f>HYPERLINK("http://141.218.60.56/~jnz1568/getInfo.php?workbook=02_01.xlsx&amp;sheet=A0&amp;row=74&amp;col=7&amp;number==&amp;sourceID=11","=")</f>
        <v>=</v>
      </c>
      <c r="H74" s="4" t="str">
        <f>HYPERLINK("http://141.218.60.56/~jnz1568/getInfo.php?workbook=02_01.xlsx&amp;sheet=A0&amp;row=74&amp;col=8&amp;number=5007700&amp;sourceID=11","5007700")</f>
        <v>5007700</v>
      </c>
      <c r="I74" s="4" t="str">
        <f>HYPERLINK("http://141.218.60.56/~jnz1568/getInfo.php?workbook=02_01.xlsx&amp;sheet=A0&amp;row=74&amp;col=9&amp;number=&amp;sourceID=11","")</f>
        <v/>
      </c>
      <c r="J74" s="4" t="str">
        <f>HYPERLINK("http://141.218.60.56/~jnz1568/getInfo.php?workbook=02_01.xlsx&amp;sheet=A0&amp;row=74&amp;col=10&amp;number=4.8088e-05&amp;sourceID=11","4.8088e-05")</f>
        <v>4.8088e-05</v>
      </c>
      <c r="K74" s="4" t="str">
        <f>HYPERLINK("http://141.218.60.56/~jnz1568/getInfo.php?workbook=02_01.xlsx&amp;sheet=A0&amp;row=74&amp;col=11&amp;number=&amp;sourceID=11","")</f>
        <v/>
      </c>
      <c r="L74" s="4" t="str">
        <f>HYPERLINK("http://141.218.60.56/~jnz1568/getInfo.php?workbook=02_01.xlsx&amp;sheet=A0&amp;row=74&amp;col=12&amp;number=3.2624e-05&amp;sourceID=11","3.2624e-05")</f>
        <v>3.2624e-05</v>
      </c>
      <c r="M74" s="4" t="str">
        <f>HYPERLINK("http://141.218.60.56/~jnz1568/getInfo.php?workbook=02_01.xlsx&amp;sheet=A0&amp;row=74&amp;col=13&amp;number=&amp;sourceID=11","")</f>
        <v/>
      </c>
      <c r="N74" s="4" t="str">
        <f>HYPERLINK("http://141.218.60.56/~jnz1568/getInfo.php?workbook=02_01.xlsx&amp;sheet=A0&amp;row=74&amp;col=14&amp;number=5008400&amp;sourceID=12","5008400")</f>
        <v>5008400</v>
      </c>
      <c r="O74" s="4" t="str">
        <f>HYPERLINK("http://141.218.60.56/~jnz1568/getInfo.php?workbook=02_01.xlsx&amp;sheet=A0&amp;row=74&amp;col=15&amp;number=5008400&amp;sourceID=12","5008400")</f>
        <v>5008400</v>
      </c>
      <c r="P74" s="4" t="str">
        <f>HYPERLINK("http://141.218.60.56/~jnz1568/getInfo.php?workbook=02_01.xlsx&amp;sheet=A0&amp;row=74&amp;col=16&amp;number=&amp;sourceID=12","")</f>
        <v/>
      </c>
      <c r="Q74" s="4" t="str">
        <f>HYPERLINK("http://141.218.60.56/~jnz1568/getInfo.php?workbook=02_01.xlsx&amp;sheet=A0&amp;row=74&amp;col=17&amp;number=4.8095e-05&amp;sourceID=12","4.8095e-05")</f>
        <v>4.8095e-05</v>
      </c>
      <c r="R74" s="4" t="str">
        <f>HYPERLINK("http://141.218.60.56/~jnz1568/getInfo.php?workbook=02_01.xlsx&amp;sheet=A0&amp;row=74&amp;col=18&amp;number=&amp;sourceID=12","")</f>
        <v/>
      </c>
      <c r="S74" s="4" t="str">
        <f>HYPERLINK("http://141.218.60.56/~jnz1568/getInfo.php?workbook=02_01.xlsx&amp;sheet=A0&amp;row=74&amp;col=19&amp;number=3.2629e-05&amp;sourceID=12","3.2629e-05")</f>
        <v>3.2629e-05</v>
      </c>
      <c r="T74" s="4" t="str">
        <f>HYPERLINK("http://141.218.60.56/~jnz1568/getInfo.php?workbook=02_01.xlsx&amp;sheet=A0&amp;row=74&amp;col=20&amp;number=&amp;sourceID=12","")</f>
        <v/>
      </c>
      <c r="U74" s="4" t="str">
        <f>HYPERLINK("http://141.218.60.56/~jnz1568/getInfo.php?workbook=02_01.xlsx&amp;sheet=A0&amp;row=74&amp;col=21&amp;number==&amp;sourceID=13","=")</f>
        <v>=</v>
      </c>
      <c r="V74" s="4" t="str">
        <f>HYPERLINK("http://141.218.60.56/~jnz1568/getInfo.php?workbook=02_01.xlsx&amp;sheet=A0&amp;row=74&amp;col=22&amp;number=5010000&amp;sourceID=13","5010000")</f>
        <v>5010000</v>
      </c>
      <c r="W74" s="4" t="str">
        <f>HYPERLINK("http://141.218.60.56/~jnz1568/getInfo.php?workbook=02_01.xlsx&amp;sheet=A0&amp;row=74&amp;col=23&amp;number=&amp;sourceID=13","")</f>
        <v/>
      </c>
      <c r="X74" s="4" t="str">
        <f>HYPERLINK("http://141.218.60.56/~jnz1568/getInfo.php?workbook=02_01.xlsx&amp;sheet=A0&amp;row=74&amp;col=24&amp;number=&amp;sourceID=13","")</f>
        <v/>
      </c>
      <c r="Y74" s="4" t="str">
        <f>HYPERLINK("http://141.218.60.56/~jnz1568/getInfo.php?workbook=02_01.xlsx&amp;sheet=A0&amp;row=74&amp;col=25&amp;number=&amp;sourceID=13","")</f>
        <v/>
      </c>
      <c r="Z74" s="4" t="str">
        <f>HYPERLINK("http://141.218.60.56/~jnz1568/getInfo.php?workbook=02_01.xlsx&amp;sheet=A0&amp;row=74&amp;col=26&amp;number=&amp;sourceID=13","")</f>
        <v/>
      </c>
      <c r="AA74" s="4" t="str">
        <f>HYPERLINK("http://141.218.60.56/~jnz1568/getInfo.php?workbook=02_01.xlsx&amp;sheet=A0&amp;row=74&amp;col=27&amp;number=&amp;sourceID=20","")</f>
        <v/>
      </c>
    </row>
    <row r="75" spans="1:27">
      <c r="A75" s="3">
        <v>2</v>
      </c>
      <c r="B75" s="3">
        <v>1</v>
      </c>
      <c r="C75" s="3">
        <v>13</v>
      </c>
      <c r="D75" s="3">
        <v>10</v>
      </c>
      <c r="E75" s="3">
        <f>((1/(INDEX(E0!J$4:J$28,C75,1)-INDEX(E0!J$4:J$28,D75,1))))*100000000</f>
        <v>0</v>
      </c>
      <c r="F75" s="4" t="str">
        <f>HYPERLINK("http://141.218.60.56/~jnz1568/getInfo.php?workbook=02_01.xlsx&amp;sheet=A0&amp;row=75&amp;col=6&amp;number=&amp;sourceID=18","")</f>
        <v/>
      </c>
      <c r="G75" s="4" t="str">
        <f>HYPERLINK("http://141.218.60.56/~jnz1568/getInfo.php?workbook=02_01.xlsx&amp;sheet=A0&amp;row=75&amp;col=7&amp;number==&amp;sourceID=11","=")</f>
        <v>=</v>
      </c>
      <c r="H75" s="4" t="str">
        <f>HYPERLINK("http://141.218.60.56/~jnz1568/getInfo.php?workbook=02_01.xlsx&amp;sheet=A0&amp;row=75&amp;col=8&amp;number=&amp;sourceID=11","")</f>
        <v/>
      </c>
      <c r="I75" s="4" t="str">
        <f>HYPERLINK("http://141.218.60.56/~jnz1568/getInfo.php?workbook=02_01.xlsx&amp;sheet=A0&amp;row=75&amp;col=9&amp;number=0&amp;sourceID=11","0")</f>
        <v>0</v>
      </c>
      <c r="J75" s="4" t="str">
        <f>HYPERLINK("http://141.218.60.56/~jnz1568/getInfo.php?workbook=02_01.xlsx&amp;sheet=A0&amp;row=75&amp;col=10&amp;number=&amp;sourceID=11","")</f>
        <v/>
      </c>
      <c r="K75" s="4" t="str">
        <f>HYPERLINK("http://141.218.60.56/~jnz1568/getInfo.php?workbook=02_01.xlsx&amp;sheet=A0&amp;row=75&amp;col=11&amp;number=3.505e-12&amp;sourceID=11","3.505e-12")</f>
        <v>3.505e-12</v>
      </c>
      <c r="L75" s="4" t="str">
        <f>HYPERLINK("http://141.218.60.56/~jnz1568/getInfo.php?workbook=02_01.xlsx&amp;sheet=A0&amp;row=75&amp;col=12&amp;number=&amp;sourceID=11","")</f>
        <v/>
      </c>
      <c r="M75" s="4" t="str">
        <f>HYPERLINK("http://141.218.60.56/~jnz1568/getInfo.php?workbook=02_01.xlsx&amp;sheet=A0&amp;row=75&amp;col=13&amp;number=&amp;sourceID=11","")</f>
        <v/>
      </c>
      <c r="N75" s="4" t="str">
        <f>HYPERLINK("http://141.218.60.56/~jnz1568/getInfo.php?workbook=02_01.xlsx&amp;sheet=A0&amp;row=75&amp;col=14&amp;number=3.506e-12&amp;sourceID=12","3.506e-12")</f>
        <v>3.506e-12</v>
      </c>
      <c r="O75" s="4" t="str">
        <f>HYPERLINK("http://141.218.60.56/~jnz1568/getInfo.php?workbook=02_01.xlsx&amp;sheet=A0&amp;row=75&amp;col=15&amp;number=&amp;sourceID=12","")</f>
        <v/>
      </c>
      <c r="P75" s="4" t="str">
        <f>HYPERLINK("http://141.218.60.56/~jnz1568/getInfo.php?workbook=02_01.xlsx&amp;sheet=A0&amp;row=75&amp;col=16&amp;number=0&amp;sourceID=12","0")</f>
        <v>0</v>
      </c>
      <c r="Q75" s="4" t="str">
        <f>HYPERLINK("http://141.218.60.56/~jnz1568/getInfo.php?workbook=02_01.xlsx&amp;sheet=A0&amp;row=75&amp;col=17&amp;number=&amp;sourceID=12","")</f>
        <v/>
      </c>
      <c r="R75" s="4" t="str">
        <f>HYPERLINK("http://141.218.60.56/~jnz1568/getInfo.php?workbook=02_01.xlsx&amp;sheet=A0&amp;row=75&amp;col=18&amp;number=3.506e-12&amp;sourceID=12","3.506e-12")</f>
        <v>3.506e-12</v>
      </c>
      <c r="S75" s="4" t="str">
        <f>HYPERLINK("http://141.218.60.56/~jnz1568/getInfo.php?workbook=02_01.xlsx&amp;sheet=A0&amp;row=75&amp;col=19&amp;number=&amp;sourceID=12","")</f>
        <v/>
      </c>
      <c r="T75" s="4" t="str">
        <f>HYPERLINK("http://141.218.60.56/~jnz1568/getInfo.php?workbook=02_01.xlsx&amp;sheet=A0&amp;row=75&amp;col=20&amp;number=&amp;sourceID=12","")</f>
        <v/>
      </c>
      <c r="U75" s="4" t="str">
        <f>HYPERLINK("http://141.218.60.56/~jnz1568/getInfo.php?workbook=02_01.xlsx&amp;sheet=A0&amp;row=75&amp;col=21&amp;number=&amp;sourceID=13","")</f>
        <v/>
      </c>
      <c r="V75" s="4" t="str">
        <f>HYPERLINK("http://141.218.60.56/~jnz1568/getInfo.php?workbook=02_01.xlsx&amp;sheet=A0&amp;row=75&amp;col=22&amp;number=&amp;sourceID=13","")</f>
        <v/>
      </c>
      <c r="W75" s="4" t="str">
        <f>HYPERLINK("http://141.218.60.56/~jnz1568/getInfo.php?workbook=02_01.xlsx&amp;sheet=A0&amp;row=75&amp;col=23&amp;number=&amp;sourceID=13","")</f>
        <v/>
      </c>
      <c r="X75" s="4" t="str">
        <f>HYPERLINK("http://141.218.60.56/~jnz1568/getInfo.php?workbook=02_01.xlsx&amp;sheet=A0&amp;row=75&amp;col=24&amp;number=&amp;sourceID=13","")</f>
        <v/>
      </c>
      <c r="Y75" s="4" t="str">
        <f>HYPERLINK("http://141.218.60.56/~jnz1568/getInfo.php?workbook=02_01.xlsx&amp;sheet=A0&amp;row=75&amp;col=25&amp;number=&amp;sourceID=13","")</f>
        <v/>
      </c>
      <c r="Z75" s="4" t="str">
        <f>HYPERLINK("http://141.218.60.56/~jnz1568/getInfo.php?workbook=02_01.xlsx&amp;sheet=A0&amp;row=75&amp;col=26&amp;number=&amp;sourceID=13","")</f>
        <v/>
      </c>
      <c r="AA75" s="4" t="str">
        <f>HYPERLINK("http://141.218.60.56/~jnz1568/getInfo.php?workbook=02_01.xlsx&amp;sheet=A0&amp;row=75&amp;col=27&amp;number=&amp;sourceID=20","")</f>
        <v/>
      </c>
    </row>
    <row r="76" spans="1:27">
      <c r="A76" s="3">
        <v>2</v>
      </c>
      <c r="B76" s="3">
        <v>1</v>
      </c>
      <c r="C76" s="3">
        <v>13</v>
      </c>
      <c r="D76" s="3">
        <v>11</v>
      </c>
      <c r="E76" s="3">
        <f>((1/(INDEX(E0!J$4:J$28,C76,1)-INDEX(E0!J$4:J$28,D76,1))))*100000000</f>
        <v>0</v>
      </c>
      <c r="F76" s="4" t="str">
        <f>HYPERLINK("http://141.218.60.56/~jnz1568/getInfo.php?workbook=02_01.xlsx&amp;sheet=A0&amp;row=76&amp;col=6&amp;number=&amp;sourceID=18","")</f>
        <v/>
      </c>
      <c r="G76" s="4" t="str">
        <f>HYPERLINK("http://141.218.60.56/~jnz1568/getInfo.php?workbook=02_01.xlsx&amp;sheet=A0&amp;row=76&amp;col=7&amp;number==&amp;sourceID=11","=")</f>
        <v>=</v>
      </c>
      <c r="H76" s="4" t="str">
        <f>HYPERLINK("http://141.218.60.56/~jnz1568/getInfo.php?workbook=02_01.xlsx&amp;sheet=A0&amp;row=76&amp;col=8&amp;number=3.5543e-05&amp;sourceID=11","3.5543e-05")</f>
        <v>3.5543e-05</v>
      </c>
      <c r="I76" s="4" t="str">
        <f>HYPERLINK("http://141.218.60.56/~jnz1568/getInfo.php?workbook=02_01.xlsx&amp;sheet=A0&amp;row=76&amp;col=9&amp;number=&amp;sourceID=11","")</f>
        <v/>
      </c>
      <c r="J76" s="4" t="str">
        <f>HYPERLINK("http://141.218.60.56/~jnz1568/getInfo.php?workbook=02_01.xlsx&amp;sheet=A0&amp;row=76&amp;col=10&amp;number=&amp;sourceID=11","")</f>
        <v/>
      </c>
      <c r="K76" s="4" t="str">
        <f>HYPERLINK("http://141.218.60.56/~jnz1568/getInfo.php?workbook=02_01.xlsx&amp;sheet=A0&amp;row=76&amp;col=11&amp;number=&amp;sourceID=11","")</f>
        <v/>
      </c>
      <c r="L76" s="4" t="str">
        <f>HYPERLINK("http://141.218.60.56/~jnz1568/getInfo.php?workbook=02_01.xlsx&amp;sheet=A0&amp;row=76&amp;col=12&amp;number=0&amp;sourceID=11","0")</f>
        <v>0</v>
      </c>
      <c r="M76" s="4" t="str">
        <f>HYPERLINK("http://141.218.60.56/~jnz1568/getInfo.php?workbook=02_01.xlsx&amp;sheet=A0&amp;row=76&amp;col=13&amp;number=&amp;sourceID=11","")</f>
        <v/>
      </c>
      <c r="N76" s="4" t="str">
        <f>HYPERLINK("http://141.218.60.56/~jnz1568/getInfo.php?workbook=02_01.xlsx&amp;sheet=A0&amp;row=76&amp;col=14&amp;number=3.5557e-05&amp;sourceID=12","3.5557e-05")</f>
        <v>3.5557e-05</v>
      </c>
      <c r="O76" s="4" t="str">
        <f>HYPERLINK("http://141.218.60.56/~jnz1568/getInfo.php?workbook=02_01.xlsx&amp;sheet=A0&amp;row=76&amp;col=15&amp;number=3.5557e-05&amp;sourceID=12","3.5557e-05")</f>
        <v>3.5557e-05</v>
      </c>
      <c r="P76" s="4" t="str">
        <f>HYPERLINK("http://141.218.60.56/~jnz1568/getInfo.php?workbook=02_01.xlsx&amp;sheet=A0&amp;row=76&amp;col=16&amp;number=&amp;sourceID=12","")</f>
        <v/>
      </c>
      <c r="Q76" s="4" t="str">
        <f>HYPERLINK("http://141.218.60.56/~jnz1568/getInfo.php?workbook=02_01.xlsx&amp;sheet=A0&amp;row=76&amp;col=17&amp;number=&amp;sourceID=12","")</f>
        <v/>
      </c>
      <c r="R76" s="4" t="str">
        <f>HYPERLINK("http://141.218.60.56/~jnz1568/getInfo.php?workbook=02_01.xlsx&amp;sheet=A0&amp;row=76&amp;col=18&amp;number=&amp;sourceID=12","")</f>
        <v/>
      </c>
      <c r="S76" s="4" t="str">
        <f>HYPERLINK("http://141.218.60.56/~jnz1568/getInfo.php?workbook=02_01.xlsx&amp;sheet=A0&amp;row=76&amp;col=19&amp;number=0&amp;sourceID=12","0")</f>
        <v>0</v>
      </c>
      <c r="T76" s="4" t="str">
        <f>HYPERLINK("http://141.218.60.56/~jnz1568/getInfo.php?workbook=02_01.xlsx&amp;sheet=A0&amp;row=76&amp;col=20&amp;number=&amp;sourceID=12","")</f>
        <v/>
      </c>
      <c r="U76" s="4" t="str">
        <f>HYPERLINK("http://141.218.60.56/~jnz1568/getInfo.php?workbook=02_01.xlsx&amp;sheet=A0&amp;row=76&amp;col=21&amp;number=&amp;sourceID=13","")</f>
        <v/>
      </c>
      <c r="V76" s="4" t="str">
        <f>HYPERLINK("http://141.218.60.56/~jnz1568/getInfo.php?workbook=02_01.xlsx&amp;sheet=A0&amp;row=76&amp;col=22&amp;number=&amp;sourceID=13","")</f>
        <v/>
      </c>
      <c r="W76" s="4" t="str">
        <f>HYPERLINK("http://141.218.60.56/~jnz1568/getInfo.php?workbook=02_01.xlsx&amp;sheet=A0&amp;row=76&amp;col=23&amp;number=&amp;sourceID=13","")</f>
        <v/>
      </c>
      <c r="X76" s="4" t="str">
        <f>HYPERLINK("http://141.218.60.56/~jnz1568/getInfo.php?workbook=02_01.xlsx&amp;sheet=A0&amp;row=76&amp;col=24&amp;number=&amp;sourceID=13","")</f>
        <v/>
      </c>
      <c r="Y76" s="4" t="str">
        <f>HYPERLINK("http://141.218.60.56/~jnz1568/getInfo.php?workbook=02_01.xlsx&amp;sheet=A0&amp;row=76&amp;col=25&amp;number=&amp;sourceID=13","")</f>
        <v/>
      </c>
      <c r="Z76" s="4" t="str">
        <f>HYPERLINK("http://141.218.60.56/~jnz1568/getInfo.php?workbook=02_01.xlsx&amp;sheet=A0&amp;row=76&amp;col=26&amp;number=&amp;sourceID=13","")</f>
        <v/>
      </c>
      <c r="AA76" s="4" t="str">
        <f>HYPERLINK("http://141.218.60.56/~jnz1568/getInfo.php?workbook=02_01.xlsx&amp;sheet=A0&amp;row=76&amp;col=27&amp;number=&amp;sourceID=20","")</f>
        <v/>
      </c>
    </row>
    <row r="77" spans="1:27">
      <c r="A77" s="3">
        <v>2</v>
      </c>
      <c r="B77" s="3">
        <v>1</v>
      </c>
      <c r="C77" s="3">
        <v>14</v>
      </c>
      <c r="D77" s="3">
        <v>1</v>
      </c>
      <c r="E77" s="3">
        <f>((1/(INDEX(E0!J$4:J$28,C77,1)-INDEX(E0!J$4:J$28,D77,1))))*100000000</f>
        <v>0</v>
      </c>
      <c r="F77" s="4" t="str">
        <f>HYPERLINK("http://141.218.60.56/~jnz1568/getInfo.php?workbook=02_01.xlsx&amp;sheet=A0&amp;row=77&amp;col=6&amp;number=&amp;sourceID=18","")</f>
        <v/>
      </c>
      <c r="G77" s="4" t="str">
        <f>HYPERLINK("http://141.218.60.56/~jnz1568/getInfo.php?workbook=02_01.xlsx&amp;sheet=A0&amp;row=77&amp;col=7&amp;number==&amp;sourceID=11","=")</f>
        <v>=</v>
      </c>
      <c r="H77" s="4" t="str">
        <f>HYPERLINK("http://141.218.60.56/~jnz1568/getInfo.php?workbook=02_01.xlsx&amp;sheet=A0&amp;row=77&amp;col=8&amp;number=&amp;sourceID=11","")</f>
        <v/>
      </c>
      <c r="I77" s="4" t="str">
        <f>HYPERLINK("http://141.218.60.56/~jnz1568/getInfo.php?workbook=02_01.xlsx&amp;sheet=A0&amp;row=77&amp;col=9&amp;number=&amp;sourceID=11","")</f>
        <v/>
      </c>
      <c r="J77" s="4" t="str">
        <f>HYPERLINK("http://141.218.60.56/~jnz1568/getInfo.php?workbook=02_01.xlsx&amp;sheet=A0&amp;row=77&amp;col=10&amp;number=0.079573&amp;sourceID=11","0.079573")</f>
        <v>0.079573</v>
      </c>
      <c r="K77" s="4" t="str">
        <f>HYPERLINK("http://141.218.60.56/~jnz1568/getInfo.php?workbook=02_01.xlsx&amp;sheet=A0&amp;row=77&amp;col=11&amp;number=&amp;sourceID=11","")</f>
        <v/>
      </c>
      <c r="L77" s="4" t="str">
        <f>HYPERLINK("http://141.218.60.56/~jnz1568/getInfo.php?workbook=02_01.xlsx&amp;sheet=A0&amp;row=77&amp;col=12&amp;number=6.666e-12&amp;sourceID=11","6.666e-12")</f>
        <v>6.666e-12</v>
      </c>
      <c r="M77" s="4" t="str">
        <f>HYPERLINK("http://141.218.60.56/~jnz1568/getInfo.php?workbook=02_01.xlsx&amp;sheet=A0&amp;row=77&amp;col=13&amp;number=&amp;sourceID=11","")</f>
        <v/>
      </c>
      <c r="N77" s="4" t="str">
        <f>HYPERLINK("http://141.218.60.56/~jnz1568/getInfo.php?workbook=02_01.xlsx&amp;sheet=A0&amp;row=77&amp;col=14&amp;number=0.079582&amp;sourceID=12","0.079582")</f>
        <v>0.079582</v>
      </c>
      <c r="O77" s="4" t="str">
        <f>HYPERLINK("http://141.218.60.56/~jnz1568/getInfo.php?workbook=02_01.xlsx&amp;sheet=A0&amp;row=77&amp;col=15&amp;number=&amp;sourceID=12","")</f>
        <v/>
      </c>
      <c r="P77" s="4" t="str">
        <f>HYPERLINK("http://141.218.60.56/~jnz1568/getInfo.php?workbook=02_01.xlsx&amp;sheet=A0&amp;row=77&amp;col=16&amp;number=&amp;sourceID=12","")</f>
        <v/>
      </c>
      <c r="Q77" s="4" t="str">
        <f>HYPERLINK("http://141.218.60.56/~jnz1568/getInfo.php?workbook=02_01.xlsx&amp;sheet=A0&amp;row=77&amp;col=17&amp;number=0.079582&amp;sourceID=12","0.079582")</f>
        <v>0.079582</v>
      </c>
      <c r="R77" s="4" t="str">
        <f>HYPERLINK("http://141.218.60.56/~jnz1568/getInfo.php?workbook=02_01.xlsx&amp;sheet=A0&amp;row=77&amp;col=18&amp;number=&amp;sourceID=12","")</f>
        <v/>
      </c>
      <c r="S77" s="4" t="str">
        <f>HYPERLINK("http://141.218.60.56/~jnz1568/getInfo.php?workbook=02_01.xlsx&amp;sheet=A0&amp;row=77&amp;col=19&amp;number=4.472e-12&amp;sourceID=12","4.472e-12")</f>
        <v>4.472e-12</v>
      </c>
      <c r="T77" s="4" t="str">
        <f>HYPERLINK("http://141.218.60.56/~jnz1568/getInfo.php?workbook=02_01.xlsx&amp;sheet=A0&amp;row=77&amp;col=20&amp;number=&amp;sourceID=12","")</f>
        <v/>
      </c>
      <c r="U77" s="4" t="str">
        <f>HYPERLINK("http://141.218.60.56/~jnz1568/getInfo.php?workbook=02_01.xlsx&amp;sheet=A0&amp;row=77&amp;col=21&amp;number==SUM(V77:Z77)&amp;sourceID=13","=SUM(V77:Z77)")</f>
        <v>=SUM(V77:Z77)</v>
      </c>
      <c r="V77" s="4" t="str">
        <f>HYPERLINK("http://141.218.60.56/~jnz1568/getInfo.php?workbook=02_01.xlsx&amp;sheet=A0&amp;row=77&amp;col=22&amp;number=&amp;sourceID=13","")</f>
        <v/>
      </c>
      <c r="W77" s="4" t="str">
        <f>HYPERLINK("http://141.218.60.56/~jnz1568/getInfo.php?workbook=02_01.xlsx&amp;sheet=A0&amp;row=77&amp;col=23&amp;number=&amp;sourceID=13","")</f>
        <v/>
      </c>
      <c r="X77" s="4" t="str">
        <f>HYPERLINK("http://141.218.60.56/~jnz1568/getInfo.php?workbook=02_01.xlsx&amp;sheet=A0&amp;row=77&amp;col=24&amp;number=0.0762&amp;sourceID=13","0.0762")</f>
        <v>0.0762</v>
      </c>
      <c r="Y77" s="4" t="str">
        <f>HYPERLINK("http://141.218.60.56/~jnz1568/getInfo.php?workbook=02_01.xlsx&amp;sheet=A0&amp;row=77&amp;col=25&amp;number=&amp;sourceID=13","")</f>
        <v/>
      </c>
      <c r="Z77" s="4" t="str">
        <f>HYPERLINK("http://141.218.60.56/~jnz1568/getInfo.php?workbook=02_01.xlsx&amp;sheet=A0&amp;row=77&amp;col=26&amp;number=&amp;sourceID=13","")</f>
        <v/>
      </c>
      <c r="AA77" s="4" t="str">
        <f>HYPERLINK("http://141.218.60.56/~jnz1568/getInfo.php?workbook=02_01.xlsx&amp;sheet=A0&amp;row=77&amp;col=27&amp;number=&amp;sourceID=20","")</f>
        <v/>
      </c>
    </row>
    <row r="78" spans="1:27">
      <c r="A78" s="3">
        <v>2</v>
      </c>
      <c r="B78" s="3">
        <v>1</v>
      </c>
      <c r="C78" s="3">
        <v>14</v>
      </c>
      <c r="D78" s="3">
        <v>2</v>
      </c>
      <c r="E78" s="3">
        <f>((1/(INDEX(E0!J$4:J$28,C78,1)-INDEX(E0!J$4:J$28,D78,1))))*100000000</f>
        <v>0</v>
      </c>
      <c r="F78" s="4" t="str">
        <f>HYPERLINK("http://141.218.60.56/~jnz1568/getInfo.php?workbook=02_01.xlsx&amp;sheet=A0&amp;row=78&amp;col=6&amp;number=&amp;sourceID=18","")</f>
        <v/>
      </c>
      <c r="G78" s="4" t="str">
        <f>HYPERLINK("http://141.218.60.56/~jnz1568/getInfo.php?workbook=02_01.xlsx&amp;sheet=A0&amp;row=78&amp;col=7&amp;number==&amp;sourceID=11","=")</f>
        <v>=</v>
      </c>
      <c r="H78" s="4" t="str">
        <f>HYPERLINK("http://141.218.60.56/~jnz1568/getInfo.php?workbook=02_01.xlsx&amp;sheet=A0&amp;row=78&amp;col=8&amp;number=&amp;sourceID=11","")</f>
        <v/>
      </c>
      <c r="I78" s="4" t="str">
        <f>HYPERLINK("http://141.218.60.56/~jnz1568/getInfo.php?workbook=02_01.xlsx&amp;sheet=A0&amp;row=78&amp;col=9&amp;number=3076.5&amp;sourceID=11","3076.5")</f>
        <v>3076.5</v>
      </c>
      <c r="J78" s="4" t="str">
        <f>HYPERLINK("http://141.218.60.56/~jnz1568/getInfo.php?workbook=02_01.xlsx&amp;sheet=A0&amp;row=78&amp;col=10&amp;number=&amp;sourceID=11","")</f>
        <v/>
      </c>
      <c r="K78" s="4" t="str">
        <f>HYPERLINK("http://141.218.60.56/~jnz1568/getInfo.php?workbook=02_01.xlsx&amp;sheet=A0&amp;row=78&amp;col=11&amp;number=&amp;sourceID=11","")</f>
        <v/>
      </c>
      <c r="L78" s="4" t="str">
        <f>HYPERLINK("http://141.218.60.56/~jnz1568/getInfo.php?workbook=02_01.xlsx&amp;sheet=A0&amp;row=78&amp;col=12&amp;number=&amp;sourceID=11","")</f>
        <v/>
      </c>
      <c r="M78" s="4" t="str">
        <f>HYPERLINK("http://141.218.60.56/~jnz1568/getInfo.php?workbook=02_01.xlsx&amp;sheet=A0&amp;row=78&amp;col=13&amp;number=5.5647e-09&amp;sourceID=11","5.5647e-09")</f>
        <v>5.5647e-09</v>
      </c>
      <c r="N78" s="4" t="str">
        <f>HYPERLINK("http://141.218.60.56/~jnz1568/getInfo.php?workbook=02_01.xlsx&amp;sheet=A0&amp;row=78&amp;col=14&amp;number=3076.9&amp;sourceID=12","3076.9")</f>
        <v>3076.9</v>
      </c>
      <c r="O78" s="4" t="str">
        <f>HYPERLINK("http://141.218.60.56/~jnz1568/getInfo.php?workbook=02_01.xlsx&amp;sheet=A0&amp;row=78&amp;col=15&amp;number=&amp;sourceID=12","")</f>
        <v/>
      </c>
      <c r="P78" s="4" t="str">
        <f>HYPERLINK("http://141.218.60.56/~jnz1568/getInfo.php?workbook=02_01.xlsx&amp;sheet=A0&amp;row=78&amp;col=16&amp;number=3076.9&amp;sourceID=12","3076.9")</f>
        <v>3076.9</v>
      </c>
      <c r="Q78" s="4" t="str">
        <f>HYPERLINK("http://141.218.60.56/~jnz1568/getInfo.php?workbook=02_01.xlsx&amp;sheet=A0&amp;row=78&amp;col=17&amp;number=&amp;sourceID=12","")</f>
        <v/>
      </c>
      <c r="R78" s="4" t="str">
        <f>HYPERLINK("http://141.218.60.56/~jnz1568/getInfo.php?workbook=02_01.xlsx&amp;sheet=A0&amp;row=78&amp;col=18&amp;number=&amp;sourceID=12","")</f>
        <v/>
      </c>
      <c r="S78" s="4" t="str">
        <f>HYPERLINK("http://141.218.60.56/~jnz1568/getInfo.php?workbook=02_01.xlsx&amp;sheet=A0&amp;row=78&amp;col=19&amp;number=&amp;sourceID=12","")</f>
        <v/>
      </c>
      <c r="T78" s="4" t="str">
        <f>HYPERLINK("http://141.218.60.56/~jnz1568/getInfo.php?workbook=02_01.xlsx&amp;sheet=A0&amp;row=78&amp;col=20&amp;number=5.5654e-09&amp;sourceID=12","5.5654e-09")</f>
        <v>5.5654e-09</v>
      </c>
      <c r="U78" s="4" t="str">
        <f>HYPERLINK("http://141.218.60.56/~jnz1568/getInfo.php?workbook=02_01.xlsx&amp;sheet=A0&amp;row=78&amp;col=21&amp;number==&amp;sourceID=13","=")</f>
        <v>=</v>
      </c>
      <c r="V78" s="4" t="str">
        <f>HYPERLINK("http://141.218.60.56/~jnz1568/getInfo.php?workbook=02_01.xlsx&amp;sheet=A0&amp;row=78&amp;col=22&amp;number=&amp;sourceID=13","")</f>
        <v/>
      </c>
      <c r="W78" s="4" t="str">
        <f>HYPERLINK("http://141.218.60.56/~jnz1568/getInfo.php?workbook=02_01.xlsx&amp;sheet=A0&amp;row=78&amp;col=23&amp;number=3080&amp;sourceID=13","3080")</f>
        <v>3080</v>
      </c>
      <c r="X78" s="4" t="str">
        <f>HYPERLINK("http://141.218.60.56/~jnz1568/getInfo.php?workbook=02_01.xlsx&amp;sheet=A0&amp;row=78&amp;col=24&amp;number=&amp;sourceID=13","")</f>
        <v/>
      </c>
      <c r="Y78" s="4" t="str">
        <f>HYPERLINK("http://141.218.60.56/~jnz1568/getInfo.php?workbook=02_01.xlsx&amp;sheet=A0&amp;row=78&amp;col=25&amp;number=&amp;sourceID=13","")</f>
        <v/>
      </c>
      <c r="Z78" s="4" t="str">
        <f>HYPERLINK("http://141.218.60.56/~jnz1568/getInfo.php?workbook=02_01.xlsx&amp;sheet=A0&amp;row=78&amp;col=26&amp;number=&amp;sourceID=13","")</f>
        <v/>
      </c>
      <c r="AA78" s="4" t="str">
        <f>HYPERLINK("http://141.218.60.56/~jnz1568/getInfo.php?workbook=02_01.xlsx&amp;sheet=A0&amp;row=78&amp;col=27&amp;number=&amp;sourceID=20","")</f>
        <v/>
      </c>
    </row>
    <row r="79" spans="1:27">
      <c r="A79" s="3">
        <v>2</v>
      </c>
      <c r="B79" s="3">
        <v>1</v>
      </c>
      <c r="C79" s="3">
        <v>14</v>
      </c>
      <c r="D79" s="3">
        <v>3</v>
      </c>
      <c r="E79" s="3">
        <f>((1/(INDEX(E0!J$4:J$28,C79,1)-INDEX(E0!J$4:J$28,D79,1))))*100000000</f>
        <v>0</v>
      </c>
      <c r="F79" s="4" t="str">
        <f>HYPERLINK("http://141.218.60.56/~jnz1568/getInfo.php?workbook=02_01.xlsx&amp;sheet=A0&amp;row=79&amp;col=6&amp;number=&amp;sourceID=18","")</f>
        <v/>
      </c>
      <c r="G79" s="4" t="str">
        <f>HYPERLINK("http://141.218.60.56/~jnz1568/getInfo.php?workbook=02_01.xlsx&amp;sheet=A0&amp;row=79&amp;col=7&amp;number==&amp;sourceID=11","=")</f>
        <v>=</v>
      </c>
      <c r="H79" s="4" t="str">
        <f>HYPERLINK("http://141.218.60.56/~jnz1568/getInfo.php?workbook=02_01.xlsx&amp;sheet=A0&amp;row=79&amp;col=8&amp;number=&amp;sourceID=11","")</f>
        <v/>
      </c>
      <c r="I79" s="4" t="str">
        <f>HYPERLINK("http://141.218.60.56/~jnz1568/getInfo.php?workbook=02_01.xlsx&amp;sheet=A0&amp;row=79&amp;col=9&amp;number=&amp;sourceID=11","")</f>
        <v/>
      </c>
      <c r="J79" s="4" t="str">
        <f>HYPERLINK("http://141.218.60.56/~jnz1568/getInfo.php?workbook=02_01.xlsx&amp;sheet=A0&amp;row=79&amp;col=10&amp;number=0.031349&amp;sourceID=11","0.031349")</f>
        <v>0.031349</v>
      </c>
      <c r="K79" s="4" t="str">
        <f>HYPERLINK("http://141.218.60.56/~jnz1568/getInfo.php?workbook=02_01.xlsx&amp;sheet=A0&amp;row=79&amp;col=11&amp;number=&amp;sourceID=11","")</f>
        <v/>
      </c>
      <c r="L79" s="4" t="str">
        <f>HYPERLINK("http://141.218.60.56/~jnz1568/getInfo.php?workbook=02_01.xlsx&amp;sheet=A0&amp;row=79&amp;col=12&amp;number=3.41e-13&amp;sourceID=11","3.41e-13")</f>
        <v>3.41e-13</v>
      </c>
      <c r="M79" s="4" t="str">
        <f>HYPERLINK("http://141.218.60.56/~jnz1568/getInfo.php?workbook=02_01.xlsx&amp;sheet=A0&amp;row=79&amp;col=13&amp;number=&amp;sourceID=11","")</f>
        <v/>
      </c>
      <c r="N79" s="4" t="str">
        <f>HYPERLINK("http://141.218.60.56/~jnz1568/getInfo.php?workbook=02_01.xlsx&amp;sheet=A0&amp;row=79&amp;col=14&amp;number=0.031353&amp;sourceID=12","0.031353")</f>
        <v>0.031353</v>
      </c>
      <c r="O79" s="4" t="str">
        <f>HYPERLINK("http://141.218.60.56/~jnz1568/getInfo.php?workbook=02_01.xlsx&amp;sheet=A0&amp;row=79&amp;col=15&amp;number=&amp;sourceID=12","")</f>
        <v/>
      </c>
      <c r="P79" s="4" t="str">
        <f>HYPERLINK("http://141.218.60.56/~jnz1568/getInfo.php?workbook=02_01.xlsx&amp;sheet=A0&amp;row=79&amp;col=16&amp;number=&amp;sourceID=12","")</f>
        <v/>
      </c>
      <c r="Q79" s="4" t="str">
        <f>HYPERLINK("http://141.218.60.56/~jnz1568/getInfo.php?workbook=02_01.xlsx&amp;sheet=A0&amp;row=79&amp;col=17&amp;number=0.031353&amp;sourceID=12","0.031353")</f>
        <v>0.031353</v>
      </c>
      <c r="R79" s="4" t="str">
        <f>HYPERLINK("http://141.218.60.56/~jnz1568/getInfo.php?workbook=02_01.xlsx&amp;sheet=A0&amp;row=79&amp;col=18&amp;number=&amp;sourceID=12","")</f>
        <v/>
      </c>
      <c r="S79" s="4" t="str">
        <f>HYPERLINK("http://141.218.60.56/~jnz1568/getInfo.php?workbook=02_01.xlsx&amp;sheet=A0&amp;row=79&amp;col=19&amp;number=3.4e-13&amp;sourceID=12","3.4e-13")</f>
        <v>3.4e-13</v>
      </c>
      <c r="T79" s="4" t="str">
        <f>HYPERLINK("http://141.218.60.56/~jnz1568/getInfo.php?workbook=02_01.xlsx&amp;sheet=A0&amp;row=79&amp;col=20&amp;number=&amp;sourceID=12","")</f>
        <v/>
      </c>
      <c r="U79" s="4" t="str">
        <f>HYPERLINK("http://141.218.60.56/~jnz1568/getInfo.php?workbook=02_01.xlsx&amp;sheet=A0&amp;row=79&amp;col=21&amp;number==&amp;sourceID=13","=")</f>
        <v>=</v>
      </c>
      <c r="V79" s="4" t="str">
        <f>HYPERLINK("http://141.218.60.56/~jnz1568/getInfo.php?workbook=02_01.xlsx&amp;sheet=A0&amp;row=79&amp;col=22&amp;number=&amp;sourceID=13","")</f>
        <v/>
      </c>
      <c r="W79" s="4" t="str">
        <f>HYPERLINK("http://141.218.60.56/~jnz1568/getInfo.php?workbook=02_01.xlsx&amp;sheet=A0&amp;row=79&amp;col=23&amp;number=&amp;sourceID=13","")</f>
        <v/>
      </c>
      <c r="X79" s="4" t="str">
        <f>HYPERLINK("http://141.218.60.56/~jnz1568/getInfo.php?workbook=02_01.xlsx&amp;sheet=A0&amp;row=79&amp;col=24&amp;number=0.0314&amp;sourceID=13","0.0314")</f>
        <v>0.0314</v>
      </c>
      <c r="Y79" s="4" t="str">
        <f>HYPERLINK("http://141.218.60.56/~jnz1568/getInfo.php?workbook=02_01.xlsx&amp;sheet=A0&amp;row=79&amp;col=25&amp;number=&amp;sourceID=13","")</f>
        <v/>
      </c>
      <c r="Z79" s="4" t="str">
        <f>HYPERLINK("http://141.218.60.56/~jnz1568/getInfo.php?workbook=02_01.xlsx&amp;sheet=A0&amp;row=79&amp;col=26&amp;number=&amp;sourceID=13","")</f>
        <v/>
      </c>
      <c r="AA79" s="4" t="str">
        <f>HYPERLINK("http://141.218.60.56/~jnz1568/getInfo.php?workbook=02_01.xlsx&amp;sheet=A0&amp;row=79&amp;col=27&amp;number=&amp;sourceID=20","")</f>
        <v/>
      </c>
    </row>
    <row r="80" spans="1:27">
      <c r="A80" s="3">
        <v>2</v>
      </c>
      <c r="B80" s="3">
        <v>1</v>
      </c>
      <c r="C80" s="3">
        <v>14</v>
      </c>
      <c r="D80" s="3">
        <v>4</v>
      </c>
      <c r="E80" s="3">
        <f>((1/(INDEX(E0!J$4:J$28,C80,1)-INDEX(E0!J$4:J$28,D80,1))))*100000000</f>
        <v>0</v>
      </c>
      <c r="F80" s="4" t="str">
        <f>HYPERLINK("http://141.218.60.56/~jnz1568/getInfo.php?workbook=02_01.xlsx&amp;sheet=A0&amp;row=80&amp;col=6&amp;number=&amp;sourceID=18","")</f>
        <v/>
      </c>
      <c r="G80" s="4" t="str">
        <f>HYPERLINK("http://141.218.60.56/~jnz1568/getInfo.php?workbook=02_01.xlsx&amp;sheet=A0&amp;row=80&amp;col=7&amp;number==&amp;sourceID=11","=")</f>
        <v>=</v>
      </c>
      <c r="H80" s="4" t="str">
        <f>HYPERLINK("http://141.218.60.56/~jnz1568/getInfo.php?workbook=02_01.xlsx&amp;sheet=A0&amp;row=80&amp;col=8&amp;number=&amp;sourceID=11","")</f>
        <v/>
      </c>
      <c r="I80" s="4" t="str">
        <f>HYPERLINK("http://141.218.60.56/~jnz1568/getInfo.php?workbook=02_01.xlsx&amp;sheet=A0&amp;row=80&amp;col=9&amp;number=878.99&amp;sourceID=11","878.99")</f>
        <v>878.99</v>
      </c>
      <c r="J80" s="4" t="str">
        <f>HYPERLINK("http://141.218.60.56/~jnz1568/getInfo.php?workbook=02_01.xlsx&amp;sheet=A0&amp;row=80&amp;col=10&amp;number=&amp;sourceID=11","")</f>
        <v/>
      </c>
      <c r="K80" s="4" t="str">
        <f>HYPERLINK("http://141.218.60.56/~jnz1568/getInfo.php?workbook=02_01.xlsx&amp;sheet=A0&amp;row=80&amp;col=11&amp;number=4.5094e-08&amp;sourceID=11","4.5094e-08")</f>
        <v>4.5094e-08</v>
      </c>
      <c r="L80" s="4" t="str">
        <f>HYPERLINK("http://141.218.60.56/~jnz1568/getInfo.php?workbook=02_01.xlsx&amp;sheet=A0&amp;row=80&amp;col=12&amp;number=&amp;sourceID=11","")</f>
        <v/>
      </c>
      <c r="M80" s="4" t="str">
        <f>HYPERLINK("http://141.218.60.56/~jnz1568/getInfo.php?workbook=02_01.xlsx&amp;sheet=A0&amp;row=80&amp;col=13&amp;number=1.1128e-09&amp;sourceID=11","1.1128e-09")</f>
        <v>1.1128e-09</v>
      </c>
      <c r="N80" s="4" t="str">
        <f>HYPERLINK("http://141.218.60.56/~jnz1568/getInfo.php?workbook=02_01.xlsx&amp;sheet=A0&amp;row=80&amp;col=14&amp;number=879.11&amp;sourceID=12","879.11")</f>
        <v>879.11</v>
      </c>
      <c r="O80" s="4" t="str">
        <f>HYPERLINK("http://141.218.60.56/~jnz1568/getInfo.php?workbook=02_01.xlsx&amp;sheet=A0&amp;row=80&amp;col=15&amp;number=&amp;sourceID=12","")</f>
        <v/>
      </c>
      <c r="P80" s="4" t="str">
        <f>HYPERLINK("http://141.218.60.56/~jnz1568/getInfo.php?workbook=02_01.xlsx&amp;sheet=A0&amp;row=80&amp;col=16&amp;number=879.11&amp;sourceID=12","879.11")</f>
        <v>879.11</v>
      </c>
      <c r="Q80" s="4" t="str">
        <f>HYPERLINK("http://141.218.60.56/~jnz1568/getInfo.php?workbook=02_01.xlsx&amp;sheet=A0&amp;row=80&amp;col=17&amp;number=&amp;sourceID=12","")</f>
        <v/>
      </c>
      <c r="R80" s="4" t="str">
        <f>HYPERLINK("http://141.218.60.56/~jnz1568/getInfo.php?workbook=02_01.xlsx&amp;sheet=A0&amp;row=80&amp;col=18&amp;number=4.5152e-08&amp;sourceID=12","4.5152e-08")</f>
        <v>4.5152e-08</v>
      </c>
      <c r="S80" s="4" t="str">
        <f>HYPERLINK("http://141.218.60.56/~jnz1568/getInfo.php?workbook=02_01.xlsx&amp;sheet=A0&amp;row=80&amp;col=19&amp;number=&amp;sourceID=12","")</f>
        <v/>
      </c>
      <c r="T80" s="4" t="str">
        <f>HYPERLINK("http://141.218.60.56/~jnz1568/getInfo.php?workbook=02_01.xlsx&amp;sheet=A0&amp;row=80&amp;col=20&amp;number=1.113e-09&amp;sourceID=12","1.113e-09")</f>
        <v>1.113e-09</v>
      </c>
      <c r="U80" s="4" t="str">
        <f>HYPERLINK("http://141.218.60.56/~jnz1568/getInfo.php?workbook=02_01.xlsx&amp;sheet=A0&amp;row=80&amp;col=21&amp;number==&amp;sourceID=13","=")</f>
        <v>=</v>
      </c>
      <c r="V80" s="4" t="str">
        <f>HYPERLINK("http://141.218.60.56/~jnz1568/getInfo.php?workbook=02_01.xlsx&amp;sheet=A0&amp;row=80&amp;col=22&amp;number=&amp;sourceID=13","")</f>
        <v/>
      </c>
      <c r="W80" s="4" t="str">
        <f>HYPERLINK("http://141.218.60.56/~jnz1568/getInfo.php?workbook=02_01.xlsx&amp;sheet=A0&amp;row=80&amp;col=23&amp;number=879&amp;sourceID=13","879")</f>
        <v>879</v>
      </c>
      <c r="X80" s="4" t="str">
        <f>HYPERLINK("http://141.218.60.56/~jnz1568/getInfo.php?workbook=02_01.xlsx&amp;sheet=A0&amp;row=80&amp;col=24&amp;number=&amp;sourceID=13","")</f>
        <v/>
      </c>
      <c r="Y80" s="4" t="str">
        <f>HYPERLINK("http://141.218.60.56/~jnz1568/getInfo.php?workbook=02_01.xlsx&amp;sheet=A0&amp;row=80&amp;col=25&amp;number=9.39e-08&amp;sourceID=13","9.39e-08")</f>
        <v>9.39e-08</v>
      </c>
      <c r="Z80" s="4" t="str">
        <f>HYPERLINK("http://141.218.60.56/~jnz1568/getInfo.php?workbook=02_01.xlsx&amp;sheet=A0&amp;row=80&amp;col=26&amp;number=&amp;sourceID=13","")</f>
        <v/>
      </c>
      <c r="AA80" s="4" t="str">
        <f>HYPERLINK("http://141.218.60.56/~jnz1568/getInfo.php?workbook=02_01.xlsx&amp;sheet=A0&amp;row=80&amp;col=27&amp;number=&amp;sourceID=20","")</f>
        <v/>
      </c>
    </row>
    <row r="81" spans="1:27">
      <c r="A81" s="3">
        <v>2</v>
      </c>
      <c r="B81" s="3">
        <v>1</v>
      </c>
      <c r="C81" s="3">
        <v>14</v>
      </c>
      <c r="D81" s="3">
        <v>5</v>
      </c>
      <c r="E81" s="3">
        <f>((1/(INDEX(E0!J$4:J$28,C81,1)-INDEX(E0!J$4:J$28,D81,1))))*100000000</f>
        <v>0</v>
      </c>
      <c r="F81" s="4" t="str">
        <f>HYPERLINK("http://141.218.60.56/~jnz1568/getInfo.php?workbook=02_01.xlsx&amp;sheet=A0&amp;row=81&amp;col=6&amp;number=&amp;sourceID=18","")</f>
        <v/>
      </c>
      <c r="G81" s="4" t="str">
        <f>HYPERLINK("http://141.218.60.56/~jnz1568/getInfo.php?workbook=02_01.xlsx&amp;sheet=A0&amp;row=81&amp;col=7&amp;number==&amp;sourceID=11","=")</f>
        <v>=</v>
      </c>
      <c r="H81" s="4" t="str">
        <f>HYPERLINK("http://141.218.60.56/~jnz1568/getInfo.php?workbook=02_01.xlsx&amp;sheet=A0&amp;row=81&amp;col=8&amp;number=&amp;sourceID=11","")</f>
        <v/>
      </c>
      <c r="I81" s="4" t="str">
        <f>HYPERLINK("http://141.218.60.56/~jnz1568/getInfo.php?workbook=02_01.xlsx&amp;sheet=A0&amp;row=81&amp;col=9&amp;number=288.13&amp;sourceID=11","288.13")</f>
        <v>288.13</v>
      </c>
      <c r="J81" s="4" t="str">
        <f>HYPERLINK("http://141.218.60.56/~jnz1568/getInfo.php?workbook=02_01.xlsx&amp;sheet=A0&amp;row=81&amp;col=10&amp;number=&amp;sourceID=11","")</f>
        <v/>
      </c>
      <c r="K81" s="4" t="str">
        <f>HYPERLINK("http://141.218.60.56/~jnz1568/getInfo.php?workbook=02_01.xlsx&amp;sheet=A0&amp;row=81&amp;col=11&amp;number=&amp;sourceID=11","")</f>
        <v/>
      </c>
      <c r="L81" s="4" t="str">
        <f>HYPERLINK("http://141.218.60.56/~jnz1568/getInfo.php?workbook=02_01.xlsx&amp;sheet=A0&amp;row=81&amp;col=12&amp;number=&amp;sourceID=11","")</f>
        <v/>
      </c>
      <c r="M81" s="4" t="str">
        <f>HYPERLINK("http://141.218.60.56/~jnz1568/getInfo.php?workbook=02_01.xlsx&amp;sheet=A0&amp;row=81&amp;col=13&amp;number=3.5031e-11&amp;sourceID=11","3.5031e-11")</f>
        <v>3.5031e-11</v>
      </c>
      <c r="N81" s="4" t="str">
        <f>HYPERLINK("http://141.218.60.56/~jnz1568/getInfo.php?workbook=02_01.xlsx&amp;sheet=A0&amp;row=81&amp;col=14&amp;number=288.17&amp;sourceID=12","288.17")</f>
        <v>288.17</v>
      </c>
      <c r="O81" s="4" t="str">
        <f>HYPERLINK("http://141.218.60.56/~jnz1568/getInfo.php?workbook=02_01.xlsx&amp;sheet=A0&amp;row=81&amp;col=15&amp;number=&amp;sourceID=12","")</f>
        <v/>
      </c>
      <c r="P81" s="4" t="str">
        <f>HYPERLINK("http://141.218.60.56/~jnz1568/getInfo.php?workbook=02_01.xlsx&amp;sheet=A0&amp;row=81&amp;col=16&amp;number=288.17&amp;sourceID=12","288.17")</f>
        <v>288.17</v>
      </c>
      <c r="Q81" s="4" t="str">
        <f>HYPERLINK("http://141.218.60.56/~jnz1568/getInfo.php?workbook=02_01.xlsx&amp;sheet=A0&amp;row=81&amp;col=17&amp;number=&amp;sourceID=12","")</f>
        <v/>
      </c>
      <c r="R81" s="4" t="str">
        <f>HYPERLINK("http://141.218.60.56/~jnz1568/getInfo.php?workbook=02_01.xlsx&amp;sheet=A0&amp;row=81&amp;col=18&amp;number=&amp;sourceID=12","")</f>
        <v/>
      </c>
      <c r="S81" s="4" t="str">
        <f>HYPERLINK("http://141.218.60.56/~jnz1568/getInfo.php?workbook=02_01.xlsx&amp;sheet=A0&amp;row=81&amp;col=19&amp;number=&amp;sourceID=12","")</f>
        <v/>
      </c>
      <c r="T81" s="4" t="str">
        <f>HYPERLINK("http://141.218.60.56/~jnz1568/getInfo.php?workbook=02_01.xlsx&amp;sheet=A0&amp;row=81&amp;col=20&amp;number=3.5036e-11&amp;sourceID=12","3.5036e-11")</f>
        <v>3.5036e-11</v>
      </c>
      <c r="U81" s="4" t="str">
        <f>HYPERLINK("http://141.218.60.56/~jnz1568/getInfo.php?workbook=02_01.xlsx&amp;sheet=A0&amp;row=81&amp;col=21&amp;number==&amp;sourceID=13","=")</f>
        <v>=</v>
      </c>
      <c r="V81" s="4" t="str">
        <f>HYPERLINK("http://141.218.60.56/~jnz1568/getInfo.php?workbook=02_01.xlsx&amp;sheet=A0&amp;row=81&amp;col=22&amp;number=&amp;sourceID=13","")</f>
        <v/>
      </c>
      <c r="W81" s="4" t="str">
        <f>HYPERLINK("http://141.218.60.56/~jnz1568/getInfo.php?workbook=02_01.xlsx&amp;sheet=A0&amp;row=81&amp;col=23&amp;number=288&amp;sourceID=13","288")</f>
        <v>288</v>
      </c>
      <c r="X81" s="4" t="str">
        <f>HYPERLINK("http://141.218.60.56/~jnz1568/getInfo.php?workbook=02_01.xlsx&amp;sheet=A0&amp;row=81&amp;col=24&amp;number=&amp;sourceID=13","")</f>
        <v/>
      </c>
      <c r="Y81" s="4" t="str">
        <f>HYPERLINK("http://141.218.60.56/~jnz1568/getInfo.php?workbook=02_01.xlsx&amp;sheet=A0&amp;row=81&amp;col=25&amp;number=&amp;sourceID=13","")</f>
        <v/>
      </c>
      <c r="Z81" s="4" t="str">
        <f>HYPERLINK("http://141.218.60.56/~jnz1568/getInfo.php?workbook=02_01.xlsx&amp;sheet=A0&amp;row=81&amp;col=26&amp;number=&amp;sourceID=13","")</f>
        <v/>
      </c>
      <c r="AA81" s="4" t="str">
        <f>HYPERLINK("http://141.218.60.56/~jnz1568/getInfo.php?workbook=02_01.xlsx&amp;sheet=A0&amp;row=81&amp;col=27&amp;number=&amp;sourceID=20","")</f>
        <v/>
      </c>
    </row>
    <row r="82" spans="1:27">
      <c r="A82" s="3">
        <v>2</v>
      </c>
      <c r="B82" s="3">
        <v>1</v>
      </c>
      <c r="C82" s="3">
        <v>14</v>
      </c>
      <c r="D82" s="3">
        <v>6</v>
      </c>
      <c r="E82" s="3">
        <f>((1/(INDEX(E0!J$4:J$28,C82,1)-INDEX(E0!J$4:J$28,D82,1))))*100000000</f>
        <v>0</v>
      </c>
      <c r="F82" s="4" t="str">
        <f>HYPERLINK("http://141.218.60.56/~jnz1568/getInfo.php?workbook=02_01.xlsx&amp;sheet=A0&amp;row=82&amp;col=6&amp;number=&amp;sourceID=18","")</f>
        <v/>
      </c>
      <c r="G82" s="4" t="str">
        <f>HYPERLINK("http://141.218.60.56/~jnz1568/getInfo.php?workbook=02_01.xlsx&amp;sheet=A0&amp;row=82&amp;col=7&amp;number==&amp;sourceID=11","=")</f>
        <v>=</v>
      </c>
      <c r="H82" s="4" t="str">
        <f>HYPERLINK("http://141.218.60.56/~jnz1568/getInfo.php?workbook=02_01.xlsx&amp;sheet=A0&amp;row=82&amp;col=8&amp;number=&amp;sourceID=11","")</f>
        <v/>
      </c>
      <c r="I82" s="4" t="str">
        <f>HYPERLINK("http://141.218.60.56/~jnz1568/getInfo.php?workbook=02_01.xlsx&amp;sheet=A0&amp;row=82&amp;col=9&amp;number=&amp;sourceID=11","")</f>
        <v/>
      </c>
      <c r="J82" s="4" t="str">
        <f>HYPERLINK("http://141.218.60.56/~jnz1568/getInfo.php?workbook=02_01.xlsx&amp;sheet=A0&amp;row=82&amp;col=10&amp;number=0.00028649&amp;sourceID=11","0.00028649")</f>
        <v>0.00028649</v>
      </c>
      <c r="K82" s="4" t="str">
        <f>HYPERLINK("http://141.218.60.56/~jnz1568/getInfo.php?workbook=02_01.xlsx&amp;sheet=A0&amp;row=82&amp;col=11&amp;number=&amp;sourceID=11","")</f>
        <v/>
      </c>
      <c r="L82" s="4" t="str">
        <f>HYPERLINK("http://141.218.60.56/~jnz1568/getInfo.php?workbook=02_01.xlsx&amp;sheet=A0&amp;row=82&amp;col=12&amp;number=2e-15&amp;sourceID=11","2e-15")</f>
        <v>2e-15</v>
      </c>
      <c r="M82" s="4" t="str">
        <f>HYPERLINK("http://141.218.60.56/~jnz1568/getInfo.php?workbook=02_01.xlsx&amp;sheet=A0&amp;row=82&amp;col=13&amp;number=&amp;sourceID=11","")</f>
        <v/>
      </c>
      <c r="N82" s="4" t="str">
        <f>HYPERLINK("http://141.218.60.56/~jnz1568/getInfo.php?workbook=02_01.xlsx&amp;sheet=A0&amp;row=82&amp;col=14&amp;number=0.00028653&amp;sourceID=12","0.00028653")</f>
        <v>0.00028653</v>
      </c>
      <c r="O82" s="4" t="str">
        <f>HYPERLINK("http://141.218.60.56/~jnz1568/getInfo.php?workbook=02_01.xlsx&amp;sheet=A0&amp;row=82&amp;col=15&amp;number=&amp;sourceID=12","")</f>
        <v/>
      </c>
      <c r="P82" s="4" t="str">
        <f>HYPERLINK("http://141.218.60.56/~jnz1568/getInfo.php?workbook=02_01.xlsx&amp;sheet=A0&amp;row=82&amp;col=16&amp;number=&amp;sourceID=12","")</f>
        <v/>
      </c>
      <c r="Q82" s="4" t="str">
        <f>HYPERLINK("http://141.218.60.56/~jnz1568/getInfo.php?workbook=02_01.xlsx&amp;sheet=A0&amp;row=82&amp;col=17&amp;number=0.00028653&amp;sourceID=12","0.00028653")</f>
        <v>0.00028653</v>
      </c>
      <c r="R82" s="4" t="str">
        <f>HYPERLINK("http://141.218.60.56/~jnz1568/getInfo.php?workbook=02_01.xlsx&amp;sheet=A0&amp;row=82&amp;col=18&amp;number=&amp;sourceID=12","")</f>
        <v/>
      </c>
      <c r="S82" s="4" t="str">
        <f>HYPERLINK("http://141.218.60.56/~jnz1568/getInfo.php?workbook=02_01.xlsx&amp;sheet=A0&amp;row=82&amp;col=19&amp;number=2e-15&amp;sourceID=12","2e-15")</f>
        <v>2e-15</v>
      </c>
      <c r="T82" s="4" t="str">
        <f>HYPERLINK("http://141.218.60.56/~jnz1568/getInfo.php?workbook=02_01.xlsx&amp;sheet=A0&amp;row=82&amp;col=20&amp;number=&amp;sourceID=12","")</f>
        <v/>
      </c>
      <c r="U82" s="4" t="str">
        <f>HYPERLINK("http://141.218.60.56/~jnz1568/getInfo.php?workbook=02_01.xlsx&amp;sheet=A0&amp;row=82&amp;col=21&amp;number==&amp;sourceID=13","=")</f>
        <v>=</v>
      </c>
      <c r="V82" s="4" t="str">
        <f>HYPERLINK("http://141.218.60.56/~jnz1568/getInfo.php?workbook=02_01.xlsx&amp;sheet=A0&amp;row=82&amp;col=22&amp;number=&amp;sourceID=13","")</f>
        <v/>
      </c>
      <c r="W82" s="4" t="str">
        <f>HYPERLINK("http://141.218.60.56/~jnz1568/getInfo.php?workbook=02_01.xlsx&amp;sheet=A0&amp;row=82&amp;col=23&amp;number=&amp;sourceID=13","")</f>
        <v/>
      </c>
      <c r="X82" s="4" t="str">
        <f>HYPERLINK("http://141.218.60.56/~jnz1568/getInfo.php?workbook=02_01.xlsx&amp;sheet=A0&amp;row=82&amp;col=24&amp;number=0.000286&amp;sourceID=13","0.000286")</f>
        <v>0.000286</v>
      </c>
      <c r="Y82" s="4" t="str">
        <f>HYPERLINK("http://141.218.60.56/~jnz1568/getInfo.php?workbook=02_01.xlsx&amp;sheet=A0&amp;row=82&amp;col=25&amp;number=&amp;sourceID=13","")</f>
        <v/>
      </c>
      <c r="Z82" s="4" t="str">
        <f>HYPERLINK("http://141.218.60.56/~jnz1568/getInfo.php?workbook=02_01.xlsx&amp;sheet=A0&amp;row=82&amp;col=26&amp;number=&amp;sourceID=13","")</f>
        <v/>
      </c>
      <c r="AA82" s="4" t="str">
        <f>HYPERLINK("http://141.218.60.56/~jnz1568/getInfo.php?workbook=02_01.xlsx&amp;sheet=A0&amp;row=82&amp;col=27&amp;number=&amp;sourceID=20","")</f>
        <v/>
      </c>
    </row>
    <row r="83" spans="1:27">
      <c r="A83" s="3">
        <v>2</v>
      </c>
      <c r="B83" s="3">
        <v>1</v>
      </c>
      <c r="C83" s="3">
        <v>14</v>
      </c>
      <c r="D83" s="3">
        <v>7</v>
      </c>
      <c r="E83" s="3">
        <f>((1/(INDEX(E0!J$4:J$28,C83,1)-INDEX(E0!J$4:J$28,D83,1))))*100000000</f>
        <v>0</v>
      </c>
      <c r="F83" s="4" t="str">
        <f>HYPERLINK("http://141.218.60.56/~jnz1568/getInfo.php?workbook=02_01.xlsx&amp;sheet=A0&amp;row=83&amp;col=6&amp;number=&amp;sourceID=18","")</f>
        <v/>
      </c>
      <c r="G83" s="4" t="str">
        <f>HYPERLINK("http://141.218.60.56/~jnz1568/getInfo.php?workbook=02_01.xlsx&amp;sheet=A0&amp;row=83&amp;col=7&amp;number==&amp;sourceID=11","=")</f>
        <v>=</v>
      </c>
      <c r="H83" s="4" t="str">
        <f>HYPERLINK("http://141.218.60.56/~jnz1568/getInfo.php?workbook=02_01.xlsx&amp;sheet=A0&amp;row=83&amp;col=8&amp;number=205990000&amp;sourceID=11","205990000")</f>
        <v>205990000</v>
      </c>
      <c r="I83" s="4" t="str">
        <f>HYPERLINK("http://141.218.60.56/~jnz1568/getInfo.php?workbook=02_01.xlsx&amp;sheet=A0&amp;row=83&amp;col=9&amp;number=&amp;sourceID=11","")</f>
        <v/>
      </c>
      <c r="J83" s="4" t="str">
        <f>HYPERLINK("http://141.218.60.56/~jnz1568/getInfo.php?workbook=02_01.xlsx&amp;sheet=A0&amp;row=83&amp;col=10&amp;number=8.2789e-05&amp;sourceID=11","8.2789e-05")</f>
        <v>8.2789e-05</v>
      </c>
      <c r="K83" s="4" t="str">
        <f>HYPERLINK("http://141.218.60.56/~jnz1568/getInfo.php?workbook=02_01.xlsx&amp;sheet=A0&amp;row=83&amp;col=11&amp;number=&amp;sourceID=11","")</f>
        <v/>
      </c>
      <c r="L83" s="4" t="str">
        <f>HYPERLINK("http://141.218.60.56/~jnz1568/getInfo.php?workbook=02_01.xlsx&amp;sheet=A0&amp;row=83&amp;col=12&amp;number=0.0002465&amp;sourceID=11","0.0002465")</f>
        <v>0.0002465</v>
      </c>
      <c r="M83" s="4" t="str">
        <f>HYPERLINK("http://141.218.60.56/~jnz1568/getInfo.php?workbook=02_01.xlsx&amp;sheet=A0&amp;row=83&amp;col=13&amp;number=&amp;sourceID=11","")</f>
        <v/>
      </c>
      <c r="N83" s="4" t="str">
        <f>HYPERLINK("http://141.218.60.56/~jnz1568/getInfo.php?workbook=02_01.xlsx&amp;sheet=A0&amp;row=83&amp;col=14&amp;number=206020000&amp;sourceID=12","206020000")</f>
        <v>206020000</v>
      </c>
      <c r="O83" s="4" t="str">
        <f>HYPERLINK("http://141.218.60.56/~jnz1568/getInfo.php?workbook=02_01.xlsx&amp;sheet=A0&amp;row=83&amp;col=15&amp;number=206020000&amp;sourceID=12","206020000")</f>
        <v>206020000</v>
      </c>
      <c r="P83" s="4" t="str">
        <f>HYPERLINK("http://141.218.60.56/~jnz1568/getInfo.php?workbook=02_01.xlsx&amp;sheet=A0&amp;row=83&amp;col=16&amp;number=&amp;sourceID=12","")</f>
        <v/>
      </c>
      <c r="Q83" s="4" t="str">
        <f>HYPERLINK("http://141.218.60.56/~jnz1568/getInfo.php?workbook=02_01.xlsx&amp;sheet=A0&amp;row=83&amp;col=17&amp;number=8.28e-05&amp;sourceID=12","8.28e-05")</f>
        <v>8.28e-05</v>
      </c>
      <c r="R83" s="4" t="str">
        <f>HYPERLINK("http://141.218.60.56/~jnz1568/getInfo.php?workbook=02_01.xlsx&amp;sheet=A0&amp;row=83&amp;col=18&amp;number=&amp;sourceID=12","")</f>
        <v/>
      </c>
      <c r="S83" s="4" t="str">
        <f>HYPERLINK("http://141.218.60.56/~jnz1568/getInfo.php?workbook=02_01.xlsx&amp;sheet=A0&amp;row=83&amp;col=19&amp;number=0.00024653&amp;sourceID=12","0.00024653")</f>
        <v>0.00024653</v>
      </c>
      <c r="T83" s="4" t="str">
        <f>HYPERLINK("http://141.218.60.56/~jnz1568/getInfo.php?workbook=02_01.xlsx&amp;sheet=A0&amp;row=83&amp;col=20&amp;number=&amp;sourceID=12","")</f>
        <v/>
      </c>
      <c r="U83" s="4" t="str">
        <f>HYPERLINK("http://141.218.60.56/~jnz1568/getInfo.php?workbook=02_01.xlsx&amp;sheet=A0&amp;row=83&amp;col=21&amp;number==&amp;sourceID=13","=")</f>
        <v>=</v>
      </c>
      <c r="V83" s="4" t="str">
        <f>HYPERLINK("http://141.218.60.56/~jnz1568/getInfo.php?workbook=02_01.xlsx&amp;sheet=A0&amp;row=83&amp;col=22&amp;number=206000000&amp;sourceID=13","206000000")</f>
        <v>206000000</v>
      </c>
      <c r="W83" s="4" t="str">
        <f>HYPERLINK("http://141.218.60.56/~jnz1568/getInfo.php?workbook=02_01.xlsx&amp;sheet=A0&amp;row=83&amp;col=23&amp;number=&amp;sourceID=13","")</f>
        <v/>
      </c>
      <c r="X83" s="4" t="str">
        <f>HYPERLINK("http://141.218.60.56/~jnz1568/getInfo.php?workbook=02_01.xlsx&amp;sheet=A0&amp;row=83&amp;col=24&amp;number=&amp;sourceID=13","")</f>
        <v/>
      </c>
      <c r="Y83" s="4" t="str">
        <f>HYPERLINK("http://141.218.60.56/~jnz1568/getInfo.php?workbook=02_01.xlsx&amp;sheet=A0&amp;row=83&amp;col=25&amp;number=&amp;sourceID=13","")</f>
        <v/>
      </c>
      <c r="Z83" s="4" t="str">
        <f>HYPERLINK("http://141.218.60.56/~jnz1568/getInfo.php?workbook=02_01.xlsx&amp;sheet=A0&amp;row=83&amp;col=26&amp;number=&amp;sourceID=13","")</f>
        <v/>
      </c>
      <c r="AA83" s="4" t="str">
        <f>HYPERLINK("http://141.218.60.56/~jnz1568/getInfo.php?workbook=02_01.xlsx&amp;sheet=A0&amp;row=83&amp;col=27&amp;number=&amp;sourceID=20","")</f>
        <v/>
      </c>
    </row>
    <row r="84" spans="1:27">
      <c r="A84" s="3">
        <v>2</v>
      </c>
      <c r="B84" s="3">
        <v>1</v>
      </c>
      <c r="C84" s="3">
        <v>14</v>
      </c>
      <c r="D84" s="3">
        <v>8</v>
      </c>
      <c r="E84" s="3">
        <f>((1/(INDEX(E0!J$4:J$28,C84,1)-INDEX(E0!J$4:J$28,D84,1))))*100000000</f>
        <v>0</v>
      </c>
      <c r="F84" s="4" t="str">
        <f>HYPERLINK("http://141.218.60.56/~jnz1568/getInfo.php?workbook=02_01.xlsx&amp;sheet=A0&amp;row=84&amp;col=6&amp;number=&amp;sourceID=18","")</f>
        <v/>
      </c>
      <c r="G84" s="4" t="str">
        <f>HYPERLINK("http://141.218.60.56/~jnz1568/getInfo.php?workbook=02_01.xlsx&amp;sheet=A0&amp;row=84&amp;col=7&amp;number==&amp;sourceID=11","=")</f>
        <v>=</v>
      </c>
      <c r="H84" s="4" t="str">
        <f>HYPERLINK("http://141.218.60.56/~jnz1568/getInfo.php?workbook=02_01.xlsx&amp;sheet=A0&amp;row=84&amp;col=8&amp;number=&amp;sourceID=11","")</f>
        <v/>
      </c>
      <c r="I84" s="4" t="str">
        <f>HYPERLINK("http://141.218.60.56/~jnz1568/getInfo.php?workbook=02_01.xlsx&amp;sheet=A0&amp;row=84&amp;col=9&amp;number=82.3&amp;sourceID=11","82.3")</f>
        <v>82.3</v>
      </c>
      <c r="J84" s="4" t="str">
        <f>HYPERLINK("http://141.218.60.56/~jnz1568/getInfo.php?workbook=02_01.xlsx&amp;sheet=A0&amp;row=84&amp;col=10&amp;number=&amp;sourceID=11","")</f>
        <v/>
      </c>
      <c r="K84" s="4" t="str">
        <f>HYPERLINK("http://141.218.60.56/~jnz1568/getInfo.php?workbook=02_01.xlsx&amp;sheet=A0&amp;row=84&amp;col=11&amp;number=1.5086e-09&amp;sourceID=11","1.5086e-09")</f>
        <v>1.5086e-09</v>
      </c>
      <c r="L84" s="4" t="str">
        <f>HYPERLINK("http://141.218.60.56/~jnz1568/getInfo.php?workbook=02_01.xlsx&amp;sheet=A0&amp;row=84&amp;col=12&amp;number=&amp;sourceID=11","")</f>
        <v/>
      </c>
      <c r="M84" s="4" t="str">
        <f>HYPERLINK("http://141.218.60.56/~jnz1568/getInfo.php?workbook=02_01.xlsx&amp;sheet=A0&amp;row=84&amp;col=13&amp;number=7.003e-12&amp;sourceID=11","7.003e-12")</f>
        <v>7.003e-12</v>
      </c>
      <c r="N84" s="4" t="str">
        <f>HYPERLINK("http://141.218.60.56/~jnz1568/getInfo.php?workbook=02_01.xlsx&amp;sheet=A0&amp;row=84&amp;col=14&amp;number=82.311&amp;sourceID=12","82.311")</f>
        <v>82.311</v>
      </c>
      <c r="O84" s="4" t="str">
        <f>HYPERLINK("http://141.218.60.56/~jnz1568/getInfo.php?workbook=02_01.xlsx&amp;sheet=A0&amp;row=84&amp;col=15&amp;number=&amp;sourceID=12","")</f>
        <v/>
      </c>
      <c r="P84" s="4" t="str">
        <f>HYPERLINK("http://141.218.60.56/~jnz1568/getInfo.php?workbook=02_01.xlsx&amp;sheet=A0&amp;row=84&amp;col=16&amp;number=82.311&amp;sourceID=12","82.311")</f>
        <v>82.311</v>
      </c>
      <c r="Q84" s="4" t="str">
        <f>HYPERLINK("http://141.218.60.56/~jnz1568/getInfo.php?workbook=02_01.xlsx&amp;sheet=A0&amp;row=84&amp;col=17&amp;number=&amp;sourceID=12","")</f>
        <v/>
      </c>
      <c r="R84" s="4" t="str">
        <f>HYPERLINK("http://141.218.60.56/~jnz1568/getInfo.php?workbook=02_01.xlsx&amp;sheet=A0&amp;row=84&amp;col=18&amp;number=1.4842e-09&amp;sourceID=12","1.4842e-09")</f>
        <v>1.4842e-09</v>
      </c>
      <c r="S84" s="4" t="str">
        <f>HYPERLINK("http://141.218.60.56/~jnz1568/getInfo.php?workbook=02_01.xlsx&amp;sheet=A0&amp;row=84&amp;col=19&amp;number=&amp;sourceID=12","")</f>
        <v/>
      </c>
      <c r="T84" s="4" t="str">
        <f>HYPERLINK("http://141.218.60.56/~jnz1568/getInfo.php?workbook=02_01.xlsx&amp;sheet=A0&amp;row=84&amp;col=20&amp;number=7.004e-12&amp;sourceID=12","7.004e-12")</f>
        <v>7.004e-12</v>
      </c>
      <c r="U84" s="4" t="str">
        <f>HYPERLINK("http://141.218.60.56/~jnz1568/getInfo.php?workbook=02_01.xlsx&amp;sheet=A0&amp;row=84&amp;col=21&amp;number==&amp;sourceID=13","=")</f>
        <v>=</v>
      </c>
      <c r="V84" s="4" t="str">
        <f>HYPERLINK("http://141.218.60.56/~jnz1568/getInfo.php?workbook=02_01.xlsx&amp;sheet=A0&amp;row=84&amp;col=22&amp;number=&amp;sourceID=13","")</f>
        <v/>
      </c>
      <c r="W84" s="4" t="str">
        <f>HYPERLINK("http://141.218.60.56/~jnz1568/getInfo.php?workbook=02_01.xlsx&amp;sheet=A0&amp;row=84&amp;col=23&amp;number=82.3&amp;sourceID=13","82.3")</f>
        <v>82.3</v>
      </c>
      <c r="X84" s="4" t="str">
        <f>HYPERLINK("http://141.218.60.56/~jnz1568/getInfo.php?workbook=02_01.xlsx&amp;sheet=A0&amp;row=84&amp;col=24&amp;number=&amp;sourceID=13","")</f>
        <v/>
      </c>
      <c r="Y84" s="4" t="str">
        <f>HYPERLINK("http://141.218.60.56/~jnz1568/getInfo.php?workbook=02_01.xlsx&amp;sheet=A0&amp;row=84&amp;col=25&amp;number=2.46e-09&amp;sourceID=13","2.46e-09")</f>
        <v>2.46e-09</v>
      </c>
      <c r="Z84" s="4" t="str">
        <f>HYPERLINK("http://141.218.60.56/~jnz1568/getInfo.php?workbook=02_01.xlsx&amp;sheet=A0&amp;row=84&amp;col=26&amp;number=&amp;sourceID=13","")</f>
        <v/>
      </c>
      <c r="AA84" s="4" t="str">
        <f>HYPERLINK("http://141.218.60.56/~jnz1568/getInfo.php?workbook=02_01.xlsx&amp;sheet=A0&amp;row=84&amp;col=27&amp;number=&amp;sourceID=20","")</f>
        <v/>
      </c>
    </row>
    <row r="85" spans="1:27">
      <c r="A85" s="3">
        <v>2</v>
      </c>
      <c r="B85" s="3">
        <v>1</v>
      </c>
      <c r="C85" s="3">
        <v>14</v>
      </c>
      <c r="D85" s="3">
        <v>9</v>
      </c>
      <c r="E85" s="3">
        <f>((1/(INDEX(E0!J$4:J$28,C85,1)-INDEX(E0!J$4:J$28,D85,1))))*100000000</f>
        <v>0</v>
      </c>
      <c r="F85" s="4" t="str">
        <f>HYPERLINK("http://141.218.60.56/~jnz1568/getInfo.php?workbook=02_01.xlsx&amp;sheet=A0&amp;row=85&amp;col=6&amp;number=&amp;sourceID=18","")</f>
        <v/>
      </c>
      <c r="G85" s="4" t="str">
        <f>HYPERLINK("http://141.218.60.56/~jnz1568/getInfo.php?workbook=02_01.xlsx&amp;sheet=A0&amp;row=85&amp;col=7&amp;number==&amp;sourceID=11","=")</f>
        <v>=</v>
      </c>
      <c r="H85" s="4" t="str">
        <f>HYPERLINK("http://141.218.60.56/~jnz1568/getInfo.php?workbook=02_01.xlsx&amp;sheet=A0&amp;row=85&amp;col=8&amp;number=14713000&amp;sourceID=11","14713000")</f>
        <v>14713000</v>
      </c>
      <c r="I85" s="4" t="str">
        <f>HYPERLINK("http://141.218.60.56/~jnz1568/getInfo.php?workbook=02_01.xlsx&amp;sheet=A0&amp;row=85&amp;col=9&amp;number=&amp;sourceID=11","")</f>
        <v/>
      </c>
      <c r="J85" s="4" t="str">
        <f>HYPERLINK("http://141.218.60.56/~jnz1568/getInfo.php?workbook=02_01.xlsx&amp;sheet=A0&amp;row=85&amp;col=10&amp;number=5.5186e-05&amp;sourceID=11","5.5186e-05")</f>
        <v>5.5186e-05</v>
      </c>
      <c r="K85" s="4" t="str">
        <f>HYPERLINK("http://141.218.60.56/~jnz1568/getInfo.php?workbook=02_01.xlsx&amp;sheet=A0&amp;row=85&amp;col=11&amp;number=&amp;sourceID=11","")</f>
        <v/>
      </c>
      <c r="L85" s="4" t="str">
        <f>HYPERLINK("http://141.218.60.56/~jnz1568/getInfo.php?workbook=02_01.xlsx&amp;sheet=A0&amp;row=85&amp;col=12&amp;number=&amp;sourceID=11","")</f>
        <v/>
      </c>
      <c r="M85" s="4" t="str">
        <f>HYPERLINK("http://141.218.60.56/~jnz1568/getInfo.php?workbook=02_01.xlsx&amp;sheet=A0&amp;row=85&amp;col=13&amp;number=&amp;sourceID=11","")</f>
        <v/>
      </c>
      <c r="N85" s="4" t="str">
        <f>HYPERLINK("http://141.218.60.56/~jnz1568/getInfo.php?workbook=02_01.xlsx&amp;sheet=A0&amp;row=85&amp;col=14&amp;number=14715000&amp;sourceID=12","14715000")</f>
        <v>14715000</v>
      </c>
      <c r="O85" s="4" t="str">
        <f>HYPERLINK("http://141.218.60.56/~jnz1568/getInfo.php?workbook=02_01.xlsx&amp;sheet=A0&amp;row=85&amp;col=15&amp;number=14715000&amp;sourceID=12","14715000")</f>
        <v>14715000</v>
      </c>
      <c r="P85" s="4" t="str">
        <f>HYPERLINK("http://141.218.60.56/~jnz1568/getInfo.php?workbook=02_01.xlsx&amp;sheet=A0&amp;row=85&amp;col=16&amp;number=&amp;sourceID=12","")</f>
        <v/>
      </c>
      <c r="Q85" s="4" t="str">
        <f>HYPERLINK("http://141.218.60.56/~jnz1568/getInfo.php?workbook=02_01.xlsx&amp;sheet=A0&amp;row=85&amp;col=17&amp;number=5.5194e-05&amp;sourceID=12","5.5194e-05")</f>
        <v>5.5194e-05</v>
      </c>
      <c r="R85" s="4" t="str">
        <f>HYPERLINK("http://141.218.60.56/~jnz1568/getInfo.php?workbook=02_01.xlsx&amp;sheet=A0&amp;row=85&amp;col=18&amp;number=&amp;sourceID=12","")</f>
        <v/>
      </c>
      <c r="S85" s="4" t="str">
        <f>HYPERLINK("http://141.218.60.56/~jnz1568/getInfo.php?workbook=02_01.xlsx&amp;sheet=A0&amp;row=85&amp;col=19&amp;number=&amp;sourceID=12","")</f>
        <v/>
      </c>
      <c r="T85" s="4" t="str">
        <f>HYPERLINK("http://141.218.60.56/~jnz1568/getInfo.php?workbook=02_01.xlsx&amp;sheet=A0&amp;row=85&amp;col=20&amp;number=&amp;sourceID=12","")</f>
        <v/>
      </c>
      <c r="U85" s="4" t="str">
        <f>HYPERLINK("http://141.218.60.56/~jnz1568/getInfo.php?workbook=02_01.xlsx&amp;sheet=A0&amp;row=85&amp;col=21&amp;number==&amp;sourceID=13","=")</f>
        <v>=</v>
      </c>
      <c r="V85" s="4" t="str">
        <f>HYPERLINK("http://141.218.60.56/~jnz1568/getInfo.php?workbook=02_01.xlsx&amp;sheet=A0&amp;row=85&amp;col=22&amp;number=14700000&amp;sourceID=13","14700000")</f>
        <v>14700000</v>
      </c>
      <c r="W85" s="4" t="str">
        <f>HYPERLINK("http://141.218.60.56/~jnz1568/getInfo.php?workbook=02_01.xlsx&amp;sheet=A0&amp;row=85&amp;col=23&amp;number=&amp;sourceID=13","")</f>
        <v/>
      </c>
      <c r="X85" s="4" t="str">
        <f>HYPERLINK("http://141.218.60.56/~jnz1568/getInfo.php?workbook=02_01.xlsx&amp;sheet=A0&amp;row=85&amp;col=24&amp;number=&amp;sourceID=13","")</f>
        <v/>
      </c>
      <c r="Y85" s="4" t="str">
        <f>HYPERLINK("http://141.218.60.56/~jnz1568/getInfo.php?workbook=02_01.xlsx&amp;sheet=A0&amp;row=85&amp;col=25&amp;number=&amp;sourceID=13","")</f>
        <v/>
      </c>
      <c r="Z85" s="4" t="str">
        <f>HYPERLINK("http://141.218.60.56/~jnz1568/getInfo.php?workbook=02_01.xlsx&amp;sheet=A0&amp;row=85&amp;col=26&amp;number=&amp;sourceID=13","")</f>
        <v/>
      </c>
      <c r="AA85" s="4" t="str">
        <f>HYPERLINK("http://141.218.60.56/~jnz1568/getInfo.php?workbook=02_01.xlsx&amp;sheet=A0&amp;row=85&amp;col=27&amp;number=&amp;sourceID=20","")</f>
        <v/>
      </c>
    </row>
    <row r="86" spans="1:27">
      <c r="A86" s="3">
        <v>2</v>
      </c>
      <c r="B86" s="3">
        <v>1</v>
      </c>
      <c r="C86" s="3">
        <v>14</v>
      </c>
      <c r="D86" s="3">
        <v>10</v>
      </c>
      <c r="E86" s="3">
        <f>((1/(INDEX(E0!J$4:J$28,C86,1)-INDEX(E0!J$4:J$28,D86,1))))*100000000</f>
        <v>0</v>
      </c>
      <c r="F86" s="4" t="str">
        <f>HYPERLINK("http://141.218.60.56/~jnz1568/getInfo.php?workbook=02_01.xlsx&amp;sheet=A0&amp;row=86&amp;col=6&amp;number=&amp;sourceID=18","")</f>
        <v/>
      </c>
      <c r="G86" s="4" t="str">
        <f>HYPERLINK("http://141.218.60.56/~jnz1568/getInfo.php?workbook=02_01.xlsx&amp;sheet=A0&amp;row=86&amp;col=7&amp;number==&amp;sourceID=11","=")</f>
        <v>=</v>
      </c>
      <c r="H86" s="4" t="str">
        <f>HYPERLINK("http://141.218.60.56/~jnz1568/getInfo.php?workbook=02_01.xlsx&amp;sheet=A0&amp;row=86&amp;col=8&amp;number=&amp;sourceID=11","")</f>
        <v/>
      </c>
      <c r="I86" s="4" t="str">
        <f>HYPERLINK("http://141.218.60.56/~jnz1568/getInfo.php?workbook=02_01.xlsx&amp;sheet=A0&amp;row=86&amp;col=9&amp;number=0&amp;sourceID=11","0")</f>
        <v>0</v>
      </c>
      <c r="J86" s="4" t="str">
        <f>HYPERLINK("http://141.218.60.56/~jnz1568/getInfo.php?workbook=02_01.xlsx&amp;sheet=A0&amp;row=86&amp;col=10&amp;number=&amp;sourceID=11","")</f>
        <v/>
      </c>
      <c r="K86" s="4" t="str">
        <f>HYPERLINK("http://141.218.60.56/~jnz1568/getInfo.php?workbook=02_01.xlsx&amp;sheet=A0&amp;row=86&amp;col=11&amp;number=&amp;sourceID=11","")</f>
        <v/>
      </c>
      <c r="L86" s="4" t="str">
        <f>HYPERLINK("http://141.218.60.56/~jnz1568/getInfo.php?workbook=02_01.xlsx&amp;sheet=A0&amp;row=86&amp;col=12&amp;number=&amp;sourceID=11","")</f>
        <v/>
      </c>
      <c r="M86" s="4" t="str">
        <f>HYPERLINK("http://141.218.60.56/~jnz1568/getInfo.php?workbook=02_01.xlsx&amp;sheet=A0&amp;row=86&amp;col=13&amp;number=0&amp;sourceID=11","0")</f>
        <v>0</v>
      </c>
      <c r="N86" s="4" t="str">
        <f>HYPERLINK("http://141.218.60.56/~jnz1568/getInfo.php?workbook=02_01.xlsx&amp;sheet=A0&amp;row=86&amp;col=14&amp;number=0&amp;sourceID=12","0")</f>
        <v>0</v>
      </c>
      <c r="O86" s="4" t="str">
        <f>HYPERLINK("http://141.218.60.56/~jnz1568/getInfo.php?workbook=02_01.xlsx&amp;sheet=A0&amp;row=86&amp;col=15&amp;number=&amp;sourceID=12","")</f>
        <v/>
      </c>
      <c r="P86" s="4" t="str">
        <f>HYPERLINK("http://141.218.60.56/~jnz1568/getInfo.php?workbook=02_01.xlsx&amp;sheet=A0&amp;row=86&amp;col=16&amp;number=0&amp;sourceID=12","0")</f>
        <v>0</v>
      </c>
      <c r="Q86" s="4" t="str">
        <f>HYPERLINK("http://141.218.60.56/~jnz1568/getInfo.php?workbook=02_01.xlsx&amp;sheet=A0&amp;row=86&amp;col=17&amp;number=&amp;sourceID=12","")</f>
        <v/>
      </c>
      <c r="R86" s="4" t="str">
        <f>HYPERLINK("http://141.218.60.56/~jnz1568/getInfo.php?workbook=02_01.xlsx&amp;sheet=A0&amp;row=86&amp;col=18&amp;number=&amp;sourceID=12","")</f>
        <v/>
      </c>
      <c r="S86" s="4" t="str">
        <f>HYPERLINK("http://141.218.60.56/~jnz1568/getInfo.php?workbook=02_01.xlsx&amp;sheet=A0&amp;row=86&amp;col=19&amp;number=&amp;sourceID=12","")</f>
        <v/>
      </c>
      <c r="T86" s="4" t="str">
        <f>HYPERLINK("http://141.218.60.56/~jnz1568/getInfo.php?workbook=02_01.xlsx&amp;sheet=A0&amp;row=86&amp;col=20&amp;number=0&amp;sourceID=12","0")</f>
        <v>0</v>
      </c>
      <c r="U86" s="4" t="str">
        <f>HYPERLINK("http://141.218.60.56/~jnz1568/getInfo.php?workbook=02_01.xlsx&amp;sheet=A0&amp;row=86&amp;col=21&amp;number=&amp;sourceID=13","")</f>
        <v/>
      </c>
      <c r="V86" s="4" t="str">
        <f>HYPERLINK("http://141.218.60.56/~jnz1568/getInfo.php?workbook=02_01.xlsx&amp;sheet=A0&amp;row=86&amp;col=22&amp;number=&amp;sourceID=13","")</f>
        <v/>
      </c>
      <c r="W86" s="4" t="str">
        <f>HYPERLINK("http://141.218.60.56/~jnz1568/getInfo.php?workbook=02_01.xlsx&amp;sheet=A0&amp;row=86&amp;col=23&amp;number=&amp;sourceID=13","")</f>
        <v/>
      </c>
      <c r="X86" s="4" t="str">
        <f>HYPERLINK("http://141.218.60.56/~jnz1568/getInfo.php?workbook=02_01.xlsx&amp;sheet=A0&amp;row=86&amp;col=24&amp;number=&amp;sourceID=13","")</f>
        <v/>
      </c>
      <c r="Y86" s="4" t="str">
        <f>HYPERLINK("http://141.218.60.56/~jnz1568/getInfo.php?workbook=02_01.xlsx&amp;sheet=A0&amp;row=86&amp;col=25&amp;number=&amp;sourceID=13","")</f>
        <v/>
      </c>
      <c r="Z86" s="4" t="str">
        <f>HYPERLINK("http://141.218.60.56/~jnz1568/getInfo.php?workbook=02_01.xlsx&amp;sheet=A0&amp;row=86&amp;col=26&amp;number=&amp;sourceID=13","")</f>
        <v/>
      </c>
      <c r="AA86" s="4" t="str">
        <f>HYPERLINK("http://141.218.60.56/~jnz1568/getInfo.php?workbook=02_01.xlsx&amp;sheet=A0&amp;row=86&amp;col=27&amp;number=&amp;sourceID=20","")</f>
        <v/>
      </c>
    </row>
    <row r="87" spans="1:27">
      <c r="A87" s="3">
        <v>2</v>
      </c>
      <c r="B87" s="3">
        <v>1</v>
      </c>
      <c r="C87" s="3">
        <v>14</v>
      </c>
      <c r="D87" s="3">
        <v>11</v>
      </c>
      <c r="E87" s="3">
        <f>((1/(INDEX(E0!J$4:J$28,C87,1)-INDEX(E0!J$4:J$28,D87,1))))*100000000</f>
        <v>0</v>
      </c>
      <c r="F87" s="4" t="str">
        <f>HYPERLINK("http://141.218.60.56/~jnz1568/getInfo.php?workbook=02_01.xlsx&amp;sheet=A0&amp;row=87&amp;col=6&amp;number=&amp;sourceID=18","")</f>
        <v/>
      </c>
      <c r="G87" s="4" t="str">
        <f>HYPERLINK("http://141.218.60.56/~jnz1568/getInfo.php?workbook=02_01.xlsx&amp;sheet=A0&amp;row=87&amp;col=7&amp;number==&amp;sourceID=11","=")</f>
        <v>=</v>
      </c>
      <c r="H87" s="4" t="str">
        <f>HYPERLINK("http://141.218.60.56/~jnz1568/getInfo.php?workbook=02_01.xlsx&amp;sheet=A0&amp;row=87&amp;col=8&amp;number=&amp;sourceID=11","")</f>
        <v/>
      </c>
      <c r="I87" s="4" t="str">
        <f>HYPERLINK("http://141.218.60.56/~jnz1568/getInfo.php?workbook=02_01.xlsx&amp;sheet=A0&amp;row=87&amp;col=9&amp;number=&amp;sourceID=11","")</f>
        <v/>
      </c>
      <c r="J87" s="4" t="str">
        <f>HYPERLINK("http://141.218.60.56/~jnz1568/getInfo.php?workbook=02_01.xlsx&amp;sheet=A0&amp;row=87&amp;col=10&amp;number=0&amp;sourceID=11","0")</f>
        <v>0</v>
      </c>
      <c r="K87" s="4" t="str">
        <f>HYPERLINK("http://141.218.60.56/~jnz1568/getInfo.php?workbook=02_01.xlsx&amp;sheet=A0&amp;row=87&amp;col=11&amp;number=&amp;sourceID=11","")</f>
        <v/>
      </c>
      <c r="L87" s="4" t="str">
        <f>HYPERLINK("http://141.218.60.56/~jnz1568/getInfo.php?workbook=02_01.xlsx&amp;sheet=A0&amp;row=87&amp;col=12&amp;number=0&amp;sourceID=11","0")</f>
        <v>0</v>
      </c>
      <c r="M87" s="4" t="str">
        <f>HYPERLINK("http://141.218.60.56/~jnz1568/getInfo.php?workbook=02_01.xlsx&amp;sheet=A0&amp;row=87&amp;col=13&amp;number=&amp;sourceID=11","")</f>
        <v/>
      </c>
      <c r="N87" s="4" t="str">
        <f>HYPERLINK("http://141.218.60.56/~jnz1568/getInfo.php?workbook=02_01.xlsx&amp;sheet=A0&amp;row=87&amp;col=14&amp;number=0&amp;sourceID=12","0")</f>
        <v>0</v>
      </c>
      <c r="O87" s="4" t="str">
        <f>HYPERLINK("http://141.218.60.56/~jnz1568/getInfo.php?workbook=02_01.xlsx&amp;sheet=A0&amp;row=87&amp;col=15&amp;number=&amp;sourceID=12","")</f>
        <v/>
      </c>
      <c r="P87" s="4" t="str">
        <f>HYPERLINK("http://141.218.60.56/~jnz1568/getInfo.php?workbook=02_01.xlsx&amp;sheet=A0&amp;row=87&amp;col=16&amp;number=&amp;sourceID=12","")</f>
        <v/>
      </c>
      <c r="Q87" s="4" t="str">
        <f>HYPERLINK("http://141.218.60.56/~jnz1568/getInfo.php?workbook=02_01.xlsx&amp;sheet=A0&amp;row=87&amp;col=17&amp;number=0&amp;sourceID=12","0")</f>
        <v>0</v>
      </c>
      <c r="R87" s="4" t="str">
        <f>HYPERLINK("http://141.218.60.56/~jnz1568/getInfo.php?workbook=02_01.xlsx&amp;sheet=A0&amp;row=87&amp;col=18&amp;number=&amp;sourceID=12","")</f>
        <v/>
      </c>
      <c r="S87" s="4" t="str">
        <f>HYPERLINK("http://141.218.60.56/~jnz1568/getInfo.php?workbook=02_01.xlsx&amp;sheet=A0&amp;row=87&amp;col=19&amp;number=0&amp;sourceID=12","0")</f>
        <v>0</v>
      </c>
      <c r="T87" s="4" t="str">
        <f>HYPERLINK("http://141.218.60.56/~jnz1568/getInfo.php?workbook=02_01.xlsx&amp;sheet=A0&amp;row=87&amp;col=20&amp;number=&amp;sourceID=12","")</f>
        <v/>
      </c>
      <c r="U87" s="4" t="str">
        <f>HYPERLINK("http://141.218.60.56/~jnz1568/getInfo.php?workbook=02_01.xlsx&amp;sheet=A0&amp;row=87&amp;col=21&amp;number=&amp;sourceID=13","")</f>
        <v/>
      </c>
      <c r="V87" s="4" t="str">
        <f>HYPERLINK("http://141.218.60.56/~jnz1568/getInfo.php?workbook=02_01.xlsx&amp;sheet=A0&amp;row=87&amp;col=22&amp;number=&amp;sourceID=13","")</f>
        <v/>
      </c>
      <c r="W87" s="4" t="str">
        <f>HYPERLINK("http://141.218.60.56/~jnz1568/getInfo.php?workbook=02_01.xlsx&amp;sheet=A0&amp;row=87&amp;col=23&amp;number=&amp;sourceID=13","")</f>
        <v/>
      </c>
      <c r="X87" s="4" t="str">
        <f>HYPERLINK("http://141.218.60.56/~jnz1568/getInfo.php?workbook=02_01.xlsx&amp;sheet=A0&amp;row=87&amp;col=24&amp;number=&amp;sourceID=13","")</f>
        <v/>
      </c>
      <c r="Y87" s="4" t="str">
        <f>HYPERLINK("http://141.218.60.56/~jnz1568/getInfo.php?workbook=02_01.xlsx&amp;sheet=A0&amp;row=87&amp;col=25&amp;number=&amp;sourceID=13","")</f>
        <v/>
      </c>
      <c r="Z87" s="4" t="str">
        <f>HYPERLINK("http://141.218.60.56/~jnz1568/getInfo.php?workbook=02_01.xlsx&amp;sheet=A0&amp;row=87&amp;col=26&amp;number=&amp;sourceID=13","")</f>
        <v/>
      </c>
      <c r="AA87" s="4" t="str">
        <f>HYPERLINK("http://141.218.60.56/~jnz1568/getInfo.php?workbook=02_01.xlsx&amp;sheet=A0&amp;row=87&amp;col=27&amp;number=&amp;sourceID=20","")</f>
        <v/>
      </c>
    </row>
    <row r="88" spans="1:27">
      <c r="A88" s="3">
        <v>2</v>
      </c>
      <c r="B88" s="3">
        <v>1</v>
      </c>
      <c r="C88" s="3">
        <v>14</v>
      </c>
      <c r="D88" s="3">
        <v>12</v>
      </c>
      <c r="E88" s="3">
        <f>((1/(INDEX(E0!J$4:J$28,C88,1)-INDEX(E0!J$4:J$28,D88,1))))*100000000</f>
        <v>0</v>
      </c>
      <c r="F88" s="4" t="str">
        <f>HYPERLINK("http://141.218.60.56/~jnz1568/getInfo.php?workbook=02_01.xlsx&amp;sheet=A0&amp;row=88&amp;col=6&amp;number=&amp;sourceID=18","")</f>
        <v/>
      </c>
      <c r="G88" s="4" t="str">
        <f>HYPERLINK("http://141.218.60.56/~jnz1568/getInfo.php?workbook=02_01.xlsx&amp;sheet=A0&amp;row=88&amp;col=7&amp;number==&amp;sourceID=11","=")</f>
        <v>=</v>
      </c>
      <c r="H88" s="4" t="str">
        <f>HYPERLINK("http://141.218.60.56/~jnz1568/getInfo.php?workbook=02_01.xlsx&amp;sheet=A0&amp;row=88&amp;col=8&amp;number=7.3702e-07&amp;sourceID=11","7.3702e-07")</f>
        <v>7.3702e-07</v>
      </c>
      <c r="I88" s="4" t="str">
        <f>HYPERLINK("http://141.218.60.56/~jnz1568/getInfo.php?workbook=02_01.xlsx&amp;sheet=A0&amp;row=88&amp;col=9&amp;number=&amp;sourceID=11","")</f>
        <v/>
      </c>
      <c r="J88" s="4" t="str">
        <f>HYPERLINK("http://141.218.60.56/~jnz1568/getInfo.php?workbook=02_01.xlsx&amp;sheet=A0&amp;row=88&amp;col=10&amp;number=0&amp;sourceID=11","0")</f>
        <v>0</v>
      </c>
      <c r="K88" s="4" t="str">
        <f>HYPERLINK("http://141.218.60.56/~jnz1568/getInfo.php?workbook=02_01.xlsx&amp;sheet=A0&amp;row=88&amp;col=11&amp;number=&amp;sourceID=11","")</f>
        <v/>
      </c>
      <c r="L88" s="4" t="str">
        <f>HYPERLINK("http://141.218.60.56/~jnz1568/getInfo.php?workbook=02_01.xlsx&amp;sheet=A0&amp;row=88&amp;col=12&amp;number=0&amp;sourceID=11","0")</f>
        <v>0</v>
      </c>
      <c r="M88" s="4" t="str">
        <f>HYPERLINK("http://141.218.60.56/~jnz1568/getInfo.php?workbook=02_01.xlsx&amp;sheet=A0&amp;row=88&amp;col=13&amp;number=&amp;sourceID=11","")</f>
        <v/>
      </c>
      <c r="N88" s="4" t="str">
        <f>HYPERLINK("http://141.218.60.56/~jnz1568/getInfo.php?workbook=02_01.xlsx&amp;sheet=A0&amp;row=88&amp;col=14&amp;number=7.3749e-07&amp;sourceID=12","7.3749e-07")</f>
        <v>7.3749e-07</v>
      </c>
      <c r="O88" s="4" t="str">
        <f>HYPERLINK("http://141.218.60.56/~jnz1568/getInfo.php?workbook=02_01.xlsx&amp;sheet=A0&amp;row=88&amp;col=15&amp;number=7.3749e-07&amp;sourceID=12","7.3749e-07")</f>
        <v>7.3749e-07</v>
      </c>
      <c r="P88" s="4" t="str">
        <f>HYPERLINK("http://141.218.60.56/~jnz1568/getInfo.php?workbook=02_01.xlsx&amp;sheet=A0&amp;row=88&amp;col=16&amp;number=&amp;sourceID=12","")</f>
        <v/>
      </c>
      <c r="Q88" s="4" t="str">
        <f>HYPERLINK("http://141.218.60.56/~jnz1568/getInfo.php?workbook=02_01.xlsx&amp;sheet=A0&amp;row=88&amp;col=17&amp;number=0&amp;sourceID=12","0")</f>
        <v>0</v>
      </c>
      <c r="R88" s="4" t="str">
        <f>HYPERLINK("http://141.218.60.56/~jnz1568/getInfo.php?workbook=02_01.xlsx&amp;sheet=A0&amp;row=88&amp;col=18&amp;number=&amp;sourceID=12","")</f>
        <v/>
      </c>
      <c r="S88" s="4" t="str">
        <f>HYPERLINK("http://141.218.60.56/~jnz1568/getInfo.php?workbook=02_01.xlsx&amp;sheet=A0&amp;row=88&amp;col=19&amp;number=0&amp;sourceID=12","0")</f>
        <v>0</v>
      </c>
      <c r="T88" s="4" t="str">
        <f>HYPERLINK("http://141.218.60.56/~jnz1568/getInfo.php?workbook=02_01.xlsx&amp;sheet=A0&amp;row=88&amp;col=20&amp;number=&amp;sourceID=12","")</f>
        <v/>
      </c>
      <c r="U88" s="4" t="str">
        <f>HYPERLINK("http://141.218.60.56/~jnz1568/getInfo.php?workbook=02_01.xlsx&amp;sheet=A0&amp;row=88&amp;col=21&amp;number=&amp;sourceID=13","")</f>
        <v/>
      </c>
      <c r="V88" s="4" t="str">
        <f>HYPERLINK("http://141.218.60.56/~jnz1568/getInfo.php?workbook=02_01.xlsx&amp;sheet=A0&amp;row=88&amp;col=22&amp;number=&amp;sourceID=13","")</f>
        <v/>
      </c>
      <c r="W88" s="4" t="str">
        <f>HYPERLINK("http://141.218.60.56/~jnz1568/getInfo.php?workbook=02_01.xlsx&amp;sheet=A0&amp;row=88&amp;col=23&amp;number=&amp;sourceID=13","")</f>
        <v/>
      </c>
      <c r="X88" s="4" t="str">
        <f>HYPERLINK("http://141.218.60.56/~jnz1568/getInfo.php?workbook=02_01.xlsx&amp;sheet=A0&amp;row=88&amp;col=24&amp;number=&amp;sourceID=13","")</f>
        <v/>
      </c>
      <c r="Y88" s="4" t="str">
        <f>HYPERLINK("http://141.218.60.56/~jnz1568/getInfo.php?workbook=02_01.xlsx&amp;sheet=A0&amp;row=88&amp;col=25&amp;number=&amp;sourceID=13","")</f>
        <v/>
      </c>
      <c r="Z88" s="4" t="str">
        <f>HYPERLINK("http://141.218.60.56/~jnz1568/getInfo.php?workbook=02_01.xlsx&amp;sheet=A0&amp;row=88&amp;col=26&amp;number=&amp;sourceID=13","")</f>
        <v/>
      </c>
      <c r="AA88" s="4" t="str">
        <f>HYPERLINK("http://141.218.60.56/~jnz1568/getInfo.php?workbook=02_01.xlsx&amp;sheet=A0&amp;row=88&amp;col=27&amp;number=&amp;sourceID=20","")</f>
        <v/>
      </c>
    </row>
    <row r="89" spans="1:27">
      <c r="A89" s="3">
        <v>2</v>
      </c>
      <c r="B89" s="3">
        <v>1</v>
      </c>
      <c r="C89" s="3">
        <v>14</v>
      </c>
      <c r="D89" s="3">
        <v>13</v>
      </c>
      <c r="E89" s="3">
        <f>((1/(INDEX(E0!J$4:J$28,C89,1)-INDEX(E0!J$4:J$28,D89,1))))*100000000</f>
        <v>0</v>
      </c>
      <c r="F89" s="4" t="str">
        <f>HYPERLINK("http://141.218.60.56/~jnz1568/getInfo.php?workbook=02_01.xlsx&amp;sheet=A0&amp;row=89&amp;col=6&amp;number=&amp;sourceID=18","")</f>
        <v/>
      </c>
      <c r="G89" s="4" t="str">
        <f>HYPERLINK("http://141.218.60.56/~jnz1568/getInfo.php?workbook=02_01.xlsx&amp;sheet=A0&amp;row=89&amp;col=7&amp;number==&amp;sourceID=11","=")</f>
        <v>=</v>
      </c>
      <c r="H89" s="4" t="str">
        <f>HYPERLINK("http://141.218.60.56/~jnz1568/getInfo.php?workbook=02_01.xlsx&amp;sheet=A0&amp;row=89&amp;col=8&amp;number=&amp;sourceID=11","")</f>
        <v/>
      </c>
      <c r="I89" s="4" t="str">
        <f>HYPERLINK("http://141.218.60.56/~jnz1568/getInfo.php?workbook=02_01.xlsx&amp;sheet=A0&amp;row=89&amp;col=9&amp;number=0&amp;sourceID=11","0")</f>
        <v>0</v>
      </c>
      <c r="J89" s="4" t="str">
        <f>HYPERLINK("http://141.218.60.56/~jnz1568/getInfo.php?workbook=02_01.xlsx&amp;sheet=A0&amp;row=89&amp;col=10&amp;number=&amp;sourceID=11","")</f>
        <v/>
      </c>
      <c r="K89" s="4" t="str">
        <f>HYPERLINK("http://141.218.60.56/~jnz1568/getInfo.php?workbook=02_01.xlsx&amp;sheet=A0&amp;row=89&amp;col=11&amp;number=0&amp;sourceID=11","0")</f>
        <v>0</v>
      </c>
      <c r="L89" s="4" t="str">
        <f>HYPERLINK("http://141.218.60.56/~jnz1568/getInfo.php?workbook=02_01.xlsx&amp;sheet=A0&amp;row=89&amp;col=12&amp;number=&amp;sourceID=11","")</f>
        <v/>
      </c>
      <c r="M89" s="4" t="str">
        <f>HYPERLINK("http://141.218.60.56/~jnz1568/getInfo.php?workbook=02_01.xlsx&amp;sheet=A0&amp;row=89&amp;col=13&amp;number=0&amp;sourceID=11","0")</f>
        <v>0</v>
      </c>
      <c r="N89" s="4" t="str">
        <f>HYPERLINK("http://141.218.60.56/~jnz1568/getInfo.php?workbook=02_01.xlsx&amp;sheet=A0&amp;row=89&amp;col=14&amp;number=0&amp;sourceID=12","0")</f>
        <v>0</v>
      </c>
      <c r="O89" s="4" t="str">
        <f>HYPERLINK("http://141.218.60.56/~jnz1568/getInfo.php?workbook=02_01.xlsx&amp;sheet=A0&amp;row=89&amp;col=15&amp;number=&amp;sourceID=12","")</f>
        <v/>
      </c>
      <c r="P89" s="4" t="str">
        <f>HYPERLINK("http://141.218.60.56/~jnz1568/getInfo.php?workbook=02_01.xlsx&amp;sheet=A0&amp;row=89&amp;col=16&amp;number=0&amp;sourceID=12","0")</f>
        <v>0</v>
      </c>
      <c r="Q89" s="4" t="str">
        <f>HYPERLINK("http://141.218.60.56/~jnz1568/getInfo.php?workbook=02_01.xlsx&amp;sheet=A0&amp;row=89&amp;col=17&amp;number=&amp;sourceID=12","")</f>
        <v/>
      </c>
      <c r="R89" s="4" t="str">
        <f>HYPERLINK("http://141.218.60.56/~jnz1568/getInfo.php?workbook=02_01.xlsx&amp;sheet=A0&amp;row=89&amp;col=18&amp;number=0&amp;sourceID=12","0")</f>
        <v>0</v>
      </c>
      <c r="S89" s="4" t="str">
        <f>HYPERLINK("http://141.218.60.56/~jnz1568/getInfo.php?workbook=02_01.xlsx&amp;sheet=A0&amp;row=89&amp;col=19&amp;number=&amp;sourceID=12","")</f>
        <v/>
      </c>
      <c r="T89" s="4" t="str">
        <f>HYPERLINK("http://141.218.60.56/~jnz1568/getInfo.php?workbook=02_01.xlsx&amp;sheet=A0&amp;row=89&amp;col=20&amp;number=0&amp;sourceID=12","0")</f>
        <v>0</v>
      </c>
      <c r="U89" s="4" t="str">
        <f>HYPERLINK("http://141.218.60.56/~jnz1568/getInfo.php?workbook=02_01.xlsx&amp;sheet=A0&amp;row=89&amp;col=21&amp;number=&amp;sourceID=13","")</f>
        <v/>
      </c>
      <c r="V89" s="4" t="str">
        <f>HYPERLINK("http://141.218.60.56/~jnz1568/getInfo.php?workbook=02_01.xlsx&amp;sheet=A0&amp;row=89&amp;col=22&amp;number=&amp;sourceID=13","")</f>
        <v/>
      </c>
      <c r="W89" s="4" t="str">
        <f>HYPERLINK("http://141.218.60.56/~jnz1568/getInfo.php?workbook=02_01.xlsx&amp;sheet=A0&amp;row=89&amp;col=23&amp;number=&amp;sourceID=13","")</f>
        <v/>
      </c>
      <c r="X89" s="4" t="str">
        <f>HYPERLINK("http://141.218.60.56/~jnz1568/getInfo.php?workbook=02_01.xlsx&amp;sheet=A0&amp;row=89&amp;col=24&amp;number=&amp;sourceID=13","")</f>
        <v/>
      </c>
      <c r="Y89" s="4" t="str">
        <f>HYPERLINK("http://141.218.60.56/~jnz1568/getInfo.php?workbook=02_01.xlsx&amp;sheet=A0&amp;row=89&amp;col=25&amp;number=&amp;sourceID=13","")</f>
        <v/>
      </c>
      <c r="Z89" s="4" t="str">
        <f>HYPERLINK("http://141.218.60.56/~jnz1568/getInfo.php?workbook=02_01.xlsx&amp;sheet=A0&amp;row=89&amp;col=26&amp;number=&amp;sourceID=13","")</f>
        <v/>
      </c>
      <c r="AA89" s="4" t="str">
        <f>HYPERLINK("http://141.218.60.56/~jnz1568/getInfo.php?workbook=02_01.xlsx&amp;sheet=A0&amp;row=89&amp;col=27&amp;number=&amp;sourceID=20","")</f>
        <v/>
      </c>
    </row>
    <row r="90" spans="1:27">
      <c r="A90" s="3">
        <v>2</v>
      </c>
      <c r="B90" s="3">
        <v>1</v>
      </c>
      <c r="C90" s="3">
        <v>15</v>
      </c>
      <c r="D90" s="3">
        <v>1</v>
      </c>
      <c r="E90" s="3">
        <f>((1/(INDEX(E0!J$4:J$28,C90,1)-INDEX(E0!J$4:J$28,D90,1))))*100000000</f>
        <v>0</v>
      </c>
      <c r="F90" s="4" t="str">
        <f>HYPERLINK("http://141.218.60.56/~jnz1568/getInfo.php?workbook=02_01.xlsx&amp;sheet=A0&amp;row=90&amp;col=6&amp;number=&amp;sourceID=18","")</f>
        <v/>
      </c>
      <c r="G90" s="4" t="str">
        <f>HYPERLINK("http://141.218.60.56/~jnz1568/getInfo.php?workbook=02_01.xlsx&amp;sheet=A0&amp;row=90&amp;col=7&amp;number==&amp;sourceID=11","=")</f>
        <v>=</v>
      </c>
      <c r="H90" s="4" t="str">
        <f>HYPERLINK("http://141.218.60.56/~jnz1568/getInfo.php?workbook=02_01.xlsx&amp;sheet=A0&amp;row=90&amp;col=8&amp;number=&amp;sourceID=11","")</f>
        <v/>
      </c>
      <c r="I90" s="4" t="str">
        <f>HYPERLINK("http://141.218.60.56/~jnz1568/getInfo.php?workbook=02_01.xlsx&amp;sheet=A0&amp;row=90&amp;col=9&amp;number=20920&amp;sourceID=11","20920")</f>
        <v>20920</v>
      </c>
      <c r="J90" s="4" t="str">
        <f>HYPERLINK("http://141.218.60.56/~jnz1568/getInfo.php?workbook=02_01.xlsx&amp;sheet=A0&amp;row=90&amp;col=10&amp;number=&amp;sourceID=11","")</f>
        <v/>
      </c>
      <c r="K90" s="4" t="str">
        <f>HYPERLINK("http://141.218.60.56/~jnz1568/getInfo.php?workbook=02_01.xlsx&amp;sheet=A0&amp;row=90&amp;col=11&amp;number=&amp;sourceID=11","")</f>
        <v/>
      </c>
      <c r="L90" s="4" t="str">
        <f>HYPERLINK("http://141.218.60.56/~jnz1568/getInfo.php?workbook=02_01.xlsx&amp;sheet=A0&amp;row=90&amp;col=12&amp;number=&amp;sourceID=11","")</f>
        <v/>
      </c>
      <c r="M90" s="4" t="str">
        <f>HYPERLINK("http://141.218.60.56/~jnz1568/getInfo.php?workbook=02_01.xlsx&amp;sheet=A0&amp;row=90&amp;col=13&amp;number=4.6352e-05&amp;sourceID=11","4.6352e-05")</f>
        <v>4.6352e-05</v>
      </c>
      <c r="N90" s="4" t="str">
        <f>HYPERLINK("http://141.218.60.56/~jnz1568/getInfo.php?workbook=02_01.xlsx&amp;sheet=A0&amp;row=90&amp;col=14&amp;number=20923&amp;sourceID=12","20923")</f>
        <v>20923</v>
      </c>
      <c r="O90" s="4" t="str">
        <f>HYPERLINK("http://141.218.60.56/~jnz1568/getInfo.php?workbook=02_01.xlsx&amp;sheet=A0&amp;row=90&amp;col=15&amp;number=&amp;sourceID=12","")</f>
        <v/>
      </c>
      <c r="P90" s="4" t="str">
        <f>HYPERLINK("http://141.218.60.56/~jnz1568/getInfo.php?workbook=02_01.xlsx&amp;sheet=A0&amp;row=90&amp;col=16&amp;number=20923&amp;sourceID=12","20923")</f>
        <v>20923</v>
      </c>
      <c r="Q90" s="4" t="str">
        <f>HYPERLINK("http://141.218.60.56/~jnz1568/getInfo.php?workbook=02_01.xlsx&amp;sheet=A0&amp;row=90&amp;col=17&amp;number=&amp;sourceID=12","")</f>
        <v/>
      </c>
      <c r="R90" s="4" t="str">
        <f>HYPERLINK("http://141.218.60.56/~jnz1568/getInfo.php?workbook=02_01.xlsx&amp;sheet=A0&amp;row=90&amp;col=18&amp;number=&amp;sourceID=12","")</f>
        <v/>
      </c>
      <c r="S90" s="4" t="str">
        <f>HYPERLINK("http://141.218.60.56/~jnz1568/getInfo.php?workbook=02_01.xlsx&amp;sheet=A0&amp;row=90&amp;col=19&amp;number=&amp;sourceID=12","")</f>
        <v/>
      </c>
      <c r="T90" s="4" t="str">
        <f>HYPERLINK("http://141.218.60.56/~jnz1568/getInfo.php?workbook=02_01.xlsx&amp;sheet=A0&amp;row=90&amp;col=20&amp;number=4.6358e-05&amp;sourceID=12","4.6358e-05")</f>
        <v>4.6358e-05</v>
      </c>
      <c r="U90" s="4" t="str">
        <f>HYPERLINK("http://141.218.60.56/~jnz1568/getInfo.php?workbook=02_01.xlsx&amp;sheet=A0&amp;row=90&amp;col=21&amp;number==SUM(V90:Z90)&amp;sourceID=13","=SUM(V90:Z90)")</f>
        <v>=SUM(V90:Z90)</v>
      </c>
      <c r="V90" s="4" t="str">
        <f>HYPERLINK("http://141.218.60.56/~jnz1568/getInfo.php?workbook=02_01.xlsx&amp;sheet=A0&amp;row=90&amp;col=22&amp;number=&amp;sourceID=13","")</f>
        <v/>
      </c>
      <c r="W90" s="4" t="str">
        <f>HYPERLINK("http://141.218.60.56/~jnz1568/getInfo.php?workbook=02_01.xlsx&amp;sheet=A0&amp;row=90&amp;col=23&amp;number=21000&amp;sourceID=13","21000")</f>
        <v>21000</v>
      </c>
      <c r="X90" s="4" t="str">
        <f>HYPERLINK("http://141.218.60.56/~jnz1568/getInfo.php?workbook=02_01.xlsx&amp;sheet=A0&amp;row=90&amp;col=24&amp;number=&amp;sourceID=13","")</f>
        <v/>
      </c>
      <c r="Y90" s="4" t="str">
        <f>HYPERLINK("http://141.218.60.56/~jnz1568/getInfo.php?workbook=02_01.xlsx&amp;sheet=A0&amp;row=90&amp;col=25&amp;number=&amp;sourceID=13","")</f>
        <v/>
      </c>
      <c r="Z90" s="4" t="str">
        <f>HYPERLINK("http://141.218.60.56/~jnz1568/getInfo.php?workbook=02_01.xlsx&amp;sheet=A0&amp;row=90&amp;col=26&amp;number=&amp;sourceID=13","")</f>
        <v/>
      </c>
      <c r="AA90" s="4" t="str">
        <f>HYPERLINK("http://141.218.60.56/~jnz1568/getInfo.php?workbook=02_01.xlsx&amp;sheet=A0&amp;row=90&amp;col=27&amp;number=&amp;sourceID=20","")</f>
        <v/>
      </c>
    </row>
    <row r="91" spans="1:27">
      <c r="A91" s="3">
        <v>2</v>
      </c>
      <c r="B91" s="3">
        <v>1</v>
      </c>
      <c r="C91" s="3">
        <v>15</v>
      </c>
      <c r="D91" s="3">
        <v>2</v>
      </c>
      <c r="E91" s="3">
        <f>((1/(INDEX(E0!J$4:J$28,C91,1)-INDEX(E0!J$4:J$28,D91,1))))*100000000</f>
        <v>0</v>
      </c>
      <c r="F91" s="4" t="str">
        <f>HYPERLINK("http://141.218.60.56/~jnz1568/getInfo.php?workbook=02_01.xlsx&amp;sheet=A0&amp;row=91&amp;col=6&amp;number=&amp;sourceID=18","")</f>
        <v/>
      </c>
      <c r="G91" s="4" t="str">
        <f>HYPERLINK("http://141.218.60.56/~jnz1568/getInfo.php?workbook=02_01.xlsx&amp;sheet=A0&amp;row=91&amp;col=7&amp;number==&amp;sourceID=11","=")</f>
        <v>=</v>
      </c>
      <c r="H91" s="4" t="str">
        <f>HYPERLINK("http://141.218.60.56/~jnz1568/getInfo.php?workbook=02_01.xlsx&amp;sheet=A0&amp;row=91&amp;col=8&amp;number=&amp;sourceID=11","")</f>
        <v/>
      </c>
      <c r="I91" s="4" t="str">
        <f>HYPERLINK("http://141.218.60.56/~jnz1568/getInfo.php?workbook=02_01.xlsx&amp;sheet=A0&amp;row=91&amp;col=9&amp;number=&amp;sourceID=11","")</f>
        <v/>
      </c>
      <c r="J91" s="4" t="str">
        <f>HYPERLINK("http://141.218.60.56/~jnz1568/getInfo.php?workbook=02_01.xlsx&amp;sheet=A0&amp;row=91&amp;col=10&amp;number=7.1945e-11&amp;sourceID=11","7.1945e-11")</f>
        <v>7.1945e-11</v>
      </c>
      <c r="K91" s="4" t="str">
        <f>HYPERLINK("http://141.218.60.56/~jnz1568/getInfo.php?workbook=02_01.xlsx&amp;sheet=A0&amp;row=91&amp;col=11&amp;number=&amp;sourceID=11","")</f>
        <v/>
      </c>
      <c r="L91" s="4" t="str">
        <f>HYPERLINK("http://141.218.60.56/~jnz1568/getInfo.php?workbook=02_01.xlsx&amp;sheet=A0&amp;row=91&amp;col=12&amp;number=0.005853&amp;sourceID=11","0.005853")</f>
        <v>0.005853</v>
      </c>
      <c r="M91" s="4" t="str">
        <f>HYPERLINK("http://141.218.60.56/~jnz1568/getInfo.php?workbook=02_01.xlsx&amp;sheet=A0&amp;row=91&amp;col=13&amp;number=&amp;sourceID=11","")</f>
        <v/>
      </c>
      <c r="N91" s="4" t="str">
        <f>HYPERLINK("http://141.218.60.56/~jnz1568/getInfo.php?workbook=02_01.xlsx&amp;sheet=A0&amp;row=91&amp;col=14&amp;number=0.0058538&amp;sourceID=12","0.0058538")</f>
        <v>0.0058538</v>
      </c>
      <c r="O91" s="4" t="str">
        <f>HYPERLINK("http://141.218.60.56/~jnz1568/getInfo.php?workbook=02_01.xlsx&amp;sheet=A0&amp;row=91&amp;col=15&amp;number=&amp;sourceID=12","")</f>
        <v/>
      </c>
      <c r="P91" s="4" t="str">
        <f>HYPERLINK("http://141.218.60.56/~jnz1568/getInfo.php?workbook=02_01.xlsx&amp;sheet=A0&amp;row=91&amp;col=16&amp;number=&amp;sourceID=12","")</f>
        <v/>
      </c>
      <c r="Q91" s="4" t="str">
        <f>HYPERLINK("http://141.218.60.56/~jnz1568/getInfo.php?workbook=02_01.xlsx&amp;sheet=A0&amp;row=91&amp;col=17&amp;number=7.2213e-11&amp;sourceID=12","7.2213e-11")</f>
        <v>7.2213e-11</v>
      </c>
      <c r="R91" s="4" t="str">
        <f>HYPERLINK("http://141.218.60.56/~jnz1568/getInfo.php?workbook=02_01.xlsx&amp;sheet=A0&amp;row=91&amp;col=18&amp;number=&amp;sourceID=12","")</f>
        <v/>
      </c>
      <c r="S91" s="4" t="str">
        <f>HYPERLINK("http://141.218.60.56/~jnz1568/getInfo.php?workbook=02_01.xlsx&amp;sheet=A0&amp;row=91&amp;col=19&amp;number=0.0058538&amp;sourceID=12","0.0058538")</f>
        <v>0.0058538</v>
      </c>
      <c r="T91" s="4" t="str">
        <f>HYPERLINK("http://141.218.60.56/~jnz1568/getInfo.php?workbook=02_01.xlsx&amp;sheet=A0&amp;row=91&amp;col=20&amp;number=&amp;sourceID=12","")</f>
        <v/>
      </c>
      <c r="U91" s="4" t="str">
        <f>HYPERLINK("http://141.218.60.56/~jnz1568/getInfo.php?workbook=02_01.xlsx&amp;sheet=A0&amp;row=91&amp;col=21&amp;number==&amp;sourceID=13","=")</f>
        <v>=</v>
      </c>
      <c r="V91" s="4" t="str">
        <f>HYPERLINK("http://141.218.60.56/~jnz1568/getInfo.php?workbook=02_01.xlsx&amp;sheet=A0&amp;row=91&amp;col=22&amp;number=&amp;sourceID=13","")</f>
        <v/>
      </c>
      <c r="W91" s="4" t="str">
        <f>HYPERLINK("http://141.218.60.56/~jnz1568/getInfo.php?workbook=02_01.xlsx&amp;sheet=A0&amp;row=91&amp;col=23&amp;number=&amp;sourceID=13","")</f>
        <v/>
      </c>
      <c r="X91" s="4" t="str">
        <f>HYPERLINK("http://141.218.60.56/~jnz1568/getInfo.php?workbook=02_01.xlsx&amp;sheet=A0&amp;row=91&amp;col=24&amp;number=1.65e-08&amp;sourceID=13","1.65e-08")</f>
        <v>1.65e-08</v>
      </c>
      <c r="Y91" s="4" t="str">
        <f>HYPERLINK("http://141.218.60.56/~jnz1568/getInfo.php?workbook=02_01.xlsx&amp;sheet=A0&amp;row=91&amp;col=25&amp;number=&amp;sourceID=13","")</f>
        <v/>
      </c>
      <c r="Z91" s="4" t="str">
        <f>HYPERLINK("http://141.218.60.56/~jnz1568/getInfo.php?workbook=02_01.xlsx&amp;sheet=A0&amp;row=91&amp;col=26&amp;number=0.0234&amp;sourceID=13","0.0234")</f>
        <v>0.0234</v>
      </c>
      <c r="AA91" s="4" t="str">
        <f>HYPERLINK("http://141.218.60.56/~jnz1568/getInfo.php?workbook=02_01.xlsx&amp;sheet=A0&amp;row=91&amp;col=27&amp;number=&amp;sourceID=20","")</f>
        <v/>
      </c>
    </row>
    <row r="92" spans="1:27">
      <c r="A92" s="3">
        <v>2</v>
      </c>
      <c r="B92" s="3">
        <v>1</v>
      </c>
      <c r="C92" s="3">
        <v>15</v>
      </c>
      <c r="D92" s="3">
        <v>3</v>
      </c>
      <c r="E92" s="3">
        <f>((1/(INDEX(E0!J$4:J$28,C92,1)-INDEX(E0!J$4:J$28,D92,1))))*100000000</f>
        <v>0</v>
      </c>
      <c r="F92" s="4" t="str">
        <f>HYPERLINK("http://141.218.60.56/~jnz1568/getInfo.php?workbook=02_01.xlsx&amp;sheet=A0&amp;row=92&amp;col=6&amp;number=&amp;sourceID=18","")</f>
        <v/>
      </c>
      <c r="G92" s="4" t="str">
        <f>HYPERLINK("http://141.218.60.56/~jnz1568/getInfo.php?workbook=02_01.xlsx&amp;sheet=A0&amp;row=92&amp;col=7&amp;number==&amp;sourceID=11","=")</f>
        <v>=</v>
      </c>
      <c r="H92" s="4" t="str">
        <f>HYPERLINK("http://141.218.60.56/~jnz1568/getInfo.php?workbook=02_01.xlsx&amp;sheet=A0&amp;row=92&amp;col=8&amp;number=&amp;sourceID=11","")</f>
        <v/>
      </c>
      <c r="I92" s="4" t="str">
        <f>HYPERLINK("http://141.218.60.56/~jnz1568/getInfo.php?workbook=02_01.xlsx&amp;sheet=A0&amp;row=92&amp;col=9&amp;number=329.87&amp;sourceID=11","329.87")</f>
        <v>329.87</v>
      </c>
      <c r="J92" s="4" t="str">
        <f>HYPERLINK("http://141.218.60.56/~jnz1568/getInfo.php?workbook=02_01.xlsx&amp;sheet=A0&amp;row=92&amp;col=10&amp;number=&amp;sourceID=11","")</f>
        <v/>
      </c>
      <c r="K92" s="4" t="str">
        <f>HYPERLINK("http://141.218.60.56/~jnz1568/getInfo.php?workbook=02_01.xlsx&amp;sheet=A0&amp;row=92&amp;col=11&amp;number=&amp;sourceID=11","")</f>
        <v/>
      </c>
      <c r="L92" s="4" t="str">
        <f>HYPERLINK("http://141.218.60.56/~jnz1568/getInfo.php?workbook=02_01.xlsx&amp;sheet=A0&amp;row=92&amp;col=12&amp;number=&amp;sourceID=11","")</f>
        <v/>
      </c>
      <c r="M92" s="4" t="str">
        <f>HYPERLINK("http://141.218.60.56/~jnz1568/getInfo.php?workbook=02_01.xlsx&amp;sheet=A0&amp;row=92&amp;col=13&amp;number=2.9236e-08&amp;sourceID=11","2.9236e-08")</f>
        <v>2.9236e-08</v>
      </c>
      <c r="N92" s="4" t="str">
        <f>HYPERLINK("http://141.218.60.56/~jnz1568/getInfo.php?workbook=02_01.xlsx&amp;sheet=A0&amp;row=92&amp;col=14&amp;number=329.92&amp;sourceID=12","329.92")</f>
        <v>329.92</v>
      </c>
      <c r="O92" s="4" t="str">
        <f>HYPERLINK("http://141.218.60.56/~jnz1568/getInfo.php?workbook=02_01.xlsx&amp;sheet=A0&amp;row=92&amp;col=15&amp;number=&amp;sourceID=12","")</f>
        <v/>
      </c>
      <c r="P92" s="4" t="str">
        <f>HYPERLINK("http://141.218.60.56/~jnz1568/getInfo.php?workbook=02_01.xlsx&amp;sheet=A0&amp;row=92&amp;col=16&amp;number=329.92&amp;sourceID=12","329.92")</f>
        <v>329.92</v>
      </c>
      <c r="Q92" s="4" t="str">
        <f>HYPERLINK("http://141.218.60.56/~jnz1568/getInfo.php?workbook=02_01.xlsx&amp;sheet=A0&amp;row=92&amp;col=17&amp;number=&amp;sourceID=12","")</f>
        <v/>
      </c>
      <c r="R92" s="4" t="str">
        <f>HYPERLINK("http://141.218.60.56/~jnz1568/getInfo.php?workbook=02_01.xlsx&amp;sheet=A0&amp;row=92&amp;col=18&amp;number=&amp;sourceID=12","")</f>
        <v/>
      </c>
      <c r="S92" s="4" t="str">
        <f>HYPERLINK("http://141.218.60.56/~jnz1568/getInfo.php?workbook=02_01.xlsx&amp;sheet=A0&amp;row=92&amp;col=19&amp;number=&amp;sourceID=12","")</f>
        <v/>
      </c>
      <c r="T92" s="4" t="str">
        <f>HYPERLINK("http://141.218.60.56/~jnz1568/getInfo.php?workbook=02_01.xlsx&amp;sheet=A0&amp;row=92&amp;col=20&amp;number=2.924e-08&amp;sourceID=12","2.924e-08")</f>
        <v>2.924e-08</v>
      </c>
      <c r="U92" s="4" t="str">
        <f>HYPERLINK("http://141.218.60.56/~jnz1568/getInfo.php?workbook=02_01.xlsx&amp;sheet=A0&amp;row=92&amp;col=21&amp;number==&amp;sourceID=13","=")</f>
        <v>=</v>
      </c>
      <c r="V92" s="4" t="str">
        <f>HYPERLINK("http://141.218.60.56/~jnz1568/getInfo.php?workbook=02_01.xlsx&amp;sheet=A0&amp;row=92&amp;col=22&amp;number=&amp;sourceID=13","")</f>
        <v/>
      </c>
      <c r="W92" s="4" t="str">
        <f>HYPERLINK("http://141.218.60.56/~jnz1568/getInfo.php?workbook=02_01.xlsx&amp;sheet=A0&amp;row=92&amp;col=23&amp;number=329&amp;sourceID=13","329")</f>
        <v>329</v>
      </c>
      <c r="X92" s="4" t="str">
        <f>HYPERLINK("http://141.218.60.56/~jnz1568/getInfo.php?workbook=02_01.xlsx&amp;sheet=A0&amp;row=92&amp;col=24&amp;number=&amp;sourceID=13","")</f>
        <v/>
      </c>
      <c r="Y92" s="4" t="str">
        <f>HYPERLINK("http://141.218.60.56/~jnz1568/getInfo.php?workbook=02_01.xlsx&amp;sheet=A0&amp;row=92&amp;col=25&amp;number=&amp;sourceID=13","")</f>
        <v/>
      </c>
      <c r="Z92" s="4" t="str">
        <f>HYPERLINK("http://141.218.60.56/~jnz1568/getInfo.php?workbook=02_01.xlsx&amp;sheet=A0&amp;row=92&amp;col=26&amp;number=&amp;sourceID=13","")</f>
        <v/>
      </c>
      <c r="AA92" s="4" t="str">
        <f>HYPERLINK("http://141.218.60.56/~jnz1568/getInfo.php?workbook=02_01.xlsx&amp;sheet=A0&amp;row=92&amp;col=27&amp;number=&amp;sourceID=20","")</f>
        <v/>
      </c>
    </row>
    <row r="93" spans="1:27">
      <c r="A93" s="3">
        <v>2</v>
      </c>
      <c r="B93" s="3">
        <v>1</v>
      </c>
      <c r="C93" s="3">
        <v>15</v>
      </c>
      <c r="D93" s="3">
        <v>4</v>
      </c>
      <c r="E93" s="3">
        <f>((1/(INDEX(E0!J$4:J$28,C93,1)-INDEX(E0!J$4:J$28,D93,1))))*100000000</f>
        <v>0</v>
      </c>
      <c r="F93" s="4" t="str">
        <f>HYPERLINK("http://141.218.60.56/~jnz1568/getInfo.php?workbook=02_01.xlsx&amp;sheet=A0&amp;row=93&amp;col=6&amp;number=&amp;sourceID=18","")</f>
        <v/>
      </c>
      <c r="G93" s="4" t="str">
        <f>HYPERLINK("http://141.218.60.56/~jnz1568/getInfo.php?workbook=02_01.xlsx&amp;sheet=A0&amp;row=93&amp;col=7&amp;number==&amp;sourceID=11","=")</f>
        <v>=</v>
      </c>
      <c r="H93" s="4" t="str">
        <f>HYPERLINK("http://141.218.60.56/~jnz1568/getInfo.php?workbook=02_01.xlsx&amp;sheet=A0&amp;row=93&amp;col=8&amp;number=330140000&amp;sourceID=11","330140000")</f>
        <v>330140000</v>
      </c>
      <c r="I93" s="4" t="str">
        <f>HYPERLINK("http://141.218.60.56/~jnz1568/getInfo.php?workbook=02_01.xlsx&amp;sheet=A0&amp;row=93&amp;col=9&amp;number=&amp;sourceID=11","")</f>
        <v/>
      </c>
      <c r="J93" s="4" t="str">
        <f>HYPERLINK("http://141.218.60.56/~jnz1568/getInfo.php?workbook=02_01.xlsx&amp;sheet=A0&amp;row=93&amp;col=10&amp;number=5.12e-13&amp;sourceID=11","5.12e-13")</f>
        <v>5.12e-13</v>
      </c>
      <c r="K93" s="4" t="str">
        <f>HYPERLINK("http://141.218.60.56/~jnz1568/getInfo.php?workbook=02_01.xlsx&amp;sheet=A0&amp;row=93&amp;col=11&amp;number=&amp;sourceID=11","")</f>
        <v/>
      </c>
      <c r="L93" s="4" t="str">
        <f>HYPERLINK("http://141.218.60.56/~jnz1568/getInfo.php?workbook=02_01.xlsx&amp;sheet=A0&amp;row=93&amp;col=12&amp;number=0.031998&amp;sourceID=11","0.031998")</f>
        <v>0.031998</v>
      </c>
      <c r="M93" s="4" t="str">
        <f>HYPERLINK("http://141.218.60.56/~jnz1568/getInfo.php?workbook=02_01.xlsx&amp;sheet=A0&amp;row=93&amp;col=13&amp;number=&amp;sourceID=11","")</f>
        <v/>
      </c>
      <c r="N93" s="4" t="str">
        <f>HYPERLINK("http://141.218.60.56/~jnz1568/getInfo.php?workbook=02_01.xlsx&amp;sheet=A0&amp;row=93&amp;col=14&amp;number=330180000&amp;sourceID=12","330180000")</f>
        <v>330180000</v>
      </c>
      <c r="O93" s="4" t="str">
        <f>HYPERLINK("http://141.218.60.56/~jnz1568/getInfo.php?workbook=02_01.xlsx&amp;sheet=A0&amp;row=93&amp;col=15&amp;number=330180000&amp;sourceID=12","330180000")</f>
        <v>330180000</v>
      </c>
      <c r="P93" s="4" t="str">
        <f>HYPERLINK("http://141.218.60.56/~jnz1568/getInfo.php?workbook=02_01.xlsx&amp;sheet=A0&amp;row=93&amp;col=16&amp;number=&amp;sourceID=12","")</f>
        <v/>
      </c>
      <c r="Q93" s="4" t="str">
        <f>HYPERLINK("http://141.218.60.56/~jnz1568/getInfo.php?workbook=02_01.xlsx&amp;sheet=A0&amp;row=93&amp;col=17&amp;number=5.19e-13&amp;sourceID=12","5.19e-13")</f>
        <v>5.19e-13</v>
      </c>
      <c r="R93" s="4" t="str">
        <f>HYPERLINK("http://141.218.60.56/~jnz1568/getInfo.php?workbook=02_01.xlsx&amp;sheet=A0&amp;row=93&amp;col=18&amp;number=&amp;sourceID=12","")</f>
        <v/>
      </c>
      <c r="S93" s="4" t="str">
        <f>HYPERLINK("http://141.218.60.56/~jnz1568/getInfo.php?workbook=02_01.xlsx&amp;sheet=A0&amp;row=93&amp;col=19&amp;number=0.032002&amp;sourceID=12","0.032002")</f>
        <v>0.032002</v>
      </c>
      <c r="T93" s="4" t="str">
        <f>HYPERLINK("http://141.218.60.56/~jnz1568/getInfo.php?workbook=02_01.xlsx&amp;sheet=A0&amp;row=93&amp;col=20&amp;number=&amp;sourceID=12","")</f>
        <v/>
      </c>
      <c r="U93" s="4" t="str">
        <f>HYPERLINK("http://141.218.60.56/~jnz1568/getInfo.php?workbook=02_01.xlsx&amp;sheet=A0&amp;row=93&amp;col=21&amp;number==&amp;sourceID=13","=")</f>
        <v>=</v>
      </c>
      <c r="V93" s="4" t="str">
        <f>HYPERLINK("http://141.218.60.56/~jnz1568/getInfo.php?workbook=02_01.xlsx&amp;sheet=A0&amp;row=93&amp;col=22&amp;number=330000000&amp;sourceID=13","330000000")</f>
        <v>330000000</v>
      </c>
      <c r="W93" s="4" t="str">
        <f>HYPERLINK("http://141.218.60.56/~jnz1568/getInfo.php?workbook=02_01.xlsx&amp;sheet=A0&amp;row=93&amp;col=23&amp;number=&amp;sourceID=13","")</f>
        <v/>
      </c>
      <c r="X93" s="4" t="str">
        <f>HYPERLINK("http://141.218.60.56/~jnz1568/getInfo.php?workbook=02_01.xlsx&amp;sheet=A0&amp;row=93&amp;col=24&amp;number=&amp;sourceID=13","")</f>
        <v/>
      </c>
      <c r="Y93" s="4" t="str">
        <f>HYPERLINK("http://141.218.60.56/~jnz1568/getInfo.php?workbook=02_01.xlsx&amp;sheet=A0&amp;row=93&amp;col=25&amp;number=&amp;sourceID=13","")</f>
        <v/>
      </c>
      <c r="Z93" s="4" t="str">
        <f>HYPERLINK("http://141.218.60.56/~jnz1568/getInfo.php?workbook=02_01.xlsx&amp;sheet=A0&amp;row=93&amp;col=26&amp;number=&amp;sourceID=13","")</f>
        <v/>
      </c>
      <c r="AA93" s="4" t="str">
        <f>HYPERLINK("http://141.218.60.56/~jnz1568/getInfo.php?workbook=02_01.xlsx&amp;sheet=A0&amp;row=93&amp;col=27&amp;number=&amp;sourceID=20","")</f>
        <v/>
      </c>
    </row>
    <row r="94" spans="1:27">
      <c r="A94" s="3">
        <v>2</v>
      </c>
      <c r="B94" s="3">
        <v>1</v>
      </c>
      <c r="C94" s="3">
        <v>15</v>
      </c>
      <c r="D94" s="3">
        <v>5</v>
      </c>
      <c r="E94" s="3">
        <f>((1/(INDEX(E0!J$4:J$28,C94,1)-INDEX(E0!J$4:J$28,D94,1))))*100000000</f>
        <v>0</v>
      </c>
      <c r="F94" s="4" t="str">
        <f>HYPERLINK("http://141.218.60.56/~jnz1568/getInfo.php?workbook=02_01.xlsx&amp;sheet=A0&amp;row=94&amp;col=6&amp;number=&amp;sourceID=18","")</f>
        <v/>
      </c>
      <c r="G94" s="4" t="str">
        <f>HYPERLINK("http://141.218.60.56/~jnz1568/getInfo.php?workbook=02_01.xlsx&amp;sheet=A0&amp;row=94&amp;col=7&amp;number==&amp;sourceID=11","=")</f>
        <v>=</v>
      </c>
      <c r="H94" s="4" t="str">
        <f>HYPERLINK("http://141.218.60.56/~jnz1568/getInfo.php?workbook=02_01.xlsx&amp;sheet=A0&amp;row=94&amp;col=8&amp;number=&amp;sourceID=11","")</f>
        <v/>
      </c>
      <c r="I94" s="4" t="str">
        <f>HYPERLINK("http://141.218.60.56/~jnz1568/getInfo.php?workbook=02_01.xlsx&amp;sheet=A0&amp;row=94&amp;col=9&amp;number=&amp;sourceID=11","")</f>
        <v/>
      </c>
      <c r="J94" s="4" t="str">
        <f>HYPERLINK("http://141.218.60.56/~jnz1568/getInfo.php?workbook=02_01.xlsx&amp;sheet=A0&amp;row=94&amp;col=10&amp;number=0.00017892&amp;sourceID=11","0.00017892")</f>
        <v>0.00017892</v>
      </c>
      <c r="K94" s="4" t="str">
        <f>HYPERLINK("http://141.218.60.56/~jnz1568/getInfo.php?workbook=02_01.xlsx&amp;sheet=A0&amp;row=94&amp;col=11&amp;number=&amp;sourceID=11","")</f>
        <v/>
      </c>
      <c r="L94" s="4" t="str">
        <f>HYPERLINK("http://141.218.60.56/~jnz1568/getInfo.php?workbook=02_01.xlsx&amp;sheet=A0&amp;row=94&amp;col=12&amp;number=0.00013422&amp;sourceID=11","0.00013422")</f>
        <v>0.00013422</v>
      </c>
      <c r="M94" s="4" t="str">
        <f>HYPERLINK("http://141.218.60.56/~jnz1568/getInfo.php?workbook=02_01.xlsx&amp;sheet=A0&amp;row=94&amp;col=13&amp;number=&amp;sourceID=11","")</f>
        <v/>
      </c>
      <c r="N94" s="4" t="str">
        <f>HYPERLINK("http://141.218.60.56/~jnz1568/getInfo.php?workbook=02_01.xlsx&amp;sheet=A0&amp;row=94&amp;col=14&amp;number=0.00031319&amp;sourceID=12","0.00031319")</f>
        <v>0.00031319</v>
      </c>
      <c r="O94" s="4" t="str">
        <f>HYPERLINK("http://141.218.60.56/~jnz1568/getInfo.php?workbook=02_01.xlsx&amp;sheet=A0&amp;row=94&amp;col=15&amp;number=&amp;sourceID=12","")</f>
        <v/>
      </c>
      <c r="P94" s="4" t="str">
        <f>HYPERLINK("http://141.218.60.56/~jnz1568/getInfo.php?workbook=02_01.xlsx&amp;sheet=A0&amp;row=94&amp;col=16&amp;number=&amp;sourceID=12","")</f>
        <v/>
      </c>
      <c r="Q94" s="4" t="str">
        <f>HYPERLINK("http://141.218.60.56/~jnz1568/getInfo.php?workbook=02_01.xlsx&amp;sheet=A0&amp;row=94&amp;col=17&amp;number=0.00017895&amp;sourceID=12","0.00017895")</f>
        <v>0.00017895</v>
      </c>
      <c r="R94" s="4" t="str">
        <f>HYPERLINK("http://141.218.60.56/~jnz1568/getInfo.php?workbook=02_01.xlsx&amp;sheet=A0&amp;row=94&amp;col=18&amp;number=&amp;sourceID=12","")</f>
        <v/>
      </c>
      <c r="S94" s="4" t="str">
        <f>HYPERLINK("http://141.218.60.56/~jnz1568/getInfo.php?workbook=02_01.xlsx&amp;sheet=A0&amp;row=94&amp;col=19&amp;number=0.00013424&amp;sourceID=12","0.00013424")</f>
        <v>0.00013424</v>
      </c>
      <c r="T94" s="4" t="str">
        <f>HYPERLINK("http://141.218.60.56/~jnz1568/getInfo.php?workbook=02_01.xlsx&amp;sheet=A0&amp;row=94&amp;col=20&amp;number=&amp;sourceID=12","")</f>
        <v/>
      </c>
      <c r="U94" s="4" t="str">
        <f>HYPERLINK("http://141.218.60.56/~jnz1568/getInfo.php?workbook=02_01.xlsx&amp;sheet=A0&amp;row=94&amp;col=21&amp;number==&amp;sourceID=13","=")</f>
        <v>=</v>
      </c>
      <c r="V94" s="4" t="str">
        <f>HYPERLINK("http://141.218.60.56/~jnz1568/getInfo.php?workbook=02_01.xlsx&amp;sheet=A0&amp;row=94&amp;col=22&amp;number=&amp;sourceID=13","")</f>
        <v/>
      </c>
      <c r="W94" s="4" t="str">
        <f>HYPERLINK("http://141.218.60.56/~jnz1568/getInfo.php?workbook=02_01.xlsx&amp;sheet=A0&amp;row=94&amp;col=23&amp;number=&amp;sourceID=13","")</f>
        <v/>
      </c>
      <c r="X94" s="4" t="str">
        <f>HYPERLINK("http://141.218.60.56/~jnz1568/getInfo.php?workbook=02_01.xlsx&amp;sheet=A0&amp;row=94&amp;col=24&amp;number=0.000278&amp;sourceID=13","0.000278")</f>
        <v>0.000278</v>
      </c>
      <c r="Y94" s="4" t="str">
        <f>HYPERLINK("http://141.218.60.56/~jnz1568/getInfo.php?workbook=02_01.xlsx&amp;sheet=A0&amp;row=94&amp;col=25&amp;number=&amp;sourceID=13","")</f>
        <v/>
      </c>
      <c r="Z94" s="4" t="str">
        <f>HYPERLINK("http://141.218.60.56/~jnz1568/getInfo.php?workbook=02_01.xlsx&amp;sheet=A0&amp;row=94&amp;col=26&amp;number=0.000537&amp;sourceID=13","0.000537")</f>
        <v>0.000537</v>
      </c>
      <c r="AA94" s="4" t="str">
        <f>HYPERLINK("http://141.218.60.56/~jnz1568/getInfo.php?workbook=02_01.xlsx&amp;sheet=A0&amp;row=94&amp;col=27&amp;number=&amp;sourceID=20","")</f>
        <v/>
      </c>
    </row>
    <row r="95" spans="1:27">
      <c r="A95" s="3">
        <v>2</v>
      </c>
      <c r="B95" s="3">
        <v>1</v>
      </c>
      <c r="C95" s="3">
        <v>15</v>
      </c>
      <c r="D95" s="3">
        <v>6</v>
      </c>
      <c r="E95" s="3">
        <f>((1/(INDEX(E0!J$4:J$28,C95,1)-INDEX(E0!J$4:J$28,D95,1))))*100000000</f>
        <v>0</v>
      </c>
      <c r="F95" s="4" t="str">
        <f>HYPERLINK("http://141.218.60.56/~jnz1568/getInfo.php?workbook=02_01.xlsx&amp;sheet=A0&amp;row=95&amp;col=6&amp;number=&amp;sourceID=18","")</f>
        <v/>
      </c>
      <c r="G95" s="4" t="str">
        <f>HYPERLINK("http://141.218.60.56/~jnz1568/getInfo.php?workbook=02_01.xlsx&amp;sheet=A0&amp;row=95&amp;col=7&amp;number==&amp;sourceID=11","=")</f>
        <v>=</v>
      </c>
      <c r="H95" s="4" t="str">
        <f>HYPERLINK("http://141.218.60.56/~jnz1568/getInfo.php?workbook=02_01.xlsx&amp;sheet=A0&amp;row=95&amp;col=8&amp;number=&amp;sourceID=11","")</f>
        <v/>
      </c>
      <c r="I95" s="4" t="str">
        <f>HYPERLINK("http://141.218.60.56/~jnz1568/getInfo.php?workbook=02_01.xlsx&amp;sheet=A0&amp;row=95&amp;col=9&amp;number=240.76&amp;sourceID=11","240.76")</f>
        <v>240.76</v>
      </c>
      <c r="J95" s="4" t="str">
        <f>HYPERLINK("http://141.218.60.56/~jnz1568/getInfo.php?workbook=02_01.xlsx&amp;sheet=A0&amp;row=95&amp;col=10&amp;number=&amp;sourceID=11","")</f>
        <v/>
      </c>
      <c r="K95" s="4" t="str">
        <f>HYPERLINK("http://141.218.60.56/~jnz1568/getInfo.php?workbook=02_01.xlsx&amp;sheet=A0&amp;row=95&amp;col=11&amp;number=&amp;sourceID=11","")</f>
        <v/>
      </c>
      <c r="L95" s="4" t="str">
        <f>HYPERLINK("http://141.218.60.56/~jnz1568/getInfo.php?workbook=02_01.xlsx&amp;sheet=A0&amp;row=95&amp;col=12&amp;number=&amp;sourceID=11","")</f>
        <v/>
      </c>
      <c r="M95" s="4" t="str">
        <f>HYPERLINK("http://141.218.60.56/~jnz1568/getInfo.php?workbook=02_01.xlsx&amp;sheet=A0&amp;row=95&amp;col=13&amp;number=1.4344e-09&amp;sourceID=11","1.4344e-09")</f>
        <v>1.4344e-09</v>
      </c>
      <c r="N95" s="4" t="str">
        <f>HYPERLINK("http://141.218.60.56/~jnz1568/getInfo.php?workbook=02_01.xlsx&amp;sheet=A0&amp;row=95&amp;col=14&amp;number=240.79&amp;sourceID=12","240.79")</f>
        <v>240.79</v>
      </c>
      <c r="O95" s="4" t="str">
        <f>HYPERLINK("http://141.218.60.56/~jnz1568/getInfo.php?workbook=02_01.xlsx&amp;sheet=A0&amp;row=95&amp;col=15&amp;number=&amp;sourceID=12","")</f>
        <v/>
      </c>
      <c r="P95" s="4" t="str">
        <f>HYPERLINK("http://141.218.60.56/~jnz1568/getInfo.php?workbook=02_01.xlsx&amp;sheet=A0&amp;row=95&amp;col=16&amp;number=240.79&amp;sourceID=12","240.79")</f>
        <v>240.79</v>
      </c>
      <c r="Q95" s="4" t="str">
        <f>HYPERLINK("http://141.218.60.56/~jnz1568/getInfo.php?workbook=02_01.xlsx&amp;sheet=A0&amp;row=95&amp;col=17&amp;number=&amp;sourceID=12","")</f>
        <v/>
      </c>
      <c r="R95" s="4" t="str">
        <f>HYPERLINK("http://141.218.60.56/~jnz1568/getInfo.php?workbook=02_01.xlsx&amp;sheet=A0&amp;row=95&amp;col=18&amp;number=&amp;sourceID=12","")</f>
        <v/>
      </c>
      <c r="S95" s="4" t="str">
        <f>HYPERLINK("http://141.218.60.56/~jnz1568/getInfo.php?workbook=02_01.xlsx&amp;sheet=A0&amp;row=95&amp;col=19&amp;number=&amp;sourceID=12","")</f>
        <v/>
      </c>
      <c r="T95" s="4" t="str">
        <f>HYPERLINK("http://141.218.60.56/~jnz1568/getInfo.php?workbook=02_01.xlsx&amp;sheet=A0&amp;row=95&amp;col=20&amp;number=1.4345e-09&amp;sourceID=12","1.4345e-09")</f>
        <v>1.4345e-09</v>
      </c>
      <c r="U95" s="4" t="str">
        <f>HYPERLINK("http://141.218.60.56/~jnz1568/getInfo.php?workbook=02_01.xlsx&amp;sheet=A0&amp;row=95&amp;col=21&amp;number==&amp;sourceID=13","=")</f>
        <v>=</v>
      </c>
      <c r="V95" s="4" t="str">
        <f>HYPERLINK("http://141.218.60.56/~jnz1568/getInfo.php?workbook=02_01.xlsx&amp;sheet=A0&amp;row=95&amp;col=22&amp;number=&amp;sourceID=13","")</f>
        <v/>
      </c>
      <c r="W95" s="4" t="str">
        <f>HYPERLINK("http://141.218.60.56/~jnz1568/getInfo.php?workbook=02_01.xlsx&amp;sheet=A0&amp;row=95&amp;col=23&amp;number=241&amp;sourceID=13","241")</f>
        <v>241</v>
      </c>
      <c r="X95" s="4" t="str">
        <f>HYPERLINK("http://141.218.60.56/~jnz1568/getInfo.php?workbook=02_01.xlsx&amp;sheet=A0&amp;row=95&amp;col=24&amp;number=&amp;sourceID=13","")</f>
        <v/>
      </c>
      <c r="Y95" s="4" t="str">
        <f>HYPERLINK("http://141.218.60.56/~jnz1568/getInfo.php?workbook=02_01.xlsx&amp;sheet=A0&amp;row=95&amp;col=25&amp;number=&amp;sourceID=13","")</f>
        <v/>
      </c>
      <c r="Z95" s="4" t="str">
        <f>HYPERLINK("http://141.218.60.56/~jnz1568/getInfo.php?workbook=02_01.xlsx&amp;sheet=A0&amp;row=95&amp;col=26&amp;number=&amp;sourceID=13","")</f>
        <v/>
      </c>
      <c r="AA95" s="4" t="str">
        <f>HYPERLINK("http://141.218.60.56/~jnz1568/getInfo.php?workbook=02_01.xlsx&amp;sheet=A0&amp;row=95&amp;col=27&amp;number=&amp;sourceID=20","")</f>
        <v/>
      </c>
    </row>
    <row r="96" spans="1:27">
      <c r="A96" s="3">
        <v>2</v>
      </c>
      <c r="B96" s="3">
        <v>1</v>
      </c>
      <c r="C96" s="3">
        <v>15</v>
      </c>
      <c r="D96" s="3">
        <v>7</v>
      </c>
      <c r="E96" s="3">
        <f>((1/(INDEX(E0!J$4:J$28,C96,1)-INDEX(E0!J$4:J$28,D96,1))))*100000000</f>
        <v>0</v>
      </c>
      <c r="F96" s="4" t="str">
        <f>HYPERLINK("http://141.218.60.56/~jnz1568/getInfo.php?workbook=02_01.xlsx&amp;sheet=A0&amp;row=96&amp;col=6&amp;number=&amp;sourceID=18","")</f>
        <v/>
      </c>
      <c r="G96" s="4" t="str">
        <f>HYPERLINK("http://141.218.60.56/~jnz1568/getInfo.php?workbook=02_01.xlsx&amp;sheet=A0&amp;row=96&amp;col=7&amp;number==&amp;sourceID=11","=")</f>
        <v>=</v>
      </c>
      <c r="H96" s="4" t="str">
        <f>HYPERLINK("http://141.218.60.56/~jnz1568/getInfo.php?workbook=02_01.xlsx&amp;sheet=A0&amp;row=96&amp;col=8&amp;number=&amp;sourceID=11","")</f>
        <v/>
      </c>
      <c r="I96" s="4" t="str">
        <f>HYPERLINK("http://141.218.60.56/~jnz1568/getInfo.php?workbook=02_01.xlsx&amp;sheet=A0&amp;row=96&amp;col=9&amp;number=15.235&amp;sourceID=11","15.235")</f>
        <v>15.235</v>
      </c>
      <c r="J96" s="4" t="str">
        <f>HYPERLINK("http://141.218.60.56/~jnz1568/getInfo.php?workbook=02_01.xlsx&amp;sheet=A0&amp;row=96&amp;col=10&amp;number=&amp;sourceID=11","")</f>
        <v/>
      </c>
      <c r="K96" s="4" t="str">
        <f>HYPERLINK("http://141.218.60.56/~jnz1568/getInfo.php?workbook=02_01.xlsx&amp;sheet=A0&amp;row=96&amp;col=11&amp;number=1.4653e-08&amp;sourceID=11","1.4653e-08")</f>
        <v>1.4653e-08</v>
      </c>
      <c r="L96" s="4" t="str">
        <f>HYPERLINK("http://141.218.60.56/~jnz1568/getInfo.php?workbook=02_01.xlsx&amp;sheet=A0&amp;row=96&amp;col=12&amp;number=&amp;sourceID=11","")</f>
        <v/>
      </c>
      <c r="M96" s="4" t="str">
        <f>HYPERLINK("http://141.218.60.56/~jnz1568/getInfo.php?workbook=02_01.xlsx&amp;sheet=A0&amp;row=96&amp;col=13&amp;number=5.186e-12&amp;sourceID=11","5.186e-12")</f>
        <v>5.186e-12</v>
      </c>
      <c r="N96" s="4" t="str">
        <f>HYPERLINK("http://141.218.60.56/~jnz1568/getInfo.php?workbook=02_01.xlsx&amp;sheet=A0&amp;row=96&amp;col=14&amp;number=15.237&amp;sourceID=12","15.237")</f>
        <v>15.237</v>
      </c>
      <c r="O96" s="4" t="str">
        <f>HYPERLINK("http://141.218.60.56/~jnz1568/getInfo.php?workbook=02_01.xlsx&amp;sheet=A0&amp;row=96&amp;col=15&amp;number=&amp;sourceID=12","")</f>
        <v/>
      </c>
      <c r="P96" s="4" t="str">
        <f>HYPERLINK("http://141.218.60.56/~jnz1568/getInfo.php?workbook=02_01.xlsx&amp;sheet=A0&amp;row=96&amp;col=16&amp;number=15.237&amp;sourceID=12","15.237")</f>
        <v>15.237</v>
      </c>
      <c r="Q96" s="4" t="str">
        <f>HYPERLINK("http://141.218.60.56/~jnz1568/getInfo.php?workbook=02_01.xlsx&amp;sheet=A0&amp;row=96&amp;col=17&amp;number=&amp;sourceID=12","")</f>
        <v/>
      </c>
      <c r="R96" s="4" t="str">
        <f>HYPERLINK("http://141.218.60.56/~jnz1568/getInfo.php?workbook=02_01.xlsx&amp;sheet=A0&amp;row=96&amp;col=18&amp;number=1.4657e-08&amp;sourceID=12","1.4657e-08")</f>
        <v>1.4657e-08</v>
      </c>
      <c r="S96" s="4" t="str">
        <f>HYPERLINK("http://141.218.60.56/~jnz1568/getInfo.php?workbook=02_01.xlsx&amp;sheet=A0&amp;row=96&amp;col=19&amp;number=&amp;sourceID=12","")</f>
        <v/>
      </c>
      <c r="T96" s="4" t="str">
        <f>HYPERLINK("http://141.218.60.56/~jnz1568/getInfo.php?workbook=02_01.xlsx&amp;sheet=A0&amp;row=96&amp;col=20&amp;number=5.186e-12&amp;sourceID=12","5.186e-12")</f>
        <v>5.186e-12</v>
      </c>
      <c r="U96" s="4" t="str">
        <f>HYPERLINK("http://141.218.60.56/~jnz1568/getInfo.php?workbook=02_01.xlsx&amp;sheet=A0&amp;row=96&amp;col=21&amp;number==&amp;sourceID=13","=")</f>
        <v>=</v>
      </c>
      <c r="V96" s="4" t="str">
        <f>HYPERLINK("http://141.218.60.56/~jnz1568/getInfo.php?workbook=02_01.xlsx&amp;sheet=A0&amp;row=96&amp;col=22&amp;number=&amp;sourceID=13","")</f>
        <v/>
      </c>
      <c r="W96" s="4" t="str">
        <f>HYPERLINK("http://141.218.60.56/~jnz1568/getInfo.php?workbook=02_01.xlsx&amp;sheet=A0&amp;row=96&amp;col=23&amp;number=15.2&amp;sourceID=13","15.2")</f>
        <v>15.2</v>
      </c>
      <c r="X96" s="4" t="str">
        <f>HYPERLINK("http://141.218.60.56/~jnz1568/getInfo.php?workbook=02_01.xlsx&amp;sheet=A0&amp;row=96&amp;col=24&amp;number=&amp;sourceID=13","")</f>
        <v/>
      </c>
      <c r="Y96" s="4" t="str">
        <f>HYPERLINK("http://141.218.60.56/~jnz1568/getInfo.php?workbook=02_01.xlsx&amp;sheet=A0&amp;row=96&amp;col=25&amp;number=1.26e-08&amp;sourceID=13","1.26e-08")</f>
        <v>1.26e-08</v>
      </c>
      <c r="Z96" s="4" t="str">
        <f>HYPERLINK("http://141.218.60.56/~jnz1568/getInfo.php?workbook=02_01.xlsx&amp;sheet=A0&amp;row=96&amp;col=26&amp;number=&amp;sourceID=13","")</f>
        <v/>
      </c>
      <c r="AA96" s="4" t="str">
        <f>HYPERLINK("http://141.218.60.56/~jnz1568/getInfo.php?workbook=02_01.xlsx&amp;sheet=A0&amp;row=96&amp;col=27&amp;number=&amp;sourceID=20","")</f>
        <v/>
      </c>
    </row>
    <row r="97" spans="1:27">
      <c r="A97" s="3">
        <v>2</v>
      </c>
      <c r="B97" s="3">
        <v>1</v>
      </c>
      <c r="C97" s="3">
        <v>15</v>
      </c>
      <c r="D97" s="3">
        <v>8</v>
      </c>
      <c r="E97" s="3">
        <f>((1/(INDEX(E0!J$4:J$28,C97,1)-INDEX(E0!J$4:J$28,D97,1))))*100000000</f>
        <v>0</v>
      </c>
      <c r="F97" s="4" t="str">
        <f>HYPERLINK("http://141.218.60.56/~jnz1568/getInfo.php?workbook=02_01.xlsx&amp;sheet=A0&amp;row=97&amp;col=6&amp;number=&amp;sourceID=18","")</f>
        <v/>
      </c>
      <c r="G97" s="4" t="str">
        <f>HYPERLINK("http://141.218.60.56/~jnz1568/getInfo.php?workbook=02_01.xlsx&amp;sheet=A0&amp;row=97&amp;col=7&amp;number==&amp;sourceID=11","=")</f>
        <v>=</v>
      </c>
      <c r="H97" s="4" t="str">
        <f>HYPERLINK("http://141.218.60.56/~jnz1568/getInfo.php?workbook=02_01.xlsx&amp;sheet=A0&amp;row=97&amp;col=8&amp;number=112650000&amp;sourceID=11","112650000")</f>
        <v>112650000</v>
      </c>
      <c r="I97" s="4" t="str">
        <f>HYPERLINK("http://141.218.60.56/~jnz1568/getInfo.php?workbook=02_01.xlsx&amp;sheet=A0&amp;row=97&amp;col=9&amp;number=&amp;sourceID=11","")</f>
        <v/>
      </c>
      <c r="J97" s="4" t="str">
        <f>HYPERLINK("http://141.218.60.56/~jnz1568/getInfo.php?workbook=02_01.xlsx&amp;sheet=A0&amp;row=97&amp;col=10&amp;number=0.00014309&amp;sourceID=11","0.00014309")</f>
        <v>0.00014309</v>
      </c>
      <c r="K97" s="4" t="str">
        <f>HYPERLINK("http://141.218.60.56/~jnz1568/getInfo.php?workbook=02_01.xlsx&amp;sheet=A0&amp;row=97&amp;col=11&amp;number=&amp;sourceID=11","")</f>
        <v/>
      </c>
      <c r="L97" s="4" t="str">
        <f>HYPERLINK("http://141.218.60.56/~jnz1568/getInfo.php?workbook=02_01.xlsx&amp;sheet=A0&amp;row=97&amp;col=12&amp;number=0.00073391&amp;sourceID=11","0.00073391")</f>
        <v>0.00073391</v>
      </c>
      <c r="M97" s="4" t="str">
        <f>HYPERLINK("http://141.218.60.56/~jnz1568/getInfo.php?workbook=02_01.xlsx&amp;sheet=A0&amp;row=97&amp;col=13&amp;number=&amp;sourceID=11","")</f>
        <v/>
      </c>
      <c r="N97" s="4" t="str">
        <f>HYPERLINK("http://141.218.60.56/~jnz1568/getInfo.php?workbook=02_01.xlsx&amp;sheet=A0&amp;row=97&amp;col=14&amp;number=112660000&amp;sourceID=12","112660000")</f>
        <v>112660000</v>
      </c>
      <c r="O97" s="4" t="str">
        <f>HYPERLINK("http://141.218.60.56/~jnz1568/getInfo.php?workbook=02_01.xlsx&amp;sheet=A0&amp;row=97&amp;col=15&amp;number=112660000&amp;sourceID=12","112660000")</f>
        <v>112660000</v>
      </c>
      <c r="P97" s="4" t="str">
        <f>HYPERLINK("http://141.218.60.56/~jnz1568/getInfo.php?workbook=02_01.xlsx&amp;sheet=A0&amp;row=97&amp;col=16&amp;number=&amp;sourceID=12","")</f>
        <v/>
      </c>
      <c r="Q97" s="4" t="str">
        <f>HYPERLINK("http://141.218.60.56/~jnz1568/getInfo.php?workbook=02_01.xlsx&amp;sheet=A0&amp;row=97&amp;col=17&amp;number=0.00014311&amp;sourceID=12","0.00014311")</f>
        <v>0.00014311</v>
      </c>
      <c r="R97" s="4" t="str">
        <f>HYPERLINK("http://141.218.60.56/~jnz1568/getInfo.php?workbook=02_01.xlsx&amp;sheet=A0&amp;row=97&amp;col=18&amp;number=&amp;sourceID=12","")</f>
        <v/>
      </c>
      <c r="S97" s="4" t="str">
        <f>HYPERLINK("http://141.218.60.56/~jnz1568/getInfo.php?workbook=02_01.xlsx&amp;sheet=A0&amp;row=97&amp;col=19&amp;number=0.00073401&amp;sourceID=12","0.00073401")</f>
        <v>0.00073401</v>
      </c>
      <c r="T97" s="4" t="str">
        <f>HYPERLINK("http://141.218.60.56/~jnz1568/getInfo.php?workbook=02_01.xlsx&amp;sheet=A0&amp;row=97&amp;col=20&amp;number=&amp;sourceID=12","")</f>
        <v/>
      </c>
      <c r="U97" s="4" t="str">
        <f>HYPERLINK("http://141.218.60.56/~jnz1568/getInfo.php?workbook=02_01.xlsx&amp;sheet=A0&amp;row=97&amp;col=21&amp;number==&amp;sourceID=13","=")</f>
        <v>=</v>
      </c>
      <c r="V97" s="4" t="str">
        <f>HYPERLINK("http://141.218.60.56/~jnz1568/getInfo.php?workbook=02_01.xlsx&amp;sheet=A0&amp;row=97&amp;col=22&amp;number=113000000&amp;sourceID=13","113000000")</f>
        <v>113000000</v>
      </c>
      <c r="W97" s="4" t="str">
        <f>HYPERLINK("http://141.218.60.56/~jnz1568/getInfo.php?workbook=02_01.xlsx&amp;sheet=A0&amp;row=97&amp;col=23&amp;number=&amp;sourceID=13","")</f>
        <v/>
      </c>
      <c r="X97" s="4" t="str">
        <f>HYPERLINK("http://141.218.60.56/~jnz1568/getInfo.php?workbook=02_01.xlsx&amp;sheet=A0&amp;row=97&amp;col=24&amp;number=&amp;sourceID=13","")</f>
        <v/>
      </c>
      <c r="Y97" s="4" t="str">
        <f>HYPERLINK("http://141.218.60.56/~jnz1568/getInfo.php?workbook=02_01.xlsx&amp;sheet=A0&amp;row=97&amp;col=25&amp;number=&amp;sourceID=13","")</f>
        <v/>
      </c>
      <c r="Z97" s="4" t="str">
        <f>HYPERLINK("http://141.218.60.56/~jnz1568/getInfo.php?workbook=02_01.xlsx&amp;sheet=A0&amp;row=97&amp;col=26&amp;number=&amp;sourceID=13","")</f>
        <v/>
      </c>
      <c r="AA97" s="4" t="str">
        <f>HYPERLINK("http://141.218.60.56/~jnz1568/getInfo.php?workbook=02_01.xlsx&amp;sheet=A0&amp;row=97&amp;col=27&amp;number=&amp;sourceID=20","")</f>
        <v/>
      </c>
    </row>
    <row r="98" spans="1:27">
      <c r="A98" s="3">
        <v>2</v>
      </c>
      <c r="B98" s="3">
        <v>1</v>
      </c>
      <c r="C98" s="3">
        <v>15</v>
      </c>
      <c r="D98" s="3">
        <v>9</v>
      </c>
      <c r="E98" s="3">
        <f>((1/(INDEX(E0!J$4:J$28,C98,1)-INDEX(E0!J$4:J$28,D98,1))))*100000000</f>
        <v>0</v>
      </c>
      <c r="F98" s="4" t="str">
        <f>HYPERLINK("http://141.218.60.56/~jnz1568/getInfo.php?workbook=02_01.xlsx&amp;sheet=A0&amp;row=98&amp;col=6&amp;number=&amp;sourceID=18","")</f>
        <v/>
      </c>
      <c r="G98" s="4" t="str">
        <f>HYPERLINK("http://141.218.60.56/~jnz1568/getInfo.php?workbook=02_01.xlsx&amp;sheet=A0&amp;row=98&amp;col=7&amp;number==&amp;sourceID=11","=")</f>
        <v>=</v>
      </c>
      <c r="H98" s="4" t="str">
        <f>HYPERLINK("http://141.218.60.56/~jnz1568/getInfo.php?workbook=02_01.xlsx&amp;sheet=A0&amp;row=98&amp;col=8&amp;number=&amp;sourceID=11","")</f>
        <v/>
      </c>
      <c r="I98" s="4" t="str">
        <f>HYPERLINK("http://141.218.60.56/~jnz1568/getInfo.php?workbook=02_01.xlsx&amp;sheet=A0&amp;row=98&amp;col=9&amp;number=60.938&amp;sourceID=11","60.938")</f>
        <v>60.938</v>
      </c>
      <c r="J98" s="4" t="str">
        <f>HYPERLINK("http://141.218.60.56/~jnz1568/getInfo.php?workbook=02_01.xlsx&amp;sheet=A0&amp;row=98&amp;col=10&amp;number=&amp;sourceID=11","")</f>
        <v/>
      </c>
      <c r="K98" s="4" t="str">
        <f>HYPERLINK("http://141.218.60.56/~jnz1568/getInfo.php?workbook=02_01.xlsx&amp;sheet=A0&amp;row=98&amp;col=11&amp;number=6.2235e-08&amp;sourceID=11","6.2235e-08")</f>
        <v>6.2235e-08</v>
      </c>
      <c r="L98" s="4" t="str">
        <f>HYPERLINK("http://141.218.60.56/~jnz1568/getInfo.php?workbook=02_01.xlsx&amp;sheet=A0&amp;row=98&amp;col=12&amp;number=&amp;sourceID=11","")</f>
        <v/>
      </c>
      <c r="M98" s="4" t="str">
        <f>HYPERLINK("http://141.218.60.56/~jnz1568/getInfo.php?workbook=02_01.xlsx&amp;sheet=A0&amp;row=98&amp;col=13&amp;number=6.3001e-10&amp;sourceID=11","6.3001e-10")</f>
        <v>6.3001e-10</v>
      </c>
      <c r="N98" s="4" t="str">
        <f>HYPERLINK("http://141.218.60.56/~jnz1568/getInfo.php?workbook=02_01.xlsx&amp;sheet=A0&amp;row=98&amp;col=14&amp;number=60.946&amp;sourceID=12","60.946")</f>
        <v>60.946</v>
      </c>
      <c r="O98" s="4" t="str">
        <f>HYPERLINK("http://141.218.60.56/~jnz1568/getInfo.php?workbook=02_01.xlsx&amp;sheet=A0&amp;row=98&amp;col=15&amp;number=&amp;sourceID=12","")</f>
        <v/>
      </c>
      <c r="P98" s="4" t="str">
        <f>HYPERLINK("http://141.218.60.56/~jnz1568/getInfo.php?workbook=02_01.xlsx&amp;sheet=A0&amp;row=98&amp;col=16&amp;number=60.946&amp;sourceID=12","60.946")</f>
        <v>60.946</v>
      </c>
      <c r="Q98" s="4" t="str">
        <f>HYPERLINK("http://141.218.60.56/~jnz1568/getInfo.php?workbook=02_01.xlsx&amp;sheet=A0&amp;row=98&amp;col=17&amp;number=&amp;sourceID=12","")</f>
        <v/>
      </c>
      <c r="R98" s="4" t="str">
        <f>HYPERLINK("http://141.218.60.56/~jnz1568/getInfo.php?workbook=02_01.xlsx&amp;sheet=A0&amp;row=98&amp;col=18&amp;number=6.2118e-08&amp;sourceID=12","6.2118e-08")</f>
        <v>6.2118e-08</v>
      </c>
      <c r="S98" s="4" t="str">
        <f>HYPERLINK("http://141.218.60.56/~jnz1568/getInfo.php?workbook=02_01.xlsx&amp;sheet=A0&amp;row=98&amp;col=19&amp;number=&amp;sourceID=12","")</f>
        <v/>
      </c>
      <c r="T98" s="4" t="str">
        <f>HYPERLINK("http://141.218.60.56/~jnz1568/getInfo.php?workbook=02_01.xlsx&amp;sheet=A0&amp;row=98&amp;col=20&amp;number=6.301e-10&amp;sourceID=12","6.301e-10")</f>
        <v>6.301e-10</v>
      </c>
      <c r="U98" s="4" t="str">
        <f>HYPERLINK("http://141.218.60.56/~jnz1568/getInfo.php?workbook=02_01.xlsx&amp;sheet=A0&amp;row=98&amp;col=21&amp;number==&amp;sourceID=13","=")</f>
        <v>=</v>
      </c>
      <c r="V98" s="4" t="str">
        <f>HYPERLINK("http://141.218.60.56/~jnz1568/getInfo.php?workbook=02_01.xlsx&amp;sheet=A0&amp;row=98&amp;col=22&amp;number=&amp;sourceID=13","")</f>
        <v/>
      </c>
      <c r="W98" s="4" t="str">
        <f>HYPERLINK("http://141.218.60.56/~jnz1568/getInfo.php?workbook=02_01.xlsx&amp;sheet=A0&amp;row=98&amp;col=23&amp;number=60.9&amp;sourceID=13","60.9")</f>
        <v>60.9</v>
      </c>
      <c r="X98" s="4" t="str">
        <f>HYPERLINK("http://141.218.60.56/~jnz1568/getInfo.php?workbook=02_01.xlsx&amp;sheet=A0&amp;row=98&amp;col=24&amp;number=&amp;sourceID=13","")</f>
        <v/>
      </c>
      <c r="Y98" s="4" t="str">
        <f>HYPERLINK("http://141.218.60.56/~jnz1568/getInfo.php?workbook=02_01.xlsx&amp;sheet=A0&amp;row=98&amp;col=25&amp;number=6.21e-08&amp;sourceID=13","6.21e-08")</f>
        <v>6.21e-08</v>
      </c>
      <c r="Z98" s="4" t="str">
        <f>HYPERLINK("http://141.218.60.56/~jnz1568/getInfo.php?workbook=02_01.xlsx&amp;sheet=A0&amp;row=98&amp;col=26&amp;number=&amp;sourceID=13","")</f>
        <v/>
      </c>
      <c r="AA98" s="4" t="str">
        <f>HYPERLINK("http://141.218.60.56/~jnz1568/getInfo.php?workbook=02_01.xlsx&amp;sheet=A0&amp;row=98&amp;col=27&amp;number=&amp;sourceID=20","")</f>
        <v/>
      </c>
    </row>
    <row r="99" spans="1:27">
      <c r="A99" s="3">
        <v>2</v>
      </c>
      <c r="B99" s="3">
        <v>1</v>
      </c>
      <c r="C99" s="3">
        <v>15</v>
      </c>
      <c r="D99" s="3">
        <v>10</v>
      </c>
      <c r="E99" s="3">
        <f>((1/(INDEX(E0!J$4:J$28,C99,1)-INDEX(E0!J$4:J$28,D99,1))))*100000000</f>
        <v>0</v>
      </c>
      <c r="F99" s="4" t="str">
        <f>HYPERLINK("http://141.218.60.56/~jnz1568/getInfo.php?workbook=02_01.xlsx&amp;sheet=A0&amp;row=99&amp;col=6&amp;number=&amp;sourceID=18","")</f>
        <v/>
      </c>
      <c r="G99" s="4" t="str">
        <f>HYPERLINK("http://141.218.60.56/~jnz1568/getInfo.php?workbook=02_01.xlsx&amp;sheet=A0&amp;row=99&amp;col=7&amp;number==&amp;sourceID=11","=")</f>
        <v>=</v>
      </c>
      <c r="H99" s="4" t="str">
        <f>HYPERLINK("http://141.218.60.56/~jnz1568/getInfo.php?workbook=02_01.xlsx&amp;sheet=A0&amp;row=99&amp;col=8&amp;number=&amp;sourceID=11","")</f>
        <v/>
      </c>
      <c r="I99" s="4" t="str">
        <f>HYPERLINK("http://141.218.60.56/~jnz1568/getInfo.php?workbook=02_01.xlsx&amp;sheet=A0&amp;row=99&amp;col=9&amp;number=&amp;sourceID=11","")</f>
        <v/>
      </c>
      <c r="J99" s="4" t="str">
        <f>HYPERLINK("http://141.218.60.56/~jnz1568/getInfo.php?workbook=02_01.xlsx&amp;sheet=A0&amp;row=99&amp;col=10&amp;number=0&amp;sourceID=11","0")</f>
        <v>0</v>
      </c>
      <c r="K99" s="4" t="str">
        <f>HYPERLINK("http://141.218.60.56/~jnz1568/getInfo.php?workbook=02_01.xlsx&amp;sheet=A0&amp;row=99&amp;col=11&amp;number=&amp;sourceID=11","")</f>
        <v/>
      </c>
      <c r="L99" s="4" t="str">
        <f>HYPERLINK("http://141.218.60.56/~jnz1568/getInfo.php?workbook=02_01.xlsx&amp;sheet=A0&amp;row=99&amp;col=12&amp;number=0&amp;sourceID=11","0")</f>
        <v>0</v>
      </c>
      <c r="M99" s="4" t="str">
        <f>HYPERLINK("http://141.218.60.56/~jnz1568/getInfo.php?workbook=02_01.xlsx&amp;sheet=A0&amp;row=99&amp;col=13&amp;number=&amp;sourceID=11","")</f>
        <v/>
      </c>
      <c r="N99" s="4" t="str">
        <f>HYPERLINK("http://141.218.60.56/~jnz1568/getInfo.php?workbook=02_01.xlsx&amp;sheet=A0&amp;row=99&amp;col=14&amp;number=0&amp;sourceID=12","0")</f>
        <v>0</v>
      </c>
      <c r="O99" s="4" t="str">
        <f>HYPERLINK("http://141.218.60.56/~jnz1568/getInfo.php?workbook=02_01.xlsx&amp;sheet=A0&amp;row=99&amp;col=15&amp;number=&amp;sourceID=12","")</f>
        <v/>
      </c>
      <c r="P99" s="4" t="str">
        <f>HYPERLINK("http://141.218.60.56/~jnz1568/getInfo.php?workbook=02_01.xlsx&amp;sheet=A0&amp;row=99&amp;col=16&amp;number=&amp;sourceID=12","")</f>
        <v/>
      </c>
      <c r="Q99" s="4" t="str">
        <f>HYPERLINK("http://141.218.60.56/~jnz1568/getInfo.php?workbook=02_01.xlsx&amp;sheet=A0&amp;row=99&amp;col=17&amp;number=0&amp;sourceID=12","0")</f>
        <v>0</v>
      </c>
      <c r="R99" s="4" t="str">
        <f>HYPERLINK("http://141.218.60.56/~jnz1568/getInfo.php?workbook=02_01.xlsx&amp;sheet=A0&amp;row=99&amp;col=18&amp;number=&amp;sourceID=12","")</f>
        <v/>
      </c>
      <c r="S99" s="4" t="str">
        <f>HYPERLINK("http://141.218.60.56/~jnz1568/getInfo.php?workbook=02_01.xlsx&amp;sheet=A0&amp;row=99&amp;col=19&amp;number=0&amp;sourceID=12","0")</f>
        <v>0</v>
      </c>
      <c r="T99" s="4" t="str">
        <f>HYPERLINK("http://141.218.60.56/~jnz1568/getInfo.php?workbook=02_01.xlsx&amp;sheet=A0&amp;row=99&amp;col=20&amp;number=&amp;sourceID=12","")</f>
        <v/>
      </c>
      <c r="U99" s="4" t="str">
        <f>HYPERLINK("http://141.218.60.56/~jnz1568/getInfo.php?workbook=02_01.xlsx&amp;sheet=A0&amp;row=99&amp;col=21&amp;number=&amp;sourceID=13","")</f>
        <v/>
      </c>
      <c r="V99" s="4" t="str">
        <f>HYPERLINK("http://141.218.60.56/~jnz1568/getInfo.php?workbook=02_01.xlsx&amp;sheet=A0&amp;row=99&amp;col=22&amp;number=&amp;sourceID=13","")</f>
        <v/>
      </c>
      <c r="W99" s="4" t="str">
        <f>HYPERLINK("http://141.218.60.56/~jnz1568/getInfo.php?workbook=02_01.xlsx&amp;sheet=A0&amp;row=99&amp;col=23&amp;number=&amp;sourceID=13","")</f>
        <v/>
      </c>
      <c r="X99" s="4" t="str">
        <f>HYPERLINK("http://141.218.60.56/~jnz1568/getInfo.php?workbook=02_01.xlsx&amp;sheet=A0&amp;row=99&amp;col=24&amp;number=&amp;sourceID=13","")</f>
        <v/>
      </c>
      <c r="Y99" s="4" t="str">
        <f>HYPERLINK("http://141.218.60.56/~jnz1568/getInfo.php?workbook=02_01.xlsx&amp;sheet=A0&amp;row=99&amp;col=25&amp;number=&amp;sourceID=13","")</f>
        <v/>
      </c>
      <c r="Z99" s="4" t="str">
        <f>HYPERLINK("http://141.218.60.56/~jnz1568/getInfo.php?workbook=02_01.xlsx&amp;sheet=A0&amp;row=99&amp;col=26&amp;number=&amp;sourceID=13","")</f>
        <v/>
      </c>
      <c r="AA99" s="4" t="str">
        <f>HYPERLINK("http://141.218.60.56/~jnz1568/getInfo.php?workbook=02_01.xlsx&amp;sheet=A0&amp;row=99&amp;col=27&amp;number=&amp;sourceID=20","")</f>
        <v/>
      </c>
    </row>
    <row r="100" spans="1:27">
      <c r="A100" s="3">
        <v>2</v>
      </c>
      <c r="B100" s="3">
        <v>1</v>
      </c>
      <c r="C100" s="3">
        <v>15</v>
      </c>
      <c r="D100" s="3">
        <v>11</v>
      </c>
      <c r="E100" s="3">
        <f>((1/(INDEX(E0!J$4:J$28,C100,1)-INDEX(E0!J$4:J$28,D100,1))))*100000000</f>
        <v>0</v>
      </c>
      <c r="F100" s="4" t="str">
        <f>HYPERLINK("http://141.218.60.56/~jnz1568/getInfo.php?workbook=02_01.xlsx&amp;sheet=A0&amp;row=100&amp;col=6&amp;number=&amp;sourceID=18","")</f>
        <v/>
      </c>
      <c r="G100" s="4" t="str">
        <f>HYPERLINK("http://141.218.60.56/~jnz1568/getInfo.php?workbook=02_01.xlsx&amp;sheet=A0&amp;row=100&amp;col=7&amp;number==&amp;sourceID=11","=")</f>
        <v>=</v>
      </c>
      <c r="H100" s="4" t="str">
        <f>HYPERLINK("http://141.218.60.56/~jnz1568/getInfo.php?workbook=02_01.xlsx&amp;sheet=A0&amp;row=100&amp;col=8&amp;number=&amp;sourceID=11","")</f>
        <v/>
      </c>
      <c r="I100" s="4" t="str">
        <f>HYPERLINK("http://141.218.60.56/~jnz1568/getInfo.php?workbook=02_01.xlsx&amp;sheet=A0&amp;row=100&amp;col=9&amp;number=0&amp;sourceID=11","0")</f>
        <v>0</v>
      </c>
      <c r="J100" s="4" t="str">
        <f>HYPERLINK("http://141.218.60.56/~jnz1568/getInfo.php?workbook=02_01.xlsx&amp;sheet=A0&amp;row=100&amp;col=10&amp;number=&amp;sourceID=11","")</f>
        <v/>
      </c>
      <c r="K100" s="4" t="str">
        <f>HYPERLINK("http://141.218.60.56/~jnz1568/getInfo.php?workbook=02_01.xlsx&amp;sheet=A0&amp;row=100&amp;col=11&amp;number=&amp;sourceID=11","")</f>
        <v/>
      </c>
      <c r="L100" s="4" t="str">
        <f>HYPERLINK("http://141.218.60.56/~jnz1568/getInfo.php?workbook=02_01.xlsx&amp;sheet=A0&amp;row=100&amp;col=12&amp;number=&amp;sourceID=11","")</f>
        <v/>
      </c>
      <c r="M100" s="4" t="str">
        <f>HYPERLINK("http://141.218.60.56/~jnz1568/getInfo.php?workbook=02_01.xlsx&amp;sheet=A0&amp;row=100&amp;col=13&amp;number=0&amp;sourceID=11","0")</f>
        <v>0</v>
      </c>
      <c r="N100" s="4" t="str">
        <f>HYPERLINK("http://141.218.60.56/~jnz1568/getInfo.php?workbook=02_01.xlsx&amp;sheet=A0&amp;row=100&amp;col=14&amp;number=0&amp;sourceID=12","0")</f>
        <v>0</v>
      </c>
      <c r="O100" s="4" t="str">
        <f>HYPERLINK("http://141.218.60.56/~jnz1568/getInfo.php?workbook=02_01.xlsx&amp;sheet=A0&amp;row=100&amp;col=15&amp;number=&amp;sourceID=12","")</f>
        <v/>
      </c>
      <c r="P100" s="4" t="str">
        <f>HYPERLINK("http://141.218.60.56/~jnz1568/getInfo.php?workbook=02_01.xlsx&amp;sheet=A0&amp;row=100&amp;col=16&amp;number=0&amp;sourceID=12","0")</f>
        <v>0</v>
      </c>
      <c r="Q100" s="4" t="str">
        <f>HYPERLINK("http://141.218.60.56/~jnz1568/getInfo.php?workbook=02_01.xlsx&amp;sheet=A0&amp;row=100&amp;col=17&amp;number=&amp;sourceID=12","")</f>
        <v/>
      </c>
      <c r="R100" s="4" t="str">
        <f>HYPERLINK("http://141.218.60.56/~jnz1568/getInfo.php?workbook=02_01.xlsx&amp;sheet=A0&amp;row=100&amp;col=18&amp;number=&amp;sourceID=12","")</f>
        <v/>
      </c>
      <c r="S100" s="4" t="str">
        <f>HYPERLINK("http://141.218.60.56/~jnz1568/getInfo.php?workbook=02_01.xlsx&amp;sheet=A0&amp;row=100&amp;col=19&amp;number=&amp;sourceID=12","")</f>
        <v/>
      </c>
      <c r="T100" s="4" t="str">
        <f>HYPERLINK("http://141.218.60.56/~jnz1568/getInfo.php?workbook=02_01.xlsx&amp;sheet=A0&amp;row=100&amp;col=20&amp;number=0&amp;sourceID=12","0")</f>
        <v>0</v>
      </c>
      <c r="U100" s="4" t="str">
        <f>HYPERLINK("http://141.218.60.56/~jnz1568/getInfo.php?workbook=02_01.xlsx&amp;sheet=A0&amp;row=100&amp;col=21&amp;number=&amp;sourceID=13","")</f>
        <v/>
      </c>
      <c r="V100" s="4" t="str">
        <f>HYPERLINK("http://141.218.60.56/~jnz1568/getInfo.php?workbook=02_01.xlsx&amp;sheet=A0&amp;row=100&amp;col=22&amp;number=&amp;sourceID=13","")</f>
        <v/>
      </c>
      <c r="W100" s="4" t="str">
        <f>HYPERLINK("http://141.218.60.56/~jnz1568/getInfo.php?workbook=02_01.xlsx&amp;sheet=A0&amp;row=100&amp;col=23&amp;number=&amp;sourceID=13","")</f>
        <v/>
      </c>
      <c r="X100" s="4" t="str">
        <f>HYPERLINK("http://141.218.60.56/~jnz1568/getInfo.php?workbook=02_01.xlsx&amp;sheet=A0&amp;row=100&amp;col=24&amp;number=&amp;sourceID=13","")</f>
        <v/>
      </c>
      <c r="Y100" s="4" t="str">
        <f>HYPERLINK("http://141.218.60.56/~jnz1568/getInfo.php?workbook=02_01.xlsx&amp;sheet=A0&amp;row=100&amp;col=25&amp;number=&amp;sourceID=13","")</f>
        <v/>
      </c>
      <c r="Z100" s="4" t="str">
        <f>HYPERLINK("http://141.218.60.56/~jnz1568/getInfo.php?workbook=02_01.xlsx&amp;sheet=A0&amp;row=100&amp;col=26&amp;number=&amp;sourceID=13","")</f>
        <v/>
      </c>
      <c r="AA100" s="4" t="str">
        <f>HYPERLINK("http://141.218.60.56/~jnz1568/getInfo.php?workbook=02_01.xlsx&amp;sheet=A0&amp;row=100&amp;col=27&amp;number=&amp;sourceID=20","")</f>
        <v/>
      </c>
    </row>
    <row r="101" spans="1:27">
      <c r="A101" s="3">
        <v>2</v>
      </c>
      <c r="B101" s="3">
        <v>1</v>
      </c>
      <c r="C101" s="3">
        <v>15</v>
      </c>
      <c r="D101" s="3">
        <v>12</v>
      </c>
      <c r="E101" s="3">
        <f>((1/(INDEX(E0!J$4:J$28,C101,1)-INDEX(E0!J$4:J$28,D101,1))))*100000000</f>
        <v>0</v>
      </c>
      <c r="F101" s="4" t="str">
        <f>HYPERLINK("http://141.218.60.56/~jnz1568/getInfo.php?workbook=02_01.xlsx&amp;sheet=A0&amp;row=101&amp;col=6&amp;number=&amp;sourceID=18","")</f>
        <v/>
      </c>
      <c r="G101" s="4" t="str">
        <f>HYPERLINK("http://141.218.60.56/~jnz1568/getInfo.php?workbook=02_01.xlsx&amp;sheet=A0&amp;row=101&amp;col=7&amp;number==&amp;sourceID=11","=")</f>
        <v>=</v>
      </c>
      <c r="H101" s="4" t="str">
        <f>HYPERLINK("http://141.218.60.56/~jnz1568/getInfo.php?workbook=02_01.xlsx&amp;sheet=A0&amp;row=101&amp;col=8&amp;number=&amp;sourceID=11","")</f>
        <v/>
      </c>
      <c r="I101" s="4" t="str">
        <f>HYPERLINK("http://141.218.60.56/~jnz1568/getInfo.php?workbook=02_01.xlsx&amp;sheet=A0&amp;row=101&amp;col=9&amp;number=0&amp;sourceID=11","0")</f>
        <v>0</v>
      </c>
      <c r="J101" s="4" t="str">
        <f>HYPERLINK("http://141.218.60.56/~jnz1568/getInfo.php?workbook=02_01.xlsx&amp;sheet=A0&amp;row=101&amp;col=10&amp;number=&amp;sourceID=11","")</f>
        <v/>
      </c>
      <c r="K101" s="4" t="str">
        <f>HYPERLINK("http://141.218.60.56/~jnz1568/getInfo.php?workbook=02_01.xlsx&amp;sheet=A0&amp;row=101&amp;col=11&amp;number=1.56e-13&amp;sourceID=11","1.56e-13")</f>
        <v>1.56e-13</v>
      </c>
      <c r="L101" s="4" t="str">
        <f>HYPERLINK("http://141.218.60.56/~jnz1568/getInfo.php?workbook=02_01.xlsx&amp;sheet=A0&amp;row=101&amp;col=12&amp;number=&amp;sourceID=11","")</f>
        <v/>
      </c>
      <c r="M101" s="4" t="str">
        <f>HYPERLINK("http://141.218.60.56/~jnz1568/getInfo.php?workbook=02_01.xlsx&amp;sheet=A0&amp;row=101&amp;col=13&amp;number=0&amp;sourceID=11","0")</f>
        <v>0</v>
      </c>
      <c r="N101" s="4" t="str">
        <f>HYPERLINK("http://141.218.60.56/~jnz1568/getInfo.php?workbook=02_01.xlsx&amp;sheet=A0&amp;row=101&amp;col=14&amp;number=1.56e-13&amp;sourceID=12","1.56e-13")</f>
        <v>1.56e-13</v>
      </c>
      <c r="O101" s="4" t="str">
        <f>HYPERLINK("http://141.218.60.56/~jnz1568/getInfo.php?workbook=02_01.xlsx&amp;sheet=A0&amp;row=101&amp;col=15&amp;number=&amp;sourceID=12","")</f>
        <v/>
      </c>
      <c r="P101" s="4" t="str">
        <f>HYPERLINK("http://141.218.60.56/~jnz1568/getInfo.php?workbook=02_01.xlsx&amp;sheet=A0&amp;row=101&amp;col=16&amp;number=0&amp;sourceID=12","0")</f>
        <v>0</v>
      </c>
      <c r="Q101" s="4" t="str">
        <f>HYPERLINK("http://141.218.60.56/~jnz1568/getInfo.php?workbook=02_01.xlsx&amp;sheet=A0&amp;row=101&amp;col=17&amp;number=&amp;sourceID=12","")</f>
        <v/>
      </c>
      <c r="R101" s="4" t="str">
        <f>HYPERLINK("http://141.218.60.56/~jnz1568/getInfo.php?workbook=02_01.xlsx&amp;sheet=A0&amp;row=101&amp;col=18&amp;number=1.56e-13&amp;sourceID=12","1.56e-13")</f>
        <v>1.56e-13</v>
      </c>
      <c r="S101" s="4" t="str">
        <f>HYPERLINK("http://141.218.60.56/~jnz1568/getInfo.php?workbook=02_01.xlsx&amp;sheet=A0&amp;row=101&amp;col=19&amp;number=&amp;sourceID=12","")</f>
        <v/>
      </c>
      <c r="T101" s="4" t="str">
        <f>HYPERLINK("http://141.218.60.56/~jnz1568/getInfo.php?workbook=02_01.xlsx&amp;sheet=A0&amp;row=101&amp;col=20&amp;number=0&amp;sourceID=12","0")</f>
        <v>0</v>
      </c>
      <c r="U101" s="4" t="str">
        <f>HYPERLINK("http://141.218.60.56/~jnz1568/getInfo.php?workbook=02_01.xlsx&amp;sheet=A0&amp;row=101&amp;col=21&amp;number=&amp;sourceID=13","")</f>
        <v/>
      </c>
      <c r="V101" s="4" t="str">
        <f>HYPERLINK("http://141.218.60.56/~jnz1568/getInfo.php?workbook=02_01.xlsx&amp;sheet=A0&amp;row=101&amp;col=22&amp;number=&amp;sourceID=13","")</f>
        <v/>
      </c>
      <c r="W101" s="4" t="str">
        <f>HYPERLINK("http://141.218.60.56/~jnz1568/getInfo.php?workbook=02_01.xlsx&amp;sheet=A0&amp;row=101&amp;col=23&amp;number=&amp;sourceID=13","")</f>
        <v/>
      </c>
      <c r="X101" s="4" t="str">
        <f>HYPERLINK("http://141.218.60.56/~jnz1568/getInfo.php?workbook=02_01.xlsx&amp;sheet=A0&amp;row=101&amp;col=24&amp;number=&amp;sourceID=13","")</f>
        <v/>
      </c>
      <c r="Y101" s="4" t="str">
        <f>HYPERLINK("http://141.218.60.56/~jnz1568/getInfo.php?workbook=02_01.xlsx&amp;sheet=A0&amp;row=101&amp;col=25&amp;number=&amp;sourceID=13","")</f>
        <v/>
      </c>
      <c r="Z101" s="4" t="str">
        <f>HYPERLINK("http://141.218.60.56/~jnz1568/getInfo.php?workbook=02_01.xlsx&amp;sheet=A0&amp;row=101&amp;col=26&amp;number=&amp;sourceID=13","")</f>
        <v/>
      </c>
      <c r="AA101" s="4" t="str">
        <f>HYPERLINK("http://141.218.60.56/~jnz1568/getInfo.php?workbook=02_01.xlsx&amp;sheet=A0&amp;row=101&amp;col=27&amp;number=&amp;sourceID=20","")</f>
        <v/>
      </c>
    </row>
    <row r="102" spans="1:27">
      <c r="A102" s="3">
        <v>2</v>
      </c>
      <c r="B102" s="3">
        <v>1</v>
      </c>
      <c r="C102" s="3">
        <v>15</v>
      </c>
      <c r="D102" s="3">
        <v>13</v>
      </c>
      <c r="E102" s="3">
        <f>((1/(INDEX(E0!J$4:J$28,C102,1)-INDEX(E0!J$4:J$28,D102,1))))*100000000</f>
        <v>0</v>
      </c>
      <c r="F102" s="4" t="str">
        <f>HYPERLINK("http://141.218.60.56/~jnz1568/getInfo.php?workbook=02_01.xlsx&amp;sheet=A0&amp;row=102&amp;col=6&amp;number=&amp;sourceID=18","")</f>
        <v/>
      </c>
      <c r="G102" s="4" t="str">
        <f>HYPERLINK("http://141.218.60.56/~jnz1568/getInfo.php?workbook=02_01.xlsx&amp;sheet=A0&amp;row=102&amp;col=7&amp;number==SUM(H102:M102)&amp;sourceID=11","=SUM(H102:M102)")</f>
        <v>=SUM(H102:M102)</v>
      </c>
      <c r="H102" s="4" t="str">
        <f>HYPERLINK("http://141.218.60.56/~jnz1568/getInfo.php?workbook=02_01.xlsx&amp;sheet=A0&amp;row=102&amp;col=8&amp;number=1.2634e-06&amp;sourceID=11","1.2634e-06")</f>
        <v>1.2634e-06</v>
      </c>
      <c r="I102" s="4" t="str">
        <f>HYPERLINK("http://141.218.60.56/~jnz1568/getInfo.php?workbook=02_01.xlsx&amp;sheet=A0&amp;row=102&amp;col=9&amp;number=&amp;sourceID=11","")</f>
        <v/>
      </c>
      <c r="J102" s="4" t="str">
        <f>HYPERLINK("http://141.218.60.56/~jnz1568/getInfo.php?workbook=02_01.xlsx&amp;sheet=A0&amp;row=102&amp;col=10&amp;number=0&amp;sourceID=11","0")</f>
        <v>0</v>
      </c>
      <c r="K102" s="4" t="str">
        <f>HYPERLINK("http://141.218.60.56/~jnz1568/getInfo.php?workbook=02_01.xlsx&amp;sheet=A0&amp;row=102&amp;col=11&amp;number=&amp;sourceID=11","")</f>
        <v/>
      </c>
      <c r="L102" s="4" t="str">
        <f>HYPERLINK("http://141.218.60.56/~jnz1568/getInfo.php?workbook=02_01.xlsx&amp;sheet=A0&amp;row=102&amp;col=12&amp;number=0&amp;sourceID=11","0")</f>
        <v>0</v>
      </c>
      <c r="M102" s="4" t="str">
        <f>HYPERLINK("http://141.218.60.56/~jnz1568/getInfo.php?workbook=02_01.xlsx&amp;sheet=A0&amp;row=102&amp;col=13&amp;number=&amp;sourceID=11","")</f>
        <v/>
      </c>
      <c r="N102" s="4" t="str">
        <f>HYPERLINK("http://141.218.60.56/~jnz1568/getInfo.php?workbook=02_01.xlsx&amp;sheet=A0&amp;row=102&amp;col=14&amp;number=1.2643e-06&amp;sourceID=12","1.2643e-06")</f>
        <v>1.2643e-06</v>
      </c>
      <c r="O102" s="4" t="str">
        <f>HYPERLINK("http://141.218.60.56/~jnz1568/getInfo.php?workbook=02_01.xlsx&amp;sheet=A0&amp;row=102&amp;col=15&amp;number=1.2643e-06&amp;sourceID=12","1.2643e-06")</f>
        <v>1.2643e-06</v>
      </c>
      <c r="P102" s="4" t="str">
        <f>HYPERLINK("http://141.218.60.56/~jnz1568/getInfo.php?workbook=02_01.xlsx&amp;sheet=A0&amp;row=102&amp;col=16&amp;number=&amp;sourceID=12","")</f>
        <v/>
      </c>
      <c r="Q102" s="4" t="str">
        <f>HYPERLINK("http://141.218.60.56/~jnz1568/getInfo.php?workbook=02_01.xlsx&amp;sheet=A0&amp;row=102&amp;col=17&amp;number=0&amp;sourceID=12","0")</f>
        <v>0</v>
      </c>
      <c r="R102" s="4" t="str">
        <f>HYPERLINK("http://141.218.60.56/~jnz1568/getInfo.php?workbook=02_01.xlsx&amp;sheet=A0&amp;row=102&amp;col=18&amp;number=&amp;sourceID=12","")</f>
        <v/>
      </c>
      <c r="S102" s="4" t="str">
        <f>HYPERLINK("http://141.218.60.56/~jnz1568/getInfo.php?workbook=02_01.xlsx&amp;sheet=A0&amp;row=102&amp;col=19&amp;number=0&amp;sourceID=12","0")</f>
        <v>0</v>
      </c>
      <c r="T102" s="4" t="str">
        <f>HYPERLINK("http://141.218.60.56/~jnz1568/getInfo.php?workbook=02_01.xlsx&amp;sheet=A0&amp;row=102&amp;col=20&amp;number=&amp;sourceID=12","")</f>
        <v/>
      </c>
      <c r="U102" s="4" t="str">
        <f>HYPERLINK("http://141.218.60.56/~jnz1568/getInfo.php?workbook=02_01.xlsx&amp;sheet=A0&amp;row=102&amp;col=21&amp;number=&amp;sourceID=13","")</f>
        <v/>
      </c>
      <c r="V102" s="4" t="str">
        <f>HYPERLINK("http://141.218.60.56/~jnz1568/getInfo.php?workbook=02_01.xlsx&amp;sheet=A0&amp;row=102&amp;col=22&amp;number=&amp;sourceID=13","")</f>
        <v/>
      </c>
      <c r="W102" s="4" t="str">
        <f>HYPERLINK("http://141.218.60.56/~jnz1568/getInfo.php?workbook=02_01.xlsx&amp;sheet=A0&amp;row=102&amp;col=23&amp;number=&amp;sourceID=13","")</f>
        <v/>
      </c>
      <c r="X102" s="4" t="str">
        <f>HYPERLINK("http://141.218.60.56/~jnz1568/getInfo.php?workbook=02_01.xlsx&amp;sheet=A0&amp;row=102&amp;col=24&amp;number=&amp;sourceID=13","")</f>
        <v/>
      </c>
      <c r="Y102" s="4" t="str">
        <f>HYPERLINK("http://141.218.60.56/~jnz1568/getInfo.php?workbook=02_01.xlsx&amp;sheet=A0&amp;row=102&amp;col=25&amp;number=&amp;sourceID=13","")</f>
        <v/>
      </c>
      <c r="Z102" s="4" t="str">
        <f>HYPERLINK("http://141.218.60.56/~jnz1568/getInfo.php?workbook=02_01.xlsx&amp;sheet=A0&amp;row=102&amp;col=26&amp;number=&amp;sourceID=13","")</f>
        <v/>
      </c>
      <c r="AA102" s="4" t="str">
        <f>HYPERLINK("http://141.218.60.56/~jnz1568/getInfo.php?workbook=02_01.xlsx&amp;sheet=A0&amp;row=102&amp;col=27&amp;number=&amp;sourceID=20","")</f>
        <v/>
      </c>
    </row>
    <row r="103" spans="1:27">
      <c r="A103" s="3">
        <v>2</v>
      </c>
      <c r="B103" s="3">
        <v>1</v>
      </c>
      <c r="C103" s="3">
        <v>16</v>
      </c>
      <c r="D103" s="3">
        <v>1</v>
      </c>
      <c r="E103" s="3">
        <f>((1/(INDEX(E0!J$4:J$28,C103,1)-INDEX(E0!J$4:J$28,D103,1))))*100000000</f>
        <v>0</v>
      </c>
      <c r="F103" s="4" t="str">
        <f>HYPERLINK("http://141.218.60.56/~jnz1568/getInfo.php?workbook=02_01.xlsx&amp;sheet=A0&amp;row=103&amp;col=6&amp;number=&amp;sourceID=18","")</f>
        <v/>
      </c>
      <c r="G103" s="4" t="str">
        <f>HYPERLINK("http://141.218.60.56/~jnz1568/getInfo.php?workbook=02_01.xlsx&amp;sheet=A0&amp;row=103&amp;col=7&amp;number==&amp;sourceID=11","=")</f>
        <v>=</v>
      </c>
      <c r="H103" s="4" t="str">
        <f>HYPERLINK("http://141.218.60.56/~jnz1568/getInfo.php?workbook=02_01.xlsx&amp;sheet=A0&amp;row=103&amp;col=8&amp;number=&amp;sourceID=11","")</f>
        <v/>
      </c>
      <c r="I103" s="4" t="str">
        <f>HYPERLINK("http://141.218.60.56/~jnz1568/getInfo.php?workbook=02_01.xlsx&amp;sheet=A0&amp;row=103&amp;col=9&amp;number=&amp;sourceID=11","")</f>
        <v/>
      </c>
      <c r="J103" s="4" t="str">
        <f>HYPERLINK("http://141.218.60.56/~jnz1568/getInfo.php?workbook=02_01.xlsx&amp;sheet=A0&amp;row=103&amp;col=10&amp;number=0.079565&amp;sourceID=11","0.079565")</f>
        <v>0.079565</v>
      </c>
      <c r="K103" s="4" t="str">
        <f>HYPERLINK("http://141.218.60.56/~jnz1568/getInfo.php?workbook=02_01.xlsx&amp;sheet=A0&amp;row=103&amp;col=11&amp;number=&amp;sourceID=11","")</f>
        <v/>
      </c>
      <c r="L103" s="4" t="str">
        <f>HYPERLINK("http://141.218.60.56/~jnz1568/getInfo.php?workbook=02_01.xlsx&amp;sheet=A0&amp;row=103&amp;col=12&amp;number=&amp;sourceID=11","")</f>
        <v/>
      </c>
      <c r="M103" s="4" t="str">
        <f>HYPERLINK("http://141.218.60.56/~jnz1568/getInfo.php?workbook=02_01.xlsx&amp;sheet=A0&amp;row=103&amp;col=13&amp;number=&amp;sourceID=11","")</f>
        <v/>
      </c>
      <c r="N103" s="4" t="str">
        <f>HYPERLINK("http://141.218.60.56/~jnz1568/getInfo.php?workbook=02_01.xlsx&amp;sheet=A0&amp;row=103&amp;col=14&amp;number=0.079573&amp;sourceID=12","0.079573")</f>
        <v>0.079573</v>
      </c>
      <c r="O103" s="4" t="str">
        <f>HYPERLINK("http://141.218.60.56/~jnz1568/getInfo.php?workbook=02_01.xlsx&amp;sheet=A0&amp;row=103&amp;col=15&amp;number=&amp;sourceID=12","")</f>
        <v/>
      </c>
      <c r="P103" s="4" t="str">
        <f>HYPERLINK("http://141.218.60.56/~jnz1568/getInfo.php?workbook=02_01.xlsx&amp;sheet=A0&amp;row=103&amp;col=16&amp;number=&amp;sourceID=12","")</f>
        <v/>
      </c>
      <c r="Q103" s="4" t="str">
        <f>HYPERLINK("http://141.218.60.56/~jnz1568/getInfo.php?workbook=02_01.xlsx&amp;sheet=A0&amp;row=103&amp;col=17&amp;number=0.079573&amp;sourceID=12","0.079573")</f>
        <v>0.079573</v>
      </c>
      <c r="R103" s="4" t="str">
        <f>HYPERLINK("http://141.218.60.56/~jnz1568/getInfo.php?workbook=02_01.xlsx&amp;sheet=A0&amp;row=103&amp;col=18&amp;number=&amp;sourceID=12","")</f>
        <v/>
      </c>
      <c r="S103" s="4" t="str">
        <f>HYPERLINK("http://141.218.60.56/~jnz1568/getInfo.php?workbook=02_01.xlsx&amp;sheet=A0&amp;row=103&amp;col=19&amp;number=&amp;sourceID=12","")</f>
        <v/>
      </c>
      <c r="T103" s="4" t="str">
        <f>HYPERLINK("http://141.218.60.56/~jnz1568/getInfo.php?workbook=02_01.xlsx&amp;sheet=A0&amp;row=103&amp;col=20&amp;number=&amp;sourceID=12","")</f>
        <v/>
      </c>
      <c r="U103" s="4" t="str">
        <f>HYPERLINK("http://141.218.60.56/~jnz1568/getInfo.php?workbook=02_01.xlsx&amp;sheet=A0&amp;row=103&amp;col=21&amp;number==SUM(V103:Z103)&amp;sourceID=13","=SUM(V103:Z103)")</f>
        <v>=SUM(V103:Z103)</v>
      </c>
      <c r="V103" s="4" t="str">
        <f>HYPERLINK("http://141.218.60.56/~jnz1568/getInfo.php?workbook=02_01.xlsx&amp;sheet=A0&amp;row=103&amp;col=22&amp;number=&amp;sourceID=13","")</f>
        <v/>
      </c>
      <c r="W103" s="4" t="str">
        <f>HYPERLINK("http://141.218.60.56/~jnz1568/getInfo.php?workbook=02_01.xlsx&amp;sheet=A0&amp;row=103&amp;col=23&amp;number=&amp;sourceID=13","")</f>
        <v/>
      </c>
      <c r="X103" s="4" t="str">
        <f>HYPERLINK("http://141.218.60.56/~jnz1568/getInfo.php?workbook=02_01.xlsx&amp;sheet=A0&amp;row=103&amp;col=24&amp;number=0.0762&amp;sourceID=13","0.0762")</f>
        <v>0.0762</v>
      </c>
      <c r="Y103" s="4" t="str">
        <f>HYPERLINK("http://141.218.60.56/~jnz1568/getInfo.php?workbook=02_01.xlsx&amp;sheet=A0&amp;row=103&amp;col=25&amp;number=&amp;sourceID=13","")</f>
        <v/>
      </c>
      <c r="Z103" s="4" t="str">
        <f>HYPERLINK("http://141.218.60.56/~jnz1568/getInfo.php?workbook=02_01.xlsx&amp;sheet=A0&amp;row=103&amp;col=26&amp;number=&amp;sourceID=13","")</f>
        <v/>
      </c>
      <c r="AA103" s="4" t="str">
        <f>HYPERLINK("http://141.218.60.56/~jnz1568/getInfo.php?workbook=02_01.xlsx&amp;sheet=A0&amp;row=103&amp;col=27&amp;number=&amp;sourceID=20","")</f>
        <v/>
      </c>
    </row>
    <row r="104" spans="1:27">
      <c r="A104" s="3">
        <v>2</v>
      </c>
      <c r="B104" s="3">
        <v>1</v>
      </c>
      <c r="C104" s="3">
        <v>16</v>
      </c>
      <c r="D104" s="3">
        <v>2</v>
      </c>
      <c r="E104" s="3">
        <f>((1/(INDEX(E0!J$4:J$28,C104,1)-INDEX(E0!J$4:J$28,D104,1))))*100000000</f>
        <v>0</v>
      </c>
      <c r="F104" s="4" t="str">
        <f>HYPERLINK("http://141.218.60.56/~jnz1568/getInfo.php?workbook=02_01.xlsx&amp;sheet=A0&amp;row=104&amp;col=6&amp;number=&amp;sourceID=18","")</f>
        <v/>
      </c>
      <c r="G104" s="4" t="str">
        <f>HYPERLINK("http://141.218.60.56/~jnz1568/getInfo.php?workbook=02_01.xlsx&amp;sheet=A0&amp;row=104&amp;col=7&amp;number==&amp;sourceID=11","=")</f>
        <v>=</v>
      </c>
      <c r="H104" s="4" t="str">
        <f>HYPERLINK("http://141.218.60.56/~jnz1568/getInfo.php?workbook=02_01.xlsx&amp;sheet=A0&amp;row=104&amp;col=8&amp;number=&amp;sourceID=11","")</f>
        <v/>
      </c>
      <c r="I104" s="4" t="str">
        <f>HYPERLINK("http://141.218.60.56/~jnz1568/getInfo.php?workbook=02_01.xlsx&amp;sheet=A0&amp;row=104&amp;col=9&amp;number=&amp;sourceID=11","")</f>
        <v/>
      </c>
      <c r="J104" s="4" t="str">
        <f>HYPERLINK("http://141.218.60.56/~jnz1568/getInfo.php?workbook=02_01.xlsx&amp;sheet=A0&amp;row=104&amp;col=10&amp;number=&amp;sourceID=11","")</f>
        <v/>
      </c>
      <c r="K104" s="4" t="str">
        <f>HYPERLINK("http://141.218.60.56/~jnz1568/getInfo.php?workbook=02_01.xlsx&amp;sheet=A0&amp;row=104&amp;col=11&amp;number=&amp;sourceID=11","")</f>
        <v/>
      </c>
      <c r="L104" s="4" t="str">
        <f>HYPERLINK("http://141.218.60.56/~jnz1568/getInfo.php?workbook=02_01.xlsx&amp;sheet=A0&amp;row=104&amp;col=12&amp;number=&amp;sourceID=11","")</f>
        <v/>
      </c>
      <c r="M104" s="4" t="str">
        <f>HYPERLINK("http://141.218.60.56/~jnz1568/getInfo.php?workbook=02_01.xlsx&amp;sheet=A0&amp;row=104&amp;col=13&amp;number=1.1268e-07&amp;sourceID=11","1.1268e-07")</f>
        <v>1.1268e-07</v>
      </c>
      <c r="N104" s="4" t="str">
        <f>HYPERLINK("http://141.218.60.56/~jnz1568/getInfo.php?workbook=02_01.xlsx&amp;sheet=A0&amp;row=104&amp;col=14&amp;number=1.127e-07&amp;sourceID=12","1.127e-07")</f>
        <v>1.127e-07</v>
      </c>
      <c r="O104" s="4" t="str">
        <f>HYPERLINK("http://141.218.60.56/~jnz1568/getInfo.php?workbook=02_01.xlsx&amp;sheet=A0&amp;row=104&amp;col=15&amp;number=&amp;sourceID=12","")</f>
        <v/>
      </c>
      <c r="P104" s="4" t="str">
        <f>HYPERLINK("http://141.218.60.56/~jnz1568/getInfo.php?workbook=02_01.xlsx&amp;sheet=A0&amp;row=104&amp;col=16&amp;number=&amp;sourceID=12","")</f>
        <v/>
      </c>
      <c r="Q104" s="4" t="str">
        <f>HYPERLINK("http://141.218.60.56/~jnz1568/getInfo.php?workbook=02_01.xlsx&amp;sheet=A0&amp;row=104&amp;col=17&amp;number=&amp;sourceID=12","")</f>
        <v/>
      </c>
      <c r="R104" s="4" t="str">
        <f>HYPERLINK("http://141.218.60.56/~jnz1568/getInfo.php?workbook=02_01.xlsx&amp;sheet=A0&amp;row=104&amp;col=18&amp;number=&amp;sourceID=12","")</f>
        <v/>
      </c>
      <c r="S104" s="4" t="str">
        <f>HYPERLINK("http://141.218.60.56/~jnz1568/getInfo.php?workbook=02_01.xlsx&amp;sheet=A0&amp;row=104&amp;col=19&amp;number=&amp;sourceID=12","")</f>
        <v/>
      </c>
      <c r="T104" s="4" t="str">
        <f>HYPERLINK("http://141.218.60.56/~jnz1568/getInfo.php?workbook=02_01.xlsx&amp;sheet=A0&amp;row=104&amp;col=20&amp;number=1.127e-07&amp;sourceID=12","1.127e-07")</f>
        <v>1.127e-07</v>
      </c>
      <c r="U104" s="4" t="str">
        <f>HYPERLINK("http://141.218.60.56/~jnz1568/getInfo.php?workbook=02_01.xlsx&amp;sheet=A0&amp;row=104&amp;col=21&amp;number=&amp;sourceID=13","")</f>
        <v/>
      </c>
      <c r="V104" s="4" t="str">
        <f>HYPERLINK("http://141.218.60.56/~jnz1568/getInfo.php?workbook=02_01.xlsx&amp;sheet=A0&amp;row=104&amp;col=22&amp;number=&amp;sourceID=13","")</f>
        <v/>
      </c>
      <c r="W104" s="4" t="str">
        <f>HYPERLINK("http://141.218.60.56/~jnz1568/getInfo.php?workbook=02_01.xlsx&amp;sheet=A0&amp;row=104&amp;col=23&amp;number=&amp;sourceID=13","")</f>
        <v/>
      </c>
      <c r="X104" s="4" t="str">
        <f>HYPERLINK("http://141.218.60.56/~jnz1568/getInfo.php?workbook=02_01.xlsx&amp;sheet=A0&amp;row=104&amp;col=24&amp;number=&amp;sourceID=13","")</f>
        <v/>
      </c>
      <c r="Y104" s="4" t="str">
        <f>HYPERLINK("http://141.218.60.56/~jnz1568/getInfo.php?workbook=02_01.xlsx&amp;sheet=A0&amp;row=104&amp;col=25&amp;number=&amp;sourceID=13","")</f>
        <v/>
      </c>
      <c r="Z104" s="4" t="str">
        <f>HYPERLINK("http://141.218.60.56/~jnz1568/getInfo.php?workbook=02_01.xlsx&amp;sheet=A0&amp;row=104&amp;col=26&amp;number=&amp;sourceID=13","")</f>
        <v/>
      </c>
      <c r="AA104" s="4" t="str">
        <f>HYPERLINK("http://141.218.60.56/~jnz1568/getInfo.php?workbook=02_01.xlsx&amp;sheet=A0&amp;row=104&amp;col=27&amp;number=&amp;sourceID=20","")</f>
        <v/>
      </c>
    </row>
    <row r="105" spans="1:27">
      <c r="A105" s="3">
        <v>2</v>
      </c>
      <c r="B105" s="3">
        <v>1</v>
      </c>
      <c r="C105" s="3">
        <v>16</v>
      </c>
      <c r="D105" s="3">
        <v>3</v>
      </c>
      <c r="E105" s="3">
        <f>((1/(INDEX(E0!J$4:J$28,C105,1)-INDEX(E0!J$4:J$28,D105,1))))*100000000</f>
        <v>0</v>
      </c>
      <c r="F105" s="4" t="str">
        <f>HYPERLINK("http://141.218.60.56/~jnz1568/getInfo.php?workbook=02_01.xlsx&amp;sheet=A0&amp;row=105&amp;col=6&amp;number=&amp;sourceID=18","")</f>
        <v/>
      </c>
      <c r="G105" s="4" t="str">
        <f>HYPERLINK("http://141.218.60.56/~jnz1568/getInfo.php?workbook=02_01.xlsx&amp;sheet=A0&amp;row=105&amp;col=7&amp;number==&amp;sourceID=11","=")</f>
        <v>=</v>
      </c>
      <c r="H105" s="4" t="str">
        <f>HYPERLINK("http://141.218.60.56/~jnz1568/getInfo.php?workbook=02_01.xlsx&amp;sheet=A0&amp;row=105&amp;col=8&amp;number=&amp;sourceID=11","")</f>
        <v/>
      </c>
      <c r="I105" s="4" t="str">
        <f>HYPERLINK("http://141.218.60.56/~jnz1568/getInfo.php?workbook=02_01.xlsx&amp;sheet=A0&amp;row=105&amp;col=9&amp;number=&amp;sourceID=11","")</f>
        <v/>
      </c>
      <c r="J105" s="4" t="str">
        <f>HYPERLINK("http://141.218.60.56/~jnz1568/getInfo.php?workbook=02_01.xlsx&amp;sheet=A0&amp;row=105&amp;col=10&amp;number=0.031349&amp;sourceID=11","0.031349")</f>
        <v>0.031349</v>
      </c>
      <c r="K105" s="4" t="str">
        <f>HYPERLINK("http://141.218.60.56/~jnz1568/getInfo.php?workbook=02_01.xlsx&amp;sheet=A0&amp;row=105&amp;col=11&amp;number=&amp;sourceID=11","")</f>
        <v/>
      </c>
      <c r="L105" s="4" t="str">
        <f>HYPERLINK("http://141.218.60.56/~jnz1568/getInfo.php?workbook=02_01.xlsx&amp;sheet=A0&amp;row=105&amp;col=12&amp;number=&amp;sourceID=11","")</f>
        <v/>
      </c>
      <c r="M105" s="4" t="str">
        <f>HYPERLINK("http://141.218.60.56/~jnz1568/getInfo.php?workbook=02_01.xlsx&amp;sheet=A0&amp;row=105&amp;col=13&amp;number=&amp;sourceID=11","")</f>
        <v/>
      </c>
      <c r="N105" s="4" t="str">
        <f>HYPERLINK("http://141.218.60.56/~jnz1568/getInfo.php?workbook=02_01.xlsx&amp;sheet=A0&amp;row=105&amp;col=14&amp;number=0.031353&amp;sourceID=12","0.031353")</f>
        <v>0.031353</v>
      </c>
      <c r="O105" s="4" t="str">
        <f>HYPERLINK("http://141.218.60.56/~jnz1568/getInfo.php?workbook=02_01.xlsx&amp;sheet=A0&amp;row=105&amp;col=15&amp;number=&amp;sourceID=12","")</f>
        <v/>
      </c>
      <c r="P105" s="4" t="str">
        <f>HYPERLINK("http://141.218.60.56/~jnz1568/getInfo.php?workbook=02_01.xlsx&amp;sheet=A0&amp;row=105&amp;col=16&amp;number=&amp;sourceID=12","")</f>
        <v/>
      </c>
      <c r="Q105" s="4" t="str">
        <f>HYPERLINK("http://141.218.60.56/~jnz1568/getInfo.php?workbook=02_01.xlsx&amp;sheet=A0&amp;row=105&amp;col=17&amp;number=0.031353&amp;sourceID=12","0.031353")</f>
        <v>0.031353</v>
      </c>
      <c r="R105" s="4" t="str">
        <f>HYPERLINK("http://141.218.60.56/~jnz1568/getInfo.php?workbook=02_01.xlsx&amp;sheet=A0&amp;row=105&amp;col=18&amp;number=&amp;sourceID=12","")</f>
        <v/>
      </c>
      <c r="S105" s="4" t="str">
        <f>HYPERLINK("http://141.218.60.56/~jnz1568/getInfo.php?workbook=02_01.xlsx&amp;sheet=A0&amp;row=105&amp;col=19&amp;number=&amp;sourceID=12","")</f>
        <v/>
      </c>
      <c r="T105" s="4" t="str">
        <f>HYPERLINK("http://141.218.60.56/~jnz1568/getInfo.php?workbook=02_01.xlsx&amp;sheet=A0&amp;row=105&amp;col=20&amp;number=&amp;sourceID=12","")</f>
        <v/>
      </c>
      <c r="U105" s="4" t="str">
        <f>HYPERLINK("http://141.218.60.56/~jnz1568/getInfo.php?workbook=02_01.xlsx&amp;sheet=A0&amp;row=105&amp;col=21&amp;number==SUM(V105:Z105)&amp;sourceID=13","=SUM(V105:Z105)")</f>
        <v>=SUM(V105:Z105)</v>
      </c>
      <c r="V105" s="4" t="str">
        <f>HYPERLINK("http://141.218.60.56/~jnz1568/getInfo.php?workbook=02_01.xlsx&amp;sheet=A0&amp;row=105&amp;col=22&amp;number=&amp;sourceID=13","")</f>
        <v/>
      </c>
      <c r="W105" s="4" t="str">
        <f>HYPERLINK("http://141.218.60.56/~jnz1568/getInfo.php?workbook=02_01.xlsx&amp;sheet=A0&amp;row=105&amp;col=23&amp;number=&amp;sourceID=13","")</f>
        <v/>
      </c>
      <c r="X105" s="4" t="str">
        <f>HYPERLINK("http://141.218.60.56/~jnz1568/getInfo.php?workbook=02_01.xlsx&amp;sheet=A0&amp;row=105&amp;col=24&amp;number=0.0314&amp;sourceID=13","0.0314")</f>
        <v>0.0314</v>
      </c>
      <c r="Y105" s="4" t="str">
        <f>HYPERLINK("http://141.218.60.56/~jnz1568/getInfo.php?workbook=02_01.xlsx&amp;sheet=A0&amp;row=105&amp;col=25&amp;number=&amp;sourceID=13","")</f>
        <v/>
      </c>
      <c r="Z105" s="4" t="str">
        <f>HYPERLINK("http://141.218.60.56/~jnz1568/getInfo.php?workbook=02_01.xlsx&amp;sheet=A0&amp;row=105&amp;col=26&amp;number=&amp;sourceID=13","")</f>
        <v/>
      </c>
      <c r="AA105" s="4" t="str">
        <f>HYPERLINK("http://141.218.60.56/~jnz1568/getInfo.php?workbook=02_01.xlsx&amp;sheet=A0&amp;row=105&amp;col=27&amp;number=&amp;sourceID=20","")</f>
        <v/>
      </c>
    </row>
    <row r="106" spans="1:27">
      <c r="A106" s="3">
        <v>2</v>
      </c>
      <c r="B106" s="3">
        <v>1</v>
      </c>
      <c r="C106" s="3">
        <v>16</v>
      </c>
      <c r="D106" s="3">
        <v>4</v>
      </c>
      <c r="E106" s="3">
        <f>((1/(INDEX(E0!J$4:J$28,C106,1)-INDEX(E0!J$4:J$28,D106,1))))*100000000</f>
        <v>0</v>
      </c>
      <c r="F106" s="4" t="str">
        <f>HYPERLINK("http://141.218.60.56/~jnz1568/getInfo.php?workbook=02_01.xlsx&amp;sheet=A0&amp;row=106&amp;col=6&amp;number=&amp;sourceID=18","")</f>
        <v/>
      </c>
      <c r="G106" s="4" t="str">
        <f>HYPERLINK("http://141.218.60.56/~jnz1568/getInfo.php?workbook=02_01.xlsx&amp;sheet=A0&amp;row=106&amp;col=7&amp;number==&amp;sourceID=11","=")</f>
        <v>=</v>
      </c>
      <c r="H106" s="4" t="str">
        <f>HYPERLINK("http://141.218.60.56/~jnz1568/getInfo.php?workbook=02_01.xlsx&amp;sheet=A0&amp;row=106&amp;col=8&amp;number=&amp;sourceID=11","")</f>
        <v/>
      </c>
      <c r="I106" s="4" t="str">
        <f>HYPERLINK("http://141.218.60.56/~jnz1568/getInfo.php?workbook=02_01.xlsx&amp;sheet=A0&amp;row=106&amp;col=9&amp;number=3955.4&amp;sourceID=11","3955.4")</f>
        <v>3955.4</v>
      </c>
      <c r="J106" s="4" t="str">
        <f>HYPERLINK("http://141.218.60.56/~jnz1568/getInfo.php?workbook=02_01.xlsx&amp;sheet=A0&amp;row=106&amp;col=10&amp;number=&amp;sourceID=11","")</f>
        <v/>
      </c>
      <c r="K106" s="4" t="str">
        <f>HYPERLINK("http://141.218.60.56/~jnz1568/getInfo.php?workbook=02_01.xlsx&amp;sheet=A0&amp;row=106&amp;col=11&amp;number=&amp;sourceID=11","")</f>
        <v/>
      </c>
      <c r="L106" s="4" t="str">
        <f>HYPERLINK("http://141.218.60.56/~jnz1568/getInfo.php?workbook=02_01.xlsx&amp;sheet=A0&amp;row=106&amp;col=12&amp;number=&amp;sourceID=11","")</f>
        <v/>
      </c>
      <c r="M106" s="4" t="str">
        <f>HYPERLINK("http://141.218.60.56/~jnz1568/getInfo.php?workbook=02_01.xlsx&amp;sheet=A0&amp;row=106&amp;col=13&amp;number=3.38e-07&amp;sourceID=11","3.38e-07")</f>
        <v>3.38e-07</v>
      </c>
      <c r="N106" s="4" t="str">
        <f>HYPERLINK("http://141.218.60.56/~jnz1568/getInfo.php?workbook=02_01.xlsx&amp;sheet=A0&amp;row=106&amp;col=14&amp;number=3955.9&amp;sourceID=12","3955.9")</f>
        <v>3955.9</v>
      </c>
      <c r="O106" s="4" t="str">
        <f>HYPERLINK("http://141.218.60.56/~jnz1568/getInfo.php?workbook=02_01.xlsx&amp;sheet=A0&amp;row=106&amp;col=15&amp;number=&amp;sourceID=12","")</f>
        <v/>
      </c>
      <c r="P106" s="4" t="str">
        <f>HYPERLINK("http://141.218.60.56/~jnz1568/getInfo.php?workbook=02_01.xlsx&amp;sheet=A0&amp;row=106&amp;col=16&amp;number=3955.9&amp;sourceID=12","3955.9")</f>
        <v>3955.9</v>
      </c>
      <c r="Q106" s="4" t="str">
        <f>HYPERLINK("http://141.218.60.56/~jnz1568/getInfo.php?workbook=02_01.xlsx&amp;sheet=A0&amp;row=106&amp;col=17&amp;number=&amp;sourceID=12","")</f>
        <v/>
      </c>
      <c r="R106" s="4" t="str">
        <f>HYPERLINK("http://141.218.60.56/~jnz1568/getInfo.php?workbook=02_01.xlsx&amp;sheet=A0&amp;row=106&amp;col=18&amp;number=&amp;sourceID=12","")</f>
        <v/>
      </c>
      <c r="S106" s="4" t="str">
        <f>HYPERLINK("http://141.218.60.56/~jnz1568/getInfo.php?workbook=02_01.xlsx&amp;sheet=A0&amp;row=106&amp;col=19&amp;number=&amp;sourceID=12","")</f>
        <v/>
      </c>
      <c r="T106" s="4" t="str">
        <f>HYPERLINK("http://141.218.60.56/~jnz1568/getInfo.php?workbook=02_01.xlsx&amp;sheet=A0&amp;row=106&amp;col=20&amp;number=3.3805e-07&amp;sourceID=12","3.3805e-07")</f>
        <v>3.3805e-07</v>
      </c>
      <c r="U106" s="4" t="str">
        <f>HYPERLINK("http://141.218.60.56/~jnz1568/getInfo.php?workbook=02_01.xlsx&amp;sheet=A0&amp;row=106&amp;col=21&amp;number==SUM(V106:Z106)&amp;sourceID=13","=SUM(V106:Z106)")</f>
        <v>=SUM(V106:Z106)</v>
      </c>
      <c r="V106" s="4" t="str">
        <f>HYPERLINK("http://141.218.60.56/~jnz1568/getInfo.php?workbook=02_01.xlsx&amp;sheet=A0&amp;row=106&amp;col=22&amp;number=&amp;sourceID=13","")</f>
        <v/>
      </c>
      <c r="W106" s="4" t="str">
        <f>HYPERLINK("http://141.218.60.56/~jnz1568/getInfo.php?workbook=02_01.xlsx&amp;sheet=A0&amp;row=106&amp;col=23&amp;number=3960&amp;sourceID=13","3960")</f>
        <v>3960</v>
      </c>
      <c r="X106" s="4" t="str">
        <f>HYPERLINK("http://141.218.60.56/~jnz1568/getInfo.php?workbook=02_01.xlsx&amp;sheet=A0&amp;row=106&amp;col=24&amp;number=&amp;sourceID=13","")</f>
        <v/>
      </c>
      <c r="Y106" s="4" t="str">
        <f>HYPERLINK("http://141.218.60.56/~jnz1568/getInfo.php?workbook=02_01.xlsx&amp;sheet=A0&amp;row=106&amp;col=25&amp;number=&amp;sourceID=13","")</f>
        <v/>
      </c>
      <c r="Z106" s="4" t="str">
        <f>HYPERLINK("http://141.218.60.56/~jnz1568/getInfo.php?workbook=02_01.xlsx&amp;sheet=A0&amp;row=106&amp;col=26&amp;number=&amp;sourceID=13","")</f>
        <v/>
      </c>
      <c r="AA106" s="4" t="str">
        <f>HYPERLINK("http://141.218.60.56/~jnz1568/getInfo.php?workbook=02_01.xlsx&amp;sheet=A0&amp;row=106&amp;col=27&amp;number=&amp;sourceID=20","")</f>
        <v/>
      </c>
    </row>
    <row r="107" spans="1:27">
      <c r="A107" s="3">
        <v>2</v>
      </c>
      <c r="B107" s="3">
        <v>1</v>
      </c>
      <c r="C107" s="3">
        <v>16</v>
      </c>
      <c r="D107" s="3">
        <v>5</v>
      </c>
      <c r="E107" s="3">
        <f>((1/(INDEX(E0!J$4:J$28,C107,1)-INDEX(E0!J$4:J$28,D107,1))))*100000000</f>
        <v>0</v>
      </c>
      <c r="F107" s="4" t="str">
        <f>HYPERLINK("http://141.218.60.56/~jnz1568/getInfo.php?workbook=02_01.xlsx&amp;sheet=A0&amp;row=107&amp;col=6&amp;number=&amp;sourceID=18","")</f>
        <v/>
      </c>
      <c r="G107" s="4" t="str">
        <f>HYPERLINK("http://141.218.60.56/~jnz1568/getInfo.php?workbook=02_01.xlsx&amp;sheet=A0&amp;row=107&amp;col=7&amp;number==&amp;sourceID=11","=")</f>
        <v>=</v>
      </c>
      <c r="H107" s="4" t="str">
        <f>HYPERLINK("http://141.218.60.56/~jnz1568/getInfo.php?workbook=02_01.xlsx&amp;sheet=A0&amp;row=107&amp;col=8&amp;number=&amp;sourceID=11","")</f>
        <v/>
      </c>
      <c r="I107" s="4" t="str">
        <f>HYPERLINK("http://141.218.60.56/~jnz1568/getInfo.php?workbook=02_01.xlsx&amp;sheet=A0&amp;row=107&amp;col=9&amp;number=&amp;sourceID=11","")</f>
        <v/>
      </c>
      <c r="J107" s="4" t="str">
        <f>HYPERLINK("http://141.218.60.56/~jnz1568/getInfo.php?workbook=02_01.xlsx&amp;sheet=A0&amp;row=107&amp;col=10&amp;number=&amp;sourceID=11","")</f>
        <v/>
      </c>
      <c r="K107" s="4" t="str">
        <f>HYPERLINK("http://141.218.60.56/~jnz1568/getInfo.php?workbook=02_01.xlsx&amp;sheet=A0&amp;row=107&amp;col=11&amp;number=&amp;sourceID=11","")</f>
        <v/>
      </c>
      <c r="L107" s="4" t="str">
        <f>HYPERLINK("http://141.218.60.56/~jnz1568/getInfo.php?workbook=02_01.xlsx&amp;sheet=A0&amp;row=107&amp;col=12&amp;number=&amp;sourceID=11","")</f>
        <v/>
      </c>
      <c r="M107" s="4" t="str">
        <f>HYPERLINK("http://141.218.60.56/~jnz1568/getInfo.php?workbook=02_01.xlsx&amp;sheet=A0&amp;row=107&amp;col=13&amp;number=7.0942e-10&amp;sourceID=11","7.0942e-10")</f>
        <v>7.0942e-10</v>
      </c>
      <c r="N107" s="4" t="str">
        <f>HYPERLINK("http://141.218.60.56/~jnz1568/getInfo.php?workbook=02_01.xlsx&amp;sheet=A0&amp;row=107&amp;col=14&amp;number=7.0952e-10&amp;sourceID=12","7.0952e-10")</f>
        <v>7.0952e-10</v>
      </c>
      <c r="O107" s="4" t="str">
        <f>HYPERLINK("http://141.218.60.56/~jnz1568/getInfo.php?workbook=02_01.xlsx&amp;sheet=A0&amp;row=107&amp;col=15&amp;number=&amp;sourceID=12","")</f>
        <v/>
      </c>
      <c r="P107" s="4" t="str">
        <f>HYPERLINK("http://141.218.60.56/~jnz1568/getInfo.php?workbook=02_01.xlsx&amp;sheet=A0&amp;row=107&amp;col=16&amp;number=&amp;sourceID=12","")</f>
        <v/>
      </c>
      <c r="Q107" s="4" t="str">
        <f>HYPERLINK("http://141.218.60.56/~jnz1568/getInfo.php?workbook=02_01.xlsx&amp;sheet=A0&amp;row=107&amp;col=17&amp;number=&amp;sourceID=12","")</f>
        <v/>
      </c>
      <c r="R107" s="4" t="str">
        <f>HYPERLINK("http://141.218.60.56/~jnz1568/getInfo.php?workbook=02_01.xlsx&amp;sheet=A0&amp;row=107&amp;col=18&amp;number=&amp;sourceID=12","")</f>
        <v/>
      </c>
      <c r="S107" s="4" t="str">
        <f>HYPERLINK("http://141.218.60.56/~jnz1568/getInfo.php?workbook=02_01.xlsx&amp;sheet=A0&amp;row=107&amp;col=19&amp;number=&amp;sourceID=12","")</f>
        <v/>
      </c>
      <c r="T107" s="4" t="str">
        <f>HYPERLINK("http://141.218.60.56/~jnz1568/getInfo.php?workbook=02_01.xlsx&amp;sheet=A0&amp;row=107&amp;col=20&amp;number=7.0952e-10&amp;sourceID=12","7.0952e-10")</f>
        <v>7.0952e-10</v>
      </c>
      <c r="U107" s="4" t="str">
        <f>HYPERLINK("http://141.218.60.56/~jnz1568/getInfo.php?workbook=02_01.xlsx&amp;sheet=A0&amp;row=107&amp;col=21&amp;number=&amp;sourceID=13","")</f>
        <v/>
      </c>
      <c r="V107" s="4" t="str">
        <f>HYPERLINK("http://141.218.60.56/~jnz1568/getInfo.php?workbook=02_01.xlsx&amp;sheet=A0&amp;row=107&amp;col=22&amp;number=&amp;sourceID=13","")</f>
        <v/>
      </c>
      <c r="W107" s="4" t="str">
        <f>HYPERLINK("http://141.218.60.56/~jnz1568/getInfo.php?workbook=02_01.xlsx&amp;sheet=A0&amp;row=107&amp;col=23&amp;number=&amp;sourceID=13","")</f>
        <v/>
      </c>
      <c r="X107" s="4" t="str">
        <f>HYPERLINK("http://141.218.60.56/~jnz1568/getInfo.php?workbook=02_01.xlsx&amp;sheet=A0&amp;row=107&amp;col=24&amp;number=&amp;sourceID=13","")</f>
        <v/>
      </c>
      <c r="Y107" s="4" t="str">
        <f>HYPERLINK("http://141.218.60.56/~jnz1568/getInfo.php?workbook=02_01.xlsx&amp;sheet=A0&amp;row=107&amp;col=25&amp;number=&amp;sourceID=13","")</f>
        <v/>
      </c>
      <c r="Z107" s="4" t="str">
        <f>HYPERLINK("http://141.218.60.56/~jnz1568/getInfo.php?workbook=02_01.xlsx&amp;sheet=A0&amp;row=107&amp;col=26&amp;number=&amp;sourceID=13","")</f>
        <v/>
      </c>
      <c r="AA107" s="4" t="str">
        <f>HYPERLINK("http://141.218.60.56/~jnz1568/getInfo.php?workbook=02_01.xlsx&amp;sheet=A0&amp;row=107&amp;col=27&amp;number=&amp;sourceID=20","")</f>
        <v/>
      </c>
    </row>
    <row r="108" spans="1:27">
      <c r="A108" s="3">
        <v>2</v>
      </c>
      <c r="B108" s="3">
        <v>1</v>
      </c>
      <c r="C108" s="3">
        <v>16</v>
      </c>
      <c r="D108" s="3">
        <v>6</v>
      </c>
      <c r="E108" s="3">
        <f>((1/(INDEX(E0!J$4:J$28,C108,1)-INDEX(E0!J$4:J$28,D108,1))))*100000000</f>
        <v>0</v>
      </c>
      <c r="F108" s="4" t="str">
        <f>HYPERLINK("http://141.218.60.56/~jnz1568/getInfo.php?workbook=02_01.xlsx&amp;sheet=A0&amp;row=108&amp;col=6&amp;number=&amp;sourceID=18","")</f>
        <v/>
      </c>
      <c r="G108" s="4" t="str">
        <f>HYPERLINK("http://141.218.60.56/~jnz1568/getInfo.php?workbook=02_01.xlsx&amp;sheet=A0&amp;row=108&amp;col=7&amp;number==&amp;sourceID=11","=")</f>
        <v>=</v>
      </c>
      <c r="H108" s="4" t="str">
        <f>HYPERLINK("http://141.218.60.56/~jnz1568/getInfo.php?workbook=02_01.xlsx&amp;sheet=A0&amp;row=108&amp;col=8&amp;number=&amp;sourceID=11","")</f>
        <v/>
      </c>
      <c r="I108" s="4" t="str">
        <f>HYPERLINK("http://141.218.60.56/~jnz1568/getInfo.php?workbook=02_01.xlsx&amp;sheet=A0&amp;row=108&amp;col=9&amp;number=&amp;sourceID=11","")</f>
        <v/>
      </c>
      <c r="J108" s="4" t="str">
        <f>HYPERLINK("http://141.218.60.56/~jnz1568/getInfo.php?workbook=02_01.xlsx&amp;sheet=A0&amp;row=108&amp;col=10&amp;number=0.0002865&amp;sourceID=11","0.0002865")</f>
        <v>0.0002865</v>
      </c>
      <c r="K108" s="4" t="str">
        <f>HYPERLINK("http://141.218.60.56/~jnz1568/getInfo.php?workbook=02_01.xlsx&amp;sheet=A0&amp;row=108&amp;col=11&amp;number=&amp;sourceID=11","")</f>
        <v/>
      </c>
      <c r="L108" s="4" t="str">
        <f>HYPERLINK("http://141.218.60.56/~jnz1568/getInfo.php?workbook=02_01.xlsx&amp;sheet=A0&amp;row=108&amp;col=12&amp;number=&amp;sourceID=11","")</f>
        <v/>
      </c>
      <c r="M108" s="4" t="str">
        <f>HYPERLINK("http://141.218.60.56/~jnz1568/getInfo.php?workbook=02_01.xlsx&amp;sheet=A0&amp;row=108&amp;col=13&amp;number=&amp;sourceID=11","")</f>
        <v/>
      </c>
      <c r="N108" s="4" t="str">
        <f>HYPERLINK("http://141.218.60.56/~jnz1568/getInfo.php?workbook=02_01.xlsx&amp;sheet=A0&amp;row=108&amp;col=14&amp;number=0.00028654&amp;sourceID=12","0.00028654")</f>
        <v>0.00028654</v>
      </c>
      <c r="O108" s="4" t="str">
        <f>HYPERLINK("http://141.218.60.56/~jnz1568/getInfo.php?workbook=02_01.xlsx&amp;sheet=A0&amp;row=108&amp;col=15&amp;number=&amp;sourceID=12","")</f>
        <v/>
      </c>
      <c r="P108" s="4" t="str">
        <f>HYPERLINK("http://141.218.60.56/~jnz1568/getInfo.php?workbook=02_01.xlsx&amp;sheet=A0&amp;row=108&amp;col=16&amp;number=&amp;sourceID=12","")</f>
        <v/>
      </c>
      <c r="Q108" s="4" t="str">
        <f>HYPERLINK("http://141.218.60.56/~jnz1568/getInfo.php?workbook=02_01.xlsx&amp;sheet=A0&amp;row=108&amp;col=17&amp;number=0.00028654&amp;sourceID=12","0.00028654")</f>
        <v>0.00028654</v>
      </c>
      <c r="R108" s="4" t="str">
        <f>HYPERLINK("http://141.218.60.56/~jnz1568/getInfo.php?workbook=02_01.xlsx&amp;sheet=A0&amp;row=108&amp;col=18&amp;number=&amp;sourceID=12","")</f>
        <v/>
      </c>
      <c r="S108" s="4" t="str">
        <f>HYPERLINK("http://141.218.60.56/~jnz1568/getInfo.php?workbook=02_01.xlsx&amp;sheet=A0&amp;row=108&amp;col=19&amp;number=&amp;sourceID=12","")</f>
        <v/>
      </c>
      <c r="T108" s="4" t="str">
        <f>HYPERLINK("http://141.218.60.56/~jnz1568/getInfo.php?workbook=02_01.xlsx&amp;sheet=A0&amp;row=108&amp;col=20&amp;number=&amp;sourceID=12","")</f>
        <v/>
      </c>
      <c r="U108" s="4" t="str">
        <f>HYPERLINK("http://141.218.60.56/~jnz1568/getInfo.php?workbook=02_01.xlsx&amp;sheet=A0&amp;row=108&amp;col=21&amp;number==SUM(V108:Z108)&amp;sourceID=13","=SUM(V108:Z108)")</f>
        <v>=SUM(V108:Z108)</v>
      </c>
      <c r="V108" s="4" t="str">
        <f>HYPERLINK("http://141.218.60.56/~jnz1568/getInfo.php?workbook=02_01.xlsx&amp;sheet=A0&amp;row=108&amp;col=22&amp;number=&amp;sourceID=13","")</f>
        <v/>
      </c>
      <c r="W108" s="4" t="str">
        <f>HYPERLINK("http://141.218.60.56/~jnz1568/getInfo.php?workbook=02_01.xlsx&amp;sheet=A0&amp;row=108&amp;col=23&amp;number=&amp;sourceID=13","")</f>
        <v/>
      </c>
      <c r="X108" s="4" t="str">
        <f>HYPERLINK("http://141.218.60.56/~jnz1568/getInfo.php?workbook=02_01.xlsx&amp;sheet=A0&amp;row=108&amp;col=24&amp;number=0.000286&amp;sourceID=13","0.000286")</f>
        <v>0.000286</v>
      </c>
      <c r="Y108" s="4" t="str">
        <f>HYPERLINK("http://141.218.60.56/~jnz1568/getInfo.php?workbook=02_01.xlsx&amp;sheet=A0&amp;row=108&amp;col=25&amp;number=&amp;sourceID=13","")</f>
        <v/>
      </c>
      <c r="Z108" s="4" t="str">
        <f>HYPERLINK("http://141.218.60.56/~jnz1568/getInfo.php?workbook=02_01.xlsx&amp;sheet=A0&amp;row=108&amp;col=26&amp;number=&amp;sourceID=13","")</f>
        <v/>
      </c>
      <c r="AA108" s="4" t="str">
        <f>HYPERLINK("http://141.218.60.56/~jnz1568/getInfo.php?workbook=02_01.xlsx&amp;sheet=A0&amp;row=108&amp;col=27&amp;number=&amp;sourceID=20","")</f>
        <v/>
      </c>
    </row>
    <row r="109" spans="1:27">
      <c r="A109" s="3">
        <v>2</v>
      </c>
      <c r="B109" s="3">
        <v>1</v>
      </c>
      <c r="C109" s="3">
        <v>16</v>
      </c>
      <c r="D109" s="3">
        <v>7</v>
      </c>
      <c r="E109" s="3">
        <f>((1/(INDEX(E0!J$4:J$28,C109,1)-INDEX(E0!J$4:J$28,D109,1))))*100000000</f>
        <v>0</v>
      </c>
      <c r="F109" s="4" t="str">
        <f>HYPERLINK("http://141.218.60.56/~jnz1568/getInfo.php?workbook=02_01.xlsx&amp;sheet=A0&amp;row=109&amp;col=6&amp;number=&amp;sourceID=18","")</f>
        <v/>
      </c>
      <c r="G109" s="4" t="str">
        <f>HYPERLINK("http://141.218.60.56/~jnz1568/getInfo.php?workbook=02_01.xlsx&amp;sheet=A0&amp;row=109&amp;col=7&amp;number==&amp;sourceID=11","=")</f>
        <v>=</v>
      </c>
      <c r="H109" s="4" t="str">
        <f>HYPERLINK("http://141.218.60.56/~jnz1568/getInfo.php?workbook=02_01.xlsx&amp;sheet=A0&amp;row=109&amp;col=8&amp;number=&amp;sourceID=11","")</f>
        <v/>
      </c>
      <c r="I109" s="4" t="str">
        <f>HYPERLINK("http://141.218.60.56/~jnz1568/getInfo.php?workbook=02_01.xlsx&amp;sheet=A0&amp;row=109&amp;col=9&amp;number=&amp;sourceID=11","")</f>
        <v/>
      </c>
      <c r="J109" s="4" t="str">
        <f>HYPERLINK("http://141.218.60.56/~jnz1568/getInfo.php?workbook=02_01.xlsx&amp;sheet=A0&amp;row=109&amp;col=10&amp;number=3.4497e-05&amp;sourceID=11","3.4497e-05")</f>
        <v>3.4497e-05</v>
      </c>
      <c r="K109" s="4" t="str">
        <f>HYPERLINK("http://141.218.60.56/~jnz1568/getInfo.php?workbook=02_01.xlsx&amp;sheet=A0&amp;row=109&amp;col=11&amp;number=&amp;sourceID=11","")</f>
        <v/>
      </c>
      <c r="L109" s="4" t="str">
        <f>HYPERLINK("http://141.218.60.56/~jnz1568/getInfo.php?workbook=02_01.xlsx&amp;sheet=A0&amp;row=109&amp;col=12&amp;number=0.00031552&amp;sourceID=11","0.00031552")</f>
        <v>0.00031552</v>
      </c>
      <c r="M109" s="4" t="str">
        <f>HYPERLINK("http://141.218.60.56/~jnz1568/getInfo.php?workbook=02_01.xlsx&amp;sheet=A0&amp;row=109&amp;col=13&amp;number=&amp;sourceID=11","")</f>
        <v/>
      </c>
      <c r="N109" s="4" t="str">
        <f>HYPERLINK("http://141.218.60.56/~jnz1568/getInfo.php?workbook=02_01.xlsx&amp;sheet=A0&amp;row=109&amp;col=14&amp;number=0.00035007&amp;sourceID=12","0.00035007")</f>
        <v>0.00035007</v>
      </c>
      <c r="O109" s="4" t="str">
        <f>HYPERLINK("http://141.218.60.56/~jnz1568/getInfo.php?workbook=02_01.xlsx&amp;sheet=A0&amp;row=109&amp;col=15&amp;number=&amp;sourceID=12","")</f>
        <v/>
      </c>
      <c r="P109" s="4" t="str">
        <f>HYPERLINK("http://141.218.60.56/~jnz1568/getInfo.php?workbook=02_01.xlsx&amp;sheet=A0&amp;row=109&amp;col=16&amp;number=&amp;sourceID=12","")</f>
        <v/>
      </c>
      <c r="Q109" s="4" t="str">
        <f>HYPERLINK("http://141.218.60.56/~jnz1568/getInfo.php?workbook=02_01.xlsx&amp;sheet=A0&amp;row=109&amp;col=17&amp;number=3.4501e-05&amp;sourceID=12","3.4501e-05")</f>
        <v>3.4501e-05</v>
      </c>
      <c r="R109" s="4" t="str">
        <f>HYPERLINK("http://141.218.60.56/~jnz1568/getInfo.php?workbook=02_01.xlsx&amp;sheet=A0&amp;row=109&amp;col=18&amp;number=&amp;sourceID=12","")</f>
        <v/>
      </c>
      <c r="S109" s="4" t="str">
        <f>HYPERLINK("http://141.218.60.56/~jnz1568/getInfo.php?workbook=02_01.xlsx&amp;sheet=A0&amp;row=109&amp;col=19&amp;number=0.00031557&amp;sourceID=12","0.00031557")</f>
        <v>0.00031557</v>
      </c>
      <c r="T109" s="4" t="str">
        <f>HYPERLINK("http://141.218.60.56/~jnz1568/getInfo.php?workbook=02_01.xlsx&amp;sheet=A0&amp;row=109&amp;col=20&amp;number=&amp;sourceID=12","")</f>
        <v/>
      </c>
      <c r="U109" s="4" t="str">
        <f>HYPERLINK("http://141.218.60.56/~jnz1568/getInfo.php?workbook=02_01.xlsx&amp;sheet=A0&amp;row=109&amp;col=21&amp;number==SUM(V109:Z109)&amp;sourceID=13","=SUM(V109:Z109)")</f>
        <v>=SUM(V109:Z109)</v>
      </c>
      <c r="V109" s="4" t="str">
        <f>HYPERLINK("http://141.218.60.56/~jnz1568/getInfo.php?workbook=02_01.xlsx&amp;sheet=A0&amp;row=109&amp;col=22&amp;number=&amp;sourceID=13","")</f>
        <v/>
      </c>
      <c r="W109" s="4" t="str">
        <f>HYPERLINK("http://141.218.60.56/~jnz1568/getInfo.php?workbook=02_01.xlsx&amp;sheet=A0&amp;row=109&amp;col=23&amp;number=&amp;sourceID=13","")</f>
        <v/>
      </c>
      <c r="X109" s="4" t="str">
        <f>HYPERLINK("http://141.218.60.56/~jnz1568/getInfo.php?workbook=02_01.xlsx&amp;sheet=A0&amp;row=109&amp;col=24&amp;number=7.76e-05&amp;sourceID=13","7.76e-05")</f>
        <v>7.76e-05</v>
      </c>
      <c r="Y109" s="4" t="str">
        <f>HYPERLINK("http://141.218.60.56/~jnz1568/getInfo.php?workbook=02_01.xlsx&amp;sheet=A0&amp;row=109&amp;col=25&amp;number=&amp;sourceID=13","")</f>
        <v/>
      </c>
      <c r="Z109" s="4" t="str">
        <f>HYPERLINK("http://141.218.60.56/~jnz1568/getInfo.php?workbook=02_01.xlsx&amp;sheet=A0&amp;row=109&amp;col=26&amp;number=0.00126&amp;sourceID=13","0.00126")</f>
        <v>0.00126</v>
      </c>
      <c r="AA109" s="4" t="str">
        <f>HYPERLINK("http://141.218.60.56/~jnz1568/getInfo.php?workbook=02_01.xlsx&amp;sheet=A0&amp;row=109&amp;col=27&amp;number=&amp;sourceID=20","")</f>
        <v/>
      </c>
    </row>
    <row r="110" spans="1:27">
      <c r="A110" s="3">
        <v>2</v>
      </c>
      <c r="B110" s="3">
        <v>1</v>
      </c>
      <c r="C110" s="3">
        <v>16</v>
      </c>
      <c r="D110" s="3">
        <v>8</v>
      </c>
      <c r="E110" s="3">
        <f>((1/(INDEX(E0!J$4:J$28,C110,1)-INDEX(E0!J$4:J$28,D110,1))))*100000000</f>
        <v>0</v>
      </c>
      <c r="F110" s="4" t="str">
        <f>HYPERLINK("http://141.218.60.56/~jnz1568/getInfo.php?workbook=02_01.xlsx&amp;sheet=A0&amp;row=110&amp;col=6&amp;number=&amp;sourceID=18","")</f>
        <v/>
      </c>
      <c r="G110" s="4" t="str">
        <f>HYPERLINK("http://141.218.60.56/~jnz1568/getInfo.php?workbook=02_01.xlsx&amp;sheet=A0&amp;row=110&amp;col=7&amp;number==&amp;sourceID=11","=")</f>
        <v>=</v>
      </c>
      <c r="H110" s="4" t="str">
        <f>HYPERLINK("http://141.218.60.56/~jnz1568/getInfo.php?workbook=02_01.xlsx&amp;sheet=A0&amp;row=110&amp;col=8&amp;number=&amp;sourceID=11","")</f>
        <v/>
      </c>
      <c r="I110" s="4" t="str">
        <f>HYPERLINK("http://141.218.60.56/~jnz1568/getInfo.php?workbook=02_01.xlsx&amp;sheet=A0&amp;row=110&amp;col=9&amp;number=370.36&amp;sourceID=11","370.36")</f>
        <v>370.36</v>
      </c>
      <c r="J110" s="4" t="str">
        <f>HYPERLINK("http://141.218.60.56/~jnz1568/getInfo.php?workbook=02_01.xlsx&amp;sheet=A0&amp;row=110&amp;col=10&amp;number=&amp;sourceID=11","")</f>
        <v/>
      </c>
      <c r="K110" s="4" t="str">
        <f>HYPERLINK("http://141.218.60.56/~jnz1568/getInfo.php?workbook=02_01.xlsx&amp;sheet=A0&amp;row=110&amp;col=11&amp;number=&amp;sourceID=11","")</f>
        <v/>
      </c>
      <c r="L110" s="4" t="str">
        <f>HYPERLINK("http://141.218.60.56/~jnz1568/getInfo.php?workbook=02_01.xlsx&amp;sheet=A0&amp;row=110&amp;col=12&amp;number=&amp;sourceID=11","")</f>
        <v/>
      </c>
      <c r="M110" s="4" t="str">
        <f>HYPERLINK("http://141.218.60.56/~jnz1568/getInfo.php?workbook=02_01.xlsx&amp;sheet=A0&amp;row=110&amp;col=13&amp;number=2.1273e-09&amp;sourceID=11","2.1273e-09")</f>
        <v>2.1273e-09</v>
      </c>
      <c r="N110" s="4" t="str">
        <f>HYPERLINK("http://141.218.60.56/~jnz1568/getInfo.php?workbook=02_01.xlsx&amp;sheet=A0&amp;row=110&amp;col=14&amp;number=370.41&amp;sourceID=12","370.41")</f>
        <v>370.41</v>
      </c>
      <c r="O110" s="4" t="str">
        <f>HYPERLINK("http://141.218.60.56/~jnz1568/getInfo.php?workbook=02_01.xlsx&amp;sheet=A0&amp;row=110&amp;col=15&amp;number=&amp;sourceID=12","")</f>
        <v/>
      </c>
      <c r="P110" s="4" t="str">
        <f>HYPERLINK("http://141.218.60.56/~jnz1568/getInfo.php?workbook=02_01.xlsx&amp;sheet=A0&amp;row=110&amp;col=16&amp;number=370.41&amp;sourceID=12","370.41")</f>
        <v>370.41</v>
      </c>
      <c r="Q110" s="4" t="str">
        <f>HYPERLINK("http://141.218.60.56/~jnz1568/getInfo.php?workbook=02_01.xlsx&amp;sheet=A0&amp;row=110&amp;col=17&amp;number=&amp;sourceID=12","")</f>
        <v/>
      </c>
      <c r="R110" s="4" t="str">
        <f>HYPERLINK("http://141.218.60.56/~jnz1568/getInfo.php?workbook=02_01.xlsx&amp;sheet=A0&amp;row=110&amp;col=18&amp;number=&amp;sourceID=12","")</f>
        <v/>
      </c>
      <c r="S110" s="4" t="str">
        <f>HYPERLINK("http://141.218.60.56/~jnz1568/getInfo.php?workbook=02_01.xlsx&amp;sheet=A0&amp;row=110&amp;col=19&amp;number=&amp;sourceID=12","")</f>
        <v/>
      </c>
      <c r="T110" s="4" t="str">
        <f>HYPERLINK("http://141.218.60.56/~jnz1568/getInfo.php?workbook=02_01.xlsx&amp;sheet=A0&amp;row=110&amp;col=20&amp;number=2.1276e-09&amp;sourceID=12","2.1276e-09")</f>
        <v>2.1276e-09</v>
      </c>
      <c r="U110" s="4" t="str">
        <f>HYPERLINK("http://141.218.60.56/~jnz1568/getInfo.php?workbook=02_01.xlsx&amp;sheet=A0&amp;row=110&amp;col=21&amp;number==SUM(V110:Z110)&amp;sourceID=13","=SUM(V110:Z110)")</f>
        <v>=SUM(V110:Z110)</v>
      </c>
      <c r="V110" s="4" t="str">
        <f>HYPERLINK("http://141.218.60.56/~jnz1568/getInfo.php?workbook=02_01.xlsx&amp;sheet=A0&amp;row=110&amp;col=22&amp;number=&amp;sourceID=13","")</f>
        <v/>
      </c>
      <c r="W110" s="4" t="str">
        <f>HYPERLINK("http://141.218.60.56/~jnz1568/getInfo.php?workbook=02_01.xlsx&amp;sheet=A0&amp;row=110&amp;col=23&amp;number=370&amp;sourceID=13","370")</f>
        <v>370</v>
      </c>
      <c r="X110" s="4" t="str">
        <f>HYPERLINK("http://141.218.60.56/~jnz1568/getInfo.php?workbook=02_01.xlsx&amp;sheet=A0&amp;row=110&amp;col=24&amp;number=&amp;sourceID=13","")</f>
        <v/>
      </c>
      <c r="Y110" s="4" t="str">
        <f>HYPERLINK("http://141.218.60.56/~jnz1568/getInfo.php?workbook=02_01.xlsx&amp;sheet=A0&amp;row=110&amp;col=25&amp;number=&amp;sourceID=13","")</f>
        <v/>
      </c>
      <c r="Z110" s="4" t="str">
        <f>HYPERLINK("http://141.218.60.56/~jnz1568/getInfo.php?workbook=02_01.xlsx&amp;sheet=A0&amp;row=110&amp;col=26&amp;number=&amp;sourceID=13","")</f>
        <v/>
      </c>
      <c r="AA110" s="4" t="str">
        <f>HYPERLINK("http://141.218.60.56/~jnz1568/getInfo.php?workbook=02_01.xlsx&amp;sheet=A0&amp;row=110&amp;col=27&amp;number=&amp;sourceID=20","")</f>
        <v/>
      </c>
    </row>
    <row r="111" spans="1:27">
      <c r="A111" s="3">
        <v>2</v>
      </c>
      <c r="B111" s="3">
        <v>1</v>
      </c>
      <c r="C111" s="3">
        <v>16</v>
      </c>
      <c r="D111" s="3">
        <v>9</v>
      </c>
      <c r="E111" s="3">
        <f>((1/(INDEX(E0!J$4:J$28,C111,1)-INDEX(E0!J$4:J$28,D111,1))))*100000000</f>
        <v>0</v>
      </c>
      <c r="F111" s="4" t="str">
        <f>HYPERLINK("http://141.218.60.56/~jnz1568/getInfo.php?workbook=02_01.xlsx&amp;sheet=A0&amp;row=111&amp;col=6&amp;number=&amp;sourceID=18","")</f>
        <v/>
      </c>
      <c r="G111" s="4" t="str">
        <f>HYPERLINK("http://141.218.60.56/~jnz1568/getInfo.php?workbook=02_01.xlsx&amp;sheet=A0&amp;row=111&amp;col=7&amp;number==&amp;sourceID=11","=")</f>
        <v>=</v>
      </c>
      <c r="H111" s="4" t="str">
        <f>HYPERLINK("http://141.218.60.56/~jnz1568/getInfo.php?workbook=02_01.xlsx&amp;sheet=A0&amp;row=111&amp;col=8&amp;number=220700000&amp;sourceID=11","220700000")</f>
        <v>220700000</v>
      </c>
      <c r="I111" s="4" t="str">
        <f>HYPERLINK("http://141.218.60.56/~jnz1568/getInfo.php?workbook=02_01.xlsx&amp;sheet=A0&amp;row=111&amp;col=9&amp;number=&amp;sourceID=11","")</f>
        <v/>
      </c>
      <c r="J111" s="4" t="str">
        <f>HYPERLINK("http://141.218.60.56/~jnz1568/getInfo.php?workbook=02_01.xlsx&amp;sheet=A0&amp;row=111&amp;col=10&amp;number=0.00010348&amp;sourceID=11","0.00010348")</f>
        <v>0.00010348</v>
      </c>
      <c r="K111" s="4" t="str">
        <f>HYPERLINK("http://141.218.60.56/~jnz1568/getInfo.php?workbook=02_01.xlsx&amp;sheet=A0&amp;row=111&amp;col=11&amp;number=&amp;sourceID=11","")</f>
        <v/>
      </c>
      <c r="L111" s="4" t="str">
        <f>HYPERLINK("http://141.218.60.56/~jnz1568/getInfo.php?workbook=02_01.xlsx&amp;sheet=A0&amp;row=111&amp;col=12&amp;number=0.0021739&amp;sourceID=11","0.0021739")</f>
        <v>0.0021739</v>
      </c>
      <c r="M111" s="4" t="str">
        <f>HYPERLINK("http://141.218.60.56/~jnz1568/getInfo.php?workbook=02_01.xlsx&amp;sheet=A0&amp;row=111&amp;col=13&amp;number=&amp;sourceID=11","")</f>
        <v/>
      </c>
      <c r="N111" s="4" t="str">
        <f>HYPERLINK("http://141.218.60.56/~jnz1568/getInfo.php?workbook=02_01.xlsx&amp;sheet=A0&amp;row=111&amp;col=14&amp;number=220730000&amp;sourceID=12","220730000")</f>
        <v>220730000</v>
      </c>
      <c r="O111" s="4" t="str">
        <f>HYPERLINK("http://141.218.60.56/~jnz1568/getInfo.php?workbook=02_01.xlsx&amp;sheet=A0&amp;row=111&amp;col=15&amp;number=220730000&amp;sourceID=12","220730000")</f>
        <v>220730000</v>
      </c>
      <c r="P111" s="4" t="str">
        <f>HYPERLINK("http://141.218.60.56/~jnz1568/getInfo.php?workbook=02_01.xlsx&amp;sheet=A0&amp;row=111&amp;col=16&amp;number=&amp;sourceID=12","")</f>
        <v/>
      </c>
      <c r="Q111" s="4" t="str">
        <f>HYPERLINK("http://141.218.60.56/~jnz1568/getInfo.php?workbook=02_01.xlsx&amp;sheet=A0&amp;row=111&amp;col=17&amp;number=0.00010349&amp;sourceID=12","0.00010349")</f>
        <v>0.00010349</v>
      </c>
      <c r="R111" s="4" t="str">
        <f>HYPERLINK("http://141.218.60.56/~jnz1568/getInfo.php?workbook=02_01.xlsx&amp;sheet=A0&amp;row=111&amp;col=18&amp;number=&amp;sourceID=12","")</f>
        <v/>
      </c>
      <c r="S111" s="4" t="str">
        <f>HYPERLINK("http://141.218.60.56/~jnz1568/getInfo.php?workbook=02_01.xlsx&amp;sheet=A0&amp;row=111&amp;col=19&amp;number=0.0021742&amp;sourceID=12","0.0021742")</f>
        <v>0.0021742</v>
      </c>
      <c r="T111" s="4" t="str">
        <f>HYPERLINK("http://141.218.60.56/~jnz1568/getInfo.php?workbook=02_01.xlsx&amp;sheet=A0&amp;row=111&amp;col=20&amp;number=&amp;sourceID=12","")</f>
        <v/>
      </c>
      <c r="U111" s="4" t="str">
        <f>HYPERLINK("http://141.218.60.56/~jnz1568/getInfo.php?workbook=02_01.xlsx&amp;sheet=A0&amp;row=111&amp;col=21&amp;number==SUM(V111:Z111)&amp;sourceID=13","=SUM(V111:Z111)")</f>
        <v>=SUM(V111:Z111)</v>
      </c>
      <c r="V111" s="4" t="str">
        <f>HYPERLINK("http://141.218.60.56/~jnz1568/getInfo.php?workbook=02_01.xlsx&amp;sheet=A0&amp;row=111&amp;col=22&amp;number=221000000&amp;sourceID=13","221000000")</f>
        <v>221000000</v>
      </c>
      <c r="W111" s="4" t="str">
        <f>HYPERLINK("http://141.218.60.56/~jnz1568/getInfo.php?workbook=02_01.xlsx&amp;sheet=A0&amp;row=111&amp;col=23&amp;number=&amp;sourceID=13","")</f>
        <v/>
      </c>
      <c r="X111" s="4" t="str">
        <f>HYPERLINK("http://141.218.60.56/~jnz1568/getInfo.php?workbook=02_01.xlsx&amp;sheet=A0&amp;row=111&amp;col=24&amp;number=&amp;sourceID=13","")</f>
        <v/>
      </c>
      <c r="Y111" s="4" t="str">
        <f>HYPERLINK("http://141.218.60.56/~jnz1568/getInfo.php?workbook=02_01.xlsx&amp;sheet=A0&amp;row=111&amp;col=25&amp;number=&amp;sourceID=13","")</f>
        <v/>
      </c>
      <c r="Z111" s="4" t="str">
        <f>HYPERLINK("http://141.218.60.56/~jnz1568/getInfo.php?workbook=02_01.xlsx&amp;sheet=A0&amp;row=111&amp;col=26&amp;number=&amp;sourceID=13","")</f>
        <v/>
      </c>
      <c r="AA111" s="4" t="str">
        <f>HYPERLINK("http://141.218.60.56/~jnz1568/getInfo.php?workbook=02_01.xlsx&amp;sheet=A0&amp;row=111&amp;col=27&amp;number=&amp;sourceID=20","")</f>
        <v/>
      </c>
    </row>
    <row r="112" spans="1:27">
      <c r="A112" s="3">
        <v>2</v>
      </c>
      <c r="B112" s="3">
        <v>1</v>
      </c>
      <c r="C112" s="3">
        <v>16</v>
      </c>
      <c r="D112" s="3">
        <v>10</v>
      </c>
      <c r="E112" s="3">
        <f>((1/(INDEX(E0!J$4:J$28,C112,1)-INDEX(E0!J$4:J$28,D112,1))))*100000000</f>
        <v>0</v>
      </c>
      <c r="F112" s="4" t="str">
        <f>HYPERLINK("http://141.218.60.56/~jnz1568/getInfo.php?workbook=02_01.xlsx&amp;sheet=A0&amp;row=112&amp;col=6&amp;number=&amp;sourceID=18","")</f>
        <v/>
      </c>
      <c r="G112" s="4" t="str">
        <f>HYPERLINK("http://141.218.60.56/~jnz1568/getInfo.php?workbook=02_01.xlsx&amp;sheet=A0&amp;row=112&amp;col=7&amp;number=&amp;sourceID=11","")</f>
        <v/>
      </c>
      <c r="H112" s="4" t="str">
        <f>HYPERLINK("http://141.218.60.56/~jnz1568/getInfo.php?workbook=02_01.xlsx&amp;sheet=A0&amp;row=112&amp;col=8&amp;number=&amp;sourceID=11","")</f>
        <v/>
      </c>
      <c r="I112" s="4" t="str">
        <f>HYPERLINK("http://141.218.60.56/~jnz1568/getInfo.php?workbook=02_01.xlsx&amp;sheet=A0&amp;row=112&amp;col=9&amp;number=&amp;sourceID=11","")</f>
        <v/>
      </c>
      <c r="J112" s="4" t="str">
        <f>HYPERLINK("http://141.218.60.56/~jnz1568/getInfo.php?workbook=02_01.xlsx&amp;sheet=A0&amp;row=112&amp;col=10&amp;number=&amp;sourceID=11","")</f>
        <v/>
      </c>
      <c r="K112" s="4" t="str">
        <f>HYPERLINK("http://141.218.60.56/~jnz1568/getInfo.php?workbook=02_01.xlsx&amp;sheet=A0&amp;row=112&amp;col=11&amp;number=&amp;sourceID=11","")</f>
        <v/>
      </c>
      <c r="L112" s="4" t="str">
        <f>HYPERLINK("http://141.218.60.56/~jnz1568/getInfo.php?workbook=02_01.xlsx&amp;sheet=A0&amp;row=112&amp;col=12&amp;number=&amp;sourceID=11","")</f>
        <v/>
      </c>
      <c r="M112" s="4" t="str">
        <f>HYPERLINK("http://141.218.60.56/~jnz1568/getInfo.php?workbook=02_01.xlsx&amp;sheet=A0&amp;row=112&amp;col=13&amp;number=0&amp;sourceID=11","0")</f>
        <v>0</v>
      </c>
      <c r="N112" s="4" t="str">
        <f>HYPERLINK("http://141.218.60.56/~jnz1568/getInfo.php?workbook=02_01.xlsx&amp;sheet=A0&amp;row=112&amp;col=14&amp;number=0&amp;sourceID=12","0")</f>
        <v>0</v>
      </c>
      <c r="O112" s="4" t="str">
        <f>HYPERLINK("http://141.218.60.56/~jnz1568/getInfo.php?workbook=02_01.xlsx&amp;sheet=A0&amp;row=112&amp;col=15&amp;number=&amp;sourceID=12","")</f>
        <v/>
      </c>
      <c r="P112" s="4" t="str">
        <f>HYPERLINK("http://141.218.60.56/~jnz1568/getInfo.php?workbook=02_01.xlsx&amp;sheet=A0&amp;row=112&amp;col=16&amp;number=&amp;sourceID=12","")</f>
        <v/>
      </c>
      <c r="Q112" s="4" t="str">
        <f>HYPERLINK("http://141.218.60.56/~jnz1568/getInfo.php?workbook=02_01.xlsx&amp;sheet=A0&amp;row=112&amp;col=17&amp;number=&amp;sourceID=12","")</f>
        <v/>
      </c>
      <c r="R112" s="4" t="str">
        <f>HYPERLINK("http://141.218.60.56/~jnz1568/getInfo.php?workbook=02_01.xlsx&amp;sheet=A0&amp;row=112&amp;col=18&amp;number=&amp;sourceID=12","")</f>
        <v/>
      </c>
      <c r="S112" s="4" t="str">
        <f>HYPERLINK("http://141.218.60.56/~jnz1568/getInfo.php?workbook=02_01.xlsx&amp;sheet=A0&amp;row=112&amp;col=19&amp;number=&amp;sourceID=12","")</f>
        <v/>
      </c>
      <c r="T112" s="4" t="str">
        <f>HYPERLINK("http://141.218.60.56/~jnz1568/getInfo.php?workbook=02_01.xlsx&amp;sheet=A0&amp;row=112&amp;col=20&amp;number=0&amp;sourceID=12","0")</f>
        <v>0</v>
      </c>
      <c r="U112" s="4" t="str">
        <f>HYPERLINK("http://141.218.60.56/~jnz1568/getInfo.php?workbook=02_01.xlsx&amp;sheet=A0&amp;row=112&amp;col=21&amp;number=&amp;sourceID=13","")</f>
        <v/>
      </c>
      <c r="V112" s="4" t="str">
        <f>HYPERLINK("http://141.218.60.56/~jnz1568/getInfo.php?workbook=02_01.xlsx&amp;sheet=A0&amp;row=112&amp;col=22&amp;number=&amp;sourceID=13","")</f>
        <v/>
      </c>
      <c r="W112" s="4" t="str">
        <f>HYPERLINK("http://141.218.60.56/~jnz1568/getInfo.php?workbook=02_01.xlsx&amp;sheet=A0&amp;row=112&amp;col=23&amp;number=&amp;sourceID=13","")</f>
        <v/>
      </c>
      <c r="X112" s="4" t="str">
        <f>HYPERLINK("http://141.218.60.56/~jnz1568/getInfo.php?workbook=02_01.xlsx&amp;sheet=A0&amp;row=112&amp;col=24&amp;number=&amp;sourceID=13","")</f>
        <v/>
      </c>
      <c r="Y112" s="4" t="str">
        <f>HYPERLINK("http://141.218.60.56/~jnz1568/getInfo.php?workbook=02_01.xlsx&amp;sheet=A0&amp;row=112&amp;col=25&amp;number=&amp;sourceID=13","")</f>
        <v/>
      </c>
      <c r="Z112" s="4" t="str">
        <f>HYPERLINK("http://141.218.60.56/~jnz1568/getInfo.php?workbook=02_01.xlsx&amp;sheet=A0&amp;row=112&amp;col=26&amp;number=&amp;sourceID=13","")</f>
        <v/>
      </c>
      <c r="AA112" s="4" t="str">
        <f>HYPERLINK("http://141.218.60.56/~jnz1568/getInfo.php?workbook=02_01.xlsx&amp;sheet=A0&amp;row=112&amp;col=27&amp;number=&amp;sourceID=20","")</f>
        <v/>
      </c>
    </row>
    <row r="113" spans="1:27">
      <c r="A113" s="3">
        <v>2</v>
      </c>
      <c r="B113" s="3">
        <v>1</v>
      </c>
      <c r="C113" s="3">
        <v>16</v>
      </c>
      <c r="D113" s="3">
        <v>11</v>
      </c>
      <c r="E113" s="3">
        <f>((1/(INDEX(E0!J$4:J$28,C113,1)-INDEX(E0!J$4:J$28,D113,1))))*100000000</f>
        <v>0</v>
      </c>
      <c r="F113" s="4" t="str">
        <f>HYPERLINK("http://141.218.60.56/~jnz1568/getInfo.php?workbook=02_01.xlsx&amp;sheet=A0&amp;row=113&amp;col=6&amp;number=&amp;sourceID=18","")</f>
        <v/>
      </c>
      <c r="G113" s="4" t="str">
        <f>HYPERLINK("http://141.218.60.56/~jnz1568/getInfo.php?workbook=02_01.xlsx&amp;sheet=A0&amp;row=113&amp;col=7&amp;number==SUM(H113:M113)&amp;sourceID=11","=SUM(H113:M113)")</f>
        <v>=SUM(H113:M113)</v>
      </c>
      <c r="H113" s="4" t="str">
        <f>HYPERLINK("http://141.218.60.56/~jnz1568/getInfo.php?workbook=02_01.xlsx&amp;sheet=A0&amp;row=113&amp;col=8&amp;number=&amp;sourceID=11","")</f>
        <v/>
      </c>
      <c r="I113" s="4" t="str">
        <f>HYPERLINK("http://141.218.60.56/~jnz1568/getInfo.php?workbook=02_01.xlsx&amp;sheet=A0&amp;row=113&amp;col=9&amp;number=&amp;sourceID=11","")</f>
        <v/>
      </c>
      <c r="J113" s="4" t="str">
        <f>HYPERLINK("http://141.218.60.56/~jnz1568/getInfo.php?workbook=02_01.xlsx&amp;sheet=A0&amp;row=113&amp;col=10&amp;number=0&amp;sourceID=11","0")</f>
        <v>0</v>
      </c>
      <c r="K113" s="4" t="str">
        <f>HYPERLINK("http://141.218.60.56/~jnz1568/getInfo.php?workbook=02_01.xlsx&amp;sheet=A0&amp;row=113&amp;col=11&amp;number=&amp;sourceID=11","")</f>
        <v/>
      </c>
      <c r="L113" s="4" t="str">
        <f>HYPERLINK("http://141.218.60.56/~jnz1568/getInfo.php?workbook=02_01.xlsx&amp;sheet=A0&amp;row=113&amp;col=12&amp;number=&amp;sourceID=11","")</f>
        <v/>
      </c>
      <c r="M113" s="4" t="str">
        <f>HYPERLINK("http://141.218.60.56/~jnz1568/getInfo.php?workbook=02_01.xlsx&amp;sheet=A0&amp;row=113&amp;col=13&amp;number=&amp;sourceID=11","")</f>
        <v/>
      </c>
      <c r="N113" s="4" t="str">
        <f>HYPERLINK("http://141.218.60.56/~jnz1568/getInfo.php?workbook=02_01.xlsx&amp;sheet=A0&amp;row=113&amp;col=14&amp;number=0&amp;sourceID=12","0")</f>
        <v>0</v>
      </c>
      <c r="O113" s="4" t="str">
        <f>HYPERLINK("http://141.218.60.56/~jnz1568/getInfo.php?workbook=02_01.xlsx&amp;sheet=A0&amp;row=113&amp;col=15&amp;number=&amp;sourceID=12","")</f>
        <v/>
      </c>
      <c r="P113" s="4" t="str">
        <f>HYPERLINK("http://141.218.60.56/~jnz1568/getInfo.php?workbook=02_01.xlsx&amp;sheet=A0&amp;row=113&amp;col=16&amp;number=&amp;sourceID=12","")</f>
        <v/>
      </c>
      <c r="Q113" s="4" t="str">
        <f>HYPERLINK("http://141.218.60.56/~jnz1568/getInfo.php?workbook=02_01.xlsx&amp;sheet=A0&amp;row=113&amp;col=17&amp;number=0&amp;sourceID=12","0")</f>
        <v>0</v>
      </c>
      <c r="R113" s="4" t="str">
        <f>HYPERLINK("http://141.218.60.56/~jnz1568/getInfo.php?workbook=02_01.xlsx&amp;sheet=A0&amp;row=113&amp;col=18&amp;number=&amp;sourceID=12","")</f>
        <v/>
      </c>
      <c r="S113" s="4" t="str">
        <f>HYPERLINK("http://141.218.60.56/~jnz1568/getInfo.php?workbook=02_01.xlsx&amp;sheet=A0&amp;row=113&amp;col=19&amp;number=&amp;sourceID=12","")</f>
        <v/>
      </c>
      <c r="T113" s="4" t="str">
        <f>HYPERLINK("http://141.218.60.56/~jnz1568/getInfo.php?workbook=02_01.xlsx&amp;sheet=A0&amp;row=113&amp;col=20&amp;number=&amp;sourceID=12","")</f>
        <v/>
      </c>
      <c r="U113" s="4" t="str">
        <f>HYPERLINK("http://141.218.60.56/~jnz1568/getInfo.php?workbook=02_01.xlsx&amp;sheet=A0&amp;row=113&amp;col=21&amp;number=&amp;sourceID=13","")</f>
        <v/>
      </c>
      <c r="V113" s="4" t="str">
        <f>HYPERLINK("http://141.218.60.56/~jnz1568/getInfo.php?workbook=02_01.xlsx&amp;sheet=A0&amp;row=113&amp;col=22&amp;number=&amp;sourceID=13","")</f>
        <v/>
      </c>
      <c r="W113" s="4" t="str">
        <f>HYPERLINK("http://141.218.60.56/~jnz1568/getInfo.php?workbook=02_01.xlsx&amp;sheet=A0&amp;row=113&amp;col=23&amp;number=&amp;sourceID=13","")</f>
        <v/>
      </c>
      <c r="X113" s="4" t="str">
        <f>HYPERLINK("http://141.218.60.56/~jnz1568/getInfo.php?workbook=02_01.xlsx&amp;sheet=A0&amp;row=113&amp;col=24&amp;number=&amp;sourceID=13","")</f>
        <v/>
      </c>
      <c r="Y113" s="4" t="str">
        <f>HYPERLINK("http://141.218.60.56/~jnz1568/getInfo.php?workbook=02_01.xlsx&amp;sheet=A0&amp;row=113&amp;col=25&amp;number=&amp;sourceID=13","")</f>
        <v/>
      </c>
      <c r="Z113" s="4" t="str">
        <f>HYPERLINK("http://141.218.60.56/~jnz1568/getInfo.php?workbook=02_01.xlsx&amp;sheet=A0&amp;row=113&amp;col=26&amp;number=&amp;sourceID=13","")</f>
        <v/>
      </c>
      <c r="AA113" s="4" t="str">
        <f>HYPERLINK("http://141.218.60.56/~jnz1568/getInfo.php?workbook=02_01.xlsx&amp;sheet=A0&amp;row=113&amp;col=27&amp;number=&amp;sourceID=20","")</f>
        <v/>
      </c>
    </row>
    <row r="114" spans="1:27">
      <c r="A114" s="3">
        <v>2</v>
      </c>
      <c r="B114" s="3">
        <v>1</v>
      </c>
      <c r="C114" s="3">
        <v>16</v>
      </c>
      <c r="D114" s="3">
        <v>12</v>
      </c>
      <c r="E114" s="3">
        <f>((1/(INDEX(E0!J$4:J$28,C114,1)-INDEX(E0!J$4:J$28,D114,1))))*100000000</f>
        <v>0</v>
      </c>
      <c r="F114" s="4" t="str">
        <f>HYPERLINK("http://141.218.60.56/~jnz1568/getInfo.php?workbook=02_01.xlsx&amp;sheet=A0&amp;row=114&amp;col=6&amp;number=&amp;sourceID=18","")</f>
        <v/>
      </c>
      <c r="G114" s="4" t="str">
        <f>HYPERLINK("http://141.218.60.56/~jnz1568/getInfo.php?workbook=02_01.xlsx&amp;sheet=A0&amp;row=114&amp;col=7&amp;number==&amp;sourceID=11","=")</f>
        <v>=</v>
      </c>
      <c r="H114" s="4" t="str">
        <f>HYPERLINK("http://141.218.60.56/~jnz1568/getInfo.php?workbook=02_01.xlsx&amp;sheet=A0&amp;row=114&amp;col=8&amp;number=&amp;sourceID=11","")</f>
        <v/>
      </c>
      <c r="I114" s="4" t="str">
        <f>HYPERLINK("http://141.218.60.56/~jnz1568/getInfo.php?workbook=02_01.xlsx&amp;sheet=A0&amp;row=114&amp;col=9&amp;number=&amp;sourceID=11","")</f>
        <v/>
      </c>
      <c r="J114" s="4" t="str">
        <f>HYPERLINK("http://141.218.60.56/~jnz1568/getInfo.php?workbook=02_01.xlsx&amp;sheet=A0&amp;row=114&amp;col=10&amp;number=0&amp;sourceID=11","0")</f>
        <v>0</v>
      </c>
      <c r="K114" s="4" t="str">
        <f>HYPERLINK("http://141.218.60.56/~jnz1568/getInfo.php?workbook=02_01.xlsx&amp;sheet=A0&amp;row=114&amp;col=11&amp;number=&amp;sourceID=11","")</f>
        <v/>
      </c>
      <c r="L114" s="4" t="str">
        <f>HYPERLINK("http://141.218.60.56/~jnz1568/getInfo.php?workbook=02_01.xlsx&amp;sheet=A0&amp;row=114&amp;col=12&amp;number=0&amp;sourceID=11","0")</f>
        <v>0</v>
      </c>
      <c r="M114" s="4" t="str">
        <f>HYPERLINK("http://141.218.60.56/~jnz1568/getInfo.php?workbook=02_01.xlsx&amp;sheet=A0&amp;row=114&amp;col=13&amp;number=&amp;sourceID=11","")</f>
        <v/>
      </c>
      <c r="N114" s="4" t="str">
        <f>HYPERLINK("http://141.218.60.56/~jnz1568/getInfo.php?workbook=02_01.xlsx&amp;sheet=A0&amp;row=114&amp;col=14&amp;number=0&amp;sourceID=12","0")</f>
        <v>0</v>
      </c>
      <c r="O114" s="4" t="str">
        <f>HYPERLINK("http://141.218.60.56/~jnz1568/getInfo.php?workbook=02_01.xlsx&amp;sheet=A0&amp;row=114&amp;col=15&amp;number=&amp;sourceID=12","")</f>
        <v/>
      </c>
      <c r="P114" s="4" t="str">
        <f>HYPERLINK("http://141.218.60.56/~jnz1568/getInfo.php?workbook=02_01.xlsx&amp;sheet=A0&amp;row=114&amp;col=16&amp;number=&amp;sourceID=12","")</f>
        <v/>
      </c>
      <c r="Q114" s="4" t="str">
        <f>HYPERLINK("http://141.218.60.56/~jnz1568/getInfo.php?workbook=02_01.xlsx&amp;sheet=A0&amp;row=114&amp;col=17&amp;number=0&amp;sourceID=12","0")</f>
        <v>0</v>
      </c>
      <c r="R114" s="4" t="str">
        <f>HYPERLINK("http://141.218.60.56/~jnz1568/getInfo.php?workbook=02_01.xlsx&amp;sheet=A0&amp;row=114&amp;col=18&amp;number=&amp;sourceID=12","")</f>
        <v/>
      </c>
      <c r="S114" s="4" t="str">
        <f>HYPERLINK("http://141.218.60.56/~jnz1568/getInfo.php?workbook=02_01.xlsx&amp;sheet=A0&amp;row=114&amp;col=19&amp;number=0&amp;sourceID=12","0")</f>
        <v>0</v>
      </c>
      <c r="T114" s="4" t="str">
        <f>HYPERLINK("http://141.218.60.56/~jnz1568/getInfo.php?workbook=02_01.xlsx&amp;sheet=A0&amp;row=114&amp;col=20&amp;number=&amp;sourceID=12","")</f>
        <v/>
      </c>
      <c r="U114" s="4" t="str">
        <f>HYPERLINK("http://141.218.60.56/~jnz1568/getInfo.php?workbook=02_01.xlsx&amp;sheet=A0&amp;row=114&amp;col=21&amp;number=&amp;sourceID=13","")</f>
        <v/>
      </c>
      <c r="V114" s="4" t="str">
        <f>HYPERLINK("http://141.218.60.56/~jnz1568/getInfo.php?workbook=02_01.xlsx&amp;sheet=A0&amp;row=114&amp;col=22&amp;number=&amp;sourceID=13","")</f>
        <v/>
      </c>
      <c r="W114" s="4" t="str">
        <f>HYPERLINK("http://141.218.60.56/~jnz1568/getInfo.php?workbook=02_01.xlsx&amp;sheet=A0&amp;row=114&amp;col=23&amp;number=&amp;sourceID=13","")</f>
        <v/>
      </c>
      <c r="X114" s="4" t="str">
        <f>HYPERLINK("http://141.218.60.56/~jnz1568/getInfo.php?workbook=02_01.xlsx&amp;sheet=A0&amp;row=114&amp;col=24&amp;number=&amp;sourceID=13","")</f>
        <v/>
      </c>
      <c r="Y114" s="4" t="str">
        <f>HYPERLINK("http://141.218.60.56/~jnz1568/getInfo.php?workbook=02_01.xlsx&amp;sheet=A0&amp;row=114&amp;col=25&amp;number=&amp;sourceID=13","")</f>
        <v/>
      </c>
      <c r="Z114" s="4" t="str">
        <f>HYPERLINK("http://141.218.60.56/~jnz1568/getInfo.php?workbook=02_01.xlsx&amp;sheet=A0&amp;row=114&amp;col=26&amp;number=&amp;sourceID=13","")</f>
        <v/>
      </c>
      <c r="AA114" s="4" t="str">
        <f>HYPERLINK("http://141.218.60.56/~jnz1568/getInfo.php?workbook=02_01.xlsx&amp;sheet=A0&amp;row=114&amp;col=27&amp;number=&amp;sourceID=20","")</f>
        <v/>
      </c>
    </row>
    <row r="115" spans="1:27">
      <c r="A115" s="3">
        <v>2</v>
      </c>
      <c r="B115" s="3">
        <v>1</v>
      </c>
      <c r="C115" s="3">
        <v>16</v>
      </c>
      <c r="D115" s="3">
        <v>13</v>
      </c>
      <c r="E115" s="3">
        <f>((1/(INDEX(E0!J$4:J$28,C115,1)-INDEX(E0!J$4:J$28,D115,1))))*100000000</f>
        <v>0</v>
      </c>
      <c r="F115" s="4" t="str">
        <f>HYPERLINK("http://141.218.60.56/~jnz1568/getInfo.php?workbook=02_01.xlsx&amp;sheet=A0&amp;row=115&amp;col=6&amp;number=&amp;sourceID=18","")</f>
        <v/>
      </c>
      <c r="G115" s="4" t="str">
        <f>HYPERLINK("http://141.218.60.56/~jnz1568/getInfo.php?workbook=02_01.xlsx&amp;sheet=A0&amp;row=115&amp;col=7&amp;number==&amp;sourceID=11","=")</f>
        <v>=</v>
      </c>
      <c r="H115" s="4" t="str">
        <f>HYPERLINK("http://141.218.60.56/~jnz1568/getInfo.php?workbook=02_01.xlsx&amp;sheet=A0&amp;row=115&amp;col=8&amp;number=&amp;sourceID=11","")</f>
        <v/>
      </c>
      <c r="I115" s="4" t="str">
        <f>HYPERLINK("http://141.218.60.56/~jnz1568/getInfo.php?workbook=02_01.xlsx&amp;sheet=A0&amp;row=115&amp;col=9&amp;number=0&amp;sourceID=11","0")</f>
        <v>0</v>
      </c>
      <c r="J115" s="4" t="str">
        <f>HYPERLINK("http://141.218.60.56/~jnz1568/getInfo.php?workbook=02_01.xlsx&amp;sheet=A0&amp;row=115&amp;col=10&amp;number=&amp;sourceID=11","")</f>
        <v/>
      </c>
      <c r="K115" s="4" t="str">
        <f>HYPERLINK("http://141.218.60.56/~jnz1568/getInfo.php?workbook=02_01.xlsx&amp;sheet=A0&amp;row=115&amp;col=11&amp;number=&amp;sourceID=11","")</f>
        <v/>
      </c>
      <c r="L115" s="4" t="str">
        <f>HYPERLINK("http://141.218.60.56/~jnz1568/getInfo.php?workbook=02_01.xlsx&amp;sheet=A0&amp;row=115&amp;col=12&amp;number=&amp;sourceID=11","")</f>
        <v/>
      </c>
      <c r="M115" s="4" t="str">
        <f>HYPERLINK("http://141.218.60.56/~jnz1568/getInfo.php?workbook=02_01.xlsx&amp;sheet=A0&amp;row=115&amp;col=13&amp;number=0&amp;sourceID=11","0")</f>
        <v>0</v>
      </c>
      <c r="N115" s="4" t="str">
        <f>HYPERLINK("http://141.218.60.56/~jnz1568/getInfo.php?workbook=02_01.xlsx&amp;sheet=A0&amp;row=115&amp;col=14&amp;number=0&amp;sourceID=12","0")</f>
        <v>0</v>
      </c>
      <c r="O115" s="4" t="str">
        <f>HYPERLINK("http://141.218.60.56/~jnz1568/getInfo.php?workbook=02_01.xlsx&amp;sheet=A0&amp;row=115&amp;col=15&amp;number=&amp;sourceID=12","")</f>
        <v/>
      </c>
      <c r="P115" s="4" t="str">
        <f>HYPERLINK("http://141.218.60.56/~jnz1568/getInfo.php?workbook=02_01.xlsx&amp;sheet=A0&amp;row=115&amp;col=16&amp;number=0&amp;sourceID=12","0")</f>
        <v>0</v>
      </c>
      <c r="Q115" s="4" t="str">
        <f>HYPERLINK("http://141.218.60.56/~jnz1568/getInfo.php?workbook=02_01.xlsx&amp;sheet=A0&amp;row=115&amp;col=17&amp;number=&amp;sourceID=12","")</f>
        <v/>
      </c>
      <c r="R115" s="4" t="str">
        <f>HYPERLINK("http://141.218.60.56/~jnz1568/getInfo.php?workbook=02_01.xlsx&amp;sheet=A0&amp;row=115&amp;col=18&amp;number=&amp;sourceID=12","")</f>
        <v/>
      </c>
      <c r="S115" s="4" t="str">
        <f>HYPERLINK("http://141.218.60.56/~jnz1568/getInfo.php?workbook=02_01.xlsx&amp;sheet=A0&amp;row=115&amp;col=19&amp;number=&amp;sourceID=12","")</f>
        <v/>
      </c>
      <c r="T115" s="4" t="str">
        <f>HYPERLINK("http://141.218.60.56/~jnz1568/getInfo.php?workbook=02_01.xlsx&amp;sheet=A0&amp;row=115&amp;col=20&amp;number=0&amp;sourceID=12","0")</f>
        <v>0</v>
      </c>
      <c r="U115" s="4" t="str">
        <f>HYPERLINK("http://141.218.60.56/~jnz1568/getInfo.php?workbook=02_01.xlsx&amp;sheet=A0&amp;row=115&amp;col=21&amp;number=&amp;sourceID=13","")</f>
        <v/>
      </c>
      <c r="V115" s="4" t="str">
        <f>HYPERLINK("http://141.218.60.56/~jnz1568/getInfo.php?workbook=02_01.xlsx&amp;sheet=A0&amp;row=115&amp;col=22&amp;number=&amp;sourceID=13","")</f>
        <v/>
      </c>
      <c r="W115" s="4" t="str">
        <f>HYPERLINK("http://141.218.60.56/~jnz1568/getInfo.php?workbook=02_01.xlsx&amp;sheet=A0&amp;row=115&amp;col=23&amp;number=&amp;sourceID=13","")</f>
        <v/>
      </c>
      <c r="X115" s="4" t="str">
        <f>HYPERLINK("http://141.218.60.56/~jnz1568/getInfo.php?workbook=02_01.xlsx&amp;sheet=A0&amp;row=115&amp;col=24&amp;number=&amp;sourceID=13","")</f>
        <v/>
      </c>
      <c r="Y115" s="4" t="str">
        <f>HYPERLINK("http://141.218.60.56/~jnz1568/getInfo.php?workbook=02_01.xlsx&amp;sheet=A0&amp;row=115&amp;col=25&amp;number=&amp;sourceID=13","")</f>
        <v/>
      </c>
      <c r="Z115" s="4" t="str">
        <f>HYPERLINK("http://141.218.60.56/~jnz1568/getInfo.php?workbook=02_01.xlsx&amp;sheet=A0&amp;row=115&amp;col=26&amp;number=&amp;sourceID=13","")</f>
        <v/>
      </c>
      <c r="AA115" s="4" t="str">
        <f>HYPERLINK("http://141.218.60.56/~jnz1568/getInfo.php?workbook=02_01.xlsx&amp;sheet=A0&amp;row=115&amp;col=27&amp;number=&amp;sourceID=20","")</f>
        <v/>
      </c>
    </row>
    <row r="116" spans="1:27">
      <c r="A116" s="3">
        <v>2</v>
      </c>
      <c r="B116" s="3">
        <v>1</v>
      </c>
      <c r="C116" s="3">
        <v>16</v>
      </c>
      <c r="D116" s="3">
        <v>14</v>
      </c>
      <c r="E116" s="3">
        <f>((1/(INDEX(E0!J$4:J$28,C116,1)-INDEX(E0!J$4:J$28,D116,1))))*100000000</f>
        <v>0</v>
      </c>
      <c r="F116" s="4" t="str">
        <f>HYPERLINK("http://141.218.60.56/~jnz1568/getInfo.php?workbook=02_01.xlsx&amp;sheet=A0&amp;row=116&amp;col=6&amp;number=&amp;sourceID=18","")</f>
        <v/>
      </c>
      <c r="G116" s="4" t="str">
        <f>HYPERLINK("http://141.218.60.56/~jnz1568/getInfo.php?workbook=02_01.xlsx&amp;sheet=A0&amp;row=116&amp;col=7&amp;number==&amp;sourceID=11","=")</f>
        <v>=</v>
      </c>
      <c r="H116" s="4" t="str">
        <f>HYPERLINK("http://141.218.60.56/~jnz1568/getInfo.php?workbook=02_01.xlsx&amp;sheet=A0&amp;row=116&amp;col=8&amp;number=&amp;sourceID=11","")</f>
        <v/>
      </c>
      <c r="I116" s="4" t="str">
        <f>HYPERLINK("http://141.218.60.56/~jnz1568/getInfo.php?workbook=02_01.xlsx&amp;sheet=A0&amp;row=116&amp;col=9&amp;number=0&amp;sourceID=11","0")</f>
        <v>0</v>
      </c>
      <c r="J116" s="4" t="str">
        <f>HYPERLINK("http://141.218.60.56/~jnz1568/getInfo.php?workbook=02_01.xlsx&amp;sheet=A0&amp;row=116&amp;col=10&amp;number=&amp;sourceID=11","")</f>
        <v/>
      </c>
      <c r="K116" s="4" t="str">
        <f>HYPERLINK("http://141.218.60.56/~jnz1568/getInfo.php?workbook=02_01.xlsx&amp;sheet=A0&amp;row=116&amp;col=11&amp;number=2.1e-14&amp;sourceID=11","2.1e-14")</f>
        <v>2.1e-14</v>
      </c>
      <c r="L116" s="4" t="str">
        <f>HYPERLINK("http://141.218.60.56/~jnz1568/getInfo.php?workbook=02_01.xlsx&amp;sheet=A0&amp;row=116&amp;col=12&amp;number=&amp;sourceID=11","")</f>
        <v/>
      </c>
      <c r="M116" s="4" t="str">
        <f>HYPERLINK("http://141.218.60.56/~jnz1568/getInfo.php?workbook=02_01.xlsx&amp;sheet=A0&amp;row=116&amp;col=13&amp;number=0&amp;sourceID=11","0")</f>
        <v>0</v>
      </c>
      <c r="N116" s="4" t="str">
        <f>HYPERLINK("http://141.218.60.56/~jnz1568/getInfo.php?workbook=02_01.xlsx&amp;sheet=A0&amp;row=116&amp;col=14&amp;number=2.1e-14&amp;sourceID=12","2.1e-14")</f>
        <v>2.1e-14</v>
      </c>
      <c r="O116" s="4" t="str">
        <f>HYPERLINK("http://141.218.60.56/~jnz1568/getInfo.php?workbook=02_01.xlsx&amp;sheet=A0&amp;row=116&amp;col=15&amp;number=&amp;sourceID=12","")</f>
        <v/>
      </c>
      <c r="P116" s="4" t="str">
        <f>HYPERLINK("http://141.218.60.56/~jnz1568/getInfo.php?workbook=02_01.xlsx&amp;sheet=A0&amp;row=116&amp;col=16&amp;number=0&amp;sourceID=12","0")</f>
        <v>0</v>
      </c>
      <c r="Q116" s="4" t="str">
        <f>HYPERLINK("http://141.218.60.56/~jnz1568/getInfo.php?workbook=02_01.xlsx&amp;sheet=A0&amp;row=116&amp;col=17&amp;number=&amp;sourceID=12","")</f>
        <v/>
      </c>
      <c r="R116" s="4" t="str">
        <f>HYPERLINK("http://141.218.60.56/~jnz1568/getInfo.php?workbook=02_01.xlsx&amp;sheet=A0&amp;row=116&amp;col=18&amp;number=2.1e-14&amp;sourceID=12","2.1e-14")</f>
        <v>2.1e-14</v>
      </c>
      <c r="S116" s="4" t="str">
        <f>HYPERLINK("http://141.218.60.56/~jnz1568/getInfo.php?workbook=02_01.xlsx&amp;sheet=A0&amp;row=116&amp;col=19&amp;number=&amp;sourceID=12","")</f>
        <v/>
      </c>
      <c r="T116" s="4" t="str">
        <f>HYPERLINK("http://141.218.60.56/~jnz1568/getInfo.php?workbook=02_01.xlsx&amp;sheet=A0&amp;row=116&amp;col=20&amp;number=0&amp;sourceID=12","0")</f>
        <v>0</v>
      </c>
      <c r="U116" s="4" t="str">
        <f>HYPERLINK("http://141.218.60.56/~jnz1568/getInfo.php?workbook=02_01.xlsx&amp;sheet=A0&amp;row=116&amp;col=21&amp;number=&amp;sourceID=13","")</f>
        <v/>
      </c>
      <c r="V116" s="4" t="str">
        <f>HYPERLINK("http://141.218.60.56/~jnz1568/getInfo.php?workbook=02_01.xlsx&amp;sheet=A0&amp;row=116&amp;col=22&amp;number=&amp;sourceID=13","")</f>
        <v/>
      </c>
      <c r="W116" s="4" t="str">
        <f>HYPERLINK("http://141.218.60.56/~jnz1568/getInfo.php?workbook=02_01.xlsx&amp;sheet=A0&amp;row=116&amp;col=23&amp;number=&amp;sourceID=13","")</f>
        <v/>
      </c>
      <c r="X116" s="4" t="str">
        <f>HYPERLINK("http://141.218.60.56/~jnz1568/getInfo.php?workbook=02_01.xlsx&amp;sheet=A0&amp;row=116&amp;col=24&amp;number=&amp;sourceID=13","")</f>
        <v/>
      </c>
      <c r="Y116" s="4" t="str">
        <f>HYPERLINK("http://141.218.60.56/~jnz1568/getInfo.php?workbook=02_01.xlsx&amp;sheet=A0&amp;row=116&amp;col=25&amp;number=&amp;sourceID=13","")</f>
        <v/>
      </c>
      <c r="Z116" s="4" t="str">
        <f>HYPERLINK("http://141.218.60.56/~jnz1568/getInfo.php?workbook=02_01.xlsx&amp;sheet=A0&amp;row=116&amp;col=26&amp;number=&amp;sourceID=13","")</f>
        <v/>
      </c>
      <c r="AA116" s="4" t="str">
        <f>HYPERLINK("http://141.218.60.56/~jnz1568/getInfo.php?workbook=02_01.xlsx&amp;sheet=A0&amp;row=116&amp;col=27&amp;number=&amp;sourceID=20","")</f>
        <v/>
      </c>
    </row>
    <row r="117" spans="1:27">
      <c r="A117" s="3">
        <v>2</v>
      </c>
      <c r="B117" s="3">
        <v>1</v>
      </c>
      <c r="C117" s="3">
        <v>16</v>
      </c>
      <c r="D117" s="3">
        <v>15</v>
      </c>
      <c r="E117" s="3">
        <f>((1/(INDEX(E0!J$4:J$28,C117,1)-INDEX(E0!J$4:J$28,D117,1))))*100000000</f>
        <v>0</v>
      </c>
      <c r="F117" s="4" t="str">
        <f>HYPERLINK("http://141.218.60.56/~jnz1568/getInfo.php?workbook=02_01.xlsx&amp;sheet=A0&amp;row=117&amp;col=6&amp;number=&amp;sourceID=18","")</f>
        <v/>
      </c>
      <c r="G117" s="4" t="str">
        <f>HYPERLINK("http://141.218.60.56/~jnz1568/getInfo.php?workbook=02_01.xlsx&amp;sheet=A0&amp;row=117&amp;col=7&amp;number==&amp;sourceID=11","=")</f>
        <v>=</v>
      </c>
      <c r="H117" s="4" t="str">
        <f>HYPERLINK("http://141.218.60.56/~jnz1568/getInfo.php?workbook=02_01.xlsx&amp;sheet=A0&amp;row=117&amp;col=8&amp;number=9.8701e-08&amp;sourceID=11","9.8701e-08")</f>
        <v>9.8701e-08</v>
      </c>
      <c r="I117" s="4" t="str">
        <f>HYPERLINK("http://141.218.60.56/~jnz1568/getInfo.php?workbook=02_01.xlsx&amp;sheet=A0&amp;row=117&amp;col=9&amp;number=&amp;sourceID=11","")</f>
        <v/>
      </c>
      <c r="J117" s="4" t="str">
        <f>HYPERLINK("http://141.218.60.56/~jnz1568/getInfo.php?workbook=02_01.xlsx&amp;sheet=A0&amp;row=117&amp;col=10&amp;number=0&amp;sourceID=11","0")</f>
        <v>0</v>
      </c>
      <c r="K117" s="4" t="str">
        <f>HYPERLINK("http://141.218.60.56/~jnz1568/getInfo.php?workbook=02_01.xlsx&amp;sheet=A0&amp;row=117&amp;col=11&amp;number=&amp;sourceID=11","")</f>
        <v/>
      </c>
      <c r="L117" s="4" t="str">
        <f>HYPERLINK("http://141.218.60.56/~jnz1568/getInfo.php?workbook=02_01.xlsx&amp;sheet=A0&amp;row=117&amp;col=12&amp;number=0&amp;sourceID=11","0")</f>
        <v>0</v>
      </c>
      <c r="M117" s="4" t="str">
        <f>HYPERLINK("http://141.218.60.56/~jnz1568/getInfo.php?workbook=02_01.xlsx&amp;sheet=A0&amp;row=117&amp;col=13&amp;number=&amp;sourceID=11","")</f>
        <v/>
      </c>
      <c r="N117" s="4" t="str">
        <f>HYPERLINK("http://141.218.60.56/~jnz1568/getInfo.php?workbook=02_01.xlsx&amp;sheet=A0&amp;row=117&amp;col=14&amp;number=9.874e-08&amp;sourceID=12","9.874e-08")</f>
        <v>9.874e-08</v>
      </c>
      <c r="O117" s="4" t="str">
        <f>HYPERLINK("http://141.218.60.56/~jnz1568/getInfo.php?workbook=02_01.xlsx&amp;sheet=A0&amp;row=117&amp;col=15&amp;number=9.874e-08&amp;sourceID=12","9.874e-08")</f>
        <v>9.874e-08</v>
      </c>
      <c r="P117" s="4" t="str">
        <f>HYPERLINK("http://141.218.60.56/~jnz1568/getInfo.php?workbook=02_01.xlsx&amp;sheet=A0&amp;row=117&amp;col=16&amp;number=&amp;sourceID=12","")</f>
        <v/>
      </c>
      <c r="Q117" s="4" t="str">
        <f>HYPERLINK("http://141.218.60.56/~jnz1568/getInfo.php?workbook=02_01.xlsx&amp;sheet=A0&amp;row=117&amp;col=17&amp;number=0&amp;sourceID=12","0")</f>
        <v>0</v>
      </c>
      <c r="R117" s="4" t="str">
        <f>HYPERLINK("http://141.218.60.56/~jnz1568/getInfo.php?workbook=02_01.xlsx&amp;sheet=A0&amp;row=117&amp;col=18&amp;number=&amp;sourceID=12","")</f>
        <v/>
      </c>
      <c r="S117" s="4" t="str">
        <f>HYPERLINK("http://141.218.60.56/~jnz1568/getInfo.php?workbook=02_01.xlsx&amp;sheet=A0&amp;row=117&amp;col=19&amp;number=0&amp;sourceID=12","0")</f>
        <v>0</v>
      </c>
      <c r="T117" s="4" t="str">
        <f>HYPERLINK("http://141.218.60.56/~jnz1568/getInfo.php?workbook=02_01.xlsx&amp;sheet=A0&amp;row=117&amp;col=20&amp;number=&amp;sourceID=12","")</f>
        <v/>
      </c>
      <c r="U117" s="4" t="str">
        <f>HYPERLINK("http://141.218.60.56/~jnz1568/getInfo.php?workbook=02_01.xlsx&amp;sheet=A0&amp;row=117&amp;col=21&amp;number=&amp;sourceID=13","")</f>
        <v/>
      </c>
      <c r="V117" s="4" t="str">
        <f>HYPERLINK("http://141.218.60.56/~jnz1568/getInfo.php?workbook=02_01.xlsx&amp;sheet=A0&amp;row=117&amp;col=22&amp;number=&amp;sourceID=13","")</f>
        <v/>
      </c>
      <c r="W117" s="4" t="str">
        <f>HYPERLINK("http://141.218.60.56/~jnz1568/getInfo.php?workbook=02_01.xlsx&amp;sheet=A0&amp;row=117&amp;col=23&amp;number=&amp;sourceID=13","")</f>
        <v/>
      </c>
      <c r="X117" s="4" t="str">
        <f>HYPERLINK("http://141.218.60.56/~jnz1568/getInfo.php?workbook=02_01.xlsx&amp;sheet=A0&amp;row=117&amp;col=24&amp;number=&amp;sourceID=13","")</f>
        <v/>
      </c>
      <c r="Y117" s="4" t="str">
        <f>HYPERLINK("http://141.218.60.56/~jnz1568/getInfo.php?workbook=02_01.xlsx&amp;sheet=A0&amp;row=117&amp;col=25&amp;number=&amp;sourceID=13","")</f>
        <v/>
      </c>
      <c r="Z117" s="4" t="str">
        <f>HYPERLINK("http://141.218.60.56/~jnz1568/getInfo.php?workbook=02_01.xlsx&amp;sheet=A0&amp;row=117&amp;col=26&amp;number=&amp;sourceID=13","")</f>
        <v/>
      </c>
      <c r="AA117" s="4" t="str">
        <f>HYPERLINK("http://141.218.60.56/~jnz1568/getInfo.php?workbook=02_01.xlsx&amp;sheet=A0&amp;row=117&amp;col=27&amp;number=&amp;sourceID=20","")</f>
        <v/>
      </c>
    </row>
    <row r="118" spans="1:27">
      <c r="A118" s="3">
        <v>2</v>
      </c>
      <c r="B118" s="3">
        <v>1</v>
      </c>
      <c r="C118" s="3">
        <v>17</v>
      </c>
      <c r="D118" s="3">
        <v>1</v>
      </c>
      <c r="E118" s="3">
        <f>((1/(INDEX(E0!J$4:J$28,C118,1)-INDEX(E0!J$4:J$28,D118,1))))*100000000</f>
        <v>0</v>
      </c>
      <c r="F118" s="4" t="str">
        <f>HYPERLINK("http://141.218.60.56/~jnz1568/getInfo.php?workbook=02_01.xlsx&amp;sheet=A0&amp;row=118&amp;col=6&amp;number=&amp;sourceID=18","")</f>
        <v/>
      </c>
      <c r="G118" s="4" t="str">
        <f>HYPERLINK("http://141.218.60.56/~jnz1568/getInfo.php?workbook=02_01.xlsx&amp;sheet=A0&amp;row=118&amp;col=7&amp;number==&amp;sourceID=11","=")</f>
        <v>=</v>
      </c>
      <c r="H118" s="4" t="str">
        <f>HYPERLINK("http://141.218.60.56/~jnz1568/getInfo.php?workbook=02_01.xlsx&amp;sheet=A0&amp;row=118&amp;col=8&amp;number=550190000&amp;sourceID=11","550190000")</f>
        <v>550190000</v>
      </c>
      <c r="I118" s="4" t="str">
        <f>HYPERLINK("http://141.218.60.56/~jnz1568/getInfo.php?workbook=02_01.xlsx&amp;sheet=A0&amp;row=118&amp;col=9&amp;number=&amp;sourceID=11","")</f>
        <v/>
      </c>
      <c r="J118" s="4" t="str">
        <f>HYPERLINK("http://141.218.60.56/~jnz1568/getInfo.php?workbook=02_01.xlsx&amp;sheet=A0&amp;row=118&amp;col=10&amp;number=&amp;sourceID=11","")</f>
        <v/>
      </c>
      <c r="K118" s="4" t="str">
        <f>HYPERLINK("http://141.218.60.56/~jnz1568/getInfo.php?workbook=02_01.xlsx&amp;sheet=A0&amp;row=118&amp;col=11&amp;number=&amp;sourceID=11","")</f>
        <v/>
      </c>
      <c r="L118" s="4" t="str">
        <f>HYPERLINK("http://141.218.60.56/~jnz1568/getInfo.php?workbook=02_01.xlsx&amp;sheet=A0&amp;row=118&amp;col=12&amp;number=&amp;sourceID=11","")</f>
        <v/>
      </c>
      <c r="M118" s="4" t="str">
        <f>HYPERLINK("http://141.218.60.56/~jnz1568/getInfo.php?workbook=02_01.xlsx&amp;sheet=A0&amp;row=118&amp;col=13&amp;number=&amp;sourceID=11","")</f>
        <v/>
      </c>
      <c r="N118" s="4" t="str">
        <f>HYPERLINK("http://141.218.60.56/~jnz1568/getInfo.php?workbook=02_01.xlsx&amp;sheet=A0&amp;row=118&amp;col=14&amp;number=550260000&amp;sourceID=12","550260000")</f>
        <v>550260000</v>
      </c>
      <c r="O118" s="4" t="str">
        <f>HYPERLINK("http://141.218.60.56/~jnz1568/getInfo.php?workbook=02_01.xlsx&amp;sheet=A0&amp;row=118&amp;col=15&amp;number=550260000&amp;sourceID=12","550260000")</f>
        <v>550260000</v>
      </c>
      <c r="P118" s="4" t="str">
        <f>HYPERLINK("http://141.218.60.56/~jnz1568/getInfo.php?workbook=02_01.xlsx&amp;sheet=A0&amp;row=118&amp;col=16&amp;number=&amp;sourceID=12","")</f>
        <v/>
      </c>
      <c r="Q118" s="4" t="str">
        <f>HYPERLINK("http://141.218.60.56/~jnz1568/getInfo.php?workbook=02_01.xlsx&amp;sheet=A0&amp;row=118&amp;col=17&amp;number=&amp;sourceID=12","")</f>
        <v/>
      </c>
      <c r="R118" s="4" t="str">
        <f>HYPERLINK("http://141.218.60.56/~jnz1568/getInfo.php?workbook=02_01.xlsx&amp;sheet=A0&amp;row=118&amp;col=18&amp;number=&amp;sourceID=12","")</f>
        <v/>
      </c>
      <c r="S118" s="4" t="str">
        <f>HYPERLINK("http://141.218.60.56/~jnz1568/getInfo.php?workbook=02_01.xlsx&amp;sheet=A0&amp;row=118&amp;col=19&amp;number=&amp;sourceID=12","")</f>
        <v/>
      </c>
      <c r="T118" s="4" t="str">
        <f>HYPERLINK("http://141.218.60.56/~jnz1568/getInfo.php?workbook=02_01.xlsx&amp;sheet=A0&amp;row=118&amp;col=20&amp;number=&amp;sourceID=12","")</f>
        <v/>
      </c>
      <c r="U118" s="4" t="str">
        <f>HYPERLINK("http://141.218.60.56/~jnz1568/getInfo.php?workbook=02_01.xlsx&amp;sheet=A0&amp;row=118&amp;col=21&amp;number=&amp;sourceID=13","")</f>
        <v/>
      </c>
      <c r="V118" s="4" t="str">
        <f>HYPERLINK("http://141.218.60.56/~jnz1568/getInfo.php?workbook=02_01.xlsx&amp;sheet=A0&amp;row=118&amp;col=22&amp;number=&amp;sourceID=13","")</f>
        <v/>
      </c>
      <c r="W118" s="4" t="str">
        <f>HYPERLINK("http://141.218.60.56/~jnz1568/getInfo.php?workbook=02_01.xlsx&amp;sheet=A0&amp;row=118&amp;col=23&amp;number=&amp;sourceID=13","")</f>
        <v/>
      </c>
      <c r="X118" s="4" t="str">
        <f>HYPERLINK("http://141.218.60.56/~jnz1568/getInfo.php?workbook=02_01.xlsx&amp;sheet=A0&amp;row=118&amp;col=24&amp;number=&amp;sourceID=13","")</f>
        <v/>
      </c>
      <c r="Y118" s="4" t="str">
        <f>HYPERLINK("http://141.218.60.56/~jnz1568/getInfo.php?workbook=02_01.xlsx&amp;sheet=A0&amp;row=118&amp;col=25&amp;number=&amp;sourceID=13","")</f>
        <v/>
      </c>
      <c r="Z118" s="4" t="str">
        <f>HYPERLINK("http://141.218.60.56/~jnz1568/getInfo.php?workbook=02_01.xlsx&amp;sheet=A0&amp;row=118&amp;col=26&amp;number=&amp;sourceID=13","")</f>
        <v/>
      </c>
      <c r="AA118" s="4" t="str">
        <f>HYPERLINK("http://141.218.60.56/~jnz1568/getInfo.php?workbook=02_01.xlsx&amp;sheet=A0&amp;row=118&amp;col=27&amp;number=&amp;sourceID=20","")</f>
        <v/>
      </c>
    </row>
    <row r="119" spans="1:27">
      <c r="A119" s="3">
        <v>2</v>
      </c>
      <c r="B119" s="3">
        <v>1</v>
      </c>
      <c r="C119" s="3">
        <v>17</v>
      </c>
      <c r="D119" s="3">
        <v>2</v>
      </c>
      <c r="E119" s="3">
        <f>((1/(INDEX(E0!J$4:J$28,C119,1)-INDEX(E0!J$4:J$28,D119,1))))*100000000</f>
        <v>0</v>
      </c>
      <c r="F119" s="4" t="str">
        <f>HYPERLINK("http://141.218.60.56/~jnz1568/getInfo.php?workbook=02_01.xlsx&amp;sheet=A0&amp;row=119&amp;col=6&amp;number=&amp;sourceID=18","")</f>
        <v/>
      </c>
      <c r="G119" s="4" t="str">
        <f>HYPERLINK("http://141.218.60.56/~jnz1568/getInfo.php?workbook=02_01.xlsx&amp;sheet=A0&amp;row=119&amp;col=7&amp;number==&amp;sourceID=11","=")</f>
        <v>=</v>
      </c>
      <c r="H119" s="4" t="str">
        <f>HYPERLINK("http://141.218.60.56/~jnz1568/getInfo.php?workbook=02_01.xlsx&amp;sheet=A0&amp;row=119&amp;col=8&amp;number=&amp;sourceID=11","")</f>
        <v/>
      </c>
      <c r="I119" s="4" t="str">
        <f>HYPERLINK("http://141.218.60.56/~jnz1568/getInfo.php?workbook=02_01.xlsx&amp;sheet=A0&amp;row=119&amp;col=9&amp;number=&amp;sourceID=11","")</f>
        <v/>
      </c>
      <c r="J119" s="4" t="str">
        <f>HYPERLINK("http://141.218.60.56/~jnz1568/getInfo.php?workbook=02_01.xlsx&amp;sheet=A0&amp;row=119&amp;col=10&amp;number=&amp;sourceID=11","")</f>
        <v/>
      </c>
      <c r="K119" s="4" t="str">
        <f>HYPERLINK("http://141.218.60.56/~jnz1568/getInfo.php?workbook=02_01.xlsx&amp;sheet=A0&amp;row=119&amp;col=11&amp;number=2.5327e-07&amp;sourceID=11","2.5327e-07")</f>
        <v>2.5327e-07</v>
      </c>
      <c r="L119" s="4" t="str">
        <f>HYPERLINK("http://141.218.60.56/~jnz1568/getInfo.php?workbook=02_01.xlsx&amp;sheet=A0&amp;row=119&amp;col=12&amp;number=&amp;sourceID=11","")</f>
        <v/>
      </c>
      <c r="M119" s="4" t="str">
        <f>HYPERLINK("http://141.218.60.56/~jnz1568/getInfo.php?workbook=02_01.xlsx&amp;sheet=A0&amp;row=119&amp;col=13&amp;number=&amp;sourceID=11","")</f>
        <v/>
      </c>
      <c r="N119" s="4" t="str">
        <f>HYPERLINK("http://141.218.60.56/~jnz1568/getInfo.php?workbook=02_01.xlsx&amp;sheet=A0&amp;row=119&amp;col=14&amp;number=2.6212e-07&amp;sourceID=12","2.6212e-07")</f>
        <v>2.6212e-07</v>
      </c>
      <c r="O119" s="4" t="str">
        <f>HYPERLINK("http://141.218.60.56/~jnz1568/getInfo.php?workbook=02_01.xlsx&amp;sheet=A0&amp;row=119&amp;col=15&amp;number=&amp;sourceID=12","")</f>
        <v/>
      </c>
      <c r="P119" s="4" t="str">
        <f>HYPERLINK("http://141.218.60.56/~jnz1568/getInfo.php?workbook=02_01.xlsx&amp;sheet=A0&amp;row=119&amp;col=16&amp;number=&amp;sourceID=12","")</f>
        <v/>
      </c>
      <c r="Q119" s="4" t="str">
        <f>HYPERLINK("http://141.218.60.56/~jnz1568/getInfo.php?workbook=02_01.xlsx&amp;sheet=A0&amp;row=119&amp;col=17&amp;number=&amp;sourceID=12","")</f>
        <v/>
      </c>
      <c r="R119" s="4" t="str">
        <f>HYPERLINK("http://141.218.60.56/~jnz1568/getInfo.php?workbook=02_01.xlsx&amp;sheet=A0&amp;row=119&amp;col=18&amp;number=2.6212e-07&amp;sourceID=12","2.6212e-07")</f>
        <v>2.6212e-07</v>
      </c>
      <c r="S119" s="4" t="str">
        <f>HYPERLINK("http://141.218.60.56/~jnz1568/getInfo.php?workbook=02_01.xlsx&amp;sheet=A0&amp;row=119&amp;col=19&amp;number=&amp;sourceID=12","")</f>
        <v/>
      </c>
      <c r="T119" s="4" t="str">
        <f>HYPERLINK("http://141.218.60.56/~jnz1568/getInfo.php?workbook=02_01.xlsx&amp;sheet=A0&amp;row=119&amp;col=20&amp;number=&amp;sourceID=12","")</f>
        <v/>
      </c>
      <c r="U119" s="4" t="str">
        <f>HYPERLINK("http://141.218.60.56/~jnz1568/getInfo.php?workbook=02_01.xlsx&amp;sheet=A0&amp;row=119&amp;col=21&amp;number=&amp;sourceID=13","")</f>
        <v/>
      </c>
      <c r="V119" s="4" t="str">
        <f>HYPERLINK("http://141.218.60.56/~jnz1568/getInfo.php?workbook=02_01.xlsx&amp;sheet=A0&amp;row=119&amp;col=22&amp;number=&amp;sourceID=13","")</f>
        <v/>
      </c>
      <c r="W119" s="4" t="str">
        <f>HYPERLINK("http://141.218.60.56/~jnz1568/getInfo.php?workbook=02_01.xlsx&amp;sheet=A0&amp;row=119&amp;col=23&amp;number=&amp;sourceID=13","")</f>
        <v/>
      </c>
      <c r="X119" s="4" t="str">
        <f>HYPERLINK("http://141.218.60.56/~jnz1568/getInfo.php?workbook=02_01.xlsx&amp;sheet=A0&amp;row=119&amp;col=24&amp;number=&amp;sourceID=13","")</f>
        <v/>
      </c>
      <c r="Y119" s="4" t="str">
        <f>HYPERLINK("http://141.218.60.56/~jnz1568/getInfo.php?workbook=02_01.xlsx&amp;sheet=A0&amp;row=119&amp;col=25&amp;number=&amp;sourceID=13","")</f>
        <v/>
      </c>
      <c r="Z119" s="4" t="str">
        <f>HYPERLINK("http://141.218.60.56/~jnz1568/getInfo.php?workbook=02_01.xlsx&amp;sheet=A0&amp;row=119&amp;col=26&amp;number=&amp;sourceID=13","")</f>
        <v/>
      </c>
      <c r="AA119" s="4" t="str">
        <f>HYPERLINK("http://141.218.60.56/~jnz1568/getInfo.php?workbook=02_01.xlsx&amp;sheet=A0&amp;row=119&amp;col=27&amp;number=&amp;sourceID=20","")</f>
        <v/>
      </c>
    </row>
    <row r="120" spans="1:27">
      <c r="A120" s="3">
        <v>2</v>
      </c>
      <c r="B120" s="3">
        <v>1</v>
      </c>
      <c r="C120" s="3">
        <v>17</v>
      </c>
      <c r="D120" s="3">
        <v>3</v>
      </c>
      <c r="E120" s="3">
        <f>((1/(INDEX(E0!J$4:J$28,C120,1)-INDEX(E0!J$4:J$28,D120,1))))*100000000</f>
        <v>0</v>
      </c>
      <c r="F120" s="4" t="str">
        <f>HYPERLINK("http://141.218.60.56/~jnz1568/getInfo.php?workbook=02_01.xlsx&amp;sheet=A0&amp;row=120&amp;col=6&amp;number=&amp;sourceID=18","")</f>
        <v/>
      </c>
      <c r="G120" s="4" t="str">
        <f>HYPERLINK("http://141.218.60.56/~jnz1568/getInfo.php?workbook=02_01.xlsx&amp;sheet=A0&amp;row=120&amp;col=7&amp;number==&amp;sourceID=11","=")</f>
        <v>=</v>
      </c>
      <c r="H120" s="4" t="str">
        <f>HYPERLINK("http://141.218.60.56/~jnz1568/getInfo.php?workbook=02_01.xlsx&amp;sheet=A0&amp;row=120&amp;col=8&amp;number=79213000&amp;sourceID=11","79213000")</f>
        <v>79213000</v>
      </c>
      <c r="I120" s="4" t="str">
        <f>HYPERLINK("http://141.218.60.56/~jnz1568/getInfo.php?workbook=02_01.xlsx&amp;sheet=A0&amp;row=120&amp;col=9&amp;number=&amp;sourceID=11","")</f>
        <v/>
      </c>
      <c r="J120" s="4" t="str">
        <f>HYPERLINK("http://141.218.60.56/~jnz1568/getInfo.php?workbook=02_01.xlsx&amp;sheet=A0&amp;row=120&amp;col=10&amp;number=&amp;sourceID=11","")</f>
        <v/>
      </c>
      <c r="K120" s="4" t="str">
        <f>HYPERLINK("http://141.218.60.56/~jnz1568/getInfo.php?workbook=02_01.xlsx&amp;sheet=A0&amp;row=120&amp;col=11&amp;number=&amp;sourceID=11","")</f>
        <v/>
      </c>
      <c r="L120" s="4" t="str">
        <f>HYPERLINK("http://141.218.60.56/~jnz1568/getInfo.php?workbook=02_01.xlsx&amp;sheet=A0&amp;row=120&amp;col=12&amp;number=&amp;sourceID=11","")</f>
        <v/>
      </c>
      <c r="M120" s="4" t="str">
        <f>HYPERLINK("http://141.218.60.56/~jnz1568/getInfo.php?workbook=02_01.xlsx&amp;sheet=A0&amp;row=120&amp;col=13&amp;number=&amp;sourceID=11","")</f>
        <v/>
      </c>
      <c r="N120" s="4" t="str">
        <f>HYPERLINK("http://141.218.60.56/~jnz1568/getInfo.php?workbook=02_01.xlsx&amp;sheet=A0&amp;row=120&amp;col=14&amp;number=79224000&amp;sourceID=12","79224000")</f>
        <v>79224000</v>
      </c>
      <c r="O120" s="4" t="str">
        <f>HYPERLINK("http://141.218.60.56/~jnz1568/getInfo.php?workbook=02_01.xlsx&amp;sheet=A0&amp;row=120&amp;col=15&amp;number=79224000&amp;sourceID=12","79224000")</f>
        <v>79224000</v>
      </c>
      <c r="P120" s="4" t="str">
        <f>HYPERLINK("http://141.218.60.56/~jnz1568/getInfo.php?workbook=02_01.xlsx&amp;sheet=A0&amp;row=120&amp;col=16&amp;number=&amp;sourceID=12","")</f>
        <v/>
      </c>
      <c r="Q120" s="4" t="str">
        <f>HYPERLINK("http://141.218.60.56/~jnz1568/getInfo.php?workbook=02_01.xlsx&amp;sheet=A0&amp;row=120&amp;col=17&amp;number=&amp;sourceID=12","")</f>
        <v/>
      </c>
      <c r="R120" s="4" t="str">
        <f>HYPERLINK("http://141.218.60.56/~jnz1568/getInfo.php?workbook=02_01.xlsx&amp;sheet=A0&amp;row=120&amp;col=18&amp;number=&amp;sourceID=12","")</f>
        <v/>
      </c>
      <c r="S120" s="4" t="str">
        <f>HYPERLINK("http://141.218.60.56/~jnz1568/getInfo.php?workbook=02_01.xlsx&amp;sheet=A0&amp;row=120&amp;col=19&amp;number=&amp;sourceID=12","")</f>
        <v/>
      </c>
      <c r="T120" s="4" t="str">
        <f>HYPERLINK("http://141.218.60.56/~jnz1568/getInfo.php?workbook=02_01.xlsx&amp;sheet=A0&amp;row=120&amp;col=20&amp;number=&amp;sourceID=12","")</f>
        <v/>
      </c>
      <c r="U120" s="4" t="str">
        <f>HYPERLINK("http://141.218.60.56/~jnz1568/getInfo.php?workbook=02_01.xlsx&amp;sheet=A0&amp;row=120&amp;col=21&amp;number=&amp;sourceID=13","")</f>
        <v/>
      </c>
      <c r="V120" s="4" t="str">
        <f>HYPERLINK("http://141.218.60.56/~jnz1568/getInfo.php?workbook=02_01.xlsx&amp;sheet=A0&amp;row=120&amp;col=22&amp;number=&amp;sourceID=13","")</f>
        <v/>
      </c>
      <c r="W120" s="4" t="str">
        <f>HYPERLINK("http://141.218.60.56/~jnz1568/getInfo.php?workbook=02_01.xlsx&amp;sheet=A0&amp;row=120&amp;col=23&amp;number=&amp;sourceID=13","")</f>
        <v/>
      </c>
      <c r="X120" s="4" t="str">
        <f>HYPERLINK("http://141.218.60.56/~jnz1568/getInfo.php?workbook=02_01.xlsx&amp;sheet=A0&amp;row=120&amp;col=24&amp;number=&amp;sourceID=13","")</f>
        <v/>
      </c>
      <c r="Y120" s="4" t="str">
        <f>HYPERLINK("http://141.218.60.56/~jnz1568/getInfo.php?workbook=02_01.xlsx&amp;sheet=A0&amp;row=120&amp;col=25&amp;number=&amp;sourceID=13","")</f>
        <v/>
      </c>
      <c r="Z120" s="4" t="str">
        <f>HYPERLINK("http://141.218.60.56/~jnz1568/getInfo.php?workbook=02_01.xlsx&amp;sheet=A0&amp;row=120&amp;col=26&amp;number=&amp;sourceID=13","")</f>
        <v/>
      </c>
      <c r="AA120" s="4" t="str">
        <f>HYPERLINK("http://141.218.60.56/~jnz1568/getInfo.php?workbook=02_01.xlsx&amp;sheet=A0&amp;row=120&amp;col=27&amp;number=&amp;sourceID=20","")</f>
        <v/>
      </c>
    </row>
    <row r="121" spans="1:27">
      <c r="A121" s="3">
        <v>2</v>
      </c>
      <c r="B121" s="3">
        <v>1</v>
      </c>
      <c r="C121" s="3">
        <v>17</v>
      </c>
      <c r="D121" s="3">
        <v>4</v>
      </c>
      <c r="E121" s="3">
        <f>((1/(INDEX(E0!J$4:J$28,C121,1)-INDEX(E0!J$4:J$28,D121,1))))*100000000</f>
        <v>0</v>
      </c>
      <c r="F121" s="4" t="str">
        <f>HYPERLINK("http://141.218.60.56/~jnz1568/getInfo.php?workbook=02_01.xlsx&amp;sheet=A0&amp;row=121&amp;col=6&amp;number=&amp;sourceID=18","")</f>
        <v/>
      </c>
      <c r="G121" s="4" t="str">
        <f>HYPERLINK("http://141.218.60.56/~jnz1568/getInfo.php?workbook=02_01.xlsx&amp;sheet=A0&amp;row=121&amp;col=7&amp;number==&amp;sourceID=11","=")</f>
        <v>=</v>
      </c>
      <c r="H121" s="4" t="str">
        <f>HYPERLINK("http://141.218.60.56/~jnz1568/getInfo.php?workbook=02_01.xlsx&amp;sheet=A0&amp;row=121&amp;col=8&amp;number=&amp;sourceID=11","")</f>
        <v/>
      </c>
      <c r="I121" s="4" t="str">
        <f>HYPERLINK("http://141.218.60.56/~jnz1568/getInfo.php?workbook=02_01.xlsx&amp;sheet=A0&amp;row=121&amp;col=9&amp;number=337.38&amp;sourceID=11","337.38")</f>
        <v>337.38</v>
      </c>
      <c r="J121" s="4" t="str">
        <f>HYPERLINK("http://141.218.60.56/~jnz1568/getInfo.php?workbook=02_01.xlsx&amp;sheet=A0&amp;row=121&amp;col=10&amp;number=&amp;sourceID=11","")</f>
        <v/>
      </c>
      <c r="K121" s="4" t="str">
        <f>HYPERLINK("http://141.218.60.56/~jnz1568/getInfo.php?workbook=02_01.xlsx&amp;sheet=A0&amp;row=121&amp;col=11&amp;number=4.4559e-06&amp;sourceID=11","4.4559e-06")</f>
        <v>4.4559e-06</v>
      </c>
      <c r="L121" s="4" t="str">
        <f>HYPERLINK("http://141.218.60.56/~jnz1568/getInfo.php?workbook=02_01.xlsx&amp;sheet=A0&amp;row=121&amp;col=12&amp;number=&amp;sourceID=11","")</f>
        <v/>
      </c>
      <c r="M121" s="4" t="str">
        <f>HYPERLINK("http://141.218.60.56/~jnz1568/getInfo.php?workbook=02_01.xlsx&amp;sheet=A0&amp;row=121&amp;col=13&amp;number=&amp;sourceID=11","")</f>
        <v/>
      </c>
      <c r="N121" s="4" t="str">
        <f>HYPERLINK("http://141.218.60.56/~jnz1568/getInfo.php?workbook=02_01.xlsx&amp;sheet=A0&amp;row=121&amp;col=14&amp;number=337.42&amp;sourceID=12","337.42")</f>
        <v>337.42</v>
      </c>
      <c r="O121" s="4" t="str">
        <f>HYPERLINK("http://141.218.60.56/~jnz1568/getInfo.php?workbook=02_01.xlsx&amp;sheet=A0&amp;row=121&amp;col=15&amp;number=&amp;sourceID=12","")</f>
        <v/>
      </c>
      <c r="P121" s="4" t="str">
        <f>HYPERLINK("http://141.218.60.56/~jnz1568/getInfo.php?workbook=02_01.xlsx&amp;sheet=A0&amp;row=121&amp;col=16&amp;number=337.42&amp;sourceID=12","337.42")</f>
        <v>337.42</v>
      </c>
      <c r="Q121" s="4" t="str">
        <f>HYPERLINK("http://141.218.60.56/~jnz1568/getInfo.php?workbook=02_01.xlsx&amp;sheet=A0&amp;row=121&amp;col=17&amp;number=&amp;sourceID=12","")</f>
        <v/>
      </c>
      <c r="R121" s="4" t="str">
        <f>HYPERLINK("http://141.218.60.56/~jnz1568/getInfo.php?workbook=02_01.xlsx&amp;sheet=A0&amp;row=121&amp;col=18&amp;number=4.4288e-06&amp;sourceID=12","4.4288e-06")</f>
        <v>4.4288e-06</v>
      </c>
      <c r="S121" s="4" t="str">
        <f>HYPERLINK("http://141.218.60.56/~jnz1568/getInfo.php?workbook=02_01.xlsx&amp;sheet=A0&amp;row=121&amp;col=19&amp;number=&amp;sourceID=12","")</f>
        <v/>
      </c>
      <c r="T121" s="4" t="str">
        <f>HYPERLINK("http://141.218.60.56/~jnz1568/getInfo.php?workbook=02_01.xlsx&amp;sheet=A0&amp;row=121&amp;col=20&amp;number=&amp;sourceID=12","")</f>
        <v/>
      </c>
      <c r="U121" s="4" t="str">
        <f>HYPERLINK("http://141.218.60.56/~jnz1568/getInfo.php?workbook=02_01.xlsx&amp;sheet=A0&amp;row=121&amp;col=21&amp;number=&amp;sourceID=13","")</f>
        <v/>
      </c>
      <c r="V121" s="4" t="str">
        <f>HYPERLINK("http://141.218.60.56/~jnz1568/getInfo.php?workbook=02_01.xlsx&amp;sheet=A0&amp;row=121&amp;col=22&amp;number=&amp;sourceID=13","")</f>
        <v/>
      </c>
      <c r="W121" s="4" t="str">
        <f>HYPERLINK("http://141.218.60.56/~jnz1568/getInfo.php?workbook=02_01.xlsx&amp;sheet=A0&amp;row=121&amp;col=23&amp;number=&amp;sourceID=13","")</f>
        <v/>
      </c>
      <c r="X121" s="4" t="str">
        <f>HYPERLINK("http://141.218.60.56/~jnz1568/getInfo.php?workbook=02_01.xlsx&amp;sheet=A0&amp;row=121&amp;col=24&amp;number=&amp;sourceID=13","")</f>
        <v/>
      </c>
      <c r="Y121" s="4" t="str">
        <f>HYPERLINK("http://141.218.60.56/~jnz1568/getInfo.php?workbook=02_01.xlsx&amp;sheet=A0&amp;row=121&amp;col=25&amp;number=&amp;sourceID=13","")</f>
        <v/>
      </c>
      <c r="Z121" s="4" t="str">
        <f>HYPERLINK("http://141.218.60.56/~jnz1568/getInfo.php?workbook=02_01.xlsx&amp;sheet=A0&amp;row=121&amp;col=26&amp;number=&amp;sourceID=13","")</f>
        <v/>
      </c>
      <c r="AA121" s="4" t="str">
        <f>HYPERLINK("http://141.218.60.56/~jnz1568/getInfo.php?workbook=02_01.xlsx&amp;sheet=A0&amp;row=121&amp;col=27&amp;number=&amp;sourceID=20","")</f>
        <v/>
      </c>
    </row>
    <row r="122" spans="1:27">
      <c r="A122" s="3">
        <v>2</v>
      </c>
      <c r="B122" s="3">
        <v>1</v>
      </c>
      <c r="C122" s="3">
        <v>17</v>
      </c>
      <c r="D122" s="3">
        <v>5</v>
      </c>
      <c r="E122" s="3">
        <f>((1/(INDEX(E0!J$4:J$28,C122,1)-INDEX(E0!J$4:J$28,D122,1))))*100000000</f>
        <v>0</v>
      </c>
      <c r="F122" s="4" t="str">
        <f>HYPERLINK("http://141.218.60.56/~jnz1568/getInfo.php?workbook=02_01.xlsx&amp;sheet=A0&amp;row=122&amp;col=6&amp;number=&amp;sourceID=18","")</f>
        <v/>
      </c>
      <c r="G122" s="4" t="str">
        <f>HYPERLINK("http://141.218.60.56/~jnz1568/getInfo.php?workbook=02_01.xlsx&amp;sheet=A0&amp;row=122&amp;col=7&amp;number==&amp;sourceID=11","=")</f>
        <v>=</v>
      </c>
      <c r="H122" s="4" t="str">
        <f>HYPERLINK("http://141.218.60.56/~jnz1568/getInfo.php?workbook=02_01.xlsx&amp;sheet=A0&amp;row=122&amp;col=8&amp;number=&amp;sourceID=11","")</f>
        <v/>
      </c>
      <c r="I122" s="4" t="str">
        <f>HYPERLINK("http://141.218.60.56/~jnz1568/getInfo.php?workbook=02_01.xlsx&amp;sheet=A0&amp;row=122&amp;col=9&amp;number=&amp;sourceID=11","")</f>
        <v/>
      </c>
      <c r="J122" s="4" t="str">
        <f>HYPERLINK("http://141.218.60.56/~jnz1568/getInfo.php?workbook=02_01.xlsx&amp;sheet=A0&amp;row=122&amp;col=10&amp;number=&amp;sourceID=11","")</f>
        <v/>
      </c>
      <c r="K122" s="4" t="str">
        <f>HYPERLINK("http://141.218.60.56/~jnz1568/getInfo.php?workbook=02_01.xlsx&amp;sheet=A0&amp;row=122&amp;col=11&amp;number=7.8653e-09&amp;sourceID=11","7.8653e-09")</f>
        <v>7.8653e-09</v>
      </c>
      <c r="L122" s="4" t="str">
        <f>HYPERLINK("http://141.218.60.56/~jnz1568/getInfo.php?workbook=02_01.xlsx&amp;sheet=A0&amp;row=122&amp;col=12&amp;number=&amp;sourceID=11","")</f>
        <v/>
      </c>
      <c r="M122" s="4" t="str">
        <f>HYPERLINK("http://141.218.60.56/~jnz1568/getInfo.php?workbook=02_01.xlsx&amp;sheet=A0&amp;row=122&amp;col=13&amp;number=&amp;sourceID=11","")</f>
        <v/>
      </c>
      <c r="N122" s="4" t="str">
        <f>HYPERLINK("http://141.218.60.56/~jnz1568/getInfo.php?workbook=02_01.xlsx&amp;sheet=A0&amp;row=122&amp;col=14&amp;number=7.8667e-09&amp;sourceID=12","7.8667e-09")</f>
        <v>7.8667e-09</v>
      </c>
      <c r="O122" s="4" t="str">
        <f>HYPERLINK("http://141.218.60.56/~jnz1568/getInfo.php?workbook=02_01.xlsx&amp;sheet=A0&amp;row=122&amp;col=15&amp;number=&amp;sourceID=12","")</f>
        <v/>
      </c>
      <c r="P122" s="4" t="str">
        <f>HYPERLINK("http://141.218.60.56/~jnz1568/getInfo.php?workbook=02_01.xlsx&amp;sheet=A0&amp;row=122&amp;col=16&amp;number=&amp;sourceID=12","")</f>
        <v/>
      </c>
      <c r="Q122" s="4" t="str">
        <f>HYPERLINK("http://141.218.60.56/~jnz1568/getInfo.php?workbook=02_01.xlsx&amp;sheet=A0&amp;row=122&amp;col=17&amp;number=&amp;sourceID=12","")</f>
        <v/>
      </c>
      <c r="R122" s="4" t="str">
        <f>HYPERLINK("http://141.218.60.56/~jnz1568/getInfo.php?workbook=02_01.xlsx&amp;sheet=A0&amp;row=122&amp;col=18&amp;number=7.8667e-09&amp;sourceID=12","7.8667e-09")</f>
        <v>7.8667e-09</v>
      </c>
      <c r="S122" s="4" t="str">
        <f>HYPERLINK("http://141.218.60.56/~jnz1568/getInfo.php?workbook=02_01.xlsx&amp;sheet=A0&amp;row=122&amp;col=19&amp;number=&amp;sourceID=12","")</f>
        <v/>
      </c>
      <c r="T122" s="4" t="str">
        <f>HYPERLINK("http://141.218.60.56/~jnz1568/getInfo.php?workbook=02_01.xlsx&amp;sheet=A0&amp;row=122&amp;col=20&amp;number=&amp;sourceID=12","")</f>
        <v/>
      </c>
      <c r="U122" s="4" t="str">
        <f>HYPERLINK("http://141.218.60.56/~jnz1568/getInfo.php?workbook=02_01.xlsx&amp;sheet=A0&amp;row=122&amp;col=21&amp;number=&amp;sourceID=13","")</f>
        <v/>
      </c>
      <c r="V122" s="4" t="str">
        <f>HYPERLINK("http://141.218.60.56/~jnz1568/getInfo.php?workbook=02_01.xlsx&amp;sheet=A0&amp;row=122&amp;col=22&amp;number=&amp;sourceID=13","")</f>
        <v/>
      </c>
      <c r="W122" s="4" t="str">
        <f>HYPERLINK("http://141.218.60.56/~jnz1568/getInfo.php?workbook=02_01.xlsx&amp;sheet=A0&amp;row=122&amp;col=23&amp;number=&amp;sourceID=13","")</f>
        <v/>
      </c>
      <c r="X122" s="4" t="str">
        <f>HYPERLINK("http://141.218.60.56/~jnz1568/getInfo.php?workbook=02_01.xlsx&amp;sheet=A0&amp;row=122&amp;col=24&amp;number=&amp;sourceID=13","")</f>
        <v/>
      </c>
      <c r="Y122" s="4" t="str">
        <f>HYPERLINK("http://141.218.60.56/~jnz1568/getInfo.php?workbook=02_01.xlsx&amp;sheet=A0&amp;row=122&amp;col=25&amp;number=&amp;sourceID=13","")</f>
        <v/>
      </c>
      <c r="Z122" s="4" t="str">
        <f>HYPERLINK("http://141.218.60.56/~jnz1568/getInfo.php?workbook=02_01.xlsx&amp;sheet=A0&amp;row=122&amp;col=26&amp;number=&amp;sourceID=13","")</f>
        <v/>
      </c>
      <c r="AA122" s="4" t="str">
        <f>HYPERLINK("http://141.218.60.56/~jnz1568/getInfo.php?workbook=02_01.xlsx&amp;sheet=A0&amp;row=122&amp;col=27&amp;number=&amp;sourceID=20","")</f>
        <v/>
      </c>
    </row>
    <row r="123" spans="1:27">
      <c r="A123" s="3">
        <v>2</v>
      </c>
      <c r="B123" s="3">
        <v>1</v>
      </c>
      <c r="C123" s="3">
        <v>17</v>
      </c>
      <c r="D123" s="3">
        <v>6</v>
      </c>
      <c r="E123" s="3">
        <f>((1/(INDEX(E0!J$4:J$28,C123,1)-INDEX(E0!J$4:J$28,D123,1))))*100000000</f>
        <v>0</v>
      </c>
      <c r="F123" s="4" t="str">
        <f>HYPERLINK("http://141.218.60.56/~jnz1568/getInfo.php?workbook=02_01.xlsx&amp;sheet=A0&amp;row=123&amp;col=6&amp;number=&amp;sourceID=18","")</f>
        <v/>
      </c>
      <c r="G123" s="4" t="str">
        <f>HYPERLINK("http://141.218.60.56/~jnz1568/getInfo.php?workbook=02_01.xlsx&amp;sheet=A0&amp;row=123&amp;col=7&amp;number==&amp;sourceID=11","=")</f>
        <v>=</v>
      </c>
      <c r="H123" s="4" t="str">
        <f>HYPERLINK("http://141.218.60.56/~jnz1568/getInfo.php?workbook=02_01.xlsx&amp;sheet=A0&amp;row=123&amp;col=8&amp;number=26217000&amp;sourceID=11","26217000")</f>
        <v>26217000</v>
      </c>
      <c r="I123" s="4" t="str">
        <f>HYPERLINK("http://141.218.60.56/~jnz1568/getInfo.php?workbook=02_01.xlsx&amp;sheet=A0&amp;row=123&amp;col=9&amp;number=&amp;sourceID=11","")</f>
        <v/>
      </c>
      <c r="J123" s="4" t="str">
        <f>HYPERLINK("http://141.218.60.56/~jnz1568/getInfo.php?workbook=02_01.xlsx&amp;sheet=A0&amp;row=123&amp;col=10&amp;number=&amp;sourceID=11","")</f>
        <v/>
      </c>
      <c r="K123" s="4" t="str">
        <f>HYPERLINK("http://141.218.60.56/~jnz1568/getInfo.php?workbook=02_01.xlsx&amp;sheet=A0&amp;row=123&amp;col=11&amp;number=&amp;sourceID=11","")</f>
        <v/>
      </c>
      <c r="L123" s="4" t="str">
        <f>HYPERLINK("http://141.218.60.56/~jnz1568/getInfo.php?workbook=02_01.xlsx&amp;sheet=A0&amp;row=123&amp;col=12&amp;number=&amp;sourceID=11","")</f>
        <v/>
      </c>
      <c r="M123" s="4" t="str">
        <f>HYPERLINK("http://141.218.60.56/~jnz1568/getInfo.php?workbook=02_01.xlsx&amp;sheet=A0&amp;row=123&amp;col=13&amp;number=&amp;sourceID=11","")</f>
        <v/>
      </c>
      <c r="N123" s="4" t="str">
        <f>HYPERLINK("http://141.218.60.56/~jnz1568/getInfo.php?workbook=02_01.xlsx&amp;sheet=A0&amp;row=123&amp;col=14&amp;number=26221000&amp;sourceID=12","26221000")</f>
        <v>26221000</v>
      </c>
      <c r="O123" s="4" t="str">
        <f>HYPERLINK("http://141.218.60.56/~jnz1568/getInfo.php?workbook=02_01.xlsx&amp;sheet=A0&amp;row=123&amp;col=15&amp;number=26221000&amp;sourceID=12","26221000")</f>
        <v>26221000</v>
      </c>
      <c r="P123" s="4" t="str">
        <f>HYPERLINK("http://141.218.60.56/~jnz1568/getInfo.php?workbook=02_01.xlsx&amp;sheet=A0&amp;row=123&amp;col=16&amp;number=&amp;sourceID=12","")</f>
        <v/>
      </c>
      <c r="Q123" s="4" t="str">
        <f>HYPERLINK("http://141.218.60.56/~jnz1568/getInfo.php?workbook=02_01.xlsx&amp;sheet=A0&amp;row=123&amp;col=17&amp;number=&amp;sourceID=12","")</f>
        <v/>
      </c>
      <c r="R123" s="4" t="str">
        <f>HYPERLINK("http://141.218.60.56/~jnz1568/getInfo.php?workbook=02_01.xlsx&amp;sheet=A0&amp;row=123&amp;col=18&amp;number=&amp;sourceID=12","")</f>
        <v/>
      </c>
      <c r="S123" s="4" t="str">
        <f>HYPERLINK("http://141.218.60.56/~jnz1568/getInfo.php?workbook=02_01.xlsx&amp;sheet=A0&amp;row=123&amp;col=19&amp;number=&amp;sourceID=12","")</f>
        <v/>
      </c>
      <c r="T123" s="4" t="str">
        <f>HYPERLINK("http://141.218.60.56/~jnz1568/getInfo.php?workbook=02_01.xlsx&amp;sheet=A0&amp;row=123&amp;col=20&amp;number=&amp;sourceID=12","")</f>
        <v/>
      </c>
      <c r="U123" s="4" t="str">
        <f>HYPERLINK("http://141.218.60.56/~jnz1568/getInfo.php?workbook=02_01.xlsx&amp;sheet=A0&amp;row=123&amp;col=21&amp;number=&amp;sourceID=13","")</f>
        <v/>
      </c>
      <c r="V123" s="4" t="str">
        <f>HYPERLINK("http://141.218.60.56/~jnz1568/getInfo.php?workbook=02_01.xlsx&amp;sheet=A0&amp;row=123&amp;col=22&amp;number=&amp;sourceID=13","")</f>
        <v/>
      </c>
      <c r="W123" s="4" t="str">
        <f>HYPERLINK("http://141.218.60.56/~jnz1568/getInfo.php?workbook=02_01.xlsx&amp;sheet=A0&amp;row=123&amp;col=23&amp;number=&amp;sourceID=13","")</f>
        <v/>
      </c>
      <c r="X123" s="4" t="str">
        <f>HYPERLINK("http://141.218.60.56/~jnz1568/getInfo.php?workbook=02_01.xlsx&amp;sheet=A0&amp;row=123&amp;col=24&amp;number=&amp;sourceID=13","")</f>
        <v/>
      </c>
      <c r="Y123" s="4" t="str">
        <f>HYPERLINK("http://141.218.60.56/~jnz1568/getInfo.php?workbook=02_01.xlsx&amp;sheet=A0&amp;row=123&amp;col=25&amp;number=&amp;sourceID=13","")</f>
        <v/>
      </c>
      <c r="Z123" s="4" t="str">
        <f>HYPERLINK("http://141.218.60.56/~jnz1568/getInfo.php?workbook=02_01.xlsx&amp;sheet=A0&amp;row=123&amp;col=26&amp;number=&amp;sourceID=13","")</f>
        <v/>
      </c>
      <c r="AA123" s="4" t="str">
        <f>HYPERLINK("http://141.218.60.56/~jnz1568/getInfo.php?workbook=02_01.xlsx&amp;sheet=A0&amp;row=123&amp;col=27&amp;number=&amp;sourceID=20","")</f>
        <v/>
      </c>
    </row>
    <row r="124" spans="1:27">
      <c r="A124" s="3">
        <v>2</v>
      </c>
      <c r="B124" s="3">
        <v>1</v>
      </c>
      <c r="C124" s="3">
        <v>17</v>
      </c>
      <c r="D124" s="3">
        <v>7</v>
      </c>
      <c r="E124" s="3">
        <f>((1/(INDEX(E0!J$4:J$28,C124,1)-INDEX(E0!J$4:J$28,D124,1))))*100000000</f>
        <v>0</v>
      </c>
      <c r="F124" s="4" t="str">
        <f>HYPERLINK("http://141.218.60.56/~jnz1568/getInfo.php?workbook=02_01.xlsx&amp;sheet=A0&amp;row=124&amp;col=6&amp;number=&amp;sourceID=18","")</f>
        <v/>
      </c>
      <c r="G124" s="4" t="str">
        <f>HYPERLINK("http://141.218.60.56/~jnz1568/getInfo.php?workbook=02_01.xlsx&amp;sheet=A0&amp;row=124&amp;col=7&amp;number==&amp;sourceID=11","=")</f>
        <v>=</v>
      </c>
      <c r="H124" s="4" t="str">
        <f>HYPERLINK("http://141.218.60.56/~jnz1568/getInfo.php?workbook=02_01.xlsx&amp;sheet=A0&amp;row=124&amp;col=8&amp;number=2395100&amp;sourceID=11","2395100")</f>
        <v>2395100</v>
      </c>
      <c r="I124" s="4" t="str">
        <f>HYPERLINK("http://141.218.60.56/~jnz1568/getInfo.php?workbook=02_01.xlsx&amp;sheet=A0&amp;row=124&amp;col=9&amp;number=&amp;sourceID=11","")</f>
        <v/>
      </c>
      <c r="J124" s="4" t="str">
        <f>HYPERLINK("http://141.218.60.56/~jnz1568/getInfo.php?workbook=02_01.xlsx&amp;sheet=A0&amp;row=124&amp;col=10&amp;number=&amp;sourceID=11","")</f>
        <v/>
      </c>
      <c r="K124" s="4" t="str">
        <f>HYPERLINK("http://141.218.60.56/~jnz1568/getInfo.php?workbook=02_01.xlsx&amp;sheet=A0&amp;row=124&amp;col=11&amp;number=&amp;sourceID=11","")</f>
        <v/>
      </c>
      <c r="L124" s="4" t="str">
        <f>HYPERLINK("http://141.218.60.56/~jnz1568/getInfo.php?workbook=02_01.xlsx&amp;sheet=A0&amp;row=124&amp;col=12&amp;number=1.0304e-06&amp;sourceID=11","1.0304e-06")</f>
        <v>1.0304e-06</v>
      </c>
      <c r="M124" s="4" t="str">
        <f>HYPERLINK("http://141.218.60.56/~jnz1568/getInfo.php?workbook=02_01.xlsx&amp;sheet=A0&amp;row=124&amp;col=13&amp;number=&amp;sourceID=11","")</f>
        <v/>
      </c>
      <c r="N124" s="4" t="str">
        <f>HYPERLINK("http://141.218.60.56/~jnz1568/getInfo.php?workbook=02_01.xlsx&amp;sheet=A0&amp;row=124&amp;col=14&amp;number=2395400&amp;sourceID=12","2395400")</f>
        <v>2395400</v>
      </c>
      <c r="O124" s="4" t="str">
        <f>HYPERLINK("http://141.218.60.56/~jnz1568/getInfo.php?workbook=02_01.xlsx&amp;sheet=A0&amp;row=124&amp;col=15&amp;number=2395400&amp;sourceID=12","2395400")</f>
        <v>2395400</v>
      </c>
      <c r="P124" s="4" t="str">
        <f>HYPERLINK("http://141.218.60.56/~jnz1568/getInfo.php?workbook=02_01.xlsx&amp;sheet=A0&amp;row=124&amp;col=16&amp;number=&amp;sourceID=12","")</f>
        <v/>
      </c>
      <c r="Q124" s="4" t="str">
        <f>HYPERLINK("http://141.218.60.56/~jnz1568/getInfo.php?workbook=02_01.xlsx&amp;sheet=A0&amp;row=124&amp;col=17&amp;number=&amp;sourceID=12","")</f>
        <v/>
      </c>
      <c r="R124" s="4" t="str">
        <f>HYPERLINK("http://141.218.60.56/~jnz1568/getInfo.php?workbook=02_01.xlsx&amp;sheet=A0&amp;row=124&amp;col=18&amp;number=&amp;sourceID=12","")</f>
        <v/>
      </c>
      <c r="S124" s="4" t="str">
        <f>HYPERLINK("http://141.218.60.56/~jnz1568/getInfo.php?workbook=02_01.xlsx&amp;sheet=A0&amp;row=124&amp;col=19&amp;number=1.0305e-06&amp;sourceID=12","1.0305e-06")</f>
        <v>1.0305e-06</v>
      </c>
      <c r="T124" s="4" t="str">
        <f>HYPERLINK("http://141.218.60.56/~jnz1568/getInfo.php?workbook=02_01.xlsx&amp;sheet=A0&amp;row=124&amp;col=20&amp;number=&amp;sourceID=12","")</f>
        <v/>
      </c>
      <c r="U124" s="4" t="str">
        <f>HYPERLINK("http://141.218.60.56/~jnz1568/getInfo.php?workbook=02_01.xlsx&amp;sheet=A0&amp;row=124&amp;col=21&amp;number=&amp;sourceID=13","")</f>
        <v/>
      </c>
      <c r="V124" s="4" t="str">
        <f>HYPERLINK("http://141.218.60.56/~jnz1568/getInfo.php?workbook=02_01.xlsx&amp;sheet=A0&amp;row=124&amp;col=22&amp;number=&amp;sourceID=13","")</f>
        <v/>
      </c>
      <c r="W124" s="4" t="str">
        <f>HYPERLINK("http://141.218.60.56/~jnz1568/getInfo.php?workbook=02_01.xlsx&amp;sheet=A0&amp;row=124&amp;col=23&amp;number=&amp;sourceID=13","")</f>
        <v/>
      </c>
      <c r="X124" s="4" t="str">
        <f>HYPERLINK("http://141.218.60.56/~jnz1568/getInfo.php?workbook=02_01.xlsx&amp;sheet=A0&amp;row=124&amp;col=24&amp;number=&amp;sourceID=13","")</f>
        <v/>
      </c>
      <c r="Y124" s="4" t="str">
        <f>HYPERLINK("http://141.218.60.56/~jnz1568/getInfo.php?workbook=02_01.xlsx&amp;sheet=A0&amp;row=124&amp;col=25&amp;number=&amp;sourceID=13","")</f>
        <v/>
      </c>
      <c r="Z124" s="4" t="str">
        <f>HYPERLINK("http://141.218.60.56/~jnz1568/getInfo.php?workbook=02_01.xlsx&amp;sheet=A0&amp;row=124&amp;col=26&amp;number=&amp;sourceID=13","")</f>
        <v/>
      </c>
      <c r="AA124" s="4" t="str">
        <f>HYPERLINK("http://141.218.60.56/~jnz1568/getInfo.php?workbook=02_01.xlsx&amp;sheet=A0&amp;row=124&amp;col=27&amp;number=&amp;sourceID=20","")</f>
        <v/>
      </c>
    </row>
    <row r="125" spans="1:27">
      <c r="A125" s="3">
        <v>2</v>
      </c>
      <c r="B125" s="3">
        <v>1</v>
      </c>
      <c r="C125" s="3">
        <v>17</v>
      </c>
      <c r="D125" s="3">
        <v>8</v>
      </c>
      <c r="E125" s="3">
        <f>((1/(INDEX(E0!J$4:J$28,C125,1)-INDEX(E0!J$4:J$28,D125,1))))*100000000</f>
        <v>0</v>
      </c>
      <c r="F125" s="4" t="str">
        <f>HYPERLINK("http://141.218.60.56/~jnz1568/getInfo.php?workbook=02_01.xlsx&amp;sheet=A0&amp;row=125&amp;col=6&amp;number=&amp;sourceID=18","")</f>
        <v/>
      </c>
      <c r="G125" s="4" t="str">
        <f>HYPERLINK("http://141.218.60.56/~jnz1568/getInfo.php?workbook=02_01.xlsx&amp;sheet=A0&amp;row=125&amp;col=7&amp;number==&amp;sourceID=11","=")</f>
        <v>=</v>
      </c>
      <c r="H125" s="4" t="str">
        <f>HYPERLINK("http://141.218.60.56/~jnz1568/getInfo.php?workbook=02_01.xlsx&amp;sheet=A0&amp;row=125&amp;col=8&amp;number=&amp;sourceID=11","")</f>
        <v/>
      </c>
      <c r="I125" s="4" t="str">
        <f>HYPERLINK("http://141.218.60.56/~jnz1568/getInfo.php?workbook=02_01.xlsx&amp;sheet=A0&amp;row=125&amp;col=9&amp;number=91.414&amp;sourceID=11","91.414")</f>
        <v>91.414</v>
      </c>
      <c r="J125" s="4" t="str">
        <f>HYPERLINK("http://141.218.60.56/~jnz1568/getInfo.php?workbook=02_01.xlsx&amp;sheet=A0&amp;row=125&amp;col=10&amp;number=&amp;sourceID=11","")</f>
        <v/>
      </c>
      <c r="K125" s="4" t="str">
        <f>HYPERLINK("http://141.218.60.56/~jnz1568/getInfo.php?workbook=02_01.xlsx&amp;sheet=A0&amp;row=125&amp;col=11&amp;number=4.2522e-07&amp;sourceID=11","4.2522e-07")</f>
        <v>4.2522e-07</v>
      </c>
      <c r="L125" s="4" t="str">
        <f>HYPERLINK("http://141.218.60.56/~jnz1568/getInfo.php?workbook=02_01.xlsx&amp;sheet=A0&amp;row=125&amp;col=12&amp;number=&amp;sourceID=11","")</f>
        <v/>
      </c>
      <c r="M125" s="4" t="str">
        <f>HYPERLINK("http://141.218.60.56/~jnz1568/getInfo.php?workbook=02_01.xlsx&amp;sheet=A0&amp;row=125&amp;col=13&amp;number=&amp;sourceID=11","")</f>
        <v/>
      </c>
      <c r="N125" s="4" t="str">
        <f>HYPERLINK("http://141.218.60.56/~jnz1568/getInfo.php?workbook=02_01.xlsx&amp;sheet=A0&amp;row=125&amp;col=14&amp;number=91.427&amp;sourceID=12","91.427")</f>
        <v>91.427</v>
      </c>
      <c r="O125" s="4" t="str">
        <f>HYPERLINK("http://141.218.60.56/~jnz1568/getInfo.php?workbook=02_01.xlsx&amp;sheet=A0&amp;row=125&amp;col=15&amp;number=&amp;sourceID=12","")</f>
        <v/>
      </c>
      <c r="P125" s="4" t="str">
        <f>HYPERLINK("http://141.218.60.56/~jnz1568/getInfo.php?workbook=02_01.xlsx&amp;sheet=A0&amp;row=125&amp;col=16&amp;number=91.427&amp;sourceID=12","91.427")</f>
        <v>91.427</v>
      </c>
      <c r="Q125" s="4" t="str">
        <f>HYPERLINK("http://141.218.60.56/~jnz1568/getInfo.php?workbook=02_01.xlsx&amp;sheet=A0&amp;row=125&amp;col=17&amp;number=&amp;sourceID=12","")</f>
        <v/>
      </c>
      <c r="R125" s="4" t="str">
        <f>HYPERLINK("http://141.218.60.56/~jnz1568/getInfo.php?workbook=02_01.xlsx&amp;sheet=A0&amp;row=125&amp;col=18&amp;number=4.2476e-07&amp;sourceID=12","4.2476e-07")</f>
        <v>4.2476e-07</v>
      </c>
      <c r="S125" s="4" t="str">
        <f>HYPERLINK("http://141.218.60.56/~jnz1568/getInfo.php?workbook=02_01.xlsx&amp;sheet=A0&amp;row=125&amp;col=19&amp;number=&amp;sourceID=12","")</f>
        <v/>
      </c>
      <c r="T125" s="4" t="str">
        <f>HYPERLINK("http://141.218.60.56/~jnz1568/getInfo.php?workbook=02_01.xlsx&amp;sheet=A0&amp;row=125&amp;col=20&amp;number=&amp;sourceID=12","")</f>
        <v/>
      </c>
      <c r="U125" s="4" t="str">
        <f>HYPERLINK("http://141.218.60.56/~jnz1568/getInfo.php?workbook=02_01.xlsx&amp;sheet=A0&amp;row=125&amp;col=21&amp;number=&amp;sourceID=13","")</f>
        <v/>
      </c>
      <c r="V125" s="4" t="str">
        <f>HYPERLINK("http://141.218.60.56/~jnz1568/getInfo.php?workbook=02_01.xlsx&amp;sheet=A0&amp;row=125&amp;col=22&amp;number=&amp;sourceID=13","")</f>
        <v/>
      </c>
      <c r="W125" s="4" t="str">
        <f>HYPERLINK("http://141.218.60.56/~jnz1568/getInfo.php?workbook=02_01.xlsx&amp;sheet=A0&amp;row=125&amp;col=23&amp;number=&amp;sourceID=13","")</f>
        <v/>
      </c>
      <c r="X125" s="4" t="str">
        <f>HYPERLINK("http://141.218.60.56/~jnz1568/getInfo.php?workbook=02_01.xlsx&amp;sheet=A0&amp;row=125&amp;col=24&amp;number=&amp;sourceID=13","")</f>
        <v/>
      </c>
      <c r="Y125" s="4" t="str">
        <f>HYPERLINK("http://141.218.60.56/~jnz1568/getInfo.php?workbook=02_01.xlsx&amp;sheet=A0&amp;row=125&amp;col=25&amp;number=&amp;sourceID=13","")</f>
        <v/>
      </c>
      <c r="Z125" s="4" t="str">
        <f>HYPERLINK("http://141.218.60.56/~jnz1568/getInfo.php?workbook=02_01.xlsx&amp;sheet=A0&amp;row=125&amp;col=26&amp;number=&amp;sourceID=13","")</f>
        <v/>
      </c>
      <c r="AA125" s="4" t="str">
        <f>HYPERLINK("http://141.218.60.56/~jnz1568/getInfo.php?workbook=02_01.xlsx&amp;sheet=A0&amp;row=125&amp;col=27&amp;number=&amp;sourceID=20","")</f>
        <v/>
      </c>
    </row>
    <row r="126" spans="1:27">
      <c r="A126" s="3">
        <v>2</v>
      </c>
      <c r="B126" s="3">
        <v>1</v>
      </c>
      <c r="C126" s="3">
        <v>17</v>
      </c>
      <c r="D126" s="3">
        <v>9</v>
      </c>
      <c r="E126" s="3">
        <f>((1/(INDEX(E0!J$4:J$28,C126,1)-INDEX(E0!J$4:J$28,D126,1))))*100000000</f>
        <v>0</v>
      </c>
      <c r="F126" s="4" t="str">
        <f>HYPERLINK("http://141.218.60.56/~jnz1568/getInfo.php?workbook=02_01.xlsx&amp;sheet=A0&amp;row=126&amp;col=6&amp;number=&amp;sourceID=18","")</f>
        <v/>
      </c>
      <c r="G126" s="4" t="str">
        <f>HYPERLINK("http://141.218.60.56/~jnz1568/getInfo.php?workbook=02_01.xlsx&amp;sheet=A0&amp;row=126&amp;col=7&amp;number==&amp;sourceID=11","=")</f>
        <v>=</v>
      </c>
      <c r="H126" s="4" t="str">
        <f>HYPERLINK("http://141.218.60.56/~jnz1568/getInfo.php?workbook=02_01.xlsx&amp;sheet=A0&amp;row=126&amp;col=8&amp;number=&amp;sourceID=11","")</f>
        <v/>
      </c>
      <c r="I126" s="4" t="str">
        <f>HYPERLINK("http://141.218.60.56/~jnz1568/getInfo.php?workbook=02_01.xlsx&amp;sheet=A0&amp;row=126&amp;col=9&amp;number=&amp;sourceID=11","")</f>
        <v/>
      </c>
      <c r="J126" s="4" t="str">
        <f>HYPERLINK("http://141.218.60.56/~jnz1568/getInfo.php?workbook=02_01.xlsx&amp;sheet=A0&amp;row=126&amp;col=10&amp;number=5.7982e-05&amp;sourceID=11","5.7982e-05")</f>
        <v>5.7982e-05</v>
      </c>
      <c r="K126" s="4" t="str">
        <f>HYPERLINK("http://141.218.60.56/~jnz1568/getInfo.php?workbook=02_01.xlsx&amp;sheet=A0&amp;row=126&amp;col=11&amp;number=&amp;sourceID=11","")</f>
        <v/>
      </c>
      <c r="L126" s="4" t="str">
        <f>HYPERLINK("http://141.218.60.56/~jnz1568/getInfo.php?workbook=02_01.xlsx&amp;sheet=A0&amp;row=126&amp;col=12&amp;number=1.0992e-05&amp;sourceID=11","1.0992e-05")</f>
        <v>1.0992e-05</v>
      </c>
      <c r="M126" s="4" t="str">
        <f>HYPERLINK("http://141.218.60.56/~jnz1568/getInfo.php?workbook=02_01.xlsx&amp;sheet=A0&amp;row=126&amp;col=13&amp;number=&amp;sourceID=11","")</f>
        <v/>
      </c>
      <c r="N126" s="4" t="str">
        <f>HYPERLINK("http://141.218.60.56/~jnz1568/getInfo.php?workbook=02_01.xlsx&amp;sheet=A0&amp;row=126&amp;col=14&amp;number=6.8984e-05&amp;sourceID=12","6.8984e-05")</f>
        <v>6.8984e-05</v>
      </c>
      <c r="O126" s="4" t="str">
        <f>HYPERLINK("http://141.218.60.56/~jnz1568/getInfo.php?workbook=02_01.xlsx&amp;sheet=A0&amp;row=126&amp;col=15&amp;number=&amp;sourceID=12","")</f>
        <v/>
      </c>
      <c r="P126" s="4" t="str">
        <f>HYPERLINK("http://141.218.60.56/~jnz1568/getInfo.php?workbook=02_01.xlsx&amp;sheet=A0&amp;row=126&amp;col=16&amp;number=&amp;sourceID=12","")</f>
        <v/>
      </c>
      <c r="Q126" s="4" t="str">
        <f>HYPERLINK("http://141.218.60.56/~jnz1568/getInfo.php?workbook=02_01.xlsx&amp;sheet=A0&amp;row=126&amp;col=17&amp;number=5.799e-05&amp;sourceID=12","5.799e-05")</f>
        <v>5.799e-05</v>
      </c>
      <c r="R126" s="4" t="str">
        <f>HYPERLINK("http://141.218.60.56/~jnz1568/getInfo.php?workbook=02_01.xlsx&amp;sheet=A0&amp;row=126&amp;col=18&amp;number=&amp;sourceID=12","")</f>
        <v/>
      </c>
      <c r="S126" s="4" t="str">
        <f>HYPERLINK("http://141.218.60.56/~jnz1568/getInfo.php?workbook=02_01.xlsx&amp;sheet=A0&amp;row=126&amp;col=19&amp;number=1.0994e-05&amp;sourceID=12","1.0994e-05")</f>
        <v>1.0994e-05</v>
      </c>
      <c r="T126" s="4" t="str">
        <f>HYPERLINK("http://141.218.60.56/~jnz1568/getInfo.php?workbook=02_01.xlsx&amp;sheet=A0&amp;row=126&amp;col=20&amp;number=&amp;sourceID=12","")</f>
        <v/>
      </c>
      <c r="U126" s="4" t="str">
        <f>HYPERLINK("http://141.218.60.56/~jnz1568/getInfo.php?workbook=02_01.xlsx&amp;sheet=A0&amp;row=126&amp;col=21&amp;number=&amp;sourceID=13","")</f>
        <v/>
      </c>
      <c r="V126" s="4" t="str">
        <f>HYPERLINK("http://141.218.60.56/~jnz1568/getInfo.php?workbook=02_01.xlsx&amp;sheet=A0&amp;row=126&amp;col=22&amp;number=&amp;sourceID=13","")</f>
        <v/>
      </c>
      <c r="W126" s="4" t="str">
        <f>HYPERLINK("http://141.218.60.56/~jnz1568/getInfo.php?workbook=02_01.xlsx&amp;sheet=A0&amp;row=126&amp;col=23&amp;number=&amp;sourceID=13","")</f>
        <v/>
      </c>
      <c r="X126" s="4" t="str">
        <f>HYPERLINK("http://141.218.60.56/~jnz1568/getInfo.php?workbook=02_01.xlsx&amp;sheet=A0&amp;row=126&amp;col=24&amp;number=&amp;sourceID=13","")</f>
        <v/>
      </c>
      <c r="Y126" s="4" t="str">
        <f>HYPERLINK("http://141.218.60.56/~jnz1568/getInfo.php?workbook=02_01.xlsx&amp;sheet=A0&amp;row=126&amp;col=25&amp;number=&amp;sourceID=13","")</f>
        <v/>
      </c>
      <c r="Z126" s="4" t="str">
        <f>HYPERLINK("http://141.218.60.56/~jnz1568/getInfo.php?workbook=02_01.xlsx&amp;sheet=A0&amp;row=126&amp;col=26&amp;number=&amp;sourceID=13","")</f>
        <v/>
      </c>
      <c r="AA126" s="4" t="str">
        <f>HYPERLINK("http://141.218.60.56/~jnz1568/getInfo.php?workbook=02_01.xlsx&amp;sheet=A0&amp;row=126&amp;col=27&amp;number=&amp;sourceID=20","")</f>
        <v/>
      </c>
    </row>
    <row r="127" spans="1:27">
      <c r="A127" s="3">
        <v>2</v>
      </c>
      <c r="B127" s="3">
        <v>1</v>
      </c>
      <c r="C127" s="3">
        <v>17</v>
      </c>
      <c r="D127" s="3">
        <v>10</v>
      </c>
      <c r="E127" s="3">
        <f>((1/(INDEX(E0!J$4:J$28,C127,1)-INDEX(E0!J$4:J$28,D127,1))))*100000000</f>
        <v>0</v>
      </c>
      <c r="F127" s="4" t="str">
        <f>HYPERLINK("http://141.218.60.56/~jnz1568/getInfo.php?workbook=02_01.xlsx&amp;sheet=A0&amp;row=127&amp;col=6&amp;number=&amp;sourceID=18","")</f>
        <v/>
      </c>
      <c r="G127" s="4" t="str">
        <f>HYPERLINK("http://141.218.60.56/~jnz1568/getInfo.php?workbook=02_01.xlsx&amp;sheet=A0&amp;row=127&amp;col=7&amp;number==&amp;sourceID=11","=")</f>
        <v>=</v>
      </c>
      <c r="H127" s="4" t="str">
        <f>HYPERLINK("http://141.218.60.56/~jnz1568/getInfo.php?workbook=02_01.xlsx&amp;sheet=A0&amp;row=127&amp;col=8&amp;number=&amp;sourceID=11","")</f>
        <v/>
      </c>
      <c r="I127" s="4" t="str">
        <f>HYPERLINK("http://141.218.60.56/~jnz1568/getInfo.php?workbook=02_01.xlsx&amp;sheet=A0&amp;row=127&amp;col=9&amp;number=&amp;sourceID=11","")</f>
        <v/>
      </c>
      <c r="J127" s="4" t="str">
        <f>HYPERLINK("http://141.218.60.56/~jnz1568/getInfo.php?workbook=02_01.xlsx&amp;sheet=A0&amp;row=127&amp;col=10&amp;number=&amp;sourceID=11","")</f>
        <v/>
      </c>
      <c r="K127" s="4" t="str">
        <f>HYPERLINK("http://141.218.60.56/~jnz1568/getInfo.php?workbook=02_01.xlsx&amp;sheet=A0&amp;row=127&amp;col=11&amp;number=2.5052e-10&amp;sourceID=11","2.5052e-10")</f>
        <v>2.5052e-10</v>
      </c>
      <c r="L127" s="4" t="str">
        <f>HYPERLINK("http://141.218.60.56/~jnz1568/getInfo.php?workbook=02_01.xlsx&amp;sheet=A0&amp;row=127&amp;col=12&amp;number=&amp;sourceID=11","")</f>
        <v/>
      </c>
      <c r="M127" s="4" t="str">
        <f>HYPERLINK("http://141.218.60.56/~jnz1568/getInfo.php?workbook=02_01.xlsx&amp;sheet=A0&amp;row=127&amp;col=13&amp;number=&amp;sourceID=11","")</f>
        <v/>
      </c>
      <c r="N127" s="4" t="str">
        <f>HYPERLINK("http://141.218.60.56/~jnz1568/getInfo.php?workbook=02_01.xlsx&amp;sheet=A0&amp;row=127&amp;col=14&amp;number=2.5053e-10&amp;sourceID=12","2.5053e-10")</f>
        <v>2.5053e-10</v>
      </c>
      <c r="O127" s="4" t="str">
        <f>HYPERLINK("http://141.218.60.56/~jnz1568/getInfo.php?workbook=02_01.xlsx&amp;sheet=A0&amp;row=127&amp;col=15&amp;number=&amp;sourceID=12","")</f>
        <v/>
      </c>
      <c r="P127" s="4" t="str">
        <f>HYPERLINK("http://141.218.60.56/~jnz1568/getInfo.php?workbook=02_01.xlsx&amp;sheet=A0&amp;row=127&amp;col=16&amp;number=&amp;sourceID=12","")</f>
        <v/>
      </c>
      <c r="Q127" s="4" t="str">
        <f>HYPERLINK("http://141.218.60.56/~jnz1568/getInfo.php?workbook=02_01.xlsx&amp;sheet=A0&amp;row=127&amp;col=17&amp;number=&amp;sourceID=12","")</f>
        <v/>
      </c>
      <c r="R127" s="4" t="str">
        <f>HYPERLINK("http://141.218.60.56/~jnz1568/getInfo.php?workbook=02_01.xlsx&amp;sheet=A0&amp;row=127&amp;col=18&amp;number=2.5053e-10&amp;sourceID=12","2.5053e-10")</f>
        <v>2.5053e-10</v>
      </c>
      <c r="S127" s="4" t="str">
        <f>HYPERLINK("http://141.218.60.56/~jnz1568/getInfo.php?workbook=02_01.xlsx&amp;sheet=A0&amp;row=127&amp;col=19&amp;number=&amp;sourceID=12","")</f>
        <v/>
      </c>
      <c r="T127" s="4" t="str">
        <f>HYPERLINK("http://141.218.60.56/~jnz1568/getInfo.php?workbook=02_01.xlsx&amp;sheet=A0&amp;row=127&amp;col=20&amp;number=&amp;sourceID=12","")</f>
        <v/>
      </c>
      <c r="U127" s="4" t="str">
        <f>HYPERLINK("http://141.218.60.56/~jnz1568/getInfo.php?workbook=02_01.xlsx&amp;sheet=A0&amp;row=127&amp;col=21&amp;number=&amp;sourceID=13","")</f>
        <v/>
      </c>
      <c r="V127" s="4" t="str">
        <f>HYPERLINK("http://141.218.60.56/~jnz1568/getInfo.php?workbook=02_01.xlsx&amp;sheet=A0&amp;row=127&amp;col=22&amp;number=&amp;sourceID=13","")</f>
        <v/>
      </c>
      <c r="W127" s="4" t="str">
        <f>HYPERLINK("http://141.218.60.56/~jnz1568/getInfo.php?workbook=02_01.xlsx&amp;sheet=A0&amp;row=127&amp;col=23&amp;number=&amp;sourceID=13","")</f>
        <v/>
      </c>
      <c r="X127" s="4" t="str">
        <f>HYPERLINK("http://141.218.60.56/~jnz1568/getInfo.php?workbook=02_01.xlsx&amp;sheet=A0&amp;row=127&amp;col=24&amp;number=&amp;sourceID=13","")</f>
        <v/>
      </c>
      <c r="Y127" s="4" t="str">
        <f>HYPERLINK("http://141.218.60.56/~jnz1568/getInfo.php?workbook=02_01.xlsx&amp;sheet=A0&amp;row=127&amp;col=25&amp;number=&amp;sourceID=13","")</f>
        <v/>
      </c>
      <c r="Z127" s="4" t="str">
        <f>HYPERLINK("http://141.218.60.56/~jnz1568/getInfo.php?workbook=02_01.xlsx&amp;sheet=A0&amp;row=127&amp;col=26&amp;number=&amp;sourceID=13","")</f>
        <v/>
      </c>
      <c r="AA127" s="4" t="str">
        <f>HYPERLINK("http://141.218.60.56/~jnz1568/getInfo.php?workbook=02_01.xlsx&amp;sheet=A0&amp;row=127&amp;col=27&amp;number=&amp;sourceID=20","")</f>
        <v/>
      </c>
    </row>
    <row r="128" spans="1:27">
      <c r="A128" s="3">
        <v>2</v>
      </c>
      <c r="B128" s="3">
        <v>1</v>
      </c>
      <c r="C128" s="3">
        <v>17</v>
      </c>
      <c r="D128" s="3">
        <v>11</v>
      </c>
      <c r="E128" s="3">
        <f>((1/(INDEX(E0!J$4:J$28,C128,1)-INDEX(E0!J$4:J$28,D128,1))))*100000000</f>
        <v>0</v>
      </c>
      <c r="F128" s="4" t="str">
        <f>HYPERLINK("http://141.218.60.56/~jnz1568/getInfo.php?workbook=02_01.xlsx&amp;sheet=A0&amp;row=128&amp;col=6&amp;number=&amp;sourceID=18","")</f>
        <v/>
      </c>
      <c r="G128" s="4" t="str">
        <f>HYPERLINK("http://141.218.60.56/~jnz1568/getInfo.php?workbook=02_01.xlsx&amp;sheet=A0&amp;row=128&amp;col=7&amp;number==&amp;sourceID=11","=")</f>
        <v>=</v>
      </c>
      <c r="H128" s="4" t="str">
        <f>HYPERLINK("http://141.218.60.56/~jnz1568/getInfo.php?workbook=02_01.xlsx&amp;sheet=A0&amp;row=128&amp;col=8&amp;number=11801000&amp;sourceID=11","11801000")</f>
        <v>11801000</v>
      </c>
      <c r="I128" s="4" t="str">
        <f>HYPERLINK("http://141.218.60.56/~jnz1568/getInfo.php?workbook=02_01.xlsx&amp;sheet=A0&amp;row=128&amp;col=9&amp;number=&amp;sourceID=11","")</f>
        <v/>
      </c>
      <c r="J128" s="4" t="str">
        <f>HYPERLINK("http://141.218.60.56/~jnz1568/getInfo.php?workbook=02_01.xlsx&amp;sheet=A0&amp;row=128&amp;col=10&amp;number=&amp;sourceID=11","")</f>
        <v/>
      </c>
      <c r="K128" s="4" t="str">
        <f>HYPERLINK("http://141.218.60.56/~jnz1568/getInfo.php?workbook=02_01.xlsx&amp;sheet=A0&amp;row=128&amp;col=11&amp;number=&amp;sourceID=11","")</f>
        <v/>
      </c>
      <c r="L128" s="4" t="str">
        <f>HYPERLINK("http://141.218.60.56/~jnz1568/getInfo.php?workbook=02_01.xlsx&amp;sheet=A0&amp;row=128&amp;col=12&amp;number=&amp;sourceID=11","")</f>
        <v/>
      </c>
      <c r="M128" s="4" t="str">
        <f>HYPERLINK("http://141.218.60.56/~jnz1568/getInfo.php?workbook=02_01.xlsx&amp;sheet=A0&amp;row=128&amp;col=13&amp;number=&amp;sourceID=11","")</f>
        <v/>
      </c>
      <c r="N128" s="4" t="str">
        <f>HYPERLINK("http://141.218.60.56/~jnz1568/getInfo.php?workbook=02_01.xlsx&amp;sheet=A0&amp;row=128&amp;col=14&amp;number=11803000&amp;sourceID=12","11803000")</f>
        <v>11803000</v>
      </c>
      <c r="O128" s="4" t="str">
        <f>HYPERLINK("http://141.218.60.56/~jnz1568/getInfo.php?workbook=02_01.xlsx&amp;sheet=A0&amp;row=128&amp;col=15&amp;number=11803000&amp;sourceID=12","11803000")</f>
        <v>11803000</v>
      </c>
      <c r="P128" s="4" t="str">
        <f>HYPERLINK("http://141.218.60.56/~jnz1568/getInfo.php?workbook=02_01.xlsx&amp;sheet=A0&amp;row=128&amp;col=16&amp;number=&amp;sourceID=12","")</f>
        <v/>
      </c>
      <c r="Q128" s="4" t="str">
        <f>HYPERLINK("http://141.218.60.56/~jnz1568/getInfo.php?workbook=02_01.xlsx&amp;sheet=A0&amp;row=128&amp;col=17&amp;number=&amp;sourceID=12","")</f>
        <v/>
      </c>
      <c r="R128" s="4" t="str">
        <f>HYPERLINK("http://141.218.60.56/~jnz1568/getInfo.php?workbook=02_01.xlsx&amp;sheet=A0&amp;row=128&amp;col=18&amp;number=&amp;sourceID=12","")</f>
        <v/>
      </c>
      <c r="S128" s="4" t="str">
        <f>HYPERLINK("http://141.218.60.56/~jnz1568/getInfo.php?workbook=02_01.xlsx&amp;sheet=A0&amp;row=128&amp;col=19&amp;number=&amp;sourceID=12","")</f>
        <v/>
      </c>
      <c r="T128" s="4" t="str">
        <f>HYPERLINK("http://141.218.60.56/~jnz1568/getInfo.php?workbook=02_01.xlsx&amp;sheet=A0&amp;row=128&amp;col=20&amp;number=&amp;sourceID=12","")</f>
        <v/>
      </c>
      <c r="U128" s="4" t="str">
        <f>HYPERLINK("http://141.218.60.56/~jnz1568/getInfo.php?workbook=02_01.xlsx&amp;sheet=A0&amp;row=128&amp;col=21&amp;number=&amp;sourceID=13","")</f>
        <v/>
      </c>
      <c r="V128" s="4" t="str">
        <f>HYPERLINK("http://141.218.60.56/~jnz1568/getInfo.php?workbook=02_01.xlsx&amp;sheet=A0&amp;row=128&amp;col=22&amp;number=&amp;sourceID=13","")</f>
        <v/>
      </c>
      <c r="W128" s="4" t="str">
        <f>HYPERLINK("http://141.218.60.56/~jnz1568/getInfo.php?workbook=02_01.xlsx&amp;sheet=A0&amp;row=128&amp;col=23&amp;number=&amp;sourceID=13","")</f>
        <v/>
      </c>
      <c r="X128" s="4" t="str">
        <f>HYPERLINK("http://141.218.60.56/~jnz1568/getInfo.php?workbook=02_01.xlsx&amp;sheet=A0&amp;row=128&amp;col=24&amp;number=&amp;sourceID=13","")</f>
        <v/>
      </c>
      <c r="Y128" s="4" t="str">
        <f>HYPERLINK("http://141.218.60.56/~jnz1568/getInfo.php?workbook=02_01.xlsx&amp;sheet=A0&amp;row=128&amp;col=25&amp;number=&amp;sourceID=13","")</f>
        <v/>
      </c>
      <c r="Z128" s="4" t="str">
        <f>HYPERLINK("http://141.218.60.56/~jnz1568/getInfo.php?workbook=02_01.xlsx&amp;sheet=A0&amp;row=128&amp;col=26&amp;number=&amp;sourceID=13","")</f>
        <v/>
      </c>
      <c r="AA128" s="4" t="str">
        <f>HYPERLINK("http://141.218.60.56/~jnz1568/getInfo.php?workbook=02_01.xlsx&amp;sheet=A0&amp;row=128&amp;col=27&amp;number=&amp;sourceID=20","")</f>
        <v/>
      </c>
    </row>
    <row r="129" spans="1:27">
      <c r="A129" s="3">
        <v>2</v>
      </c>
      <c r="B129" s="3">
        <v>1</v>
      </c>
      <c r="C129" s="3">
        <v>17</v>
      </c>
      <c r="D129" s="3">
        <v>12</v>
      </c>
      <c r="E129" s="3">
        <f>((1/(INDEX(E0!J$4:J$28,C129,1)-INDEX(E0!J$4:J$28,D129,1))))*100000000</f>
        <v>0</v>
      </c>
      <c r="F129" s="4" t="str">
        <f>HYPERLINK("http://141.218.60.56/~jnz1568/getInfo.php?workbook=02_01.xlsx&amp;sheet=A0&amp;row=129&amp;col=6&amp;number=&amp;sourceID=18","")</f>
        <v/>
      </c>
      <c r="G129" s="4" t="str">
        <f>HYPERLINK("http://141.218.60.56/~jnz1568/getInfo.php?workbook=02_01.xlsx&amp;sheet=A0&amp;row=129&amp;col=7&amp;number==&amp;sourceID=11","=")</f>
        <v>=</v>
      </c>
      <c r="H129" s="4" t="str">
        <f>HYPERLINK("http://141.218.60.56/~jnz1568/getInfo.php?workbook=02_01.xlsx&amp;sheet=A0&amp;row=129&amp;col=8&amp;number=3018300&amp;sourceID=11","3018300")</f>
        <v>3018300</v>
      </c>
      <c r="I129" s="4" t="str">
        <f>HYPERLINK("http://141.218.60.56/~jnz1568/getInfo.php?workbook=02_01.xlsx&amp;sheet=A0&amp;row=129&amp;col=9&amp;number=&amp;sourceID=11","")</f>
        <v/>
      </c>
      <c r="J129" s="4" t="str">
        <f>HYPERLINK("http://141.218.60.56/~jnz1568/getInfo.php?workbook=02_01.xlsx&amp;sheet=A0&amp;row=129&amp;col=10&amp;number=&amp;sourceID=11","")</f>
        <v/>
      </c>
      <c r="K129" s="4" t="str">
        <f>HYPERLINK("http://141.218.60.56/~jnz1568/getInfo.php?workbook=02_01.xlsx&amp;sheet=A0&amp;row=129&amp;col=11&amp;number=&amp;sourceID=11","")</f>
        <v/>
      </c>
      <c r="L129" s="4" t="str">
        <f>HYPERLINK("http://141.218.60.56/~jnz1568/getInfo.php?workbook=02_01.xlsx&amp;sheet=A0&amp;row=129&amp;col=12&amp;number=1.2999e-07&amp;sourceID=11","1.2999e-07")</f>
        <v>1.2999e-07</v>
      </c>
      <c r="M129" s="4" t="str">
        <f>HYPERLINK("http://141.218.60.56/~jnz1568/getInfo.php?workbook=02_01.xlsx&amp;sheet=A0&amp;row=129&amp;col=13&amp;number=&amp;sourceID=11","")</f>
        <v/>
      </c>
      <c r="N129" s="4" t="str">
        <f>HYPERLINK("http://141.218.60.56/~jnz1568/getInfo.php?workbook=02_01.xlsx&amp;sheet=A0&amp;row=129&amp;col=14&amp;number=3018700&amp;sourceID=12","3018700")</f>
        <v>3018700</v>
      </c>
      <c r="O129" s="4" t="str">
        <f>HYPERLINK("http://141.218.60.56/~jnz1568/getInfo.php?workbook=02_01.xlsx&amp;sheet=A0&amp;row=129&amp;col=15&amp;number=3018700&amp;sourceID=12","3018700")</f>
        <v>3018700</v>
      </c>
      <c r="P129" s="4" t="str">
        <f>HYPERLINK("http://141.218.60.56/~jnz1568/getInfo.php?workbook=02_01.xlsx&amp;sheet=A0&amp;row=129&amp;col=16&amp;number=&amp;sourceID=12","")</f>
        <v/>
      </c>
      <c r="Q129" s="4" t="str">
        <f>HYPERLINK("http://141.218.60.56/~jnz1568/getInfo.php?workbook=02_01.xlsx&amp;sheet=A0&amp;row=129&amp;col=17&amp;number=&amp;sourceID=12","")</f>
        <v/>
      </c>
      <c r="R129" s="4" t="str">
        <f>HYPERLINK("http://141.218.60.56/~jnz1568/getInfo.php?workbook=02_01.xlsx&amp;sheet=A0&amp;row=129&amp;col=18&amp;number=&amp;sourceID=12","")</f>
        <v/>
      </c>
      <c r="S129" s="4" t="str">
        <f>HYPERLINK("http://141.218.60.56/~jnz1568/getInfo.php?workbook=02_01.xlsx&amp;sheet=A0&amp;row=129&amp;col=19&amp;number=1.3e-07&amp;sourceID=12","1.3e-07")</f>
        <v>1.3e-07</v>
      </c>
      <c r="T129" s="4" t="str">
        <f>HYPERLINK("http://141.218.60.56/~jnz1568/getInfo.php?workbook=02_01.xlsx&amp;sheet=A0&amp;row=129&amp;col=20&amp;number=&amp;sourceID=12","")</f>
        <v/>
      </c>
      <c r="U129" s="4" t="str">
        <f>HYPERLINK("http://141.218.60.56/~jnz1568/getInfo.php?workbook=02_01.xlsx&amp;sheet=A0&amp;row=129&amp;col=21&amp;number=&amp;sourceID=13","")</f>
        <v/>
      </c>
      <c r="V129" s="4" t="str">
        <f>HYPERLINK("http://141.218.60.56/~jnz1568/getInfo.php?workbook=02_01.xlsx&amp;sheet=A0&amp;row=129&amp;col=22&amp;number=&amp;sourceID=13","")</f>
        <v/>
      </c>
      <c r="W129" s="4" t="str">
        <f>HYPERLINK("http://141.218.60.56/~jnz1568/getInfo.php?workbook=02_01.xlsx&amp;sheet=A0&amp;row=129&amp;col=23&amp;number=&amp;sourceID=13","")</f>
        <v/>
      </c>
      <c r="X129" s="4" t="str">
        <f>HYPERLINK("http://141.218.60.56/~jnz1568/getInfo.php?workbook=02_01.xlsx&amp;sheet=A0&amp;row=129&amp;col=24&amp;number=&amp;sourceID=13","")</f>
        <v/>
      </c>
      <c r="Y129" s="4" t="str">
        <f>HYPERLINK("http://141.218.60.56/~jnz1568/getInfo.php?workbook=02_01.xlsx&amp;sheet=A0&amp;row=129&amp;col=25&amp;number=&amp;sourceID=13","")</f>
        <v/>
      </c>
      <c r="Z129" s="4" t="str">
        <f>HYPERLINK("http://141.218.60.56/~jnz1568/getInfo.php?workbook=02_01.xlsx&amp;sheet=A0&amp;row=129&amp;col=26&amp;number=&amp;sourceID=13","")</f>
        <v/>
      </c>
      <c r="AA129" s="4" t="str">
        <f>HYPERLINK("http://141.218.60.56/~jnz1568/getInfo.php?workbook=02_01.xlsx&amp;sheet=A0&amp;row=129&amp;col=27&amp;number=&amp;sourceID=20","")</f>
        <v/>
      </c>
    </row>
    <row r="130" spans="1:27">
      <c r="A130" s="3">
        <v>2</v>
      </c>
      <c r="B130" s="3">
        <v>1</v>
      </c>
      <c r="C130" s="3">
        <v>17</v>
      </c>
      <c r="D130" s="3">
        <v>13</v>
      </c>
      <c r="E130" s="3">
        <f>((1/(INDEX(E0!J$4:J$28,C130,1)-INDEX(E0!J$4:J$28,D130,1))))*100000000</f>
        <v>0</v>
      </c>
      <c r="F130" s="4" t="str">
        <f>HYPERLINK("http://141.218.60.56/~jnz1568/getInfo.php?workbook=02_01.xlsx&amp;sheet=A0&amp;row=130&amp;col=6&amp;number=&amp;sourceID=18","")</f>
        <v/>
      </c>
      <c r="G130" s="4" t="str">
        <f>HYPERLINK("http://141.218.60.56/~jnz1568/getInfo.php?workbook=02_01.xlsx&amp;sheet=A0&amp;row=130&amp;col=7&amp;number==&amp;sourceID=11","=")</f>
        <v>=</v>
      </c>
      <c r="H130" s="4" t="str">
        <f>HYPERLINK("http://141.218.60.56/~jnz1568/getInfo.php?workbook=02_01.xlsx&amp;sheet=A0&amp;row=130&amp;col=8&amp;number=&amp;sourceID=11","")</f>
        <v/>
      </c>
      <c r="I130" s="4" t="str">
        <f>HYPERLINK("http://141.218.60.56/~jnz1568/getInfo.php?workbook=02_01.xlsx&amp;sheet=A0&amp;row=130&amp;col=9&amp;number=29.076&amp;sourceID=11","29.076")</f>
        <v>29.076</v>
      </c>
      <c r="J130" s="4" t="str">
        <f>HYPERLINK("http://141.218.60.56/~jnz1568/getInfo.php?workbook=02_01.xlsx&amp;sheet=A0&amp;row=130&amp;col=10&amp;number=&amp;sourceID=11","")</f>
        <v/>
      </c>
      <c r="K130" s="4" t="str">
        <f>HYPERLINK("http://141.218.60.56/~jnz1568/getInfo.php?workbook=02_01.xlsx&amp;sheet=A0&amp;row=130&amp;col=11&amp;number=5.2802e-08&amp;sourceID=11","5.2802e-08")</f>
        <v>5.2802e-08</v>
      </c>
      <c r="L130" s="4" t="str">
        <f>HYPERLINK("http://141.218.60.56/~jnz1568/getInfo.php?workbook=02_01.xlsx&amp;sheet=A0&amp;row=130&amp;col=12&amp;number=&amp;sourceID=11","")</f>
        <v/>
      </c>
      <c r="M130" s="4" t="str">
        <f>HYPERLINK("http://141.218.60.56/~jnz1568/getInfo.php?workbook=02_01.xlsx&amp;sheet=A0&amp;row=130&amp;col=13&amp;number=&amp;sourceID=11","")</f>
        <v/>
      </c>
      <c r="N130" s="4" t="str">
        <f>HYPERLINK("http://141.218.60.56/~jnz1568/getInfo.php?workbook=02_01.xlsx&amp;sheet=A0&amp;row=130&amp;col=14&amp;number=29.08&amp;sourceID=12","29.08")</f>
        <v>29.08</v>
      </c>
      <c r="O130" s="4" t="str">
        <f>HYPERLINK("http://141.218.60.56/~jnz1568/getInfo.php?workbook=02_01.xlsx&amp;sheet=A0&amp;row=130&amp;col=15&amp;number=&amp;sourceID=12","")</f>
        <v/>
      </c>
      <c r="P130" s="4" t="str">
        <f>HYPERLINK("http://141.218.60.56/~jnz1568/getInfo.php?workbook=02_01.xlsx&amp;sheet=A0&amp;row=130&amp;col=16&amp;number=29.08&amp;sourceID=12","29.08")</f>
        <v>29.08</v>
      </c>
      <c r="Q130" s="4" t="str">
        <f>HYPERLINK("http://141.218.60.56/~jnz1568/getInfo.php?workbook=02_01.xlsx&amp;sheet=A0&amp;row=130&amp;col=17&amp;number=&amp;sourceID=12","")</f>
        <v/>
      </c>
      <c r="R130" s="4" t="str">
        <f>HYPERLINK("http://141.218.60.56/~jnz1568/getInfo.php?workbook=02_01.xlsx&amp;sheet=A0&amp;row=130&amp;col=18&amp;number=5.2825e-08&amp;sourceID=12","5.2825e-08")</f>
        <v>5.2825e-08</v>
      </c>
      <c r="S130" s="4" t="str">
        <f>HYPERLINK("http://141.218.60.56/~jnz1568/getInfo.php?workbook=02_01.xlsx&amp;sheet=A0&amp;row=130&amp;col=19&amp;number=&amp;sourceID=12","")</f>
        <v/>
      </c>
      <c r="T130" s="4" t="str">
        <f>HYPERLINK("http://141.218.60.56/~jnz1568/getInfo.php?workbook=02_01.xlsx&amp;sheet=A0&amp;row=130&amp;col=20&amp;number=&amp;sourceID=12","")</f>
        <v/>
      </c>
      <c r="U130" s="4" t="str">
        <f>HYPERLINK("http://141.218.60.56/~jnz1568/getInfo.php?workbook=02_01.xlsx&amp;sheet=A0&amp;row=130&amp;col=21&amp;number=&amp;sourceID=13","")</f>
        <v/>
      </c>
      <c r="V130" s="4" t="str">
        <f>HYPERLINK("http://141.218.60.56/~jnz1568/getInfo.php?workbook=02_01.xlsx&amp;sheet=A0&amp;row=130&amp;col=22&amp;number=&amp;sourceID=13","")</f>
        <v/>
      </c>
      <c r="W130" s="4" t="str">
        <f>HYPERLINK("http://141.218.60.56/~jnz1568/getInfo.php?workbook=02_01.xlsx&amp;sheet=A0&amp;row=130&amp;col=23&amp;number=&amp;sourceID=13","")</f>
        <v/>
      </c>
      <c r="X130" s="4" t="str">
        <f>HYPERLINK("http://141.218.60.56/~jnz1568/getInfo.php?workbook=02_01.xlsx&amp;sheet=A0&amp;row=130&amp;col=24&amp;number=&amp;sourceID=13","")</f>
        <v/>
      </c>
      <c r="Y130" s="4" t="str">
        <f>HYPERLINK("http://141.218.60.56/~jnz1568/getInfo.php?workbook=02_01.xlsx&amp;sheet=A0&amp;row=130&amp;col=25&amp;number=&amp;sourceID=13","")</f>
        <v/>
      </c>
      <c r="Z130" s="4" t="str">
        <f>HYPERLINK("http://141.218.60.56/~jnz1568/getInfo.php?workbook=02_01.xlsx&amp;sheet=A0&amp;row=130&amp;col=26&amp;number=&amp;sourceID=13","")</f>
        <v/>
      </c>
      <c r="AA130" s="4" t="str">
        <f>HYPERLINK("http://141.218.60.56/~jnz1568/getInfo.php?workbook=02_01.xlsx&amp;sheet=A0&amp;row=130&amp;col=27&amp;number=&amp;sourceID=20","")</f>
        <v/>
      </c>
    </row>
    <row r="131" spans="1:27">
      <c r="A131" s="3">
        <v>2</v>
      </c>
      <c r="B131" s="3">
        <v>1</v>
      </c>
      <c r="C131" s="3">
        <v>17</v>
      </c>
      <c r="D131" s="3">
        <v>14</v>
      </c>
      <c r="E131" s="3">
        <f>((1/(INDEX(E0!J$4:J$28,C131,1)-INDEX(E0!J$4:J$28,D131,1))))*100000000</f>
        <v>0</v>
      </c>
      <c r="F131" s="4" t="str">
        <f>HYPERLINK("http://141.218.60.56/~jnz1568/getInfo.php?workbook=02_01.xlsx&amp;sheet=A0&amp;row=131&amp;col=6&amp;number=&amp;sourceID=18","")</f>
        <v/>
      </c>
      <c r="G131" s="4" t="str">
        <f>HYPERLINK("http://141.218.60.56/~jnz1568/getInfo.php?workbook=02_01.xlsx&amp;sheet=A0&amp;row=131&amp;col=7&amp;number==&amp;sourceID=11","=")</f>
        <v>=</v>
      </c>
      <c r="H131" s="4" t="str">
        <f>HYPERLINK("http://141.218.60.56/~jnz1568/getInfo.php?workbook=02_01.xlsx&amp;sheet=A0&amp;row=131&amp;col=8&amp;number=&amp;sourceID=11","")</f>
        <v/>
      </c>
      <c r="I131" s="4" t="str">
        <f>HYPERLINK("http://141.218.60.56/~jnz1568/getInfo.php?workbook=02_01.xlsx&amp;sheet=A0&amp;row=131&amp;col=9&amp;number=3.0156&amp;sourceID=11","3.0156")</f>
        <v>3.0156</v>
      </c>
      <c r="J131" s="4" t="str">
        <f>HYPERLINK("http://141.218.60.56/~jnz1568/getInfo.php?workbook=02_01.xlsx&amp;sheet=A0&amp;row=131&amp;col=10&amp;number=&amp;sourceID=11","")</f>
        <v/>
      </c>
      <c r="K131" s="4" t="str">
        <f>HYPERLINK("http://141.218.60.56/~jnz1568/getInfo.php?workbook=02_01.xlsx&amp;sheet=A0&amp;row=131&amp;col=11&amp;number=&amp;sourceID=11","")</f>
        <v/>
      </c>
      <c r="L131" s="4" t="str">
        <f>HYPERLINK("http://141.218.60.56/~jnz1568/getInfo.php?workbook=02_01.xlsx&amp;sheet=A0&amp;row=131&amp;col=12&amp;number=&amp;sourceID=11","")</f>
        <v/>
      </c>
      <c r="M131" s="4" t="str">
        <f>HYPERLINK("http://141.218.60.56/~jnz1568/getInfo.php?workbook=02_01.xlsx&amp;sheet=A0&amp;row=131&amp;col=13&amp;number=7.9e-14&amp;sourceID=11","7.9e-14")</f>
        <v>7.9e-14</v>
      </c>
      <c r="N131" s="4" t="str">
        <f>HYPERLINK("http://141.218.60.56/~jnz1568/getInfo.php?workbook=02_01.xlsx&amp;sheet=A0&amp;row=131&amp;col=14&amp;number=3.0161&amp;sourceID=12","3.0161")</f>
        <v>3.0161</v>
      </c>
      <c r="O131" s="4" t="str">
        <f>HYPERLINK("http://141.218.60.56/~jnz1568/getInfo.php?workbook=02_01.xlsx&amp;sheet=A0&amp;row=131&amp;col=15&amp;number=&amp;sourceID=12","")</f>
        <v/>
      </c>
      <c r="P131" s="4" t="str">
        <f>HYPERLINK("http://141.218.60.56/~jnz1568/getInfo.php?workbook=02_01.xlsx&amp;sheet=A0&amp;row=131&amp;col=16&amp;number=3.0161&amp;sourceID=12","3.0161")</f>
        <v>3.0161</v>
      </c>
      <c r="Q131" s="4" t="str">
        <f>HYPERLINK("http://141.218.60.56/~jnz1568/getInfo.php?workbook=02_01.xlsx&amp;sheet=A0&amp;row=131&amp;col=17&amp;number=&amp;sourceID=12","")</f>
        <v/>
      </c>
      <c r="R131" s="4" t="str">
        <f>HYPERLINK("http://141.218.60.56/~jnz1568/getInfo.php?workbook=02_01.xlsx&amp;sheet=A0&amp;row=131&amp;col=18&amp;number=&amp;sourceID=12","")</f>
        <v/>
      </c>
      <c r="S131" s="4" t="str">
        <f>HYPERLINK("http://141.218.60.56/~jnz1568/getInfo.php?workbook=02_01.xlsx&amp;sheet=A0&amp;row=131&amp;col=19&amp;number=&amp;sourceID=12","")</f>
        <v/>
      </c>
      <c r="T131" s="4" t="str">
        <f>HYPERLINK("http://141.218.60.56/~jnz1568/getInfo.php?workbook=02_01.xlsx&amp;sheet=A0&amp;row=131&amp;col=20&amp;number=7.9e-14&amp;sourceID=12","7.9e-14")</f>
        <v>7.9e-14</v>
      </c>
      <c r="U131" s="4" t="str">
        <f>HYPERLINK("http://141.218.60.56/~jnz1568/getInfo.php?workbook=02_01.xlsx&amp;sheet=A0&amp;row=131&amp;col=21&amp;number=&amp;sourceID=13","")</f>
        <v/>
      </c>
      <c r="V131" s="4" t="str">
        <f>HYPERLINK("http://141.218.60.56/~jnz1568/getInfo.php?workbook=02_01.xlsx&amp;sheet=A0&amp;row=131&amp;col=22&amp;number=&amp;sourceID=13","")</f>
        <v/>
      </c>
      <c r="W131" s="4" t="str">
        <f>HYPERLINK("http://141.218.60.56/~jnz1568/getInfo.php?workbook=02_01.xlsx&amp;sheet=A0&amp;row=131&amp;col=23&amp;number=&amp;sourceID=13","")</f>
        <v/>
      </c>
      <c r="X131" s="4" t="str">
        <f>HYPERLINK("http://141.218.60.56/~jnz1568/getInfo.php?workbook=02_01.xlsx&amp;sheet=A0&amp;row=131&amp;col=24&amp;number=&amp;sourceID=13","")</f>
        <v/>
      </c>
      <c r="Y131" s="4" t="str">
        <f>HYPERLINK("http://141.218.60.56/~jnz1568/getInfo.php?workbook=02_01.xlsx&amp;sheet=A0&amp;row=131&amp;col=25&amp;number=&amp;sourceID=13","")</f>
        <v/>
      </c>
      <c r="Z131" s="4" t="str">
        <f>HYPERLINK("http://141.218.60.56/~jnz1568/getInfo.php?workbook=02_01.xlsx&amp;sheet=A0&amp;row=131&amp;col=26&amp;number=&amp;sourceID=13","")</f>
        <v/>
      </c>
      <c r="AA131" s="4" t="str">
        <f>HYPERLINK("http://141.218.60.56/~jnz1568/getInfo.php?workbook=02_01.xlsx&amp;sheet=A0&amp;row=131&amp;col=27&amp;number=&amp;sourceID=20","")</f>
        <v/>
      </c>
    </row>
    <row r="132" spans="1:27">
      <c r="A132" s="3">
        <v>2</v>
      </c>
      <c r="B132" s="3">
        <v>1</v>
      </c>
      <c r="C132" s="3">
        <v>17</v>
      </c>
      <c r="D132" s="3">
        <v>15</v>
      </c>
      <c r="E132" s="3">
        <f>((1/(INDEX(E0!J$4:J$28,C132,1)-INDEX(E0!J$4:J$28,D132,1))))*100000000</f>
        <v>0</v>
      </c>
      <c r="F132" s="4" t="str">
        <f>HYPERLINK("http://141.218.60.56/~jnz1568/getInfo.php?workbook=02_01.xlsx&amp;sheet=A0&amp;row=132&amp;col=6&amp;number=&amp;sourceID=18","")</f>
        <v/>
      </c>
      <c r="G132" s="4" t="str">
        <f>HYPERLINK("http://141.218.60.56/~jnz1568/getInfo.php?workbook=02_01.xlsx&amp;sheet=A0&amp;row=132&amp;col=7&amp;number==&amp;sourceID=11","=")</f>
        <v>=</v>
      </c>
      <c r="H132" s="4" t="str">
        <f>HYPERLINK("http://141.218.60.56/~jnz1568/getInfo.php?workbook=02_01.xlsx&amp;sheet=A0&amp;row=132&amp;col=8&amp;number=&amp;sourceID=11","")</f>
        <v/>
      </c>
      <c r="I132" s="4" t="str">
        <f>HYPERLINK("http://141.218.60.56/~jnz1568/getInfo.php?workbook=02_01.xlsx&amp;sheet=A0&amp;row=132&amp;col=9&amp;number=&amp;sourceID=11","")</f>
        <v/>
      </c>
      <c r="J132" s="4" t="str">
        <f>HYPERLINK("http://141.218.60.56/~jnz1568/getInfo.php?workbook=02_01.xlsx&amp;sheet=A0&amp;row=132&amp;col=10&amp;number=1.9706e-05&amp;sourceID=11","1.9706e-05")</f>
        <v>1.9706e-05</v>
      </c>
      <c r="K132" s="4" t="str">
        <f>HYPERLINK("http://141.218.60.56/~jnz1568/getInfo.php?workbook=02_01.xlsx&amp;sheet=A0&amp;row=132&amp;col=11&amp;number=&amp;sourceID=11","")</f>
        <v/>
      </c>
      <c r="L132" s="4" t="str">
        <f>HYPERLINK("http://141.218.60.56/~jnz1568/getInfo.php?workbook=02_01.xlsx&amp;sheet=A0&amp;row=132&amp;col=12&amp;number=1.3867e-06&amp;sourceID=11","1.3867e-06")</f>
        <v>1.3867e-06</v>
      </c>
      <c r="M132" s="4" t="str">
        <f>HYPERLINK("http://141.218.60.56/~jnz1568/getInfo.php?workbook=02_01.xlsx&amp;sheet=A0&amp;row=132&amp;col=13&amp;number=&amp;sourceID=11","")</f>
        <v/>
      </c>
      <c r="N132" s="4" t="str">
        <f>HYPERLINK("http://141.218.60.56/~jnz1568/getInfo.php?workbook=02_01.xlsx&amp;sheet=A0&amp;row=132&amp;col=14&amp;number=2.1096e-05&amp;sourceID=12","2.1096e-05")</f>
        <v>2.1096e-05</v>
      </c>
      <c r="O132" s="4" t="str">
        <f>HYPERLINK("http://141.218.60.56/~jnz1568/getInfo.php?workbook=02_01.xlsx&amp;sheet=A0&amp;row=132&amp;col=15&amp;number=&amp;sourceID=12","")</f>
        <v/>
      </c>
      <c r="P132" s="4" t="str">
        <f>HYPERLINK("http://141.218.60.56/~jnz1568/getInfo.php?workbook=02_01.xlsx&amp;sheet=A0&amp;row=132&amp;col=16&amp;number=&amp;sourceID=12","")</f>
        <v/>
      </c>
      <c r="Q132" s="4" t="str">
        <f>HYPERLINK("http://141.218.60.56/~jnz1568/getInfo.php?workbook=02_01.xlsx&amp;sheet=A0&amp;row=132&amp;col=17&amp;number=1.9709e-05&amp;sourceID=12","1.9709e-05")</f>
        <v>1.9709e-05</v>
      </c>
      <c r="R132" s="4" t="str">
        <f>HYPERLINK("http://141.218.60.56/~jnz1568/getInfo.php?workbook=02_01.xlsx&amp;sheet=A0&amp;row=132&amp;col=18&amp;number=&amp;sourceID=12","")</f>
        <v/>
      </c>
      <c r="S132" s="4" t="str">
        <f>HYPERLINK("http://141.218.60.56/~jnz1568/getInfo.php?workbook=02_01.xlsx&amp;sheet=A0&amp;row=132&amp;col=19&amp;number=1.3869e-06&amp;sourceID=12","1.3869e-06")</f>
        <v>1.3869e-06</v>
      </c>
      <c r="T132" s="4" t="str">
        <f>HYPERLINK("http://141.218.60.56/~jnz1568/getInfo.php?workbook=02_01.xlsx&amp;sheet=A0&amp;row=132&amp;col=20&amp;number=&amp;sourceID=12","")</f>
        <v/>
      </c>
      <c r="U132" s="4" t="str">
        <f>HYPERLINK("http://141.218.60.56/~jnz1568/getInfo.php?workbook=02_01.xlsx&amp;sheet=A0&amp;row=132&amp;col=21&amp;number=&amp;sourceID=13","")</f>
        <v/>
      </c>
      <c r="V132" s="4" t="str">
        <f>HYPERLINK("http://141.218.60.56/~jnz1568/getInfo.php?workbook=02_01.xlsx&amp;sheet=A0&amp;row=132&amp;col=22&amp;number=&amp;sourceID=13","")</f>
        <v/>
      </c>
      <c r="W132" s="4" t="str">
        <f>HYPERLINK("http://141.218.60.56/~jnz1568/getInfo.php?workbook=02_01.xlsx&amp;sheet=A0&amp;row=132&amp;col=23&amp;number=&amp;sourceID=13","")</f>
        <v/>
      </c>
      <c r="X132" s="4" t="str">
        <f>HYPERLINK("http://141.218.60.56/~jnz1568/getInfo.php?workbook=02_01.xlsx&amp;sheet=A0&amp;row=132&amp;col=24&amp;number=&amp;sourceID=13","")</f>
        <v/>
      </c>
      <c r="Y132" s="4" t="str">
        <f>HYPERLINK("http://141.218.60.56/~jnz1568/getInfo.php?workbook=02_01.xlsx&amp;sheet=A0&amp;row=132&amp;col=25&amp;number=&amp;sourceID=13","")</f>
        <v/>
      </c>
      <c r="Z132" s="4" t="str">
        <f>HYPERLINK("http://141.218.60.56/~jnz1568/getInfo.php?workbook=02_01.xlsx&amp;sheet=A0&amp;row=132&amp;col=26&amp;number=&amp;sourceID=13","")</f>
        <v/>
      </c>
      <c r="AA132" s="4" t="str">
        <f>HYPERLINK("http://141.218.60.56/~jnz1568/getInfo.php?workbook=02_01.xlsx&amp;sheet=A0&amp;row=132&amp;col=27&amp;number=&amp;sourceID=20","")</f>
        <v/>
      </c>
    </row>
    <row r="133" spans="1:27">
      <c r="A133" s="3">
        <v>2</v>
      </c>
      <c r="B133" s="3">
        <v>1</v>
      </c>
      <c r="C133" s="3">
        <v>17</v>
      </c>
      <c r="D133" s="3">
        <v>16</v>
      </c>
      <c r="E133" s="3">
        <f>((1/(INDEX(E0!J$4:J$28,C133,1)-INDEX(E0!J$4:J$28,D133,1))))*100000000</f>
        <v>0</v>
      </c>
      <c r="F133" s="4" t="str">
        <f>HYPERLINK("http://141.218.60.56/~jnz1568/getInfo.php?workbook=02_01.xlsx&amp;sheet=A0&amp;row=133&amp;col=6&amp;number=&amp;sourceID=18","")</f>
        <v/>
      </c>
      <c r="G133" s="4" t="str">
        <f>HYPERLINK("http://141.218.60.56/~jnz1568/getInfo.php?workbook=02_01.xlsx&amp;sheet=A0&amp;row=133&amp;col=7&amp;number==&amp;sourceID=11","=")</f>
        <v>=</v>
      </c>
      <c r="H133" s="4" t="str">
        <f>HYPERLINK("http://141.218.60.56/~jnz1568/getInfo.php?workbook=02_01.xlsx&amp;sheet=A0&amp;row=133&amp;col=8&amp;number=&amp;sourceID=11","")</f>
        <v/>
      </c>
      <c r="I133" s="4" t="str">
        <f>HYPERLINK("http://141.218.60.56/~jnz1568/getInfo.php?workbook=02_01.xlsx&amp;sheet=A0&amp;row=133&amp;col=9&amp;number=&amp;sourceID=11","")</f>
        <v/>
      </c>
      <c r="J133" s="4" t="str">
        <f>HYPERLINK("http://141.218.60.56/~jnz1568/getInfo.php?workbook=02_01.xlsx&amp;sheet=A0&amp;row=133&amp;col=10&amp;number=&amp;sourceID=11","")</f>
        <v/>
      </c>
      <c r="K133" s="4" t="str">
        <f>HYPERLINK("http://141.218.60.56/~jnz1568/getInfo.php?workbook=02_01.xlsx&amp;sheet=A0&amp;row=133&amp;col=11&amp;number=&amp;sourceID=11","")</f>
        <v/>
      </c>
      <c r="L133" s="4" t="str">
        <f>HYPERLINK("http://141.218.60.56/~jnz1568/getInfo.php?workbook=02_01.xlsx&amp;sheet=A0&amp;row=133&amp;col=12&amp;number=&amp;sourceID=11","")</f>
        <v/>
      </c>
      <c r="M133" s="4" t="str">
        <f>HYPERLINK("http://141.218.60.56/~jnz1568/getInfo.php?workbook=02_01.xlsx&amp;sheet=A0&amp;row=133&amp;col=13&amp;number=2.12e-12&amp;sourceID=11","2.12e-12")</f>
        <v>2.12e-12</v>
      </c>
      <c r="N133" s="4" t="str">
        <f>HYPERLINK("http://141.218.60.56/~jnz1568/getInfo.php?workbook=02_01.xlsx&amp;sheet=A0&amp;row=133&amp;col=14&amp;number=2.12e-12&amp;sourceID=12","2.12e-12")</f>
        <v>2.12e-12</v>
      </c>
      <c r="O133" s="4" t="str">
        <f>HYPERLINK("http://141.218.60.56/~jnz1568/getInfo.php?workbook=02_01.xlsx&amp;sheet=A0&amp;row=133&amp;col=15&amp;number=&amp;sourceID=12","")</f>
        <v/>
      </c>
      <c r="P133" s="4" t="str">
        <f>HYPERLINK("http://141.218.60.56/~jnz1568/getInfo.php?workbook=02_01.xlsx&amp;sheet=A0&amp;row=133&amp;col=16&amp;number=&amp;sourceID=12","")</f>
        <v/>
      </c>
      <c r="Q133" s="4" t="str">
        <f>HYPERLINK("http://141.218.60.56/~jnz1568/getInfo.php?workbook=02_01.xlsx&amp;sheet=A0&amp;row=133&amp;col=17&amp;number=&amp;sourceID=12","")</f>
        <v/>
      </c>
      <c r="R133" s="4" t="str">
        <f>HYPERLINK("http://141.218.60.56/~jnz1568/getInfo.php?workbook=02_01.xlsx&amp;sheet=A0&amp;row=133&amp;col=18&amp;number=&amp;sourceID=12","")</f>
        <v/>
      </c>
      <c r="S133" s="4" t="str">
        <f>HYPERLINK("http://141.218.60.56/~jnz1568/getInfo.php?workbook=02_01.xlsx&amp;sheet=A0&amp;row=133&amp;col=19&amp;number=&amp;sourceID=12","")</f>
        <v/>
      </c>
      <c r="T133" s="4" t="str">
        <f>HYPERLINK("http://141.218.60.56/~jnz1568/getInfo.php?workbook=02_01.xlsx&amp;sheet=A0&amp;row=133&amp;col=20&amp;number=2.12e-12&amp;sourceID=12","2.12e-12")</f>
        <v>2.12e-12</v>
      </c>
      <c r="U133" s="4" t="str">
        <f>HYPERLINK("http://141.218.60.56/~jnz1568/getInfo.php?workbook=02_01.xlsx&amp;sheet=A0&amp;row=133&amp;col=21&amp;number=&amp;sourceID=13","")</f>
        <v/>
      </c>
      <c r="V133" s="4" t="str">
        <f>HYPERLINK("http://141.218.60.56/~jnz1568/getInfo.php?workbook=02_01.xlsx&amp;sheet=A0&amp;row=133&amp;col=22&amp;number=&amp;sourceID=13","")</f>
        <v/>
      </c>
      <c r="W133" s="4" t="str">
        <f>HYPERLINK("http://141.218.60.56/~jnz1568/getInfo.php?workbook=02_01.xlsx&amp;sheet=A0&amp;row=133&amp;col=23&amp;number=&amp;sourceID=13","")</f>
        <v/>
      </c>
      <c r="X133" s="4" t="str">
        <f>HYPERLINK("http://141.218.60.56/~jnz1568/getInfo.php?workbook=02_01.xlsx&amp;sheet=A0&amp;row=133&amp;col=24&amp;number=&amp;sourceID=13","")</f>
        <v/>
      </c>
      <c r="Y133" s="4" t="str">
        <f>HYPERLINK("http://141.218.60.56/~jnz1568/getInfo.php?workbook=02_01.xlsx&amp;sheet=A0&amp;row=133&amp;col=25&amp;number=&amp;sourceID=13","")</f>
        <v/>
      </c>
      <c r="Z133" s="4" t="str">
        <f>HYPERLINK("http://141.218.60.56/~jnz1568/getInfo.php?workbook=02_01.xlsx&amp;sheet=A0&amp;row=133&amp;col=26&amp;number=&amp;sourceID=13","")</f>
        <v/>
      </c>
      <c r="AA133" s="4" t="str">
        <f>HYPERLINK("http://141.218.60.56/~jnz1568/getInfo.php?workbook=02_01.xlsx&amp;sheet=A0&amp;row=133&amp;col=27&amp;number=&amp;sourceID=20","")</f>
        <v/>
      </c>
    </row>
    <row r="134" spans="1:27">
      <c r="A134" s="3">
        <v>2</v>
      </c>
      <c r="B134" s="3">
        <v>1</v>
      </c>
      <c r="C134" s="3">
        <v>18</v>
      </c>
      <c r="D134" s="3">
        <v>1</v>
      </c>
      <c r="E134" s="3">
        <f>((1/(INDEX(E0!J$4:J$28,C134,1)-INDEX(E0!J$4:J$28,D134,1))))*100000000</f>
        <v>0</v>
      </c>
      <c r="F134" s="4" t="str">
        <f>HYPERLINK("http://141.218.60.56/~jnz1568/getInfo.php?workbook=02_01.xlsx&amp;sheet=A0&amp;row=134&amp;col=6&amp;number=&amp;sourceID=18","")</f>
        <v/>
      </c>
      <c r="G134" s="4" t="str">
        <f>HYPERLINK("http://141.218.60.56/~jnz1568/getInfo.php?workbook=02_01.xlsx&amp;sheet=A0&amp;row=134&amp;col=7&amp;number==&amp;sourceID=11","=")</f>
        <v>=</v>
      </c>
      <c r="H134" s="4" t="str">
        <f>HYPERLINK("http://141.218.60.56/~jnz1568/getInfo.php?workbook=02_01.xlsx&amp;sheet=A0&amp;row=134&amp;col=8&amp;number=&amp;sourceID=11","")</f>
        <v/>
      </c>
      <c r="I134" s="4" t="str">
        <f>HYPERLINK("http://141.218.60.56/~jnz1568/getInfo.php?workbook=02_01.xlsx&amp;sheet=A0&amp;row=134&amp;col=9&amp;number=&amp;sourceID=11","")</f>
        <v/>
      </c>
      <c r="J134" s="4" t="str">
        <f>HYPERLINK("http://141.218.60.56/~jnz1568/getInfo.php?workbook=02_01.xlsx&amp;sheet=A0&amp;row=134&amp;col=10&amp;number=&amp;sourceID=11","")</f>
        <v/>
      </c>
      <c r="K134" s="4" t="str">
        <f>HYPERLINK("http://141.218.60.56/~jnz1568/getInfo.php?workbook=02_01.xlsx&amp;sheet=A0&amp;row=134&amp;col=11&amp;number=0.00029409&amp;sourceID=11","0.00029409")</f>
        <v>0.00029409</v>
      </c>
      <c r="L134" s="4" t="str">
        <f>HYPERLINK("http://141.218.60.56/~jnz1568/getInfo.php?workbook=02_01.xlsx&amp;sheet=A0&amp;row=134&amp;col=12&amp;number=&amp;sourceID=11","")</f>
        <v/>
      </c>
      <c r="M134" s="4" t="str">
        <f>HYPERLINK("http://141.218.60.56/~jnz1568/getInfo.php?workbook=02_01.xlsx&amp;sheet=A0&amp;row=134&amp;col=13&amp;number=&amp;sourceID=11","")</f>
        <v/>
      </c>
      <c r="N134" s="4" t="str">
        <f>HYPERLINK("http://141.218.60.56/~jnz1568/getInfo.php?workbook=02_01.xlsx&amp;sheet=A0&amp;row=134&amp;col=14&amp;number=0.0002927&amp;sourceID=12","0.0002927")</f>
        <v>0.0002927</v>
      </c>
      <c r="O134" s="4" t="str">
        <f>HYPERLINK("http://141.218.60.56/~jnz1568/getInfo.php?workbook=02_01.xlsx&amp;sheet=A0&amp;row=134&amp;col=15&amp;number=&amp;sourceID=12","")</f>
        <v/>
      </c>
      <c r="P134" s="4" t="str">
        <f>HYPERLINK("http://141.218.60.56/~jnz1568/getInfo.php?workbook=02_01.xlsx&amp;sheet=A0&amp;row=134&amp;col=16&amp;number=&amp;sourceID=12","")</f>
        <v/>
      </c>
      <c r="Q134" s="4" t="str">
        <f>HYPERLINK("http://141.218.60.56/~jnz1568/getInfo.php?workbook=02_01.xlsx&amp;sheet=A0&amp;row=134&amp;col=17&amp;number=&amp;sourceID=12","")</f>
        <v/>
      </c>
      <c r="R134" s="4" t="str">
        <f>HYPERLINK("http://141.218.60.56/~jnz1568/getInfo.php?workbook=02_01.xlsx&amp;sheet=A0&amp;row=134&amp;col=18&amp;number=0.0002927&amp;sourceID=12","0.0002927")</f>
        <v>0.0002927</v>
      </c>
      <c r="S134" s="4" t="str">
        <f>HYPERLINK("http://141.218.60.56/~jnz1568/getInfo.php?workbook=02_01.xlsx&amp;sheet=A0&amp;row=134&amp;col=19&amp;number=&amp;sourceID=12","")</f>
        <v/>
      </c>
      <c r="T134" s="4" t="str">
        <f>HYPERLINK("http://141.218.60.56/~jnz1568/getInfo.php?workbook=02_01.xlsx&amp;sheet=A0&amp;row=134&amp;col=20&amp;number=&amp;sourceID=12","")</f>
        <v/>
      </c>
      <c r="U134" s="4" t="str">
        <f>HYPERLINK("http://141.218.60.56/~jnz1568/getInfo.php?workbook=02_01.xlsx&amp;sheet=A0&amp;row=134&amp;col=21&amp;number=&amp;sourceID=13","")</f>
        <v/>
      </c>
      <c r="V134" s="4" t="str">
        <f>HYPERLINK("http://141.218.60.56/~jnz1568/getInfo.php?workbook=02_01.xlsx&amp;sheet=A0&amp;row=134&amp;col=22&amp;number=&amp;sourceID=13","")</f>
        <v/>
      </c>
      <c r="W134" s="4" t="str">
        <f>HYPERLINK("http://141.218.60.56/~jnz1568/getInfo.php?workbook=02_01.xlsx&amp;sheet=A0&amp;row=134&amp;col=23&amp;number=&amp;sourceID=13","")</f>
        <v/>
      </c>
      <c r="X134" s="4" t="str">
        <f>HYPERLINK("http://141.218.60.56/~jnz1568/getInfo.php?workbook=02_01.xlsx&amp;sheet=A0&amp;row=134&amp;col=24&amp;number=&amp;sourceID=13","")</f>
        <v/>
      </c>
      <c r="Y134" s="4" t="str">
        <f>HYPERLINK("http://141.218.60.56/~jnz1568/getInfo.php?workbook=02_01.xlsx&amp;sheet=A0&amp;row=134&amp;col=25&amp;number=&amp;sourceID=13","")</f>
        <v/>
      </c>
      <c r="Z134" s="4" t="str">
        <f>HYPERLINK("http://141.218.60.56/~jnz1568/getInfo.php?workbook=02_01.xlsx&amp;sheet=A0&amp;row=134&amp;col=26&amp;number=&amp;sourceID=13","")</f>
        <v/>
      </c>
      <c r="AA134" s="4" t="str">
        <f>HYPERLINK("http://141.218.60.56/~jnz1568/getInfo.php?workbook=02_01.xlsx&amp;sheet=A0&amp;row=134&amp;col=27&amp;number=&amp;sourceID=20","")</f>
        <v/>
      </c>
    </row>
    <row r="135" spans="1:27">
      <c r="A135" s="3">
        <v>2</v>
      </c>
      <c r="B135" s="3">
        <v>1</v>
      </c>
      <c r="C135" s="3">
        <v>18</v>
      </c>
      <c r="D135" s="3">
        <v>2</v>
      </c>
      <c r="E135" s="3">
        <f>((1/(INDEX(E0!J$4:J$28,C135,1)-INDEX(E0!J$4:J$28,D135,1))))*100000000</f>
        <v>0</v>
      </c>
      <c r="F135" s="4" t="str">
        <f>HYPERLINK("http://141.218.60.56/~jnz1568/getInfo.php?workbook=02_01.xlsx&amp;sheet=A0&amp;row=135&amp;col=6&amp;number=&amp;sourceID=18","")</f>
        <v/>
      </c>
      <c r="G135" s="4" t="str">
        <f>HYPERLINK("http://141.218.60.56/~jnz1568/getInfo.php?workbook=02_01.xlsx&amp;sheet=A0&amp;row=135&amp;col=7&amp;number==&amp;sourceID=11","=")</f>
        <v>=</v>
      </c>
      <c r="H135" s="4" t="str">
        <f>HYPERLINK("http://141.218.60.56/~jnz1568/getInfo.php?workbook=02_01.xlsx&amp;sheet=A0&amp;row=135&amp;col=8&amp;number=6876300&amp;sourceID=11","6876300")</f>
        <v>6876300</v>
      </c>
      <c r="I135" s="4" t="str">
        <f>HYPERLINK("http://141.218.60.56/~jnz1568/getInfo.php?workbook=02_01.xlsx&amp;sheet=A0&amp;row=135&amp;col=9&amp;number=&amp;sourceID=11","")</f>
        <v/>
      </c>
      <c r="J135" s="4" t="str">
        <f>HYPERLINK("http://141.218.60.56/~jnz1568/getInfo.php?workbook=02_01.xlsx&amp;sheet=A0&amp;row=135&amp;col=10&amp;number=&amp;sourceID=11","")</f>
        <v/>
      </c>
      <c r="K135" s="4" t="str">
        <f>HYPERLINK("http://141.218.60.56/~jnz1568/getInfo.php?workbook=02_01.xlsx&amp;sheet=A0&amp;row=135&amp;col=11&amp;number=&amp;sourceID=11","")</f>
        <v/>
      </c>
      <c r="L135" s="4" t="str">
        <f>HYPERLINK("http://141.218.60.56/~jnz1568/getInfo.php?workbook=02_01.xlsx&amp;sheet=A0&amp;row=135&amp;col=12&amp;number=&amp;sourceID=11","")</f>
        <v/>
      </c>
      <c r="M135" s="4" t="str">
        <f>HYPERLINK("http://141.218.60.56/~jnz1568/getInfo.php?workbook=02_01.xlsx&amp;sheet=A0&amp;row=135&amp;col=13&amp;number=&amp;sourceID=11","")</f>
        <v/>
      </c>
      <c r="N135" s="4" t="str">
        <f>HYPERLINK("http://141.218.60.56/~jnz1568/getInfo.php?workbook=02_01.xlsx&amp;sheet=A0&amp;row=135&amp;col=14&amp;number=6877200&amp;sourceID=12","6877200")</f>
        <v>6877200</v>
      </c>
      <c r="O135" s="4" t="str">
        <f>HYPERLINK("http://141.218.60.56/~jnz1568/getInfo.php?workbook=02_01.xlsx&amp;sheet=A0&amp;row=135&amp;col=15&amp;number=6877200&amp;sourceID=12","6877200")</f>
        <v>6877200</v>
      </c>
      <c r="P135" s="4" t="str">
        <f>HYPERLINK("http://141.218.60.56/~jnz1568/getInfo.php?workbook=02_01.xlsx&amp;sheet=A0&amp;row=135&amp;col=16&amp;number=&amp;sourceID=12","")</f>
        <v/>
      </c>
      <c r="Q135" s="4" t="str">
        <f>HYPERLINK("http://141.218.60.56/~jnz1568/getInfo.php?workbook=02_01.xlsx&amp;sheet=A0&amp;row=135&amp;col=17&amp;number=&amp;sourceID=12","")</f>
        <v/>
      </c>
      <c r="R135" s="4" t="str">
        <f>HYPERLINK("http://141.218.60.56/~jnz1568/getInfo.php?workbook=02_01.xlsx&amp;sheet=A0&amp;row=135&amp;col=18&amp;number=&amp;sourceID=12","")</f>
        <v/>
      </c>
      <c r="S135" s="4" t="str">
        <f>HYPERLINK("http://141.218.60.56/~jnz1568/getInfo.php?workbook=02_01.xlsx&amp;sheet=A0&amp;row=135&amp;col=19&amp;number=&amp;sourceID=12","")</f>
        <v/>
      </c>
      <c r="T135" s="4" t="str">
        <f>HYPERLINK("http://141.218.60.56/~jnz1568/getInfo.php?workbook=02_01.xlsx&amp;sheet=A0&amp;row=135&amp;col=20&amp;number=&amp;sourceID=12","")</f>
        <v/>
      </c>
      <c r="U135" s="4" t="str">
        <f>HYPERLINK("http://141.218.60.56/~jnz1568/getInfo.php?workbook=02_01.xlsx&amp;sheet=A0&amp;row=135&amp;col=21&amp;number=&amp;sourceID=13","")</f>
        <v/>
      </c>
      <c r="V135" s="4" t="str">
        <f>HYPERLINK("http://141.218.60.56/~jnz1568/getInfo.php?workbook=02_01.xlsx&amp;sheet=A0&amp;row=135&amp;col=22&amp;number=&amp;sourceID=13","")</f>
        <v/>
      </c>
      <c r="W135" s="4" t="str">
        <f>HYPERLINK("http://141.218.60.56/~jnz1568/getInfo.php?workbook=02_01.xlsx&amp;sheet=A0&amp;row=135&amp;col=23&amp;number=&amp;sourceID=13","")</f>
        <v/>
      </c>
      <c r="X135" s="4" t="str">
        <f>HYPERLINK("http://141.218.60.56/~jnz1568/getInfo.php?workbook=02_01.xlsx&amp;sheet=A0&amp;row=135&amp;col=24&amp;number=&amp;sourceID=13","")</f>
        <v/>
      </c>
      <c r="Y135" s="4" t="str">
        <f>HYPERLINK("http://141.218.60.56/~jnz1568/getInfo.php?workbook=02_01.xlsx&amp;sheet=A0&amp;row=135&amp;col=25&amp;number=&amp;sourceID=13","")</f>
        <v/>
      </c>
      <c r="Z135" s="4" t="str">
        <f>HYPERLINK("http://141.218.60.56/~jnz1568/getInfo.php?workbook=02_01.xlsx&amp;sheet=A0&amp;row=135&amp;col=26&amp;number=&amp;sourceID=13","")</f>
        <v/>
      </c>
      <c r="AA135" s="4" t="str">
        <f>HYPERLINK("http://141.218.60.56/~jnz1568/getInfo.php?workbook=02_01.xlsx&amp;sheet=A0&amp;row=135&amp;col=27&amp;number=&amp;sourceID=20","")</f>
        <v/>
      </c>
    </row>
    <row r="136" spans="1:27">
      <c r="A136" s="3">
        <v>2</v>
      </c>
      <c r="B136" s="3">
        <v>1</v>
      </c>
      <c r="C136" s="3">
        <v>18</v>
      </c>
      <c r="D136" s="3">
        <v>3</v>
      </c>
      <c r="E136" s="3">
        <f>((1/(INDEX(E0!J$4:J$28,C136,1)-INDEX(E0!J$4:J$28,D136,1))))*100000000</f>
        <v>0</v>
      </c>
      <c r="F136" s="4" t="str">
        <f>HYPERLINK("http://141.218.60.56/~jnz1568/getInfo.php?workbook=02_01.xlsx&amp;sheet=A0&amp;row=136&amp;col=6&amp;number=&amp;sourceID=18","")</f>
        <v/>
      </c>
      <c r="G136" s="4" t="str">
        <f>HYPERLINK("http://141.218.60.56/~jnz1568/getInfo.php?workbook=02_01.xlsx&amp;sheet=A0&amp;row=136&amp;col=7&amp;number==&amp;sourceID=11","=")</f>
        <v>=</v>
      </c>
      <c r="H136" s="4" t="str">
        <f>HYPERLINK("http://141.218.60.56/~jnz1568/getInfo.php?workbook=02_01.xlsx&amp;sheet=A0&amp;row=136&amp;col=8&amp;number=&amp;sourceID=11","")</f>
        <v/>
      </c>
      <c r="I136" s="4" t="str">
        <f>HYPERLINK("http://141.218.60.56/~jnz1568/getInfo.php?workbook=02_01.xlsx&amp;sheet=A0&amp;row=136&amp;col=9&amp;number=&amp;sourceID=11","")</f>
        <v/>
      </c>
      <c r="J136" s="4" t="str">
        <f>HYPERLINK("http://141.218.60.56/~jnz1568/getInfo.php?workbook=02_01.xlsx&amp;sheet=A0&amp;row=136&amp;col=10&amp;number=&amp;sourceID=11","")</f>
        <v/>
      </c>
      <c r="K136" s="4" t="str">
        <f>HYPERLINK("http://141.218.60.56/~jnz1568/getInfo.php?workbook=02_01.xlsx&amp;sheet=A0&amp;row=136&amp;col=11&amp;number=1.1082e-06&amp;sourceID=11","1.1082e-06")</f>
        <v>1.1082e-06</v>
      </c>
      <c r="L136" s="4" t="str">
        <f>HYPERLINK("http://141.218.60.56/~jnz1568/getInfo.php?workbook=02_01.xlsx&amp;sheet=A0&amp;row=136&amp;col=12&amp;number=&amp;sourceID=11","")</f>
        <v/>
      </c>
      <c r="M136" s="4" t="str">
        <f>HYPERLINK("http://141.218.60.56/~jnz1568/getInfo.php?workbook=02_01.xlsx&amp;sheet=A0&amp;row=136&amp;col=13&amp;number=&amp;sourceID=11","")</f>
        <v/>
      </c>
      <c r="N136" s="4" t="str">
        <f>HYPERLINK("http://141.218.60.56/~jnz1568/getInfo.php?workbook=02_01.xlsx&amp;sheet=A0&amp;row=136&amp;col=14&amp;number=1.1044e-06&amp;sourceID=12","1.1044e-06")</f>
        <v>1.1044e-06</v>
      </c>
      <c r="O136" s="4" t="str">
        <f>HYPERLINK("http://141.218.60.56/~jnz1568/getInfo.php?workbook=02_01.xlsx&amp;sheet=A0&amp;row=136&amp;col=15&amp;number=&amp;sourceID=12","")</f>
        <v/>
      </c>
      <c r="P136" s="4" t="str">
        <f>HYPERLINK("http://141.218.60.56/~jnz1568/getInfo.php?workbook=02_01.xlsx&amp;sheet=A0&amp;row=136&amp;col=16&amp;number=&amp;sourceID=12","")</f>
        <v/>
      </c>
      <c r="Q136" s="4" t="str">
        <f>HYPERLINK("http://141.218.60.56/~jnz1568/getInfo.php?workbook=02_01.xlsx&amp;sheet=A0&amp;row=136&amp;col=17&amp;number=&amp;sourceID=12","")</f>
        <v/>
      </c>
      <c r="R136" s="4" t="str">
        <f>HYPERLINK("http://141.218.60.56/~jnz1568/getInfo.php?workbook=02_01.xlsx&amp;sheet=A0&amp;row=136&amp;col=18&amp;number=1.1044e-06&amp;sourceID=12","1.1044e-06")</f>
        <v>1.1044e-06</v>
      </c>
      <c r="S136" s="4" t="str">
        <f>HYPERLINK("http://141.218.60.56/~jnz1568/getInfo.php?workbook=02_01.xlsx&amp;sheet=A0&amp;row=136&amp;col=19&amp;number=&amp;sourceID=12","")</f>
        <v/>
      </c>
      <c r="T136" s="4" t="str">
        <f>HYPERLINK("http://141.218.60.56/~jnz1568/getInfo.php?workbook=02_01.xlsx&amp;sheet=A0&amp;row=136&amp;col=20&amp;number=&amp;sourceID=12","")</f>
        <v/>
      </c>
      <c r="U136" s="4" t="str">
        <f>HYPERLINK("http://141.218.60.56/~jnz1568/getInfo.php?workbook=02_01.xlsx&amp;sheet=A0&amp;row=136&amp;col=21&amp;number=&amp;sourceID=13","")</f>
        <v/>
      </c>
      <c r="V136" s="4" t="str">
        <f>HYPERLINK("http://141.218.60.56/~jnz1568/getInfo.php?workbook=02_01.xlsx&amp;sheet=A0&amp;row=136&amp;col=22&amp;number=&amp;sourceID=13","")</f>
        <v/>
      </c>
      <c r="W136" s="4" t="str">
        <f>HYPERLINK("http://141.218.60.56/~jnz1568/getInfo.php?workbook=02_01.xlsx&amp;sheet=A0&amp;row=136&amp;col=23&amp;number=&amp;sourceID=13","")</f>
        <v/>
      </c>
      <c r="X136" s="4" t="str">
        <f>HYPERLINK("http://141.218.60.56/~jnz1568/getInfo.php?workbook=02_01.xlsx&amp;sheet=A0&amp;row=136&amp;col=24&amp;number=&amp;sourceID=13","")</f>
        <v/>
      </c>
      <c r="Y136" s="4" t="str">
        <f>HYPERLINK("http://141.218.60.56/~jnz1568/getInfo.php?workbook=02_01.xlsx&amp;sheet=A0&amp;row=136&amp;col=25&amp;number=&amp;sourceID=13","")</f>
        <v/>
      </c>
      <c r="Z136" s="4" t="str">
        <f>HYPERLINK("http://141.218.60.56/~jnz1568/getInfo.php?workbook=02_01.xlsx&amp;sheet=A0&amp;row=136&amp;col=26&amp;number=&amp;sourceID=13","")</f>
        <v/>
      </c>
      <c r="AA136" s="4" t="str">
        <f>HYPERLINK("http://141.218.60.56/~jnz1568/getInfo.php?workbook=02_01.xlsx&amp;sheet=A0&amp;row=136&amp;col=27&amp;number=&amp;sourceID=20","")</f>
        <v/>
      </c>
    </row>
    <row r="137" spans="1:27">
      <c r="A137" s="3">
        <v>2</v>
      </c>
      <c r="B137" s="3">
        <v>1</v>
      </c>
      <c r="C137" s="3">
        <v>18</v>
      </c>
      <c r="D137" s="3">
        <v>4</v>
      </c>
      <c r="E137" s="3">
        <f>((1/(INDEX(E0!J$4:J$28,C137,1)-INDEX(E0!J$4:J$28,D137,1))))*100000000</f>
        <v>0</v>
      </c>
      <c r="F137" s="4" t="str">
        <f>HYPERLINK("http://141.218.60.56/~jnz1568/getInfo.php?workbook=02_01.xlsx&amp;sheet=A0&amp;row=137&amp;col=6&amp;number=&amp;sourceID=18","")</f>
        <v/>
      </c>
      <c r="G137" s="4" t="str">
        <f>HYPERLINK("http://141.218.60.56/~jnz1568/getInfo.php?workbook=02_01.xlsx&amp;sheet=A0&amp;row=137&amp;col=7&amp;number==&amp;sourceID=11","=")</f>
        <v>=</v>
      </c>
      <c r="H137" s="4" t="str">
        <f>HYPERLINK("http://141.218.60.56/~jnz1568/getInfo.php?workbook=02_01.xlsx&amp;sheet=A0&amp;row=137&amp;col=8&amp;number=13758000&amp;sourceID=11","13758000")</f>
        <v>13758000</v>
      </c>
      <c r="I137" s="4" t="str">
        <f>HYPERLINK("http://141.218.60.56/~jnz1568/getInfo.php?workbook=02_01.xlsx&amp;sheet=A0&amp;row=137&amp;col=9&amp;number=&amp;sourceID=11","")</f>
        <v/>
      </c>
      <c r="J137" s="4" t="str">
        <f>HYPERLINK("http://141.218.60.56/~jnz1568/getInfo.php?workbook=02_01.xlsx&amp;sheet=A0&amp;row=137&amp;col=10&amp;number=&amp;sourceID=11","")</f>
        <v/>
      </c>
      <c r="K137" s="4" t="str">
        <f>HYPERLINK("http://141.218.60.56/~jnz1568/getInfo.php?workbook=02_01.xlsx&amp;sheet=A0&amp;row=137&amp;col=11&amp;number=&amp;sourceID=11","")</f>
        <v/>
      </c>
      <c r="L137" s="4" t="str">
        <f>HYPERLINK("http://141.218.60.56/~jnz1568/getInfo.php?workbook=02_01.xlsx&amp;sheet=A0&amp;row=137&amp;col=12&amp;number=0.0012905&amp;sourceID=11","0.0012905")</f>
        <v>0.0012905</v>
      </c>
      <c r="M137" s="4" t="str">
        <f>HYPERLINK("http://141.218.60.56/~jnz1568/getInfo.php?workbook=02_01.xlsx&amp;sheet=A0&amp;row=137&amp;col=13&amp;number=&amp;sourceID=11","")</f>
        <v/>
      </c>
      <c r="N137" s="4" t="str">
        <f>HYPERLINK("http://141.218.60.56/~jnz1568/getInfo.php?workbook=02_01.xlsx&amp;sheet=A0&amp;row=137&amp;col=14&amp;number=13760000&amp;sourceID=12","13760000")</f>
        <v>13760000</v>
      </c>
      <c r="O137" s="4" t="str">
        <f>HYPERLINK("http://141.218.60.56/~jnz1568/getInfo.php?workbook=02_01.xlsx&amp;sheet=A0&amp;row=137&amp;col=15&amp;number=13760000&amp;sourceID=12","13760000")</f>
        <v>13760000</v>
      </c>
      <c r="P137" s="4" t="str">
        <f>HYPERLINK("http://141.218.60.56/~jnz1568/getInfo.php?workbook=02_01.xlsx&amp;sheet=A0&amp;row=137&amp;col=16&amp;number=&amp;sourceID=12","")</f>
        <v/>
      </c>
      <c r="Q137" s="4" t="str">
        <f>HYPERLINK("http://141.218.60.56/~jnz1568/getInfo.php?workbook=02_01.xlsx&amp;sheet=A0&amp;row=137&amp;col=17&amp;number=&amp;sourceID=12","")</f>
        <v/>
      </c>
      <c r="R137" s="4" t="str">
        <f>HYPERLINK("http://141.218.60.56/~jnz1568/getInfo.php?workbook=02_01.xlsx&amp;sheet=A0&amp;row=137&amp;col=18&amp;number=&amp;sourceID=12","")</f>
        <v/>
      </c>
      <c r="S137" s="4" t="str">
        <f>HYPERLINK("http://141.218.60.56/~jnz1568/getInfo.php?workbook=02_01.xlsx&amp;sheet=A0&amp;row=137&amp;col=19&amp;number=0.0012907&amp;sourceID=12","0.0012907")</f>
        <v>0.0012907</v>
      </c>
      <c r="T137" s="4" t="str">
        <f>HYPERLINK("http://141.218.60.56/~jnz1568/getInfo.php?workbook=02_01.xlsx&amp;sheet=A0&amp;row=137&amp;col=20&amp;number=&amp;sourceID=12","")</f>
        <v/>
      </c>
      <c r="U137" s="4" t="str">
        <f>HYPERLINK("http://141.218.60.56/~jnz1568/getInfo.php?workbook=02_01.xlsx&amp;sheet=A0&amp;row=137&amp;col=21&amp;number=&amp;sourceID=13","")</f>
        <v/>
      </c>
      <c r="V137" s="4" t="str">
        <f>HYPERLINK("http://141.218.60.56/~jnz1568/getInfo.php?workbook=02_01.xlsx&amp;sheet=A0&amp;row=137&amp;col=22&amp;number=&amp;sourceID=13","")</f>
        <v/>
      </c>
      <c r="W137" s="4" t="str">
        <f>HYPERLINK("http://141.218.60.56/~jnz1568/getInfo.php?workbook=02_01.xlsx&amp;sheet=A0&amp;row=137&amp;col=23&amp;number=&amp;sourceID=13","")</f>
        <v/>
      </c>
      <c r="X137" s="4" t="str">
        <f>HYPERLINK("http://141.218.60.56/~jnz1568/getInfo.php?workbook=02_01.xlsx&amp;sheet=A0&amp;row=137&amp;col=24&amp;number=&amp;sourceID=13","")</f>
        <v/>
      </c>
      <c r="Y137" s="4" t="str">
        <f>HYPERLINK("http://141.218.60.56/~jnz1568/getInfo.php?workbook=02_01.xlsx&amp;sheet=A0&amp;row=137&amp;col=25&amp;number=&amp;sourceID=13","")</f>
        <v/>
      </c>
      <c r="Z137" s="4" t="str">
        <f>HYPERLINK("http://141.218.60.56/~jnz1568/getInfo.php?workbook=02_01.xlsx&amp;sheet=A0&amp;row=137&amp;col=26&amp;number=&amp;sourceID=13","")</f>
        <v/>
      </c>
      <c r="AA137" s="4" t="str">
        <f>HYPERLINK("http://141.218.60.56/~jnz1568/getInfo.php?workbook=02_01.xlsx&amp;sheet=A0&amp;row=137&amp;col=27&amp;number=&amp;sourceID=20","")</f>
        <v/>
      </c>
    </row>
    <row r="138" spans="1:27">
      <c r="A138" s="3">
        <v>2</v>
      </c>
      <c r="B138" s="3">
        <v>1</v>
      </c>
      <c r="C138" s="3">
        <v>18</v>
      </c>
      <c r="D138" s="3">
        <v>5</v>
      </c>
      <c r="E138" s="3">
        <f>((1/(INDEX(E0!J$4:J$28,C138,1)-INDEX(E0!J$4:J$28,D138,1))))*100000000</f>
        <v>0</v>
      </c>
      <c r="F138" s="4" t="str">
        <f>HYPERLINK("http://141.218.60.56/~jnz1568/getInfo.php?workbook=02_01.xlsx&amp;sheet=A0&amp;row=138&amp;col=6&amp;number=&amp;sourceID=18","")</f>
        <v/>
      </c>
      <c r="G138" s="4" t="str">
        <f>HYPERLINK("http://141.218.60.56/~jnz1568/getInfo.php?workbook=02_01.xlsx&amp;sheet=A0&amp;row=138&amp;col=7&amp;number==&amp;sourceID=11","=")</f>
        <v>=</v>
      </c>
      <c r="H138" s="4" t="str">
        <f>HYPERLINK("http://141.218.60.56/~jnz1568/getInfo.php?workbook=02_01.xlsx&amp;sheet=A0&amp;row=138&amp;col=8&amp;number=4827500&amp;sourceID=11","4827500")</f>
        <v>4827500</v>
      </c>
      <c r="I138" s="4" t="str">
        <f>HYPERLINK("http://141.218.60.56/~jnz1568/getInfo.php?workbook=02_01.xlsx&amp;sheet=A0&amp;row=138&amp;col=9&amp;number=&amp;sourceID=11","")</f>
        <v/>
      </c>
      <c r="J138" s="4" t="str">
        <f>HYPERLINK("http://141.218.60.56/~jnz1568/getInfo.php?workbook=02_01.xlsx&amp;sheet=A0&amp;row=138&amp;col=10&amp;number=&amp;sourceID=11","")</f>
        <v/>
      </c>
      <c r="K138" s="4" t="str">
        <f>HYPERLINK("http://141.218.60.56/~jnz1568/getInfo.php?workbook=02_01.xlsx&amp;sheet=A0&amp;row=138&amp;col=11&amp;number=&amp;sourceID=11","")</f>
        <v/>
      </c>
      <c r="L138" s="4" t="str">
        <f>HYPERLINK("http://141.218.60.56/~jnz1568/getInfo.php?workbook=02_01.xlsx&amp;sheet=A0&amp;row=138&amp;col=12&amp;number=&amp;sourceID=11","")</f>
        <v/>
      </c>
      <c r="M138" s="4" t="str">
        <f>HYPERLINK("http://141.218.60.56/~jnz1568/getInfo.php?workbook=02_01.xlsx&amp;sheet=A0&amp;row=138&amp;col=13&amp;number=&amp;sourceID=11","")</f>
        <v/>
      </c>
      <c r="N138" s="4" t="str">
        <f>HYPERLINK("http://141.218.60.56/~jnz1568/getInfo.php?workbook=02_01.xlsx&amp;sheet=A0&amp;row=138&amp;col=14&amp;number=4828100&amp;sourceID=12","4828100")</f>
        <v>4828100</v>
      </c>
      <c r="O138" s="4" t="str">
        <f>HYPERLINK("http://141.218.60.56/~jnz1568/getInfo.php?workbook=02_01.xlsx&amp;sheet=A0&amp;row=138&amp;col=15&amp;number=4828100&amp;sourceID=12","4828100")</f>
        <v>4828100</v>
      </c>
      <c r="P138" s="4" t="str">
        <f>HYPERLINK("http://141.218.60.56/~jnz1568/getInfo.php?workbook=02_01.xlsx&amp;sheet=A0&amp;row=138&amp;col=16&amp;number=&amp;sourceID=12","")</f>
        <v/>
      </c>
      <c r="Q138" s="4" t="str">
        <f>HYPERLINK("http://141.218.60.56/~jnz1568/getInfo.php?workbook=02_01.xlsx&amp;sheet=A0&amp;row=138&amp;col=17&amp;number=&amp;sourceID=12","")</f>
        <v/>
      </c>
      <c r="R138" s="4" t="str">
        <f>HYPERLINK("http://141.218.60.56/~jnz1568/getInfo.php?workbook=02_01.xlsx&amp;sheet=A0&amp;row=138&amp;col=18&amp;number=&amp;sourceID=12","")</f>
        <v/>
      </c>
      <c r="S138" s="4" t="str">
        <f>HYPERLINK("http://141.218.60.56/~jnz1568/getInfo.php?workbook=02_01.xlsx&amp;sheet=A0&amp;row=138&amp;col=19&amp;number=&amp;sourceID=12","")</f>
        <v/>
      </c>
      <c r="T138" s="4" t="str">
        <f>HYPERLINK("http://141.218.60.56/~jnz1568/getInfo.php?workbook=02_01.xlsx&amp;sheet=A0&amp;row=138&amp;col=20&amp;number=&amp;sourceID=12","")</f>
        <v/>
      </c>
      <c r="U138" s="4" t="str">
        <f>HYPERLINK("http://141.218.60.56/~jnz1568/getInfo.php?workbook=02_01.xlsx&amp;sheet=A0&amp;row=138&amp;col=21&amp;number=&amp;sourceID=13","")</f>
        <v/>
      </c>
      <c r="V138" s="4" t="str">
        <f>HYPERLINK("http://141.218.60.56/~jnz1568/getInfo.php?workbook=02_01.xlsx&amp;sheet=A0&amp;row=138&amp;col=22&amp;number=&amp;sourceID=13","")</f>
        <v/>
      </c>
      <c r="W138" s="4" t="str">
        <f>HYPERLINK("http://141.218.60.56/~jnz1568/getInfo.php?workbook=02_01.xlsx&amp;sheet=A0&amp;row=138&amp;col=23&amp;number=&amp;sourceID=13","")</f>
        <v/>
      </c>
      <c r="X138" s="4" t="str">
        <f>HYPERLINK("http://141.218.60.56/~jnz1568/getInfo.php?workbook=02_01.xlsx&amp;sheet=A0&amp;row=138&amp;col=24&amp;number=&amp;sourceID=13","")</f>
        <v/>
      </c>
      <c r="Y138" s="4" t="str">
        <f>HYPERLINK("http://141.218.60.56/~jnz1568/getInfo.php?workbook=02_01.xlsx&amp;sheet=A0&amp;row=138&amp;col=25&amp;number=&amp;sourceID=13","")</f>
        <v/>
      </c>
      <c r="Z138" s="4" t="str">
        <f>HYPERLINK("http://141.218.60.56/~jnz1568/getInfo.php?workbook=02_01.xlsx&amp;sheet=A0&amp;row=138&amp;col=26&amp;number=&amp;sourceID=13","")</f>
        <v/>
      </c>
      <c r="AA138" s="4" t="str">
        <f>HYPERLINK("http://141.218.60.56/~jnz1568/getInfo.php?workbook=02_01.xlsx&amp;sheet=A0&amp;row=138&amp;col=27&amp;number=&amp;sourceID=20","")</f>
        <v/>
      </c>
    </row>
    <row r="139" spans="1:27">
      <c r="A139" s="3">
        <v>2</v>
      </c>
      <c r="B139" s="3">
        <v>1</v>
      </c>
      <c r="C139" s="3">
        <v>18</v>
      </c>
      <c r="D139" s="3">
        <v>6</v>
      </c>
      <c r="E139" s="3">
        <f>((1/(INDEX(E0!J$4:J$28,C139,1)-INDEX(E0!J$4:J$28,D139,1))))*100000000</f>
        <v>0</v>
      </c>
      <c r="F139" s="4" t="str">
        <f>HYPERLINK("http://141.218.60.56/~jnz1568/getInfo.php?workbook=02_01.xlsx&amp;sheet=A0&amp;row=139&amp;col=6&amp;number=&amp;sourceID=18","")</f>
        <v/>
      </c>
      <c r="G139" s="4" t="str">
        <f>HYPERLINK("http://141.218.60.56/~jnz1568/getInfo.php?workbook=02_01.xlsx&amp;sheet=A0&amp;row=139&amp;col=7&amp;number==&amp;sourceID=11","=")</f>
        <v>=</v>
      </c>
      <c r="H139" s="4" t="str">
        <f>HYPERLINK("http://141.218.60.56/~jnz1568/getInfo.php?workbook=02_01.xlsx&amp;sheet=A0&amp;row=139&amp;col=8&amp;number=&amp;sourceID=11","")</f>
        <v/>
      </c>
      <c r="I139" s="4" t="str">
        <f>HYPERLINK("http://141.218.60.56/~jnz1568/getInfo.php?workbook=02_01.xlsx&amp;sheet=A0&amp;row=139&amp;col=9&amp;number=&amp;sourceID=11","")</f>
        <v/>
      </c>
      <c r="J139" s="4" t="str">
        <f>HYPERLINK("http://141.218.60.56/~jnz1568/getInfo.php?workbook=02_01.xlsx&amp;sheet=A0&amp;row=139&amp;col=10&amp;number=&amp;sourceID=11","")</f>
        <v/>
      </c>
      <c r="K139" s="4" t="str">
        <f>HYPERLINK("http://141.218.60.56/~jnz1568/getInfo.php?workbook=02_01.xlsx&amp;sheet=A0&amp;row=139&amp;col=11&amp;number=2.65e-08&amp;sourceID=11","2.65e-08")</f>
        <v>2.65e-08</v>
      </c>
      <c r="L139" s="4" t="str">
        <f>HYPERLINK("http://141.218.60.56/~jnz1568/getInfo.php?workbook=02_01.xlsx&amp;sheet=A0&amp;row=139&amp;col=12&amp;number=&amp;sourceID=11","")</f>
        <v/>
      </c>
      <c r="M139" s="4" t="str">
        <f>HYPERLINK("http://141.218.60.56/~jnz1568/getInfo.php?workbook=02_01.xlsx&amp;sheet=A0&amp;row=139&amp;col=13&amp;number=&amp;sourceID=11","")</f>
        <v/>
      </c>
      <c r="N139" s="4" t="str">
        <f>HYPERLINK("http://141.218.60.56/~jnz1568/getInfo.php?workbook=02_01.xlsx&amp;sheet=A0&amp;row=139&amp;col=14&amp;number=2.651e-08&amp;sourceID=12","2.651e-08")</f>
        <v>2.651e-08</v>
      </c>
      <c r="O139" s="4" t="str">
        <f>HYPERLINK("http://141.218.60.56/~jnz1568/getInfo.php?workbook=02_01.xlsx&amp;sheet=A0&amp;row=139&amp;col=15&amp;number=&amp;sourceID=12","")</f>
        <v/>
      </c>
      <c r="P139" s="4" t="str">
        <f>HYPERLINK("http://141.218.60.56/~jnz1568/getInfo.php?workbook=02_01.xlsx&amp;sheet=A0&amp;row=139&amp;col=16&amp;number=&amp;sourceID=12","")</f>
        <v/>
      </c>
      <c r="Q139" s="4" t="str">
        <f>HYPERLINK("http://141.218.60.56/~jnz1568/getInfo.php?workbook=02_01.xlsx&amp;sheet=A0&amp;row=139&amp;col=17&amp;number=&amp;sourceID=12","")</f>
        <v/>
      </c>
      <c r="R139" s="4" t="str">
        <f>HYPERLINK("http://141.218.60.56/~jnz1568/getInfo.php?workbook=02_01.xlsx&amp;sheet=A0&amp;row=139&amp;col=18&amp;number=2.651e-08&amp;sourceID=12","2.651e-08")</f>
        <v>2.651e-08</v>
      </c>
      <c r="S139" s="4" t="str">
        <f>HYPERLINK("http://141.218.60.56/~jnz1568/getInfo.php?workbook=02_01.xlsx&amp;sheet=A0&amp;row=139&amp;col=19&amp;number=&amp;sourceID=12","")</f>
        <v/>
      </c>
      <c r="T139" s="4" t="str">
        <f>HYPERLINK("http://141.218.60.56/~jnz1568/getInfo.php?workbook=02_01.xlsx&amp;sheet=A0&amp;row=139&amp;col=20&amp;number=&amp;sourceID=12","")</f>
        <v/>
      </c>
      <c r="U139" s="4" t="str">
        <f>HYPERLINK("http://141.218.60.56/~jnz1568/getInfo.php?workbook=02_01.xlsx&amp;sheet=A0&amp;row=139&amp;col=21&amp;number=&amp;sourceID=13","")</f>
        <v/>
      </c>
      <c r="V139" s="4" t="str">
        <f>HYPERLINK("http://141.218.60.56/~jnz1568/getInfo.php?workbook=02_01.xlsx&amp;sheet=A0&amp;row=139&amp;col=22&amp;number=&amp;sourceID=13","")</f>
        <v/>
      </c>
      <c r="W139" s="4" t="str">
        <f>HYPERLINK("http://141.218.60.56/~jnz1568/getInfo.php?workbook=02_01.xlsx&amp;sheet=A0&amp;row=139&amp;col=23&amp;number=&amp;sourceID=13","")</f>
        <v/>
      </c>
      <c r="X139" s="4" t="str">
        <f>HYPERLINK("http://141.218.60.56/~jnz1568/getInfo.php?workbook=02_01.xlsx&amp;sheet=A0&amp;row=139&amp;col=24&amp;number=&amp;sourceID=13","")</f>
        <v/>
      </c>
      <c r="Y139" s="4" t="str">
        <f>HYPERLINK("http://141.218.60.56/~jnz1568/getInfo.php?workbook=02_01.xlsx&amp;sheet=A0&amp;row=139&amp;col=25&amp;number=&amp;sourceID=13","")</f>
        <v/>
      </c>
      <c r="Z139" s="4" t="str">
        <f>HYPERLINK("http://141.218.60.56/~jnz1568/getInfo.php?workbook=02_01.xlsx&amp;sheet=A0&amp;row=139&amp;col=26&amp;number=&amp;sourceID=13","")</f>
        <v/>
      </c>
      <c r="AA139" s="4" t="str">
        <f>HYPERLINK("http://141.218.60.56/~jnz1568/getInfo.php?workbook=02_01.xlsx&amp;sheet=A0&amp;row=139&amp;col=27&amp;number=&amp;sourceID=20","")</f>
        <v/>
      </c>
    </row>
    <row r="140" spans="1:27">
      <c r="A140" s="3">
        <v>2</v>
      </c>
      <c r="B140" s="3">
        <v>1</v>
      </c>
      <c r="C140" s="3">
        <v>18</v>
      </c>
      <c r="D140" s="3">
        <v>7</v>
      </c>
      <c r="E140" s="3">
        <f>((1/(INDEX(E0!J$4:J$28,C140,1)-INDEX(E0!J$4:J$28,D140,1))))*100000000</f>
        <v>0</v>
      </c>
      <c r="F140" s="4" t="str">
        <f>HYPERLINK("http://141.218.60.56/~jnz1568/getInfo.php?workbook=02_01.xlsx&amp;sheet=A0&amp;row=140&amp;col=6&amp;number=&amp;sourceID=18","")</f>
        <v/>
      </c>
      <c r="G140" s="4" t="str">
        <f>HYPERLINK("http://141.218.60.56/~jnz1568/getInfo.php?workbook=02_01.xlsx&amp;sheet=A0&amp;row=140&amp;col=7&amp;number==&amp;sourceID=11","=")</f>
        <v>=</v>
      </c>
      <c r="H140" s="4" t="str">
        <f>HYPERLINK("http://141.218.60.56/~jnz1568/getInfo.php?workbook=02_01.xlsx&amp;sheet=A0&amp;row=140&amp;col=8&amp;number=&amp;sourceID=11","")</f>
        <v/>
      </c>
      <c r="I140" s="4" t="str">
        <f>HYPERLINK("http://141.218.60.56/~jnz1568/getInfo.php?workbook=02_01.xlsx&amp;sheet=A0&amp;row=140&amp;col=9&amp;number=16.363&amp;sourceID=11","16.363")</f>
        <v>16.363</v>
      </c>
      <c r="J140" s="4" t="str">
        <f>HYPERLINK("http://141.218.60.56/~jnz1568/getInfo.php?workbook=02_01.xlsx&amp;sheet=A0&amp;row=140&amp;col=10&amp;number=&amp;sourceID=11","")</f>
        <v/>
      </c>
      <c r="K140" s="4" t="str">
        <f>HYPERLINK("http://141.218.60.56/~jnz1568/getInfo.php?workbook=02_01.xlsx&amp;sheet=A0&amp;row=140&amp;col=11&amp;number=3.466e-12&amp;sourceID=11","3.466e-12")</f>
        <v>3.466e-12</v>
      </c>
      <c r="L140" s="4" t="str">
        <f>HYPERLINK("http://141.218.60.56/~jnz1568/getInfo.php?workbook=02_01.xlsx&amp;sheet=A0&amp;row=140&amp;col=12&amp;number=&amp;sourceID=11","")</f>
        <v/>
      </c>
      <c r="M140" s="4" t="str">
        <f>HYPERLINK("http://141.218.60.56/~jnz1568/getInfo.php?workbook=02_01.xlsx&amp;sheet=A0&amp;row=140&amp;col=13&amp;number=&amp;sourceID=11","")</f>
        <v/>
      </c>
      <c r="N140" s="4" t="str">
        <f>HYPERLINK("http://141.218.60.56/~jnz1568/getInfo.php?workbook=02_01.xlsx&amp;sheet=A0&amp;row=140&amp;col=14&amp;number=16.365&amp;sourceID=12","16.365")</f>
        <v>16.365</v>
      </c>
      <c r="O140" s="4" t="str">
        <f>HYPERLINK("http://141.218.60.56/~jnz1568/getInfo.php?workbook=02_01.xlsx&amp;sheet=A0&amp;row=140&amp;col=15&amp;number=&amp;sourceID=12","")</f>
        <v/>
      </c>
      <c r="P140" s="4" t="str">
        <f>HYPERLINK("http://141.218.60.56/~jnz1568/getInfo.php?workbook=02_01.xlsx&amp;sheet=A0&amp;row=140&amp;col=16&amp;number=16.365&amp;sourceID=12","16.365")</f>
        <v>16.365</v>
      </c>
      <c r="Q140" s="4" t="str">
        <f>HYPERLINK("http://141.218.60.56/~jnz1568/getInfo.php?workbook=02_01.xlsx&amp;sheet=A0&amp;row=140&amp;col=17&amp;number=&amp;sourceID=12","")</f>
        <v/>
      </c>
      <c r="R140" s="4" t="str">
        <f>HYPERLINK("http://141.218.60.56/~jnz1568/getInfo.php?workbook=02_01.xlsx&amp;sheet=A0&amp;row=140&amp;col=18&amp;number=3.162e-12&amp;sourceID=12","3.162e-12")</f>
        <v>3.162e-12</v>
      </c>
      <c r="S140" s="4" t="str">
        <f>HYPERLINK("http://141.218.60.56/~jnz1568/getInfo.php?workbook=02_01.xlsx&amp;sheet=A0&amp;row=140&amp;col=19&amp;number=&amp;sourceID=12","")</f>
        <v/>
      </c>
      <c r="T140" s="4" t="str">
        <f>HYPERLINK("http://141.218.60.56/~jnz1568/getInfo.php?workbook=02_01.xlsx&amp;sheet=A0&amp;row=140&amp;col=20&amp;number=&amp;sourceID=12","")</f>
        <v/>
      </c>
      <c r="U140" s="4" t="str">
        <f>HYPERLINK("http://141.218.60.56/~jnz1568/getInfo.php?workbook=02_01.xlsx&amp;sheet=A0&amp;row=140&amp;col=21&amp;number=&amp;sourceID=13","")</f>
        <v/>
      </c>
      <c r="V140" s="4" t="str">
        <f>HYPERLINK("http://141.218.60.56/~jnz1568/getInfo.php?workbook=02_01.xlsx&amp;sheet=A0&amp;row=140&amp;col=22&amp;number=&amp;sourceID=13","")</f>
        <v/>
      </c>
      <c r="W140" s="4" t="str">
        <f>HYPERLINK("http://141.218.60.56/~jnz1568/getInfo.php?workbook=02_01.xlsx&amp;sheet=A0&amp;row=140&amp;col=23&amp;number=&amp;sourceID=13","")</f>
        <v/>
      </c>
      <c r="X140" s="4" t="str">
        <f>HYPERLINK("http://141.218.60.56/~jnz1568/getInfo.php?workbook=02_01.xlsx&amp;sheet=A0&amp;row=140&amp;col=24&amp;number=&amp;sourceID=13","")</f>
        <v/>
      </c>
      <c r="Y140" s="4" t="str">
        <f>HYPERLINK("http://141.218.60.56/~jnz1568/getInfo.php?workbook=02_01.xlsx&amp;sheet=A0&amp;row=140&amp;col=25&amp;number=&amp;sourceID=13","")</f>
        <v/>
      </c>
      <c r="Z140" s="4" t="str">
        <f>HYPERLINK("http://141.218.60.56/~jnz1568/getInfo.php?workbook=02_01.xlsx&amp;sheet=A0&amp;row=140&amp;col=26&amp;number=&amp;sourceID=13","")</f>
        <v/>
      </c>
      <c r="AA140" s="4" t="str">
        <f>HYPERLINK("http://141.218.60.56/~jnz1568/getInfo.php?workbook=02_01.xlsx&amp;sheet=A0&amp;row=140&amp;col=27&amp;number=&amp;sourceID=20","")</f>
        <v/>
      </c>
    </row>
    <row r="141" spans="1:27">
      <c r="A141" s="3">
        <v>2</v>
      </c>
      <c r="B141" s="3">
        <v>1</v>
      </c>
      <c r="C141" s="3">
        <v>18</v>
      </c>
      <c r="D141" s="3">
        <v>8</v>
      </c>
      <c r="E141" s="3">
        <f>((1/(INDEX(E0!J$4:J$28,C141,1)-INDEX(E0!J$4:J$28,D141,1))))*100000000</f>
        <v>0</v>
      </c>
      <c r="F141" s="4" t="str">
        <f>HYPERLINK("http://141.218.60.56/~jnz1568/getInfo.php?workbook=02_01.xlsx&amp;sheet=A0&amp;row=141&amp;col=6&amp;number=&amp;sourceID=18","")</f>
        <v/>
      </c>
      <c r="G141" s="4" t="str">
        <f>HYPERLINK("http://141.218.60.56/~jnz1568/getInfo.php?workbook=02_01.xlsx&amp;sheet=A0&amp;row=141&amp;col=7&amp;number==&amp;sourceID=11","=")</f>
        <v>=</v>
      </c>
      <c r="H141" s="4" t="str">
        <f>HYPERLINK("http://141.218.60.56/~jnz1568/getInfo.php?workbook=02_01.xlsx&amp;sheet=A0&amp;row=141&amp;col=8&amp;number=9658500&amp;sourceID=11","9658500")</f>
        <v>9658500</v>
      </c>
      <c r="I141" s="4" t="str">
        <f>HYPERLINK("http://141.218.60.56/~jnz1568/getInfo.php?workbook=02_01.xlsx&amp;sheet=A0&amp;row=141&amp;col=9&amp;number=&amp;sourceID=11","")</f>
        <v/>
      </c>
      <c r="J141" s="4" t="str">
        <f>HYPERLINK("http://141.218.60.56/~jnz1568/getInfo.php?workbook=02_01.xlsx&amp;sheet=A0&amp;row=141&amp;col=10&amp;number=&amp;sourceID=11","")</f>
        <v/>
      </c>
      <c r="K141" s="4" t="str">
        <f>HYPERLINK("http://141.218.60.56/~jnz1568/getInfo.php?workbook=02_01.xlsx&amp;sheet=A0&amp;row=141&amp;col=11&amp;number=&amp;sourceID=11","")</f>
        <v/>
      </c>
      <c r="L141" s="4" t="str">
        <f>HYPERLINK("http://141.218.60.56/~jnz1568/getInfo.php?workbook=02_01.xlsx&amp;sheet=A0&amp;row=141&amp;col=12&amp;number=0.00010388&amp;sourceID=11","0.00010388")</f>
        <v>0.00010388</v>
      </c>
      <c r="M141" s="4" t="str">
        <f>HYPERLINK("http://141.218.60.56/~jnz1568/getInfo.php?workbook=02_01.xlsx&amp;sheet=A0&amp;row=141&amp;col=13&amp;number=&amp;sourceID=11","")</f>
        <v/>
      </c>
      <c r="N141" s="4" t="str">
        <f>HYPERLINK("http://141.218.60.56/~jnz1568/getInfo.php?workbook=02_01.xlsx&amp;sheet=A0&amp;row=141&amp;col=14&amp;number=9659900&amp;sourceID=12","9659900")</f>
        <v>9659900</v>
      </c>
      <c r="O141" s="4" t="str">
        <f>HYPERLINK("http://141.218.60.56/~jnz1568/getInfo.php?workbook=02_01.xlsx&amp;sheet=A0&amp;row=141&amp;col=15&amp;number=9659900&amp;sourceID=12","9659900")</f>
        <v>9659900</v>
      </c>
      <c r="P141" s="4" t="str">
        <f>HYPERLINK("http://141.218.60.56/~jnz1568/getInfo.php?workbook=02_01.xlsx&amp;sheet=A0&amp;row=141&amp;col=16&amp;number=&amp;sourceID=12","")</f>
        <v/>
      </c>
      <c r="Q141" s="4" t="str">
        <f>HYPERLINK("http://141.218.60.56/~jnz1568/getInfo.php?workbook=02_01.xlsx&amp;sheet=A0&amp;row=141&amp;col=17&amp;number=&amp;sourceID=12","")</f>
        <v/>
      </c>
      <c r="R141" s="4" t="str">
        <f>HYPERLINK("http://141.218.60.56/~jnz1568/getInfo.php?workbook=02_01.xlsx&amp;sheet=A0&amp;row=141&amp;col=18&amp;number=&amp;sourceID=12","")</f>
        <v/>
      </c>
      <c r="S141" s="4" t="str">
        <f>HYPERLINK("http://141.218.60.56/~jnz1568/getInfo.php?workbook=02_01.xlsx&amp;sheet=A0&amp;row=141&amp;col=19&amp;number=0.00010389&amp;sourceID=12","0.00010389")</f>
        <v>0.00010389</v>
      </c>
      <c r="T141" s="4" t="str">
        <f>HYPERLINK("http://141.218.60.56/~jnz1568/getInfo.php?workbook=02_01.xlsx&amp;sheet=A0&amp;row=141&amp;col=20&amp;number=&amp;sourceID=12","")</f>
        <v/>
      </c>
      <c r="U141" s="4" t="str">
        <f>HYPERLINK("http://141.218.60.56/~jnz1568/getInfo.php?workbook=02_01.xlsx&amp;sheet=A0&amp;row=141&amp;col=21&amp;number=&amp;sourceID=13","")</f>
        <v/>
      </c>
      <c r="V141" s="4" t="str">
        <f>HYPERLINK("http://141.218.60.56/~jnz1568/getInfo.php?workbook=02_01.xlsx&amp;sheet=A0&amp;row=141&amp;col=22&amp;number=&amp;sourceID=13","")</f>
        <v/>
      </c>
      <c r="W141" s="4" t="str">
        <f>HYPERLINK("http://141.218.60.56/~jnz1568/getInfo.php?workbook=02_01.xlsx&amp;sheet=A0&amp;row=141&amp;col=23&amp;number=&amp;sourceID=13","")</f>
        <v/>
      </c>
      <c r="X141" s="4" t="str">
        <f>HYPERLINK("http://141.218.60.56/~jnz1568/getInfo.php?workbook=02_01.xlsx&amp;sheet=A0&amp;row=141&amp;col=24&amp;number=&amp;sourceID=13","")</f>
        <v/>
      </c>
      <c r="Y141" s="4" t="str">
        <f>HYPERLINK("http://141.218.60.56/~jnz1568/getInfo.php?workbook=02_01.xlsx&amp;sheet=A0&amp;row=141&amp;col=25&amp;number=&amp;sourceID=13","")</f>
        <v/>
      </c>
      <c r="Z141" s="4" t="str">
        <f>HYPERLINK("http://141.218.60.56/~jnz1568/getInfo.php?workbook=02_01.xlsx&amp;sheet=A0&amp;row=141&amp;col=26&amp;number=&amp;sourceID=13","")</f>
        <v/>
      </c>
      <c r="AA141" s="4" t="str">
        <f>HYPERLINK("http://141.218.60.56/~jnz1568/getInfo.php?workbook=02_01.xlsx&amp;sheet=A0&amp;row=141&amp;col=27&amp;number=&amp;sourceID=20","")</f>
        <v/>
      </c>
    </row>
    <row r="142" spans="1:27">
      <c r="A142" s="3">
        <v>2</v>
      </c>
      <c r="B142" s="3">
        <v>1</v>
      </c>
      <c r="C142" s="3">
        <v>18</v>
      </c>
      <c r="D142" s="3">
        <v>9</v>
      </c>
      <c r="E142" s="3">
        <f>((1/(INDEX(E0!J$4:J$28,C142,1)-INDEX(E0!J$4:J$28,D142,1))))*100000000</f>
        <v>0</v>
      </c>
      <c r="F142" s="4" t="str">
        <f>HYPERLINK("http://141.218.60.56/~jnz1568/getInfo.php?workbook=02_01.xlsx&amp;sheet=A0&amp;row=142&amp;col=6&amp;number=&amp;sourceID=18","")</f>
        <v/>
      </c>
      <c r="G142" s="4" t="str">
        <f>HYPERLINK("http://141.218.60.56/~jnz1568/getInfo.php?workbook=02_01.xlsx&amp;sheet=A0&amp;row=142&amp;col=7&amp;number==&amp;sourceID=11","=")</f>
        <v>=</v>
      </c>
      <c r="H142" s="4" t="str">
        <f>HYPERLINK("http://141.218.60.56/~jnz1568/getInfo.php?workbook=02_01.xlsx&amp;sheet=A0&amp;row=142&amp;col=8&amp;number=&amp;sourceID=11","")</f>
        <v/>
      </c>
      <c r="I142" s="4" t="str">
        <f>HYPERLINK("http://141.218.60.56/~jnz1568/getInfo.php?workbook=02_01.xlsx&amp;sheet=A0&amp;row=142&amp;col=9&amp;number=24.544&amp;sourceID=11","24.544")</f>
        <v>24.544</v>
      </c>
      <c r="J142" s="4" t="str">
        <f>HYPERLINK("http://141.218.60.56/~jnz1568/getInfo.php?workbook=02_01.xlsx&amp;sheet=A0&amp;row=142&amp;col=10&amp;number=&amp;sourceID=11","")</f>
        <v/>
      </c>
      <c r="K142" s="4" t="str">
        <f>HYPERLINK("http://141.218.60.56/~jnz1568/getInfo.php?workbook=02_01.xlsx&amp;sheet=A0&amp;row=142&amp;col=11&amp;number=&amp;sourceID=11","")</f>
        <v/>
      </c>
      <c r="L142" s="4" t="str">
        <f>HYPERLINK("http://141.218.60.56/~jnz1568/getInfo.php?workbook=02_01.xlsx&amp;sheet=A0&amp;row=142&amp;col=12&amp;number=&amp;sourceID=11","")</f>
        <v/>
      </c>
      <c r="M142" s="4" t="str">
        <f>HYPERLINK("http://141.218.60.56/~jnz1568/getInfo.php?workbook=02_01.xlsx&amp;sheet=A0&amp;row=142&amp;col=13&amp;number=3.1284e-10&amp;sourceID=11","3.1284e-10")</f>
        <v>3.1284e-10</v>
      </c>
      <c r="N142" s="4" t="str">
        <f>HYPERLINK("http://141.218.60.56/~jnz1568/getInfo.php?workbook=02_01.xlsx&amp;sheet=A0&amp;row=142&amp;col=14&amp;number=24.548&amp;sourceID=12","24.548")</f>
        <v>24.548</v>
      </c>
      <c r="O142" s="4" t="str">
        <f>HYPERLINK("http://141.218.60.56/~jnz1568/getInfo.php?workbook=02_01.xlsx&amp;sheet=A0&amp;row=142&amp;col=15&amp;number=&amp;sourceID=12","")</f>
        <v/>
      </c>
      <c r="P142" s="4" t="str">
        <f>HYPERLINK("http://141.218.60.56/~jnz1568/getInfo.php?workbook=02_01.xlsx&amp;sheet=A0&amp;row=142&amp;col=16&amp;number=24.548&amp;sourceID=12","24.548")</f>
        <v>24.548</v>
      </c>
      <c r="Q142" s="4" t="str">
        <f>HYPERLINK("http://141.218.60.56/~jnz1568/getInfo.php?workbook=02_01.xlsx&amp;sheet=A0&amp;row=142&amp;col=17&amp;number=&amp;sourceID=12","")</f>
        <v/>
      </c>
      <c r="R142" s="4" t="str">
        <f>HYPERLINK("http://141.218.60.56/~jnz1568/getInfo.php?workbook=02_01.xlsx&amp;sheet=A0&amp;row=142&amp;col=18&amp;number=&amp;sourceID=12","")</f>
        <v/>
      </c>
      <c r="S142" s="4" t="str">
        <f>HYPERLINK("http://141.218.60.56/~jnz1568/getInfo.php?workbook=02_01.xlsx&amp;sheet=A0&amp;row=142&amp;col=19&amp;number=&amp;sourceID=12","")</f>
        <v/>
      </c>
      <c r="T142" s="4" t="str">
        <f>HYPERLINK("http://141.218.60.56/~jnz1568/getInfo.php?workbook=02_01.xlsx&amp;sheet=A0&amp;row=142&amp;col=20&amp;number=3.1289e-10&amp;sourceID=12","3.1289e-10")</f>
        <v>3.1289e-10</v>
      </c>
      <c r="U142" s="4" t="str">
        <f>HYPERLINK("http://141.218.60.56/~jnz1568/getInfo.php?workbook=02_01.xlsx&amp;sheet=A0&amp;row=142&amp;col=21&amp;number=&amp;sourceID=13","")</f>
        <v/>
      </c>
      <c r="V142" s="4" t="str">
        <f>HYPERLINK("http://141.218.60.56/~jnz1568/getInfo.php?workbook=02_01.xlsx&amp;sheet=A0&amp;row=142&amp;col=22&amp;number=&amp;sourceID=13","")</f>
        <v/>
      </c>
      <c r="W142" s="4" t="str">
        <f>HYPERLINK("http://141.218.60.56/~jnz1568/getInfo.php?workbook=02_01.xlsx&amp;sheet=A0&amp;row=142&amp;col=23&amp;number=&amp;sourceID=13","")</f>
        <v/>
      </c>
      <c r="X142" s="4" t="str">
        <f>HYPERLINK("http://141.218.60.56/~jnz1568/getInfo.php?workbook=02_01.xlsx&amp;sheet=A0&amp;row=142&amp;col=24&amp;number=&amp;sourceID=13","")</f>
        <v/>
      </c>
      <c r="Y142" s="4" t="str">
        <f>HYPERLINK("http://141.218.60.56/~jnz1568/getInfo.php?workbook=02_01.xlsx&amp;sheet=A0&amp;row=142&amp;col=25&amp;number=&amp;sourceID=13","")</f>
        <v/>
      </c>
      <c r="Z142" s="4" t="str">
        <f>HYPERLINK("http://141.218.60.56/~jnz1568/getInfo.php?workbook=02_01.xlsx&amp;sheet=A0&amp;row=142&amp;col=26&amp;number=&amp;sourceID=13","")</f>
        <v/>
      </c>
      <c r="AA142" s="4" t="str">
        <f>HYPERLINK("http://141.218.60.56/~jnz1568/getInfo.php?workbook=02_01.xlsx&amp;sheet=A0&amp;row=142&amp;col=27&amp;number=&amp;sourceID=20","")</f>
        <v/>
      </c>
    </row>
    <row r="143" spans="1:27">
      <c r="A143" s="3">
        <v>2</v>
      </c>
      <c r="B143" s="3">
        <v>1</v>
      </c>
      <c r="C143" s="3">
        <v>18</v>
      </c>
      <c r="D143" s="3">
        <v>10</v>
      </c>
      <c r="E143" s="3">
        <f>((1/(INDEX(E0!J$4:J$28,C143,1)-INDEX(E0!J$4:J$28,D143,1))))*100000000</f>
        <v>0</v>
      </c>
      <c r="F143" s="4" t="str">
        <f>HYPERLINK("http://141.218.60.56/~jnz1568/getInfo.php?workbook=02_01.xlsx&amp;sheet=A0&amp;row=143&amp;col=6&amp;number=&amp;sourceID=18","")</f>
        <v/>
      </c>
      <c r="G143" s="4" t="str">
        <f>HYPERLINK("http://141.218.60.56/~jnz1568/getInfo.php?workbook=02_01.xlsx&amp;sheet=A0&amp;row=143&amp;col=7&amp;number==&amp;sourceID=11","=")</f>
        <v>=</v>
      </c>
      <c r="H143" s="4" t="str">
        <f>HYPERLINK("http://141.218.60.56/~jnz1568/getInfo.php?workbook=02_01.xlsx&amp;sheet=A0&amp;row=143&amp;col=8&amp;number=3442100&amp;sourceID=11","3442100")</f>
        <v>3442100</v>
      </c>
      <c r="I143" s="4" t="str">
        <f>HYPERLINK("http://141.218.60.56/~jnz1568/getInfo.php?workbook=02_01.xlsx&amp;sheet=A0&amp;row=143&amp;col=9&amp;number=&amp;sourceID=11","")</f>
        <v/>
      </c>
      <c r="J143" s="4" t="str">
        <f>HYPERLINK("http://141.218.60.56/~jnz1568/getInfo.php?workbook=02_01.xlsx&amp;sheet=A0&amp;row=143&amp;col=10&amp;number=&amp;sourceID=11","")</f>
        <v/>
      </c>
      <c r="K143" s="4" t="str">
        <f>HYPERLINK("http://141.218.60.56/~jnz1568/getInfo.php?workbook=02_01.xlsx&amp;sheet=A0&amp;row=143&amp;col=11&amp;number=&amp;sourceID=11","")</f>
        <v/>
      </c>
      <c r="L143" s="4" t="str">
        <f>HYPERLINK("http://141.218.60.56/~jnz1568/getInfo.php?workbook=02_01.xlsx&amp;sheet=A0&amp;row=143&amp;col=12&amp;number=&amp;sourceID=11","")</f>
        <v/>
      </c>
      <c r="M143" s="4" t="str">
        <f>HYPERLINK("http://141.218.60.56/~jnz1568/getInfo.php?workbook=02_01.xlsx&amp;sheet=A0&amp;row=143&amp;col=13&amp;number=&amp;sourceID=11","")</f>
        <v/>
      </c>
      <c r="N143" s="4" t="str">
        <f>HYPERLINK("http://141.218.60.56/~jnz1568/getInfo.php?workbook=02_01.xlsx&amp;sheet=A0&amp;row=143&amp;col=14&amp;number=3442600&amp;sourceID=12","3442600")</f>
        <v>3442600</v>
      </c>
      <c r="O143" s="4" t="str">
        <f>HYPERLINK("http://141.218.60.56/~jnz1568/getInfo.php?workbook=02_01.xlsx&amp;sheet=A0&amp;row=143&amp;col=15&amp;number=3442600&amp;sourceID=12","3442600")</f>
        <v>3442600</v>
      </c>
      <c r="P143" s="4" t="str">
        <f>HYPERLINK("http://141.218.60.56/~jnz1568/getInfo.php?workbook=02_01.xlsx&amp;sheet=A0&amp;row=143&amp;col=16&amp;number=&amp;sourceID=12","")</f>
        <v/>
      </c>
      <c r="Q143" s="4" t="str">
        <f>HYPERLINK("http://141.218.60.56/~jnz1568/getInfo.php?workbook=02_01.xlsx&amp;sheet=A0&amp;row=143&amp;col=17&amp;number=&amp;sourceID=12","")</f>
        <v/>
      </c>
      <c r="R143" s="4" t="str">
        <f>HYPERLINK("http://141.218.60.56/~jnz1568/getInfo.php?workbook=02_01.xlsx&amp;sheet=A0&amp;row=143&amp;col=18&amp;number=&amp;sourceID=12","")</f>
        <v/>
      </c>
      <c r="S143" s="4" t="str">
        <f>HYPERLINK("http://141.218.60.56/~jnz1568/getInfo.php?workbook=02_01.xlsx&amp;sheet=A0&amp;row=143&amp;col=19&amp;number=&amp;sourceID=12","")</f>
        <v/>
      </c>
      <c r="T143" s="4" t="str">
        <f>HYPERLINK("http://141.218.60.56/~jnz1568/getInfo.php?workbook=02_01.xlsx&amp;sheet=A0&amp;row=143&amp;col=20&amp;number=&amp;sourceID=12","")</f>
        <v/>
      </c>
      <c r="U143" s="4" t="str">
        <f>HYPERLINK("http://141.218.60.56/~jnz1568/getInfo.php?workbook=02_01.xlsx&amp;sheet=A0&amp;row=143&amp;col=21&amp;number=&amp;sourceID=13","")</f>
        <v/>
      </c>
      <c r="V143" s="4" t="str">
        <f>HYPERLINK("http://141.218.60.56/~jnz1568/getInfo.php?workbook=02_01.xlsx&amp;sheet=A0&amp;row=143&amp;col=22&amp;number=&amp;sourceID=13","")</f>
        <v/>
      </c>
      <c r="W143" s="4" t="str">
        <f>HYPERLINK("http://141.218.60.56/~jnz1568/getInfo.php?workbook=02_01.xlsx&amp;sheet=A0&amp;row=143&amp;col=23&amp;number=&amp;sourceID=13","")</f>
        <v/>
      </c>
      <c r="X143" s="4" t="str">
        <f>HYPERLINK("http://141.218.60.56/~jnz1568/getInfo.php?workbook=02_01.xlsx&amp;sheet=A0&amp;row=143&amp;col=24&amp;number=&amp;sourceID=13","")</f>
        <v/>
      </c>
      <c r="Y143" s="4" t="str">
        <f>HYPERLINK("http://141.218.60.56/~jnz1568/getInfo.php?workbook=02_01.xlsx&amp;sheet=A0&amp;row=143&amp;col=25&amp;number=&amp;sourceID=13","")</f>
        <v/>
      </c>
      <c r="Z143" s="4" t="str">
        <f>HYPERLINK("http://141.218.60.56/~jnz1568/getInfo.php?workbook=02_01.xlsx&amp;sheet=A0&amp;row=143&amp;col=26&amp;number=&amp;sourceID=13","")</f>
        <v/>
      </c>
      <c r="AA143" s="4" t="str">
        <f>HYPERLINK("http://141.218.60.56/~jnz1568/getInfo.php?workbook=02_01.xlsx&amp;sheet=A0&amp;row=143&amp;col=27&amp;number=&amp;sourceID=20","")</f>
        <v/>
      </c>
    </row>
    <row r="144" spans="1:27">
      <c r="A144" s="3">
        <v>2</v>
      </c>
      <c r="B144" s="3">
        <v>1</v>
      </c>
      <c r="C144" s="3">
        <v>18</v>
      </c>
      <c r="D144" s="3">
        <v>11</v>
      </c>
      <c r="E144" s="3">
        <f>((1/(INDEX(E0!J$4:J$28,C144,1)-INDEX(E0!J$4:J$28,D144,1))))*100000000</f>
        <v>0</v>
      </c>
      <c r="F144" s="4" t="str">
        <f>HYPERLINK("http://141.218.60.56/~jnz1568/getInfo.php?workbook=02_01.xlsx&amp;sheet=A0&amp;row=144&amp;col=6&amp;number=&amp;sourceID=18","")</f>
        <v/>
      </c>
      <c r="G144" s="4" t="str">
        <f>HYPERLINK("http://141.218.60.56/~jnz1568/getInfo.php?workbook=02_01.xlsx&amp;sheet=A0&amp;row=144&amp;col=7&amp;number==&amp;sourceID=11","=")</f>
        <v>=</v>
      </c>
      <c r="H144" s="4" t="str">
        <f>HYPERLINK("http://141.218.60.56/~jnz1568/getInfo.php?workbook=02_01.xlsx&amp;sheet=A0&amp;row=144&amp;col=8&amp;number=&amp;sourceID=11","")</f>
        <v/>
      </c>
      <c r="I144" s="4" t="str">
        <f>HYPERLINK("http://141.218.60.56/~jnz1568/getInfo.php?workbook=02_01.xlsx&amp;sheet=A0&amp;row=144&amp;col=9&amp;number=&amp;sourceID=11","")</f>
        <v/>
      </c>
      <c r="J144" s="4" t="str">
        <f>HYPERLINK("http://141.218.60.56/~jnz1568/getInfo.php?workbook=02_01.xlsx&amp;sheet=A0&amp;row=144&amp;col=10&amp;number=&amp;sourceID=11","")</f>
        <v/>
      </c>
      <c r="K144" s="4" t="str">
        <f>HYPERLINK("http://141.218.60.56/~jnz1568/getInfo.php?workbook=02_01.xlsx&amp;sheet=A0&amp;row=144&amp;col=11&amp;number=7.5423e-10&amp;sourceID=11","7.5423e-10")</f>
        <v>7.5423e-10</v>
      </c>
      <c r="L144" s="4" t="str">
        <f>HYPERLINK("http://141.218.60.56/~jnz1568/getInfo.php?workbook=02_01.xlsx&amp;sheet=A0&amp;row=144&amp;col=12&amp;number=&amp;sourceID=11","")</f>
        <v/>
      </c>
      <c r="M144" s="4" t="str">
        <f>HYPERLINK("http://141.218.60.56/~jnz1568/getInfo.php?workbook=02_01.xlsx&amp;sheet=A0&amp;row=144&amp;col=13&amp;number=&amp;sourceID=11","")</f>
        <v/>
      </c>
      <c r="N144" s="4" t="str">
        <f>HYPERLINK("http://141.218.60.56/~jnz1568/getInfo.php?workbook=02_01.xlsx&amp;sheet=A0&amp;row=144&amp;col=14&amp;number=7.5341e-10&amp;sourceID=12","7.5341e-10")</f>
        <v>7.5341e-10</v>
      </c>
      <c r="O144" s="4" t="str">
        <f>HYPERLINK("http://141.218.60.56/~jnz1568/getInfo.php?workbook=02_01.xlsx&amp;sheet=A0&amp;row=144&amp;col=15&amp;number=&amp;sourceID=12","")</f>
        <v/>
      </c>
      <c r="P144" s="4" t="str">
        <f>HYPERLINK("http://141.218.60.56/~jnz1568/getInfo.php?workbook=02_01.xlsx&amp;sheet=A0&amp;row=144&amp;col=16&amp;number=&amp;sourceID=12","")</f>
        <v/>
      </c>
      <c r="Q144" s="4" t="str">
        <f>HYPERLINK("http://141.218.60.56/~jnz1568/getInfo.php?workbook=02_01.xlsx&amp;sheet=A0&amp;row=144&amp;col=17&amp;number=&amp;sourceID=12","")</f>
        <v/>
      </c>
      <c r="R144" s="4" t="str">
        <f>HYPERLINK("http://141.218.60.56/~jnz1568/getInfo.php?workbook=02_01.xlsx&amp;sheet=A0&amp;row=144&amp;col=18&amp;number=7.5341e-10&amp;sourceID=12","7.5341e-10")</f>
        <v>7.5341e-10</v>
      </c>
      <c r="S144" s="4" t="str">
        <f>HYPERLINK("http://141.218.60.56/~jnz1568/getInfo.php?workbook=02_01.xlsx&amp;sheet=A0&amp;row=144&amp;col=19&amp;number=&amp;sourceID=12","")</f>
        <v/>
      </c>
      <c r="T144" s="4" t="str">
        <f>HYPERLINK("http://141.218.60.56/~jnz1568/getInfo.php?workbook=02_01.xlsx&amp;sheet=A0&amp;row=144&amp;col=20&amp;number=&amp;sourceID=12","")</f>
        <v/>
      </c>
      <c r="U144" s="4" t="str">
        <f>HYPERLINK("http://141.218.60.56/~jnz1568/getInfo.php?workbook=02_01.xlsx&amp;sheet=A0&amp;row=144&amp;col=21&amp;number=&amp;sourceID=13","")</f>
        <v/>
      </c>
      <c r="V144" s="4" t="str">
        <f>HYPERLINK("http://141.218.60.56/~jnz1568/getInfo.php?workbook=02_01.xlsx&amp;sheet=A0&amp;row=144&amp;col=22&amp;number=&amp;sourceID=13","")</f>
        <v/>
      </c>
      <c r="W144" s="4" t="str">
        <f>HYPERLINK("http://141.218.60.56/~jnz1568/getInfo.php?workbook=02_01.xlsx&amp;sheet=A0&amp;row=144&amp;col=23&amp;number=&amp;sourceID=13","")</f>
        <v/>
      </c>
      <c r="X144" s="4" t="str">
        <f>HYPERLINK("http://141.218.60.56/~jnz1568/getInfo.php?workbook=02_01.xlsx&amp;sheet=A0&amp;row=144&amp;col=24&amp;number=&amp;sourceID=13","")</f>
        <v/>
      </c>
      <c r="Y144" s="4" t="str">
        <f>HYPERLINK("http://141.218.60.56/~jnz1568/getInfo.php?workbook=02_01.xlsx&amp;sheet=A0&amp;row=144&amp;col=25&amp;number=&amp;sourceID=13","")</f>
        <v/>
      </c>
      <c r="Z144" s="4" t="str">
        <f>HYPERLINK("http://141.218.60.56/~jnz1568/getInfo.php?workbook=02_01.xlsx&amp;sheet=A0&amp;row=144&amp;col=26&amp;number=&amp;sourceID=13","")</f>
        <v/>
      </c>
      <c r="AA144" s="4" t="str">
        <f>HYPERLINK("http://141.218.60.56/~jnz1568/getInfo.php?workbook=02_01.xlsx&amp;sheet=A0&amp;row=144&amp;col=27&amp;number=&amp;sourceID=20","")</f>
        <v/>
      </c>
    </row>
    <row r="145" spans="1:27">
      <c r="A145" s="3">
        <v>2</v>
      </c>
      <c r="B145" s="3">
        <v>1</v>
      </c>
      <c r="C145" s="3">
        <v>18</v>
      </c>
      <c r="D145" s="3">
        <v>12</v>
      </c>
      <c r="E145" s="3">
        <f>((1/(INDEX(E0!J$4:J$28,C145,1)-INDEX(E0!J$4:J$28,D145,1))))*100000000</f>
        <v>0</v>
      </c>
      <c r="F145" s="4" t="str">
        <f>HYPERLINK("http://141.218.60.56/~jnz1568/getInfo.php?workbook=02_01.xlsx&amp;sheet=A0&amp;row=145&amp;col=6&amp;number=&amp;sourceID=18","")</f>
        <v/>
      </c>
      <c r="G145" s="4" t="str">
        <f>HYPERLINK("http://141.218.60.56/~jnz1568/getInfo.php?workbook=02_01.xlsx&amp;sheet=A0&amp;row=145&amp;col=7&amp;number==SUM(H145:M145)&amp;sourceID=11","=SUM(H145:M145)")</f>
        <v>=SUM(H145:M145)</v>
      </c>
      <c r="H145" s="4" t="str">
        <f>HYPERLINK("http://141.218.60.56/~jnz1568/getInfo.php?workbook=02_01.xlsx&amp;sheet=A0&amp;row=145&amp;col=8&amp;number=&amp;sourceID=11","")</f>
        <v/>
      </c>
      <c r="I145" s="4" t="str">
        <f>HYPERLINK("http://141.218.60.56/~jnz1568/getInfo.php?workbook=02_01.xlsx&amp;sheet=A0&amp;row=145&amp;col=9&amp;number=8.3182&amp;sourceID=11","8.3182")</f>
        <v>8.3182</v>
      </c>
      <c r="J145" s="4" t="str">
        <f>HYPERLINK("http://141.218.60.56/~jnz1568/getInfo.php?workbook=02_01.xlsx&amp;sheet=A0&amp;row=145&amp;col=10&amp;number=&amp;sourceID=11","")</f>
        <v/>
      </c>
      <c r="K145" s="4" t="str">
        <f>HYPERLINK("http://141.218.60.56/~jnz1568/getInfo.php?workbook=02_01.xlsx&amp;sheet=A0&amp;row=145&amp;col=11&amp;number=8.13e-13&amp;sourceID=11","8.13e-13")</f>
        <v>8.13e-13</v>
      </c>
      <c r="L145" s="4" t="str">
        <f>HYPERLINK("http://141.218.60.56/~jnz1568/getInfo.php?workbook=02_01.xlsx&amp;sheet=A0&amp;row=145&amp;col=12&amp;number=&amp;sourceID=11","")</f>
        <v/>
      </c>
      <c r="M145" s="4" t="str">
        <f>HYPERLINK("http://141.218.60.56/~jnz1568/getInfo.php?workbook=02_01.xlsx&amp;sheet=A0&amp;row=145&amp;col=13&amp;number=&amp;sourceID=11","")</f>
        <v/>
      </c>
      <c r="N145" s="4" t="str">
        <f>HYPERLINK("http://141.218.60.56/~jnz1568/getInfo.php?workbook=02_01.xlsx&amp;sheet=A0&amp;row=145&amp;col=14&amp;number=8.3194&amp;sourceID=12","8.3194")</f>
        <v>8.3194</v>
      </c>
      <c r="O145" s="4" t="str">
        <f>HYPERLINK("http://141.218.60.56/~jnz1568/getInfo.php?workbook=02_01.xlsx&amp;sheet=A0&amp;row=145&amp;col=15&amp;number=&amp;sourceID=12","")</f>
        <v/>
      </c>
      <c r="P145" s="4" t="str">
        <f>HYPERLINK("http://141.218.60.56/~jnz1568/getInfo.php?workbook=02_01.xlsx&amp;sheet=A0&amp;row=145&amp;col=16&amp;number=8.3194&amp;sourceID=12","8.3194")</f>
        <v>8.3194</v>
      </c>
      <c r="Q145" s="4" t="str">
        <f>HYPERLINK("http://141.218.60.56/~jnz1568/getInfo.php?workbook=02_01.xlsx&amp;sheet=A0&amp;row=145&amp;col=17&amp;number=&amp;sourceID=12","")</f>
        <v/>
      </c>
      <c r="R145" s="4" t="str">
        <f>HYPERLINK("http://141.218.60.56/~jnz1568/getInfo.php?workbook=02_01.xlsx&amp;sheet=A0&amp;row=145&amp;col=18&amp;number=8.13e-13&amp;sourceID=12","8.13e-13")</f>
        <v>8.13e-13</v>
      </c>
      <c r="S145" s="4" t="str">
        <f>HYPERLINK("http://141.218.60.56/~jnz1568/getInfo.php?workbook=02_01.xlsx&amp;sheet=A0&amp;row=145&amp;col=19&amp;number=&amp;sourceID=12","")</f>
        <v/>
      </c>
      <c r="T145" s="4" t="str">
        <f>HYPERLINK("http://141.218.60.56/~jnz1568/getInfo.php?workbook=02_01.xlsx&amp;sheet=A0&amp;row=145&amp;col=20&amp;number=&amp;sourceID=12","")</f>
        <v/>
      </c>
      <c r="U145" s="4" t="str">
        <f>HYPERLINK("http://141.218.60.56/~jnz1568/getInfo.php?workbook=02_01.xlsx&amp;sheet=A0&amp;row=145&amp;col=21&amp;number=&amp;sourceID=13","")</f>
        <v/>
      </c>
      <c r="V145" s="4" t="str">
        <f>HYPERLINK("http://141.218.60.56/~jnz1568/getInfo.php?workbook=02_01.xlsx&amp;sheet=A0&amp;row=145&amp;col=22&amp;number=&amp;sourceID=13","")</f>
        <v/>
      </c>
      <c r="W145" s="4" t="str">
        <f>HYPERLINK("http://141.218.60.56/~jnz1568/getInfo.php?workbook=02_01.xlsx&amp;sheet=A0&amp;row=145&amp;col=23&amp;number=&amp;sourceID=13","")</f>
        <v/>
      </c>
      <c r="X145" s="4" t="str">
        <f>HYPERLINK("http://141.218.60.56/~jnz1568/getInfo.php?workbook=02_01.xlsx&amp;sheet=A0&amp;row=145&amp;col=24&amp;number=&amp;sourceID=13","")</f>
        <v/>
      </c>
      <c r="Y145" s="4" t="str">
        <f>HYPERLINK("http://141.218.60.56/~jnz1568/getInfo.php?workbook=02_01.xlsx&amp;sheet=A0&amp;row=145&amp;col=25&amp;number=&amp;sourceID=13","")</f>
        <v/>
      </c>
      <c r="Z145" s="4" t="str">
        <f>HYPERLINK("http://141.218.60.56/~jnz1568/getInfo.php?workbook=02_01.xlsx&amp;sheet=A0&amp;row=145&amp;col=26&amp;number=&amp;sourceID=13","")</f>
        <v/>
      </c>
      <c r="AA145" s="4" t="str">
        <f>HYPERLINK("http://141.218.60.56/~jnz1568/getInfo.php?workbook=02_01.xlsx&amp;sheet=A0&amp;row=145&amp;col=27&amp;number=&amp;sourceID=20","")</f>
        <v/>
      </c>
    </row>
    <row r="146" spans="1:27">
      <c r="A146" s="3">
        <v>2</v>
      </c>
      <c r="B146" s="3">
        <v>1</v>
      </c>
      <c r="C146" s="3">
        <v>18</v>
      </c>
      <c r="D146" s="3">
        <v>13</v>
      </c>
      <c r="E146" s="3">
        <f>((1/(INDEX(E0!J$4:J$28,C146,1)-INDEX(E0!J$4:J$28,D146,1))))*100000000</f>
        <v>0</v>
      </c>
      <c r="F146" s="4" t="str">
        <f>HYPERLINK("http://141.218.60.56/~jnz1568/getInfo.php?workbook=02_01.xlsx&amp;sheet=A0&amp;row=146&amp;col=6&amp;number=&amp;sourceID=18","")</f>
        <v/>
      </c>
      <c r="G146" s="4" t="str">
        <f>HYPERLINK("http://141.218.60.56/~jnz1568/getInfo.php?workbook=02_01.xlsx&amp;sheet=A0&amp;row=146&amp;col=7&amp;number==&amp;sourceID=11","=")</f>
        <v>=</v>
      </c>
      <c r="H146" s="4" t="str">
        <f>HYPERLINK("http://141.218.60.56/~jnz1568/getInfo.php?workbook=02_01.xlsx&amp;sheet=A0&amp;row=146&amp;col=8&amp;number=6886800&amp;sourceID=11","6886800")</f>
        <v>6886800</v>
      </c>
      <c r="I146" s="4" t="str">
        <f>HYPERLINK("http://141.218.60.56/~jnz1568/getInfo.php?workbook=02_01.xlsx&amp;sheet=A0&amp;row=146&amp;col=9&amp;number=&amp;sourceID=11","")</f>
        <v/>
      </c>
      <c r="J146" s="4" t="str">
        <f>HYPERLINK("http://141.218.60.56/~jnz1568/getInfo.php?workbook=02_01.xlsx&amp;sheet=A0&amp;row=146&amp;col=10&amp;number=&amp;sourceID=11","")</f>
        <v/>
      </c>
      <c r="K146" s="4" t="str">
        <f>HYPERLINK("http://141.218.60.56/~jnz1568/getInfo.php?workbook=02_01.xlsx&amp;sheet=A0&amp;row=146&amp;col=11&amp;number=&amp;sourceID=11","")</f>
        <v/>
      </c>
      <c r="L146" s="4" t="str">
        <f>HYPERLINK("http://141.218.60.56/~jnz1568/getInfo.php?workbook=02_01.xlsx&amp;sheet=A0&amp;row=146&amp;col=12&amp;number=7.4147e-06&amp;sourceID=11","7.4147e-06")</f>
        <v>7.4147e-06</v>
      </c>
      <c r="M146" s="4" t="str">
        <f>HYPERLINK("http://141.218.60.56/~jnz1568/getInfo.php?workbook=02_01.xlsx&amp;sheet=A0&amp;row=146&amp;col=13&amp;number=&amp;sourceID=11","")</f>
        <v/>
      </c>
      <c r="N146" s="4" t="str">
        <f>HYPERLINK("http://141.218.60.56/~jnz1568/getInfo.php?workbook=02_01.xlsx&amp;sheet=A0&amp;row=146&amp;col=14&amp;number=6887800&amp;sourceID=12","6887800")</f>
        <v>6887800</v>
      </c>
      <c r="O146" s="4" t="str">
        <f>HYPERLINK("http://141.218.60.56/~jnz1568/getInfo.php?workbook=02_01.xlsx&amp;sheet=A0&amp;row=146&amp;col=15&amp;number=6887800&amp;sourceID=12","6887800")</f>
        <v>6887800</v>
      </c>
      <c r="P146" s="4" t="str">
        <f>HYPERLINK("http://141.218.60.56/~jnz1568/getInfo.php?workbook=02_01.xlsx&amp;sheet=A0&amp;row=146&amp;col=16&amp;number=&amp;sourceID=12","")</f>
        <v/>
      </c>
      <c r="Q146" s="4" t="str">
        <f>HYPERLINK("http://141.218.60.56/~jnz1568/getInfo.php?workbook=02_01.xlsx&amp;sheet=A0&amp;row=146&amp;col=17&amp;number=&amp;sourceID=12","")</f>
        <v/>
      </c>
      <c r="R146" s="4" t="str">
        <f>HYPERLINK("http://141.218.60.56/~jnz1568/getInfo.php?workbook=02_01.xlsx&amp;sheet=A0&amp;row=146&amp;col=18&amp;number=&amp;sourceID=12","")</f>
        <v/>
      </c>
      <c r="S146" s="4" t="str">
        <f>HYPERLINK("http://141.218.60.56/~jnz1568/getInfo.php?workbook=02_01.xlsx&amp;sheet=A0&amp;row=146&amp;col=19&amp;number=7.4157e-06&amp;sourceID=12","7.4157e-06")</f>
        <v>7.4157e-06</v>
      </c>
      <c r="T146" s="4" t="str">
        <f>HYPERLINK("http://141.218.60.56/~jnz1568/getInfo.php?workbook=02_01.xlsx&amp;sheet=A0&amp;row=146&amp;col=20&amp;number=&amp;sourceID=12","")</f>
        <v/>
      </c>
      <c r="U146" s="4" t="str">
        <f>HYPERLINK("http://141.218.60.56/~jnz1568/getInfo.php?workbook=02_01.xlsx&amp;sheet=A0&amp;row=146&amp;col=21&amp;number=&amp;sourceID=13","")</f>
        <v/>
      </c>
      <c r="V146" s="4" t="str">
        <f>HYPERLINK("http://141.218.60.56/~jnz1568/getInfo.php?workbook=02_01.xlsx&amp;sheet=A0&amp;row=146&amp;col=22&amp;number=&amp;sourceID=13","")</f>
        <v/>
      </c>
      <c r="W146" s="4" t="str">
        <f>HYPERLINK("http://141.218.60.56/~jnz1568/getInfo.php?workbook=02_01.xlsx&amp;sheet=A0&amp;row=146&amp;col=23&amp;number=&amp;sourceID=13","")</f>
        <v/>
      </c>
      <c r="X146" s="4" t="str">
        <f>HYPERLINK("http://141.218.60.56/~jnz1568/getInfo.php?workbook=02_01.xlsx&amp;sheet=A0&amp;row=146&amp;col=24&amp;number=&amp;sourceID=13","")</f>
        <v/>
      </c>
      <c r="Y146" s="4" t="str">
        <f>HYPERLINK("http://141.218.60.56/~jnz1568/getInfo.php?workbook=02_01.xlsx&amp;sheet=A0&amp;row=146&amp;col=25&amp;number=&amp;sourceID=13","")</f>
        <v/>
      </c>
      <c r="Z146" s="4" t="str">
        <f>HYPERLINK("http://141.218.60.56/~jnz1568/getInfo.php?workbook=02_01.xlsx&amp;sheet=A0&amp;row=146&amp;col=26&amp;number=&amp;sourceID=13","")</f>
        <v/>
      </c>
      <c r="AA146" s="4" t="str">
        <f>HYPERLINK("http://141.218.60.56/~jnz1568/getInfo.php?workbook=02_01.xlsx&amp;sheet=A0&amp;row=146&amp;col=27&amp;number=&amp;sourceID=20","")</f>
        <v/>
      </c>
    </row>
    <row r="147" spans="1:27">
      <c r="A147" s="3">
        <v>2</v>
      </c>
      <c r="B147" s="3">
        <v>1</v>
      </c>
      <c r="C147" s="3">
        <v>18</v>
      </c>
      <c r="D147" s="3">
        <v>14</v>
      </c>
      <c r="E147" s="3">
        <f>((1/(INDEX(E0!J$4:J$28,C147,1)-INDEX(E0!J$4:J$28,D147,1))))*100000000</f>
        <v>0</v>
      </c>
      <c r="F147" s="4" t="str">
        <f>HYPERLINK("http://141.218.60.56/~jnz1568/getInfo.php?workbook=02_01.xlsx&amp;sheet=A0&amp;row=147&amp;col=6&amp;number=&amp;sourceID=18","")</f>
        <v/>
      </c>
      <c r="G147" s="4" t="str">
        <f>HYPERLINK("http://141.218.60.56/~jnz1568/getInfo.php?workbook=02_01.xlsx&amp;sheet=A0&amp;row=147&amp;col=7&amp;number==&amp;sourceID=11","=")</f>
        <v>=</v>
      </c>
      <c r="H147" s="4" t="str">
        <f>HYPERLINK("http://141.218.60.56/~jnz1568/getInfo.php?workbook=02_01.xlsx&amp;sheet=A0&amp;row=147&amp;col=8&amp;number=&amp;sourceID=11","")</f>
        <v/>
      </c>
      <c r="I147" s="4" t="str">
        <f>HYPERLINK("http://141.218.60.56/~jnz1568/getInfo.php?workbook=02_01.xlsx&amp;sheet=A0&amp;row=147&amp;col=9&amp;number=&amp;sourceID=11","")</f>
        <v/>
      </c>
      <c r="J147" s="4" t="str">
        <f>HYPERLINK("http://141.218.60.56/~jnz1568/getInfo.php?workbook=02_01.xlsx&amp;sheet=A0&amp;row=147&amp;col=10&amp;number=3.5052e-06&amp;sourceID=11","3.5052e-06")</f>
        <v>3.5052e-06</v>
      </c>
      <c r="K147" s="4" t="str">
        <f>HYPERLINK("http://141.218.60.56/~jnz1568/getInfo.php?workbook=02_01.xlsx&amp;sheet=A0&amp;row=147&amp;col=11&amp;number=&amp;sourceID=11","")</f>
        <v/>
      </c>
      <c r="L147" s="4" t="str">
        <f>HYPERLINK("http://141.218.60.56/~jnz1568/getInfo.php?workbook=02_01.xlsx&amp;sheet=A0&amp;row=147&amp;col=12&amp;number=0&amp;sourceID=11","0")</f>
        <v>0</v>
      </c>
      <c r="M147" s="4" t="str">
        <f>HYPERLINK("http://141.218.60.56/~jnz1568/getInfo.php?workbook=02_01.xlsx&amp;sheet=A0&amp;row=147&amp;col=13&amp;number=&amp;sourceID=11","")</f>
        <v/>
      </c>
      <c r="N147" s="4" t="str">
        <f>HYPERLINK("http://141.218.60.56/~jnz1568/getInfo.php?workbook=02_01.xlsx&amp;sheet=A0&amp;row=147&amp;col=14&amp;number=3.5057e-06&amp;sourceID=12","3.5057e-06")</f>
        <v>3.5057e-06</v>
      </c>
      <c r="O147" s="4" t="str">
        <f>HYPERLINK("http://141.218.60.56/~jnz1568/getInfo.php?workbook=02_01.xlsx&amp;sheet=A0&amp;row=147&amp;col=15&amp;number=&amp;sourceID=12","")</f>
        <v/>
      </c>
      <c r="P147" s="4" t="str">
        <f>HYPERLINK("http://141.218.60.56/~jnz1568/getInfo.php?workbook=02_01.xlsx&amp;sheet=A0&amp;row=147&amp;col=16&amp;number=&amp;sourceID=12","")</f>
        <v/>
      </c>
      <c r="Q147" s="4" t="str">
        <f>HYPERLINK("http://141.218.60.56/~jnz1568/getInfo.php?workbook=02_01.xlsx&amp;sheet=A0&amp;row=147&amp;col=17&amp;number=3.5057e-06&amp;sourceID=12","3.5057e-06")</f>
        <v>3.5057e-06</v>
      </c>
      <c r="R147" s="4" t="str">
        <f>HYPERLINK("http://141.218.60.56/~jnz1568/getInfo.php?workbook=02_01.xlsx&amp;sheet=A0&amp;row=147&amp;col=18&amp;number=&amp;sourceID=12","")</f>
        <v/>
      </c>
      <c r="S147" s="4" t="str">
        <f>HYPERLINK("http://141.218.60.56/~jnz1568/getInfo.php?workbook=02_01.xlsx&amp;sheet=A0&amp;row=147&amp;col=19&amp;number=0&amp;sourceID=12","0")</f>
        <v>0</v>
      </c>
      <c r="T147" s="4" t="str">
        <f>HYPERLINK("http://141.218.60.56/~jnz1568/getInfo.php?workbook=02_01.xlsx&amp;sheet=A0&amp;row=147&amp;col=20&amp;number=&amp;sourceID=12","")</f>
        <v/>
      </c>
      <c r="U147" s="4" t="str">
        <f>HYPERLINK("http://141.218.60.56/~jnz1568/getInfo.php?workbook=02_01.xlsx&amp;sheet=A0&amp;row=147&amp;col=21&amp;number=&amp;sourceID=13","")</f>
        <v/>
      </c>
      <c r="V147" s="4" t="str">
        <f>HYPERLINK("http://141.218.60.56/~jnz1568/getInfo.php?workbook=02_01.xlsx&amp;sheet=A0&amp;row=147&amp;col=22&amp;number=&amp;sourceID=13","")</f>
        <v/>
      </c>
      <c r="W147" s="4" t="str">
        <f>HYPERLINK("http://141.218.60.56/~jnz1568/getInfo.php?workbook=02_01.xlsx&amp;sheet=A0&amp;row=147&amp;col=23&amp;number=&amp;sourceID=13","")</f>
        <v/>
      </c>
      <c r="X147" s="4" t="str">
        <f>HYPERLINK("http://141.218.60.56/~jnz1568/getInfo.php?workbook=02_01.xlsx&amp;sheet=A0&amp;row=147&amp;col=24&amp;number=&amp;sourceID=13","")</f>
        <v/>
      </c>
      <c r="Y147" s="4" t="str">
        <f>HYPERLINK("http://141.218.60.56/~jnz1568/getInfo.php?workbook=02_01.xlsx&amp;sheet=A0&amp;row=147&amp;col=25&amp;number=&amp;sourceID=13","")</f>
        <v/>
      </c>
      <c r="Z147" s="4" t="str">
        <f>HYPERLINK("http://141.218.60.56/~jnz1568/getInfo.php?workbook=02_01.xlsx&amp;sheet=A0&amp;row=147&amp;col=26&amp;number=&amp;sourceID=13","")</f>
        <v/>
      </c>
      <c r="AA147" s="4" t="str">
        <f>HYPERLINK("http://141.218.60.56/~jnz1568/getInfo.php?workbook=02_01.xlsx&amp;sheet=A0&amp;row=147&amp;col=27&amp;number=&amp;sourceID=20","")</f>
        <v/>
      </c>
    </row>
    <row r="148" spans="1:27">
      <c r="A148" s="3">
        <v>2</v>
      </c>
      <c r="B148" s="3">
        <v>1</v>
      </c>
      <c r="C148" s="3">
        <v>18</v>
      </c>
      <c r="D148" s="3">
        <v>15</v>
      </c>
      <c r="E148" s="3">
        <f>((1/(INDEX(E0!J$4:J$28,C148,1)-INDEX(E0!J$4:J$28,D148,1))))*100000000</f>
        <v>0</v>
      </c>
      <c r="F148" s="4" t="str">
        <f>HYPERLINK("http://141.218.60.56/~jnz1568/getInfo.php?workbook=02_01.xlsx&amp;sheet=A0&amp;row=148&amp;col=6&amp;number=&amp;sourceID=18","")</f>
        <v/>
      </c>
      <c r="G148" s="4" t="str">
        <f>HYPERLINK("http://141.218.60.56/~jnz1568/getInfo.php?workbook=02_01.xlsx&amp;sheet=A0&amp;row=148&amp;col=7&amp;number==&amp;sourceID=11","=")</f>
        <v>=</v>
      </c>
      <c r="H148" s="4" t="str">
        <f>HYPERLINK("http://141.218.60.56/~jnz1568/getInfo.php?workbook=02_01.xlsx&amp;sheet=A0&amp;row=148&amp;col=8&amp;number=&amp;sourceID=11","")</f>
        <v/>
      </c>
      <c r="I148" s="4" t="str">
        <f>HYPERLINK("http://141.218.60.56/~jnz1568/getInfo.php?workbook=02_01.xlsx&amp;sheet=A0&amp;row=148&amp;col=9&amp;number=12.478&amp;sourceID=11","12.478")</f>
        <v>12.478</v>
      </c>
      <c r="J148" s="4" t="str">
        <f>HYPERLINK("http://141.218.60.56/~jnz1568/getInfo.php?workbook=02_01.xlsx&amp;sheet=A0&amp;row=148&amp;col=10&amp;number=&amp;sourceID=11","")</f>
        <v/>
      </c>
      <c r="K148" s="4" t="str">
        <f>HYPERLINK("http://141.218.60.56/~jnz1568/getInfo.php?workbook=02_01.xlsx&amp;sheet=A0&amp;row=148&amp;col=11&amp;number=&amp;sourceID=11","")</f>
        <v/>
      </c>
      <c r="L148" s="4" t="str">
        <f>HYPERLINK("http://141.218.60.56/~jnz1568/getInfo.php?workbook=02_01.xlsx&amp;sheet=A0&amp;row=148&amp;col=12&amp;number=&amp;sourceID=11","")</f>
        <v/>
      </c>
      <c r="M148" s="4" t="str">
        <f>HYPERLINK("http://141.218.60.56/~jnz1568/getInfo.php?workbook=02_01.xlsx&amp;sheet=A0&amp;row=148&amp;col=13&amp;number=1.5921e-11&amp;sourceID=11","1.5921e-11")</f>
        <v>1.5921e-11</v>
      </c>
      <c r="N148" s="4" t="str">
        <f>HYPERLINK("http://141.218.60.56/~jnz1568/getInfo.php?workbook=02_01.xlsx&amp;sheet=A0&amp;row=148&amp;col=14&amp;number=12.479&amp;sourceID=12","12.479")</f>
        <v>12.479</v>
      </c>
      <c r="O148" s="4" t="str">
        <f>HYPERLINK("http://141.218.60.56/~jnz1568/getInfo.php?workbook=02_01.xlsx&amp;sheet=A0&amp;row=148&amp;col=15&amp;number=&amp;sourceID=12","")</f>
        <v/>
      </c>
      <c r="P148" s="4" t="str">
        <f>HYPERLINK("http://141.218.60.56/~jnz1568/getInfo.php?workbook=02_01.xlsx&amp;sheet=A0&amp;row=148&amp;col=16&amp;number=12.479&amp;sourceID=12","12.479")</f>
        <v>12.479</v>
      </c>
      <c r="Q148" s="4" t="str">
        <f>HYPERLINK("http://141.218.60.56/~jnz1568/getInfo.php?workbook=02_01.xlsx&amp;sheet=A0&amp;row=148&amp;col=17&amp;number=&amp;sourceID=12","")</f>
        <v/>
      </c>
      <c r="R148" s="4" t="str">
        <f>HYPERLINK("http://141.218.60.56/~jnz1568/getInfo.php?workbook=02_01.xlsx&amp;sheet=A0&amp;row=148&amp;col=18&amp;number=&amp;sourceID=12","")</f>
        <v/>
      </c>
      <c r="S148" s="4" t="str">
        <f>HYPERLINK("http://141.218.60.56/~jnz1568/getInfo.php?workbook=02_01.xlsx&amp;sheet=A0&amp;row=148&amp;col=19&amp;number=&amp;sourceID=12","")</f>
        <v/>
      </c>
      <c r="T148" s="4" t="str">
        <f>HYPERLINK("http://141.218.60.56/~jnz1568/getInfo.php?workbook=02_01.xlsx&amp;sheet=A0&amp;row=148&amp;col=20&amp;number=1.5923e-11&amp;sourceID=12","1.5923e-11")</f>
        <v>1.5923e-11</v>
      </c>
      <c r="U148" s="4" t="str">
        <f>HYPERLINK("http://141.218.60.56/~jnz1568/getInfo.php?workbook=02_01.xlsx&amp;sheet=A0&amp;row=148&amp;col=21&amp;number=&amp;sourceID=13","")</f>
        <v/>
      </c>
      <c r="V148" s="4" t="str">
        <f>HYPERLINK("http://141.218.60.56/~jnz1568/getInfo.php?workbook=02_01.xlsx&amp;sheet=A0&amp;row=148&amp;col=22&amp;number=&amp;sourceID=13","")</f>
        <v/>
      </c>
      <c r="W148" s="4" t="str">
        <f>HYPERLINK("http://141.218.60.56/~jnz1568/getInfo.php?workbook=02_01.xlsx&amp;sheet=A0&amp;row=148&amp;col=23&amp;number=&amp;sourceID=13","")</f>
        <v/>
      </c>
      <c r="X148" s="4" t="str">
        <f>HYPERLINK("http://141.218.60.56/~jnz1568/getInfo.php?workbook=02_01.xlsx&amp;sheet=A0&amp;row=148&amp;col=24&amp;number=&amp;sourceID=13","")</f>
        <v/>
      </c>
      <c r="Y148" s="4" t="str">
        <f>HYPERLINK("http://141.218.60.56/~jnz1568/getInfo.php?workbook=02_01.xlsx&amp;sheet=A0&amp;row=148&amp;col=25&amp;number=&amp;sourceID=13","")</f>
        <v/>
      </c>
      <c r="Z148" s="4" t="str">
        <f>HYPERLINK("http://141.218.60.56/~jnz1568/getInfo.php?workbook=02_01.xlsx&amp;sheet=A0&amp;row=148&amp;col=26&amp;number=&amp;sourceID=13","")</f>
        <v/>
      </c>
      <c r="AA148" s="4" t="str">
        <f>HYPERLINK("http://141.218.60.56/~jnz1568/getInfo.php?workbook=02_01.xlsx&amp;sheet=A0&amp;row=148&amp;col=27&amp;number=&amp;sourceID=20","")</f>
        <v/>
      </c>
    </row>
    <row r="149" spans="1:27">
      <c r="A149" s="3">
        <v>2</v>
      </c>
      <c r="B149" s="3">
        <v>1</v>
      </c>
      <c r="C149" s="3">
        <v>18</v>
      </c>
      <c r="D149" s="3">
        <v>16</v>
      </c>
      <c r="E149" s="3">
        <f>((1/(INDEX(E0!J$4:J$28,C149,1)-INDEX(E0!J$4:J$28,D149,1))))*100000000</f>
        <v>0</v>
      </c>
      <c r="F149" s="4" t="str">
        <f>HYPERLINK("http://141.218.60.56/~jnz1568/getInfo.php?workbook=02_01.xlsx&amp;sheet=A0&amp;row=149&amp;col=6&amp;number=&amp;sourceID=18","")</f>
        <v/>
      </c>
      <c r="G149" s="4" t="str">
        <f>HYPERLINK("http://141.218.60.56/~jnz1568/getInfo.php?workbook=02_01.xlsx&amp;sheet=A0&amp;row=149&amp;col=7&amp;number==&amp;sourceID=11","=")</f>
        <v>=</v>
      </c>
      <c r="H149" s="4" t="str">
        <f>HYPERLINK("http://141.218.60.56/~jnz1568/getInfo.php?workbook=02_01.xlsx&amp;sheet=A0&amp;row=149&amp;col=8&amp;number=&amp;sourceID=11","")</f>
        <v/>
      </c>
      <c r="I149" s="4" t="str">
        <f>HYPERLINK("http://141.218.60.56/~jnz1568/getInfo.php?workbook=02_01.xlsx&amp;sheet=A0&amp;row=149&amp;col=9&amp;number=&amp;sourceID=11","")</f>
        <v/>
      </c>
      <c r="J149" s="4" t="str">
        <f>HYPERLINK("http://141.218.60.56/~jnz1568/getInfo.php?workbook=02_01.xlsx&amp;sheet=A0&amp;row=149&amp;col=10&amp;number=4.6735e-06&amp;sourceID=11","4.6735e-06")</f>
        <v>4.6735e-06</v>
      </c>
      <c r="K149" s="4" t="str">
        <f>HYPERLINK("http://141.218.60.56/~jnz1568/getInfo.php?workbook=02_01.xlsx&amp;sheet=A0&amp;row=149&amp;col=11&amp;number=&amp;sourceID=11","")</f>
        <v/>
      </c>
      <c r="L149" s="4" t="str">
        <f>HYPERLINK("http://141.218.60.56/~jnz1568/getInfo.php?workbook=02_01.xlsx&amp;sheet=A0&amp;row=149&amp;col=12&amp;number=&amp;sourceID=11","")</f>
        <v/>
      </c>
      <c r="M149" s="4" t="str">
        <f>HYPERLINK("http://141.218.60.56/~jnz1568/getInfo.php?workbook=02_01.xlsx&amp;sheet=A0&amp;row=149&amp;col=13&amp;number=&amp;sourceID=11","")</f>
        <v/>
      </c>
      <c r="N149" s="4" t="str">
        <f>HYPERLINK("http://141.218.60.56/~jnz1568/getInfo.php?workbook=02_01.xlsx&amp;sheet=A0&amp;row=149&amp;col=14&amp;number=4.6741e-06&amp;sourceID=12","4.6741e-06")</f>
        <v>4.6741e-06</v>
      </c>
      <c r="O149" s="4" t="str">
        <f>HYPERLINK("http://141.218.60.56/~jnz1568/getInfo.php?workbook=02_01.xlsx&amp;sheet=A0&amp;row=149&amp;col=15&amp;number=&amp;sourceID=12","")</f>
        <v/>
      </c>
      <c r="P149" s="4" t="str">
        <f>HYPERLINK("http://141.218.60.56/~jnz1568/getInfo.php?workbook=02_01.xlsx&amp;sheet=A0&amp;row=149&amp;col=16&amp;number=&amp;sourceID=12","")</f>
        <v/>
      </c>
      <c r="Q149" s="4" t="str">
        <f>HYPERLINK("http://141.218.60.56/~jnz1568/getInfo.php?workbook=02_01.xlsx&amp;sheet=A0&amp;row=149&amp;col=17&amp;number=4.6741e-06&amp;sourceID=12","4.6741e-06")</f>
        <v>4.6741e-06</v>
      </c>
      <c r="R149" s="4" t="str">
        <f>HYPERLINK("http://141.218.60.56/~jnz1568/getInfo.php?workbook=02_01.xlsx&amp;sheet=A0&amp;row=149&amp;col=18&amp;number=&amp;sourceID=12","")</f>
        <v/>
      </c>
      <c r="S149" s="4" t="str">
        <f>HYPERLINK("http://141.218.60.56/~jnz1568/getInfo.php?workbook=02_01.xlsx&amp;sheet=A0&amp;row=149&amp;col=19&amp;number=&amp;sourceID=12","")</f>
        <v/>
      </c>
      <c r="T149" s="4" t="str">
        <f>HYPERLINK("http://141.218.60.56/~jnz1568/getInfo.php?workbook=02_01.xlsx&amp;sheet=A0&amp;row=149&amp;col=20&amp;number=&amp;sourceID=12","")</f>
        <v/>
      </c>
      <c r="U149" s="4" t="str">
        <f>HYPERLINK("http://141.218.60.56/~jnz1568/getInfo.php?workbook=02_01.xlsx&amp;sheet=A0&amp;row=149&amp;col=21&amp;number=&amp;sourceID=13","")</f>
        <v/>
      </c>
      <c r="V149" s="4" t="str">
        <f>HYPERLINK("http://141.218.60.56/~jnz1568/getInfo.php?workbook=02_01.xlsx&amp;sheet=A0&amp;row=149&amp;col=22&amp;number=&amp;sourceID=13","")</f>
        <v/>
      </c>
      <c r="W149" s="4" t="str">
        <f>HYPERLINK("http://141.218.60.56/~jnz1568/getInfo.php?workbook=02_01.xlsx&amp;sheet=A0&amp;row=149&amp;col=23&amp;number=&amp;sourceID=13","")</f>
        <v/>
      </c>
      <c r="X149" s="4" t="str">
        <f>HYPERLINK("http://141.218.60.56/~jnz1568/getInfo.php?workbook=02_01.xlsx&amp;sheet=A0&amp;row=149&amp;col=24&amp;number=&amp;sourceID=13","")</f>
        <v/>
      </c>
      <c r="Y149" s="4" t="str">
        <f>HYPERLINK("http://141.218.60.56/~jnz1568/getInfo.php?workbook=02_01.xlsx&amp;sheet=A0&amp;row=149&amp;col=25&amp;number=&amp;sourceID=13","")</f>
        <v/>
      </c>
      <c r="Z149" s="4" t="str">
        <f>HYPERLINK("http://141.218.60.56/~jnz1568/getInfo.php?workbook=02_01.xlsx&amp;sheet=A0&amp;row=149&amp;col=26&amp;number=&amp;sourceID=13","")</f>
        <v/>
      </c>
      <c r="AA149" s="4" t="str">
        <f>HYPERLINK("http://141.218.60.56/~jnz1568/getInfo.php?workbook=02_01.xlsx&amp;sheet=A0&amp;row=149&amp;col=27&amp;number=&amp;sourceID=20","")</f>
        <v/>
      </c>
    </row>
    <row r="150" spans="1:27">
      <c r="A150" s="3">
        <v>2</v>
      </c>
      <c r="B150" s="3">
        <v>1</v>
      </c>
      <c r="C150" s="3">
        <v>19</v>
      </c>
      <c r="D150" s="3">
        <v>1</v>
      </c>
      <c r="E150" s="3">
        <f>((1/(INDEX(E0!J$4:J$28,C150,1)-INDEX(E0!J$4:J$28,D150,1))))*100000000</f>
        <v>0</v>
      </c>
      <c r="F150" s="4" t="str">
        <f>HYPERLINK("http://141.218.60.56/~jnz1568/getInfo.php?workbook=02_01.xlsx&amp;sheet=A0&amp;row=150&amp;col=6&amp;number=&amp;sourceID=18","")</f>
        <v/>
      </c>
      <c r="G150" s="4" t="str">
        <f>HYPERLINK("http://141.218.60.56/~jnz1568/getInfo.php?workbook=02_01.xlsx&amp;sheet=A0&amp;row=150&amp;col=7&amp;number==&amp;sourceID=11","=")</f>
        <v>=</v>
      </c>
      <c r="H150" s="4" t="str">
        <f>HYPERLINK("http://141.218.60.56/~jnz1568/getInfo.php?workbook=02_01.xlsx&amp;sheet=A0&amp;row=150&amp;col=8&amp;number=&amp;sourceID=11","")</f>
        <v/>
      </c>
      <c r="I150" s="4" t="str">
        <f>HYPERLINK("http://141.218.60.56/~jnz1568/getInfo.php?workbook=02_01.xlsx&amp;sheet=A0&amp;row=150&amp;col=9&amp;number=11813&amp;sourceID=11","11813")</f>
        <v>11813</v>
      </c>
      <c r="J150" s="4" t="str">
        <f>HYPERLINK("http://141.218.60.56/~jnz1568/getInfo.php?workbook=02_01.xlsx&amp;sheet=A0&amp;row=150&amp;col=10&amp;number=&amp;sourceID=11","")</f>
        <v/>
      </c>
      <c r="K150" s="4" t="str">
        <f>HYPERLINK("http://141.218.60.56/~jnz1568/getInfo.php?workbook=02_01.xlsx&amp;sheet=A0&amp;row=150&amp;col=11&amp;number=2.6424e-06&amp;sourceID=11","2.6424e-06")</f>
        <v>2.6424e-06</v>
      </c>
      <c r="L150" s="4" t="str">
        <f>HYPERLINK("http://141.218.60.56/~jnz1568/getInfo.php?workbook=02_01.xlsx&amp;sheet=A0&amp;row=150&amp;col=12&amp;number=&amp;sourceID=11","")</f>
        <v/>
      </c>
      <c r="M150" s="4" t="str">
        <f>HYPERLINK("http://141.218.60.56/~jnz1568/getInfo.php?workbook=02_01.xlsx&amp;sheet=A0&amp;row=150&amp;col=13&amp;number=&amp;sourceID=11","")</f>
        <v/>
      </c>
      <c r="N150" s="4" t="str">
        <f>HYPERLINK("http://141.218.60.56/~jnz1568/getInfo.php?workbook=02_01.xlsx&amp;sheet=A0&amp;row=150&amp;col=14&amp;number=11815&amp;sourceID=12","11815")</f>
        <v>11815</v>
      </c>
      <c r="O150" s="4" t="str">
        <f>HYPERLINK("http://141.218.60.56/~jnz1568/getInfo.php?workbook=02_01.xlsx&amp;sheet=A0&amp;row=150&amp;col=15&amp;number=&amp;sourceID=12","")</f>
        <v/>
      </c>
      <c r="P150" s="4" t="str">
        <f>HYPERLINK("http://141.218.60.56/~jnz1568/getInfo.php?workbook=02_01.xlsx&amp;sheet=A0&amp;row=150&amp;col=16&amp;number=11815&amp;sourceID=12","11815")</f>
        <v>11815</v>
      </c>
      <c r="Q150" s="4" t="str">
        <f>HYPERLINK("http://141.218.60.56/~jnz1568/getInfo.php?workbook=02_01.xlsx&amp;sheet=A0&amp;row=150&amp;col=17&amp;number=&amp;sourceID=12","")</f>
        <v/>
      </c>
      <c r="R150" s="4" t="str">
        <f>HYPERLINK("http://141.218.60.56/~jnz1568/getInfo.php?workbook=02_01.xlsx&amp;sheet=A0&amp;row=150&amp;col=18&amp;number=2.6739e-06&amp;sourceID=12","2.6739e-06")</f>
        <v>2.6739e-06</v>
      </c>
      <c r="S150" s="4" t="str">
        <f>HYPERLINK("http://141.218.60.56/~jnz1568/getInfo.php?workbook=02_01.xlsx&amp;sheet=A0&amp;row=150&amp;col=19&amp;number=&amp;sourceID=12","")</f>
        <v/>
      </c>
      <c r="T150" s="4" t="str">
        <f>HYPERLINK("http://141.218.60.56/~jnz1568/getInfo.php?workbook=02_01.xlsx&amp;sheet=A0&amp;row=150&amp;col=20&amp;number=&amp;sourceID=12","")</f>
        <v/>
      </c>
      <c r="U150" s="4" t="str">
        <f>HYPERLINK("http://141.218.60.56/~jnz1568/getInfo.php?workbook=02_01.xlsx&amp;sheet=A0&amp;row=150&amp;col=21&amp;number=&amp;sourceID=13","")</f>
        <v/>
      </c>
      <c r="V150" s="4" t="str">
        <f>HYPERLINK("http://141.218.60.56/~jnz1568/getInfo.php?workbook=02_01.xlsx&amp;sheet=A0&amp;row=150&amp;col=22&amp;number=&amp;sourceID=13","")</f>
        <v/>
      </c>
      <c r="W150" s="4" t="str">
        <f>HYPERLINK("http://141.218.60.56/~jnz1568/getInfo.php?workbook=02_01.xlsx&amp;sheet=A0&amp;row=150&amp;col=23&amp;number=&amp;sourceID=13","")</f>
        <v/>
      </c>
      <c r="X150" s="4" t="str">
        <f>HYPERLINK("http://141.218.60.56/~jnz1568/getInfo.php?workbook=02_01.xlsx&amp;sheet=A0&amp;row=150&amp;col=24&amp;number=&amp;sourceID=13","")</f>
        <v/>
      </c>
      <c r="Y150" s="4" t="str">
        <f>HYPERLINK("http://141.218.60.56/~jnz1568/getInfo.php?workbook=02_01.xlsx&amp;sheet=A0&amp;row=150&amp;col=25&amp;number=&amp;sourceID=13","")</f>
        <v/>
      </c>
      <c r="Z150" s="4" t="str">
        <f>HYPERLINK("http://141.218.60.56/~jnz1568/getInfo.php?workbook=02_01.xlsx&amp;sheet=A0&amp;row=150&amp;col=26&amp;number=&amp;sourceID=13","")</f>
        <v/>
      </c>
      <c r="AA150" s="4" t="str">
        <f>HYPERLINK("http://141.218.60.56/~jnz1568/getInfo.php?workbook=02_01.xlsx&amp;sheet=A0&amp;row=150&amp;col=27&amp;number=&amp;sourceID=20","")</f>
        <v/>
      </c>
    </row>
    <row r="151" spans="1:27">
      <c r="A151" s="3">
        <v>2</v>
      </c>
      <c r="B151" s="3">
        <v>1</v>
      </c>
      <c r="C151" s="3">
        <v>19</v>
      </c>
      <c r="D151" s="3">
        <v>2</v>
      </c>
      <c r="E151" s="3">
        <f>((1/(INDEX(E0!J$4:J$28,C151,1)-INDEX(E0!J$4:J$28,D151,1))))*100000000</f>
        <v>0</v>
      </c>
      <c r="F151" s="4" t="str">
        <f>HYPERLINK("http://141.218.60.56/~jnz1568/getInfo.php?workbook=02_01.xlsx&amp;sheet=A0&amp;row=151&amp;col=6&amp;number=&amp;sourceID=18","")</f>
        <v/>
      </c>
      <c r="G151" s="4" t="str">
        <f>HYPERLINK("http://141.218.60.56/~jnz1568/getInfo.php?workbook=02_01.xlsx&amp;sheet=A0&amp;row=151&amp;col=7&amp;number==&amp;sourceID=11","=")</f>
        <v>=</v>
      </c>
      <c r="H151" s="4" t="str">
        <f>HYPERLINK("http://141.218.60.56/~jnz1568/getInfo.php?workbook=02_01.xlsx&amp;sheet=A0&amp;row=151&amp;col=8&amp;number=125740000&amp;sourceID=11","125740000")</f>
        <v>125740000</v>
      </c>
      <c r="I151" s="4" t="str">
        <f>HYPERLINK("http://141.218.60.56/~jnz1568/getInfo.php?workbook=02_01.xlsx&amp;sheet=A0&amp;row=151&amp;col=9&amp;number=&amp;sourceID=11","")</f>
        <v/>
      </c>
      <c r="J151" s="4" t="str">
        <f>HYPERLINK("http://141.218.60.56/~jnz1568/getInfo.php?workbook=02_01.xlsx&amp;sheet=A0&amp;row=151&amp;col=10&amp;number=&amp;sourceID=11","")</f>
        <v/>
      </c>
      <c r="K151" s="4" t="str">
        <f>HYPERLINK("http://141.218.60.56/~jnz1568/getInfo.php?workbook=02_01.xlsx&amp;sheet=A0&amp;row=151&amp;col=11&amp;number=&amp;sourceID=11","")</f>
        <v/>
      </c>
      <c r="L151" s="4" t="str">
        <f>HYPERLINK("http://141.218.60.56/~jnz1568/getInfo.php?workbook=02_01.xlsx&amp;sheet=A0&amp;row=151&amp;col=12&amp;number=0.00047178&amp;sourceID=11","0.00047178")</f>
        <v>0.00047178</v>
      </c>
      <c r="M151" s="4" t="str">
        <f>HYPERLINK("http://141.218.60.56/~jnz1568/getInfo.php?workbook=02_01.xlsx&amp;sheet=A0&amp;row=151&amp;col=13&amp;number=&amp;sourceID=11","")</f>
        <v/>
      </c>
      <c r="N151" s="4" t="str">
        <f>HYPERLINK("http://141.218.60.56/~jnz1568/getInfo.php?workbook=02_01.xlsx&amp;sheet=A0&amp;row=151&amp;col=14&amp;number=125760000&amp;sourceID=12","125760000")</f>
        <v>125760000</v>
      </c>
      <c r="O151" s="4" t="str">
        <f>HYPERLINK("http://141.218.60.56/~jnz1568/getInfo.php?workbook=02_01.xlsx&amp;sheet=A0&amp;row=151&amp;col=15&amp;number=125760000&amp;sourceID=12","125760000")</f>
        <v>125760000</v>
      </c>
      <c r="P151" s="4" t="str">
        <f>HYPERLINK("http://141.218.60.56/~jnz1568/getInfo.php?workbook=02_01.xlsx&amp;sheet=A0&amp;row=151&amp;col=16&amp;number=&amp;sourceID=12","")</f>
        <v/>
      </c>
      <c r="Q151" s="4" t="str">
        <f>HYPERLINK("http://141.218.60.56/~jnz1568/getInfo.php?workbook=02_01.xlsx&amp;sheet=A0&amp;row=151&amp;col=17&amp;number=&amp;sourceID=12","")</f>
        <v/>
      </c>
      <c r="R151" s="4" t="str">
        <f>HYPERLINK("http://141.218.60.56/~jnz1568/getInfo.php?workbook=02_01.xlsx&amp;sheet=A0&amp;row=151&amp;col=18&amp;number=&amp;sourceID=12","")</f>
        <v/>
      </c>
      <c r="S151" s="4" t="str">
        <f>HYPERLINK("http://141.218.60.56/~jnz1568/getInfo.php?workbook=02_01.xlsx&amp;sheet=A0&amp;row=151&amp;col=19&amp;number=0.00047185&amp;sourceID=12","0.00047185")</f>
        <v>0.00047185</v>
      </c>
      <c r="T151" s="4" t="str">
        <f>HYPERLINK("http://141.218.60.56/~jnz1568/getInfo.php?workbook=02_01.xlsx&amp;sheet=A0&amp;row=151&amp;col=20&amp;number=&amp;sourceID=12","")</f>
        <v/>
      </c>
      <c r="U151" s="4" t="str">
        <f>HYPERLINK("http://141.218.60.56/~jnz1568/getInfo.php?workbook=02_01.xlsx&amp;sheet=A0&amp;row=151&amp;col=21&amp;number=&amp;sourceID=13","")</f>
        <v/>
      </c>
      <c r="V151" s="4" t="str">
        <f>HYPERLINK("http://141.218.60.56/~jnz1568/getInfo.php?workbook=02_01.xlsx&amp;sheet=A0&amp;row=151&amp;col=22&amp;number=&amp;sourceID=13","")</f>
        <v/>
      </c>
      <c r="W151" s="4" t="str">
        <f>HYPERLINK("http://141.218.60.56/~jnz1568/getInfo.php?workbook=02_01.xlsx&amp;sheet=A0&amp;row=151&amp;col=23&amp;number=&amp;sourceID=13","")</f>
        <v/>
      </c>
      <c r="X151" s="4" t="str">
        <f>HYPERLINK("http://141.218.60.56/~jnz1568/getInfo.php?workbook=02_01.xlsx&amp;sheet=A0&amp;row=151&amp;col=24&amp;number=&amp;sourceID=13","")</f>
        <v/>
      </c>
      <c r="Y151" s="4" t="str">
        <f>HYPERLINK("http://141.218.60.56/~jnz1568/getInfo.php?workbook=02_01.xlsx&amp;sheet=A0&amp;row=151&amp;col=25&amp;number=&amp;sourceID=13","")</f>
        <v/>
      </c>
      <c r="Z151" s="4" t="str">
        <f>HYPERLINK("http://141.218.60.56/~jnz1568/getInfo.php?workbook=02_01.xlsx&amp;sheet=A0&amp;row=151&amp;col=26&amp;number=&amp;sourceID=13","")</f>
        <v/>
      </c>
      <c r="AA151" s="4" t="str">
        <f>HYPERLINK("http://141.218.60.56/~jnz1568/getInfo.php?workbook=02_01.xlsx&amp;sheet=A0&amp;row=151&amp;col=27&amp;number=&amp;sourceID=20","")</f>
        <v/>
      </c>
    </row>
    <row r="152" spans="1:27">
      <c r="A152" s="3">
        <v>2</v>
      </c>
      <c r="B152" s="3">
        <v>1</v>
      </c>
      <c r="C152" s="3">
        <v>19</v>
      </c>
      <c r="D152" s="3">
        <v>3</v>
      </c>
      <c r="E152" s="3">
        <f>((1/(INDEX(E0!J$4:J$28,C152,1)-INDEX(E0!J$4:J$28,D152,1))))*100000000</f>
        <v>0</v>
      </c>
      <c r="F152" s="4" t="str">
        <f>HYPERLINK("http://141.218.60.56/~jnz1568/getInfo.php?workbook=02_01.xlsx&amp;sheet=A0&amp;row=152&amp;col=6&amp;number=&amp;sourceID=18","")</f>
        <v/>
      </c>
      <c r="G152" s="4" t="str">
        <f>HYPERLINK("http://141.218.60.56/~jnz1568/getInfo.php?workbook=02_01.xlsx&amp;sheet=A0&amp;row=152&amp;col=7&amp;number==&amp;sourceID=11","=")</f>
        <v>=</v>
      </c>
      <c r="H152" s="4" t="str">
        <f>HYPERLINK("http://141.218.60.56/~jnz1568/getInfo.php?workbook=02_01.xlsx&amp;sheet=A0&amp;row=152&amp;col=8&amp;number=&amp;sourceID=11","")</f>
        <v/>
      </c>
      <c r="I152" s="4" t="str">
        <f>HYPERLINK("http://141.218.60.56/~jnz1568/getInfo.php?workbook=02_01.xlsx&amp;sheet=A0&amp;row=152&amp;col=9&amp;number=61.753&amp;sourceID=11","61.753")</f>
        <v>61.753</v>
      </c>
      <c r="J152" s="4" t="str">
        <f>HYPERLINK("http://141.218.60.56/~jnz1568/getInfo.php?workbook=02_01.xlsx&amp;sheet=A0&amp;row=152&amp;col=10&amp;number=&amp;sourceID=11","")</f>
        <v/>
      </c>
      <c r="K152" s="4" t="str">
        <f>HYPERLINK("http://141.218.60.56/~jnz1568/getInfo.php?workbook=02_01.xlsx&amp;sheet=A0&amp;row=152&amp;col=11&amp;number=3.4437e-08&amp;sourceID=11","3.4437e-08")</f>
        <v>3.4437e-08</v>
      </c>
      <c r="L152" s="4" t="str">
        <f>HYPERLINK("http://141.218.60.56/~jnz1568/getInfo.php?workbook=02_01.xlsx&amp;sheet=A0&amp;row=152&amp;col=12&amp;number=&amp;sourceID=11","")</f>
        <v/>
      </c>
      <c r="M152" s="4" t="str">
        <f>HYPERLINK("http://141.218.60.56/~jnz1568/getInfo.php?workbook=02_01.xlsx&amp;sheet=A0&amp;row=152&amp;col=13&amp;number=&amp;sourceID=11","")</f>
        <v/>
      </c>
      <c r="N152" s="4" t="str">
        <f>HYPERLINK("http://141.218.60.56/~jnz1568/getInfo.php?workbook=02_01.xlsx&amp;sheet=A0&amp;row=152&amp;col=14&amp;number=61.762&amp;sourceID=12","61.762")</f>
        <v>61.762</v>
      </c>
      <c r="O152" s="4" t="str">
        <f>HYPERLINK("http://141.218.60.56/~jnz1568/getInfo.php?workbook=02_01.xlsx&amp;sheet=A0&amp;row=152&amp;col=15&amp;number=&amp;sourceID=12","")</f>
        <v/>
      </c>
      <c r="P152" s="4" t="str">
        <f>HYPERLINK("http://141.218.60.56/~jnz1568/getInfo.php?workbook=02_01.xlsx&amp;sheet=A0&amp;row=152&amp;col=16&amp;number=61.762&amp;sourceID=12","61.762")</f>
        <v>61.762</v>
      </c>
      <c r="Q152" s="4" t="str">
        <f>HYPERLINK("http://141.218.60.56/~jnz1568/getInfo.php?workbook=02_01.xlsx&amp;sheet=A0&amp;row=152&amp;col=17&amp;number=&amp;sourceID=12","")</f>
        <v/>
      </c>
      <c r="R152" s="4" t="str">
        <f>HYPERLINK("http://141.218.60.56/~jnz1568/getInfo.php?workbook=02_01.xlsx&amp;sheet=A0&amp;row=152&amp;col=18&amp;number=3.4191e-08&amp;sourceID=12","3.4191e-08")</f>
        <v>3.4191e-08</v>
      </c>
      <c r="S152" s="4" t="str">
        <f>HYPERLINK("http://141.218.60.56/~jnz1568/getInfo.php?workbook=02_01.xlsx&amp;sheet=A0&amp;row=152&amp;col=19&amp;number=&amp;sourceID=12","")</f>
        <v/>
      </c>
      <c r="T152" s="4" t="str">
        <f>HYPERLINK("http://141.218.60.56/~jnz1568/getInfo.php?workbook=02_01.xlsx&amp;sheet=A0&amp;row=152&amp;col=20&amp;number=&amp;sourceID=12","")</f>
        <v/>
      </c>
      <c r="U152" s="4" t="str">
        <f>HYPERLINK("http://141.218.60.56/~jnz1568/getInfo.php?workbook=02_01.xlsx&amp;sheet=A0&amp;row=152&amp;col=21&amp;number=&amp;sourceID=13","")</f>
        <v/>
      </c>
      <c r="V152" s="4" t="str">
        <f>HYPERLINK("http://141.218.60.56/~jnz1568/getInfo.php?workbook=02_01.xlsx&amp;sheet=A0&amp;row=152&amp;col=22&amp;number=&amp;sourceID=13","")</f>
        <v/>
      </c>
      <c r="W152" s="4" t="str">
        <f>HYPERLINK("http://141.218.60.56/~jnz1568/getInfo.php?workbook=02_01.xlsx&amp;sheet=A0&amp;row=152&amp;col=23&amp;number=&amp;sourceID=13","")</f>
        <v/>
      </c>
      <c r="X152" s="4" t="str">
        <f>HYPERLINK("http://141.218.60.56/~jnz1568/getInfo.php?workbook=02_01.xlsx&amp;sheet=A0&amp;row=152&amp;col=24&amp;number=&amp;sourceID=13","")</f>
        <v/>
      </c>
      <c r="Y152" s="4" t="str">
        <f>HYPERLINK("http://141.218.60.56/~jnz1568/getInfo.php?workbook=02_01.xlsx&amp;sheet=A0&amp;row=152&amp;col=25&amp;number=&amp;sourceID=13","")</f>
        <v/>
      </c>
      <c r="Z152" s="4" t="str">
        <f>HYPERLINK("http://141.218.60.56/~jnz1568/getInfo.php?workbook=02_01.xlsx&amp;sheet=A0&amp;row=152&amp;col=26&amp;number=&amp;sourceID=13","")</f>
        <v/>
      </c>
      <c r="AA152" s="4" t="str">
        <f>HYPERLINK("http://141.218.60.56/~jnz1568/getInfo.php?workbook=02_01.xlsx&amp;sheet=A0&amp;row=152&amp;col=27&amp;number=&amp;sourceID=20","")</f>
        <v/>
      </c>
    </row>
    <row r="153" spans="1:27">
      <c r="A153" s="3">
        <v>2</v>
      </c>
      <c r="B153" s="3">
        <v>1</v>
      </c>
      <c r="C153" s="3">
        <v>19</v>
      </c>
      <c r="D153" s="3">
        <v>4</v>
      </c>
      <c r="E153" s="3">
        <f>((1/(INDEX(E0!J$4:J$28,C153,1)-INDEX(E0!J$4:J$28,D153,1))))*100000000</f>
        <v>0</v>
      </c>
      <c r="F153" s="4" t="str">
        <f>HYPERLINK("http://141.218.60.56/~jnz1568/getInfo.php?workbook=02_01.xlsx&amp;sheet=A0&amp;row=153&amp;col=6&amp;number=&amp;sourceID=18","")</f>
        <v/>
      </c>
      <c r="G153" s="4" t="str">
        <f>HYPERLINK("http://141.218.60.56/~jnz1568/getInfo.php?workbook=02_01.xlsx&amp;sheet=A0&amp;row=153&amp;col=7&amp;number==&amp;sourceID=11","=")</f>
        <v>=</v>
      </c>
      <c r="H153" s="4" t="str">
        <f>HYPERLINK("http://141.218.60.56/~jnz1568/getInfo.php?workbook=02_01.xlsx&amp;sheet=A0&amp;row=153&amp;col=8&amp;number=25143000&amp;sourceID=11","25143000")</f>
        <v>25143000</v>
      </c>
      <c r="I153" s="4" t="str">
        <f>HYPERLINK("http://141.218.60.56/~jnz1568/getInfo.php?workbook=02_01.xlsx&amp;sheet=A0&amp;row=153&amp;col=9&amp;number=&amp;sourceID=11","")</f>
        <v/>
      </c>
      <c r="J153" s="4" t="str">
        <f>HYPERLINK("http://141.218.60.56/~jnz1568/getInfo.php?workbook=02_01.xlsx&amp;sheet=A0&amp;row=153&amp;col=10&amp;number=0.00018112&amp;sourceID=11","0.00018112")</f>
        <v>0.00018112</v>
      </c>
      <c r="K153" s="4" t="str">
        <f>HYPERLINK("http://141.218.60.56/~jnz1568/getInfo.php?workbook=02_01.xlsx&amp;sheet=A0&amp;row=153&amp;col=11&amp;number=&amp;sourceID=11","")</f>
        <v/>
      </c>
      <c r="L153" s="4" t="str">
        <f>HYPERLINK("http://141.218.60.56/~jnz1568/getInfo.php?workbook=02_01.xlsx&amp;sheet=A0&amp;row=153&amp;col=12&amp;number=&amp;sourceID=11","")</f>
        <v/>
      </c>
      <c r="M153" s="4" t="str">
        <f>HYPERLINK("http://141.218.60.56/~jnz1568/getInfo.php?workbook=02_01.xlsx&amp;sheet=A0&amp;row=153&amp;col=13&amp;number=&amp;sourceID=11","")</f>
        <v/>
      </c>
      <c r="N153" s="4" t="str">
        <f>HYPERLINK("http://141.218.60.56/~jnz1568/getInfo.php?workbook=02_01.xlsx&amp;sheet=A0&amp;row=153&amp;col=14&amp;number=25147000&amp;sourceID=12","25147000")</f>
        <v>25147000</v>
      </c>
      <c r="O153" s="4" t="str">
        <f>HYPERLINK("http://141.218.60.56/~jnz1568/getInfo.php?workbook=02_01.xlsx&amp;sheet=A0&amp;row=153&amp;col=15&amp;number=25147000&amp;sourceID=12","25147000")</f>
        <v>25147000</v>
      </c>
      <c r="P153" s="4" t="str">
        <f>HYPERLINK("http://141.218.60.56/~jnz1568/getInfo.php?workbook=02_01.xlsx&amp;sheet=A0&amp;row=153&amp;col=16&amp;number=&amp;sourceID=12","")</f>
        <v/>
      </c>
      <c r="Q153" s="4" t="str">
        <f>HYPERLINK("http://141.218.60.56/~jnz1568/getInfo.php?workbook=02_01.xlsx&amp;sheet=A0&amp;row=153&amp;col=17&amp;number=0.00018115&amp;sourceID=12","0.00018115")</f>
        <v>0.00018115</v>
      </c>
      <c r="R153" s="4" t="str">
        <f>HYPERLINK("http://141.218.60.56/~jnz1568/getInfo.php?workbook=02_01.xlsx&amp;sheet=A0&amp;row=153&amp;col=18&amp;number=&amp;sourceID=12","")</f>
        <v/>
      </c>
      <c r="S153" s="4" t="str">
        <f>HYPERLINK("http://141.218.60.56/~jnz1568/getInfo.php?workbook=02_01.xlsx&amp;sheet=A0&amp;row=153&amp;col=19&amp;number=&amp;sourceID=12","")</f>
        <v/>
      </c>
      <c r="T153" s="4" t="str">
        <f>HYPERLINK("http://141.218.60.56/~jnz1568/getInfo.php?workbook=02_01.xlsx&amp;sheet=A0&amp;row=153&amp;col=20&amp;number=&amp;sourceID=12","")</f>
        <v/>
      </c>
      <c r="U153" s="4" t="str">
        <f>HYPERLINK("http://141.218.60.56/~jnz1568/getInfo.php?workbook=02_01.xlsx&amp;sheet=A0&amp;row=153&amp;col=21&amp;number=&amp;sourceID=13","")</f>
        <v/>
      </c>
      <c r="V153" s="4" t="str">
        <f>HYPERLINK("http://141.218.60.56/~jnz1568/getInfo.php?workbook=02_01.xlsx&amp;sheet=A0&amp;row=153&amp;col=22&amp;number=&amp;sourceID=13","")</f>
        <v/>
      </c>
      <c r="W153" s="4" t="str">
        <f>HYPERLINK("http://141.218.60.56/~jnz1568/getInfo.php?workbook=02_01.xlsx&amp;sheet=A0&amp;row=153&amp;col=23&amp;number=&amp;sourceID=13","")</f>
        <v/>
      </c>
      <c r="X153" s="4" t="str">
        <f>HYPERLINK("http://141.218.60.56/~jnz1568/getInfo.php?workbook=02_01.xlsx&amp;sheet=A0&amp;row=153&amp;col=24&amp;number=&amp;sourceID=13","")</f>
        <v/>
      </c>
      <c r="Y153" s="4" t="str">
        <f>HYPERLINK("http://141.218.60.56/~jnz1568/getInfo.php?workbook=02_01.xlsx&amp;sheet=A0&amp;row=153&amp;col=25&amp;number=&amp;sourceID=13","")</f>
        <v/>
      </c>
      <c r="Z153" s="4" t="str">
        <f>HYPERLINK("http://141.218.60.56/~jnz1568/getInfo.php?workbook=02_01.xlsx&amp;sheet=A0&amp;row=153&amp;col=26&amp;number=&amp;sourceID=13","")</f>
        <v/>
      </c>
      <c r="AA153" s="4" t="str">
        <f>HYPERLINK("http://141.218.60.56/~jnz1568/getInfo.php?workbook=02_01.xlsx&amp;sheet=A0&amp;row=153&amp;col=27&amp;number=&amp;sourceID=20","")</f>
        <v/>
      </c>
    </row>
    <row r="154" spans="1:27">
      <c r="A154" s="3">
        <v>2</v>
      </c>
      <c r="B154" s="3">
        <v>1</v>
      </c>
      <c r="C154" s="3">
        <v>19</v>
      </c>
      <c r="D154" s="3">
        <v>5</v>
      </c>
      <c r="E154" s="3">
        <f>((1/(INDEX(E0!J$4:J$28,C154,1)-INDEX(E0!J$4:J$28,D154,1))))*100000000</f>
        <v>0</v>
      </c>
      <c r="F154" s="4" t="str">
        <f>HYPERLINK("http://141.218.60.56/~jnz1568/getInfo.php?workbook=02_01.xlsx&amp;sheet=A0&amp;row=154&amp;col=6&amp;number=&amp;sourceID=18","")</f>
        <v/>
      </c>
      <c r="G154" s="4" t="str">
        <f>HYPERLINK("http://141.218.60.56/~jnz1568/getInfo.php?workbook=02_01.xlsx&amp;sheet=A0&amp;row=154&amp;col=7&amp;number==&amp;sourceID=11","=")</f>
        <v>=</v>
      </c>
      <c r="H154" s="4" t="str">
        <f>HYPERLINK("http://141.218.60.56/~jnz1568/getInfo.php?workbook=02_01.xlsx&amp;sheet=A0&amp;row=154&amp;col=8&amp;number=45241000&amp;sourceID=11","45241000")</f>
        <v>45241000</v>
      </c>
      <c r="I154" s="4" t="str">
        <f>HYPERLINK("http://141.218.60.56/~jnz1568/getInfo.php?workbook=02_01.xlsx&amp;sheet=A0&amp;row=154&amp;col=9&amp;number=&amp;sourceID=11","")</f>
        <v/>
      </c>
      <c r="J154" s="4" t="str">
        <f>HYPERLINK("http://141.218.60.56/~jnz1568/getInfo.php?workbook=02_01.xlsx&amp;sheet=A0&amp;row=154&amp;col=10&amp;number=&amp;sourceID=11","")</f>
        <v/>
      </c>
      <c r="K154" s="4" t="str">
        <f>HYPERLINK("http://141.218.60.56/~jnz1568/getInfo.php?workbook=02_01.xlsx&amp;sheet=A0&amp;row=154&amp;col=11&amp;number=&amp;sourceID=11","")</f>
        <v/>
      </c>
      <c r="L154" s="4" t="str">
        <f>HYPERLINK("http://141.218.60.56/~jnz1568/getInfo.php?workbook=02_01.xlsx&amp;sheet=A0&amp;row=154&amp;col=12&amp;number=1.9464e-05&amp;sourceID=11","1.9464e-05")</f>
        <v>1.9464e-05</v>
      </c>
      <c r="M154" s="4" t="str">
        <f>HYPERLINK("http://141.218.60.56/~jnz1568/getInfo.php?workbook=02_01.xlsx&amp;sheet=A0&amp;row=154&amp;col=13&amp;number=&amp;sourceID=11","")</f>
        <v/>
      </c>
      <c r="N154" s="4" t="str">
        <f>HYPERLINK("http://141.218.60.56/~jnz1568/getInfo.php?workbook=02_01.xlsx&amp;sheet=A0&amp;row=154&amp;col=14&amp;number=45247000&amp;sourceID=12","45247000")</f>
        <v>45247000</v>
      </c>
      <c r="O154" s="4" t="str">
        <f>HYPERLINK("http://141.218.60.56/~jnz1568/getInfo.php?workbook=02_01.xlsx&amp;sheet=A0&amp;row=154&amp;col=15&amp;number=45247000&amp;sourceID=12","45247000")</f>
        <v>45247000</v>
      </c>
      <c r="P154" s="4" t="str">
        <f>HYPERLINK("http://141.218.60.56/~jnz1568/getInfo.php?workbook=02_01.xlsx&amp;sheet=A0&amp;row=154&amp;col=16&amp;number=&amp;sourceID=12","")</f>
        <v/>
      </c>
      <c r="Q154" s="4" t="str">
        <f>HYPERLINK("http://141.218.60.56/~jnz1568/getInfo.php?workbook=02_01.xlsx&amp;sheet=A0&amp;row=154&amp;col=17&amp;number=&amp;sourceID=12","")</f>
        <v/>
      </c>
      <c r="R154" s="4" t="str">
        <f>HYPERLINK("http://141.218.60.56/~jnz1568/getInfo.php?workbook=02_01.xlsx&amp;sheet=A0&amp;row=154&amp;col=18&amp;number=&amp;sourceID=12","")</f>
        <v/>
      </c>
      <c r="S154" s="4" t="str">
        <f>HYPERLINK("http://141.218.60.56/~jnz1568/getInfo.php?workbook=02_01.xlsx&amp;sheet=A0&amp;row=154&amp;col=19&amp;number=1.9467e-05&amp;sourceID=12","1.9467e-05")</f>
        <v>1.9467e-05</v>
      </c>
      <c r="T154" s="4" t="str">
        <f>HYPERLINK("http://141.218.60.56/~jnz1568/getInfo.php?workbook=02_01.xlsx&amp;sheet=A0&amp;row=154&amp;col=20&amp;number=&amp;sourceID=12","")</f>
        <v/>
      </c>
      <c r="U154" s="4" t="str">
        <f>HYPERLINK("http://141.218.60.56/~jnz1568/getInfo.php?workbook=02_01.xlsx&amp;sheet=A0&amp;row=154&amp;col=21&amp;number=&amp;sourceID=13","")</f>
        <v/>
      </c>
      <c r="V154" s="4" t="str">
        <f>HYPERLINK("http://141.218.60.56/~jnz1568/getInfo.php?workbook=02_01.xlsx&amp;sheet=A0&amp;row=154&amp;col=22&amp;number=&amp;sourceID=13","")</f>
        <v/>
      </c>
      <c r="W154" s="4" t="str">
        <f>HYPERLINK("http://141.218.60.56/~jnz1568/getInfo.php?workbook=02_01.xlsx&amp;sheet=A0&amp;row=154&amp;col=23&amp;number=&amp;sourceID=13","")</f>
        <v/>
      </c>
      <c r="X154" s="4" t="str">
        <f>HYPERLINK("http://141.218.60.56/~jnz1568/getInfo.php?workbook=02_01.xlsx&amp;sheet=A0&amp;row=154&amp;col=24&amp;number=&amp;sourceID=13","")</f>
        <v/>
      </c>
      <c r="Y154" s="4" t="str">
        <f>HYPERLINK("http://141.218.60.56/~jnz1568/getInfo.php?workbook=02_01.xlsx&amp;sheet=A0&amp;row=154&amp;col=25&amp;number=&amp;sourceID=13","")</f>
        <v/>
      </c>
      <c r="Z154" s="4" t="str">
        <f>HYPERLINK("http://141.218.60.56/~jnz1568/getInfo.php?workbook=02_01.xlsx&amp;sheet=A0&amp;row=154&amp;col=26&amp;number=&amp;sourceID=13","")</f>
        <v/>
      </c>
      <c r="AA154" s="4" t="str">
        <f>HYPERLINK("http://141.218.60.56/~jnz1568/getInfo.php?workbook=02_01.xlsx&amp;sheet=A0&amp;row=154&amp;col=27&amp;number=&amp;sourceID=20","")</f>
        <v/>
      </c>
    </row>
    <row r="155" spans="1:27">
      <c r="A155" s="3">
        <v>2</v>
      </c>
      <c r="B155" s="3">
        <v>1</v>
      </c>
      <c r="C155" s="3">
        <v>19</v>
      </c>
      <c r="D155" s="3">
        <v>6</v>
      </c>
      <c r="E155" s="3">
        <f>((1/(INDEX(E0!J$4:J$28,C155,1)-INDEX(E0!J$4:J$28,D155,1))))*100000000</f>
        <v>0</v>
      </c>
      <c r="F155" s="4" t="str">
        <f>HYPERLINK("http://141.218.60.56/~jnz1568/getInfo.php?workbook=02_01.xlsx&amp;sheet=A0&amp;row=155&amp;col=6&amp;number=&amp;sourceID=18","")</f>
        <v/>
      </c>
      <c r="G155" s="4" t="str">
        <f>HYPERLINK("http://141.218.60.56/~jnz1568/getInfo.php?workbook=02_01.xlsx&amp;sheet=A0&amp;row=155&amp;col=7&amp;number==&amp;sourceID=11","=")</f>
        <v>=</v>
      </c>
      <c r="H155" s="4" t="str">
        <f>HYPERLINK("http://141.218.60.56/~jnz1568/getInfo.php?workbook=02_01.xlsx&amp;sheet=A0&amp;row=155&amp;col=8&amp;number=&amp;sourceID=11","")</f>
        <v/>
      </c>
      <c r="I155" s="4" t="str">
        <f>HYPERLINK("http://141.218.60.56/~jnz1568/getInfo.php?workbook=02_01.xlsx&amp;sheet=A0&amp;row=155&amp;col=9&amp;number=69.508&amp;sourceID=11","69.508")</f>
        <v>69.508</v>
      </c>
      <c r="J155" s="4" t="str">
        <f>HYPERLINK("http://141.218.60.56/~jnz1568/getInfo.php?workbook=02_01.xlsx&amp;sheet=A0&amp;row=155&amp;col=10&amp;number=&amp;sourceID=11","")</f>
        <v/>
      </c>
      <c r="K155" s="4" t="str">
        <f>HYPERLINK("http://141.218.60.56/~jnz1568/getInfo.php?workbook=02_01.xlsx&amp;sheet=A0&amp;row=155&amp;col=11&amp;number=7.2025e-10&amp;sourceID=11","7.2025e-10")</f>
        <v>7.2025e-10</v>
      </c>
      <c r="L155" s="4" t="str">
        <f>HYPERLINK("http://141.218.60.56/~jnz1568/getInfo.php?workbook=02_01.xlsx&amp;sheet=A0&amp;row=155&amp;col=12&amp;number=&amp;sourceID=11","")</f>
        <v/>
      </c>
      <c r="M155" s="4" t="str">
        <f>HYPERLINK("http://141.218.60.56/~jnz1568/getInfo.php?workbook=02_01.xlsx&amp;sheet=A0&amp;row=155&amp;col=13&amp;number=&amp;sourceID=11","")</f>
        <v/>
      </c>
      <c r="N155" s="4" t="str">
        <f>HYPERLINK("http://141.218.60.56/~jnz1568/getInfo.php?workbook=02_01.xlsx&amp;sheet=A0&amp;row=155&amp;col=14&amp;number=69.518&amp;sourceID=12","69.518")</f>
        <v>69.518</v>
      </c>
      <c r="O155" s="4" t="str">
        <f>HYPERLINK("http://141.218.60.56/~jnz1568/getInfo.php?workbook=02_01.xlsx&amp;sheet=A0&amp;row=155&amp;col=15&amp;number=&amp;sourceID=12","")</f>
        <v/>
      </c>
      <c r="P155" s="4" t="str">
        <f>HYPERLINK("http://141.218.60.56/~jnz1568/getInfo.php?workbook=02_01.xlsx&amp;sheet=A0&amp;row=155&amp;col=16&amp;number=69.518&amp;sourceID=12","69.518")</f>
        <v>69.518</v>
      </c>
      <c r="Q155" s="4" t="str">
        <f>HYPERLINK("http://141.218.60.56/~jnz1568/getInfo.php?workbook=02_01.xlsx&amp;sheet=A0&amp;row=155&amp;col=17&amp;number=&amp;sourceID=12","")</f>
        <v/>
      </c>
      <c r="R155" s="4" t="str">
        <f>HYPERLINK("http://141.218.60.56/~jnz1568/getInfo.php?workbook=02_01.xlsx&amp;sheet=A0&amp;row=155&amp;col=18&amp;number=7.2065e-10&amp;sourceID=12","7.2065e-10")</f>
        <v>7.2065e-10</v>
      </c>
      <c r="S155" s="4" t="str">
        <f>HYPERLINK("http://141.218.60.56/~jnz1568/getInfo.php?workbook=02_01.xlsx&amp;sheet=A0&amp;row=155&amp;col=19&amp;number=&amp;sourceID=12","")</f>
        <v/>
      </c>
      <c r="T155" s="4" t="str">
        <f>HYPERLINK("http://141.218.60.56/~jnz1568/getInfo.php?workbook=02_01.xlsx&amp;sheet=A0&amp;row=155&amp;col=20&amp;number=&amp;sourceID=12","")</f>
        <v/>
      </c>
      <c r="U155" s="4" t="str">
        <f>HYPERLINK("http://141.218.60.56/~jnz1568/getInfo.php?workbook=02_01.xlsx&amp;sheet=A0&amp;row=155&amp;col=21&amp;number=&amp;sourceID=13","")</f>
        <v/>
      </c>
      <c r="V155" s="4" t="str">
        <f>HYPERLINK("http://141.218.60.56/~jnz1568/getInfo.php?workbook=02_01.xlsx&amp;sheet=A0&amp;row=155&amp;col=22&amp;number=&amp;sourceID=13","")</f>
        <v/>
      </c>
      <c r="W155" s="4" t="str">
        <f>HYPERLINK("http://141.218.60.56/~jnz1568/getInfo.php?workbook=02_01.xlsx&amp;sheet=A0&amp;row=155&amp;col=23&amp;number=&amp;sourceID=13","")</f>
        <v/>
      </c>
      <c r="X155" s="4" t="str">
        <f>HYPERLINK("http://141.218.60.56/~jnz1568/getInfo.php?workbook=02_01.xlsx&amp;sheet=A0&amp;row=155&amp;col=24&amp;number=&amp;sourceID=13","")</f>
        <v/>
      </c>
      <c r="Y155" s="4" t="str">
        <f>HYPERLINK("http://141.218.60.56/~jnz1568/getInfo.php?workbook=02_01.xlsx&amp;sheet=A0&amp;row=155&amp;col=25&amp;number=&amp;sourceID=13","")</f>
        <v/>
      </c>
      <c r="Z155" s="4" t="str">
        <f>HYPERLINK("http://141.218.60.56/~jnz1568/getInfo.php?workbook=02_01.xlsx&amp;sheet=A0&amp;row=155&amp;col=26&amp;number=&amp;sourceID=13","")</f>
        <v/>
      </c>
      <c r="AA155" s="4" t="str">
        <f>HYPERLINK("http://141.218.60.56/~jnz1568/getInfo.php?workbook=02_01.xlsx&amp;sheet=A0&amp;row=155&amp;col=27&amp;number=&amp;sourceID=20","")</f>
        <v/>
      </c>
    </row>
    <row r="156" spans="1:27">
      <c r="A156" s="3">
        <v>2</v>
      </c>
      <c r="B156" s="3">
        <v>1</v>
      </c>
      <c r="C156" s="3">
        <v>19</v>
      </c>
      <c r="D156" s="3">
        <v>7</v>
      </c>
      <c r="E156" s="3">
        <f>((1/(INDEX(E0!J$4:J$28,C156,1)-INDEX(E0!J$4:J$28,D156,1))))*100000000</f>
        <v>0</v>
      </c>
      <c r="F156" s="4" t="str">
        <f>HYPERLINK("http://141.218.60.56/~jnz1568/getInfo.php?workbook=02_01.xlsx&amp;sheet=A0&amp;row=156&amp;col=6&amp;number=&amp;sourceID=18","")</f>
        <v/>
      </c>
      <c r="G156" s="4" t="str">
        <f>HYPERLINK("http://141.218.60.56/~jnz1568/getInfo.php?workbook=02_01.xlsx&amp;sheet=A0&amp;row=156&amp;col=7&amp;number==&amp;sourceID=11","=")</f>
        <v>=</v>
      </c>
      <c r="H156" s="4" t="str">
        <f>HYPERLINK("http://141.218.60.56/~jnz1568/getInfo.php?workbook=02_01.xlsx&amp;sheet=A0&amp;row=156&amp;col=8&amp;number=&amp;sourceID=11","")</f>
        <v/>
      </c>
      <c r="I156" s="4" t="str">
        <f>HYPERLINK("http://141.218.60.56/~jnz1568/getInfo.php?workbook=02_01.xlsx&amp;sheet=A0&amp;row=156&amp;col=9&amp;number=25.696&amp;sourceID=11","25.696")</f>
        <v>25.696</v>
      </c>
      <c r="J156" s="4" t="str">
        <f>HYPERLINK("http://141.218.60.56/~jnz1568/getInfo.php?workbook=02_01.xlsx&amp;sheet=A0&amp;row=156&amp;col=10&amp;number=&amp;sourceID=11","")</f>
        <v/>
      </c>
      <c r="K156" s="4" t="str">
        <f>HYPERLINK("http://141.218.60.56/~jnz1568/getInfo.php?workbook=02_01.xlsx&amp;sheet=A0&amp;row=156&amp;col=11&amp;number=1.926e-08&amp;sourceID=11","1.926e-08")</f>
        <v>1.926e-08</v>
      </c>
      <c r="L156" s="4" t="str">
        <f>HYPERLINK("http://141.218.60.56/~jnz1568/getInfo.php?workbook=02_01.xlsx&amp;sheet=A0&amp;row=156&amp;col=12&amp;number=&amp;sourceID=11","")</f>
        <v/>
      </c>
      <c r="M156" s="4" t="str">
        <f>HYPERLINK("http://141.218.60.56/~jnz1568/getInfo.php?workbook=02_01.xlsx&amp;sheet=A0&amp;row=156&amp;col=13&amp;number=1.2032e-11&amp;sourceID=11","1.2032e-11")</f>
        <v>1.2032e-11</v>
      </c>
      <c r="N156" s="4" t="str">
        <f>HYPERLINK("http://141.218.60.56/~jnz1568/getInfo.php?workbook=02_01.xlsx&amp;sheet=A0&amp;row=156&amp;col=14&amp;number=25.699&amp;sourceID=12","25.699")</f>
        <v>25.699</v>
      </c>
      <c r="O156" s="4" t="str">
        <f>HYPERLINK("http://141.218.60.56/~jnz1568/getInfo.php?workbook=02_01.xlsx&amp;sheet=A0&amp;row=156&amp;col=15&amp;number=&amp;sourceID=12","")</f>
        <v/>
      </c>
      <c r="P156" s="4" t="str">
        <f>HYPERLINK("http://141.218.60.56/~jnz1568/getInfo.php?workbook=02_01.xlsx&amp;sheet=A0&amp;row=156&amp;col=16&amp;number=25.699&amp;sourceID=12","25.699")</f>
        <v>25.699</v>
      </c>
      <c r="Q156" s="4" t="str">
        <f>HYPERLINK("http://141.218.60.56/~jnz1568/getInfo.php?workbook=02_01.xlsx&amp;sheet=A0&amp;row=156&amp;col=17&amp;number=&amp;sourceID=12","")</f>
        <v/>
      </c>
      <c r="R156" s="4" t="str">
        <f>HYPERLINK("http://141.218.60.56/~jnz1568/getInfo.php?workbook=02_01.xlsx&amp;sheet=A0&amp;row=156&amp;col=18&amp;number=1.9245e-08&amp;sourceID=12","1.9245e-08")</f>
        <v>1.9245e-08</v>
      </c>
      <c r="S156" s="4" t="str">
        <f>HYPERLINK("http://141.218.60.56/~jnz1568/getInfo.php?workbook=02_01.xlsx&amp;sheet=A0&amp;row=156&amp;col=19&amp;number=&amp;sourceID=12","")</f>
        <v/>
      </c>
      <c r="T156" s="4" t="str">
        <f>HYPERLINK("http://141.218.60.56/~jnz1568/getInfo.php?workbook=02_01.xlsx&amp;sheet=A0&amp;row=156&amp;col=20&amp;number=1.2033e-11&amp;sourceID=12","1.2033e-11")</f>
        <v>1.2033e-11</v>
      </c>
      <c r="U156" s="4" t="str">
        <f>HYPERLINK("http://141.218.60.56/~jnz1568/getInfo.php?workbook=02_01.xlsx&amp;sheet=A0&amp;row=156&amp;col=21&amp;number=&amp;sourceID=13","")</f>
        <v/>
      </c>
      <c r="V156" s="4" t="str">
        <f>HYPERLINK("http://141.218.60.56/~jnz1568/getInfo.php?workbook=02_01.xlsx&amp;sheet=A0&amp;row=156&amp;col=22&amp;number=&amp;sourceID=13","")</f>
        <v/>
      </c>
      <c r="W156" s="4" t="str">
        <f>HYPERLINK("http://141.218.60.56/~jnz1568/getInfo.php?workbook=02_01.xlsx&amp;sheet=A0&amp;row=156&amp;col=23&amp;number=&amp;sourceID=13","")</f>
        <v/>
      </c>
      <c r="X156" s="4" t="str">
        <f>HYPERLINK("http://141.218.60.56/~jnz1568/getInfo.php?workbook=02_01.xlsx&amp;sheet=A0&amp;row=156&amp;col=24&amp;number=&amp;sourceID=13","")</f>
        <v/>
      </c>
      <c r="Y156" s="4" t="str">
        <f>HYPERLINK("http://141.218.60.56/~jnz1568/getInfo.php?workbook=02_01.xlsx&amp;sheet=A0&amp;row=156&amp;col=25&amp;number=&amp;sourceID=13","")</f>
        <v/>
      </c>
      <c r="Z156" s="4" t="str">
        <f>HYPERLINK("http://141.218.60.56/~jnz1568/getInfo.php?workbook=02_01.xlsx&amp;sheet=A0&amp;row=156&amp;col=26&amp;number=&amp;sourceID=13","")</f>
        <v/>
      </c>
      <c r="AA156" s="4" t="str">
        <f>HYPERLINK("http://141.218.60.56/~jnz1568/getInfo.php?workbook=02_01.xlsx&amp;sheet=A0&amp;row=156&amp;col=27&amp;number=&amp;sourceID=20","")</f>
        <v/>
      </c>
    </row>
    <row r="157" spans="1:27">
      <c r="A157" s="3">
        <v>2</v>
      </c>
      <c r="B157" s="3">
        <v>1</v>
      </c>
      <c r="C157" s="3">
        <v>19</v>
      </c>
      <c r="D157" s="3">
        <v>8</v>
      </c>
      <c r="E157" s="3">
        <f>((1/(INDEX(E0!J$4:J$28,C157,1)-INDEX(E0!J$4:J$28,D157,1))))*100000000</f>
        <v>0</v>
      </c>
      <c r="F157" s="4" t="str">
        <f>HYPERLINK("http://141.218.60.56/~jnz1568/getInfo.php?workbook=02_01.xlsx&amp;sheet=A0&amp;row=157&amp;col=6&amp;number=&amp;sourceID=18","")</f>
        <v/>
      </c>
      <c r="G157" s="4" t="str">
        <f>HYPERLINK("http://141.218.60.56/~jnz1568/getInfo.php?workbook=02_01.xlsx&amp;sheet=A0&amp;row=157&amp;col=7&amp;number==&amp;sourceID=11","=")</f>
        <v>=</v>
      </c>
      <c r="H157" s="4" t="str">
        <f>HYPERLINK("http://141.218.60.56/~jnz1568/getInfo.php?workbook=02_01.xlsx&amp;sheet=A0&amp;row=157&amp;col=8&amp;number=9047700&amp;sourceID=11","9047700")</f>
        <v>9047700</v>
      </c>
      <c r="I157" s="4" t="str">
        <f>HYPERLINK("http://141.218.60.56/~jnz1568/getInfo.php?workbook=02_01.xlsx&amp;sheet=A0&amp;row=157&amp;col=9&amp;number=&amp;sourceID=11","")</f>
        <v/>
      </c>
      <c r="J157" s="4" t="str">
        <f>HYPERLINK("http://141.218.60.56/~jnz1568/getInfo.php?workbook=02_01.xlsx&amp;sheet=A0&amp;row=157&amp;col=10&amp;number=1.9219e-05&amp;sourceID=11","1.9219e-05")</f>
        <v>1.9219e-05</v>
      </c>
      <c r="K157" s="4" t="str">
        <f>HYPERLINK("http://141.218.60.56/~jnz1568/getInfo.php?workbook=02_01.xlsx&amp;sheet=A0&amp;row=157&amp;col=11&amp;number=&amp;sourceID=11","")</f>
        <v/>
      </c>
      <c r="L157" s="4" t="str">
        <f>HYPERLINK("http://141.218.60.56/~jnz1568/getInfo.php?workbook=02_01.xlsx&amp;sheet=A0&amp;row=157&amp;col=12&amp;number=&amp;sourceID=11","")</f>
        <v/>
      </c>
      <c r="M157" s="4" t="str">
        <f>HYPERLINK("http://141.218.60.56/~jnz1568/getInfo.php?workbook=02_01.xlsx&amp;sheet=A0&amp;row=157&amp;col=13&amp;number=&amp;sourceID=11","")</f>
        <v/>
      </c>
      <c r="N157" s="4" t="str">
        <f>HYPERLINK("http://141.218.60.56/~jnz1568/getInfo.php?workbook=02_01.xlsx&amp;sheet=A0&amp;row=157&amp;col=14&amp;number=9049000&amp;sourceID=12","9049000")</f>
        <v>9049000</v>
      </c>
      <c r="O157" s="4" t="str">
        <f>HYPERLINK("http://141.218.60.56/~jnz1568/getInfo.php?workbook=02_01.xlsx&amp;sheet=A0&amp;row=157&amp;col=15&amp;number=9049000&amp;sourceID=12","9049000")</f>
        <v>9049000</v>
      </c>
      <c r="P157" s="4" t="str">
        <f>HYPERLINK("http://141.218.60.56/~jnz1568/getInfo.php?workbook=02_01.xlsx&amp;sheet=A0&amp;row=157&amp;col=16&amp;number=&amp;sourceID=12","")</f>
        <v/>
      </c>
      <c r="Q157" s="4" t="str">
        <f>HYPERLINK("http://141.218.60.56/~jnz1568/getInfo.php?workbook=02_01.xlsx&amp;sheet=A0&amp;row=157&amp;col=17&amp;number=1.9222e-05&amp;sourceID=12","1.9222e-05")</f>
        <v>1.9222e-05</v>
      </c>
      <c r="R157" s="4" t="str">
        <f>HYPERLINK("http://141.218.60.56/~jnz1568/getInfo.php?workbook=02_01.xlsx&amp;sheet=A0&amp;row=157&amp;col=18&amp;number=&amp;sourceID=12","")</f>
        <v/>
      </c>
      <c r="S157" s="4" t="str">
        <f>HYPERLINK("http://141.218.60.56/~jnz1568/getInfo.php?workbook=02_01.xlsx&amp;sheet=A0&amp;row=157&amp;col=19&amp;number=&amp;sourceID=12","")</f>
        <v/>
      </c>
      <c r="T157" s="4" t="str">
        <f>HYPERLINK("http://141.218.60.56/~jnz1568/getInfo.php?workbook=02_01.xlsx&amp;sheet=A0&amp;row=157&amp;col=20&amp;number=&amp;sourceID=12","")</f>
        <v/>
      </c>
      <c r="U157" s="4" t="str">
        <f>HYPERLINK("http://141.218.60.56/~jnz1568/getInfo.php?workbook=02_01.xlsx&amp;sheet=A0&amp;row=157&amp;col=21&amp;number=&amp;sourceID=13","")</f>
        <v/>
      </c>
      <c r="V157" s="4" t="str">
        <f>HYPERLINK("http://141.218.60.56/~jnz1568/getInfo.php?workbook=02_01.xlsx&amp;sheet=A0&amp;row=157&amp;col=22&amp;number=&amp;sourceID=13","")</f>
        <v/>
      </c>
      <c r="W157" s="4" t="str">
        <f>HYPERLINK("http://141.218.60.56/~jnz1568/getInfo.php?workbook=02_01.xlsx&amp;sheet=A0&amp;row=157&amp;col=23&amp;number=&amp;sourceID=13","")</f>
        <v/>
      </c>
      <c r="X157" s="4" t="str">
        <f>HYPERLINK("http://141.218.60.56/~jnz1568/getInfo.php?workbook=02_01.xlsx&amp;sheet=A0&amp;row=157&amp;col=24&amp;number=&amp;sourceID=13","")</f>
        <v/>
      </c>
      <c r="Y157" s="4" t="str">
        <f>HYPERLINK("http://141.218.60.56/~jnz1568/getInfo.php?workbook=02_01.xlsx&amp;sheet=A0&amp;row=157&amp;col=25&amp;number=&amp;sourceID=13","")</f>
        <v/>
      </c>
      <c r="Z157" s="4" t="str">
        <f>HYPERLINK("http://141.218.60.56/~jnz1568/getInfo.php?workbook=02_01.xlsx&amp;sheet=A0&amp;row=157&amp;col=26&amp;number=&amp;sourceID=13","")</f>
        <v/>
      </c>
      <c r="AA157" s="4" t="str">
        <f>HYPERLINK("http://141.218.60.56/~jnz1568/getInfo.php?workbook=02_01.xlsx&amp;sheet=A0&amp;row=157&amp;col=27&amp;number=&amp;sourceID=20","")</f>
        <v/>
      </c>
    </row>
    <row r="158" spans="1:27">
      <c r="A158" s="3">
        <v>2</v>
      </c>
      <c r="B158" s="3">
        <v>1</v>
      </c>
      <c r="C158" s="3">
        <v>19</v>
      </c>
      <c r="D158" s="3">
        <v>9</v>
      </c>
      <c r="E158" s="3">
        <f>((1/(INDEX(E0!J$4:J$28,C158,1)-INDEX(E0!J$4:J$28,D158,1))))*100000000</f>
        <v>0</v>
      </c>
      <c r="F158" s="4" t="str">
        <f>HYPERLINK("http://141.218.60.56/~jnz1568/getInfo.php?workbook=02_01.xlsx&amp;sheet=A0&amp;row=158&amp;col=6&amp;number=&amp;sourceID=18","")</f>
        <v/>
      </c>
      <c r="G158" s="4" t="str">
        <f>HYPERLINK("http://141.218.60.56/~jnz1568/getInfo.php?workbook=02_01.xlsx&amp;sheet=A0&amp;row=158&amp;col=7&amp;number==&amp;sourceID=11","=")</f>
        <v>=</v>
      </c>
      <c r="H158" s="4" t="str">
        <f>HYPERLINK("http://141.218.60.56/~jnz1568/getInfo.php?workbook=02_01.xlsx&amp;sheet=A0&amp;row=158&amp;col=8&amp;number=&amp;sourceID=11","")</f>
        <v/>
      </c>
      <c r="I158" s="4" t="str">
        <f>HYPERLINK("http://141.218.60.56/~jnz1568/getInfo.php?workbook=02_01.xlsx&amp;sheet=A0&amp;row=158&amp;col=9&amp;number=11.012&amp;sourceID=11","11.012")</f>
        <v>11.012</v>
      </c>
      <c r="J158" s="4" t="str">
        <f>HYPERLINK("http://141.218.60.56/~jnz1568/getInfo.php?workbook=02_01.xlsx&amp;sheet=A0&amp;row=158&amp;col=10&amp;number=&amp;sourceID=11","")</f>
        <v/>
      </c>
      <c r="K158" s="4" t="str">
        <f>HYPERLINK("http://141.218.60.56/~jnz1568/getInfo.php?workbook=02_01.xlsx&amp;sheet=A0&amp;row=158&amp;col=11&amp;number=4.1617e-08&amp;sourceID=11","4.1617e-08")</f>
        <v>4.1617e-08</v>
      </c>
      <c r="L158" s="4" t="str">
        <f>HYPERLINK("http://141.218.60.56/~jnz1568/getInfo.php?workbook=02_01.xlsx&amp;sheet=A0&amp;row=158&amp;col=12&amp;number=&amp;sourceID=11","")</f>
        <v/>
      </c>
      <c r="M158" s="4" t="str">
        <f>HYPERLINK("http://141.218.60.56/~jnz1568/getInfo.php?workbook=02_01.xlsx&amp;sheet=A0&amp;row=158&amp;col=13&amp;number=8.02e-12&amp;sourceID=11","8.02e-12")</f>
        <v>8.02e-12</v>
      </c>
      <c r="N158" s="4" t="str">
        <f>HYPERLINK("http://141.218.60.56/~jnz1568/getInfo.php?workbook=02_01.xlsx&amp;sheet=A0&amp;row=158&amp;col=14&amp;number=11.013&amp;sourceID=12","11.013")</f>
        <v>11.013</v>
      </c>
      <c r="O158" s="4" t="str">
        <f>HYPERLINK("http://141.218.60.56/~jnz1568/getInfo.php?workbook=02_01.xlsx&amp;sheet=A0&amp;row=158&amp;col=15&amp;number=&amp;sourceID=12","")</f>
        <v/>
      </c>
      <c r="P158" s="4" t="str">
        <f>HYPERLINK("http://141.218.60.56/~jnz1568/getInfo.php?workbook=02_01.xlsx&amp;sheet=A0&amp;row=158&amp;col=16&amp;number=11.013&amp;sourceID=12","11.013")</f>
        <v>11.013</v>
      </c>
      <c r="Q158" s="4" t="str">
        <f>HYPERLINK("http://141.218.60.56/~jnz1568/getInfo.php?workbook=02_01.xlsx&amp;sheet=A0&amp;row=158&amp;col=17&amp;number=&amp;sourceID=12","")</f>
        <v/>
      </c>
      <c r="R158" s="4" t="str">
        <f>HYPERLINK("http://141.218.60.56/~jnz1568/getInfo.php?workbook=02_01.xlsx&amp;sheet=A0&amp;row=158&amp;col=18&amp;number=4.1601e-08&amp;sourceID=12","4.1601e-08")</f>
        <v>4.1601e-08</v>
      </c>
      <c r="S158" s="4" t="str">
        <f>HYPERLINK("http://141.218.60.56/~jnz1568/getInfo.php?workbook=02_01.xlsx&amp;sheet=A0&amp;row=158&amp;col=19&amp;number=&amp;sourceID=12","")</f>
        <v/>
      </c>
      <c r="T158" s="4" t="str">
        <f>HYPERLINK("http://141.218.60.56/~jnz1568/getInfo.php?workbook=02_01.xlsx&amp;sheet=A0&amp;row=158&amp;col=20&amp;number=8.022e-12&amp;sourceID=12","8.022e-12")</f>
        <v>8.022e-12</v>
      </c>
      <c r="U158" s="4" t="str">
        <f>HYPERLINK("http://141.218.60.56/~jnz1568/getInfo.php?workbook=02_01.xlsx&amp;sheet=A0&amp;row=158&amp;col=21&amp;number=&amp;sourceID=13","")</f>
        <v/>
      </c>
      <c r="V158" s="4" t="str">
        <f>HYPERLINK("http://141.218.60.56/~jnz1568/getInfo.php?workbook=02_01.xlsx&amp;sheet=A0&amp;row=158&amp;col=22&amp;number=&amp;sourceID=13","")</f>
        <v/>
      </c>
      <c r="W158" s="4" t="str">
        <f>HYPERLINK("http://141.218.60.56/~jnz1568/getInfo.php?workbook=02_01.xlsx&amp;sheet=A0&amp;row=158&amp;col=23&amp;number=&amp;sourceID=13","")</f>
        <v/>
      </c>
      <c r="X158" s="4" t="str">
        <f>HYPERLINK("http://141.218.60.56/~jnz1568/getInfo.php?workbook=02_01.xlsx&amp;sheet=A0&amp;row=158&amp;col=24&amp;number=&amp;sourceID=13","")</f>
        <v/>
      </c>
      <c r="Y158" s="4" t="str">
        <f>HYPERLINK("http://141.218.60.56/~jnz1568/getInfo.php?workbook=02_01.xlsx&amp;sheet=A0&amp;row=158&amp;col=25&amp;number=&amp;sourceID=13","")</f>
        <v/>
      </c>
      <c r="Z158" s="4" t="str">
        <f>HYPERLINK("http://141.218.60.56/~jnz1568/getInfo.php?workbook=02_01.xlsx&amp;sheet=A0&amp;row=158&amp;col=26&amp;number=&amp;sourceID=13","")</f>
        <v/>
      </c>
      <c r="AA158" s="4" t="str">
        <f>HYPERLINK("http://141.218.60.56/~jnz1568/getInfo.php?workbook=02_01.xlsx&amp;sheet=A0&amp;row=158&amp;col=27&amp;number=&amp;sourceID=20","")</f>
        <v/>
      </c>
    </row>
    <row r="159" spans="1:27">
      <c r="A159" s="3">
        <v>2</v>
      </c>
      <c r="B159" s="3">
        <v>1</v>
      </c>
      <c r="C159" s="3">
        <v>19</v>
      </c>
      <c r="D159" s="3">
        <v>10</v>
      </c>
      <c r="E159" s="3">
        <f>((1/(INDEX(E0!J$4:J$28,C159,1)-INDEX(E0!J$4:J$28,D159,1))))*100000000</f>
        <v>0</v>
      </c>
      <c r="F159" s="4" t="str">
        <f>HYPERLINK("http://141.218.60.56/~jnz1568/getInfo.php?workbook=02_01.xlsx&amp;sheet=A0&amp;row=159&amp;col=6&amp;number=&amp;sourceID=18","")</f>
        <v/>
      </c>
      <c r="G159" s="4" t="str">
        <f>HYPERLINK("http://141.218.60.56/~jnz1568/getInfo.php?workbook=02_01.xlsx&amp;sheet=A0&amp;row=159&amp;col=7&amp;number==&amp;sourceID=11","=")</f>
        <v>=</v>
      </c>
      <c r="H159" s="4" t="str">
        <f>HYPERLINK("http://141.218.60.56/~jnz1568/getInfo.php?workbook=02_01.xlsx&amp;sheet=A0&amp;row=159&amp;col=8&amp;number=19817000&amp;sourceID=11","19817000")</f>
        <v>19817000</v>
      </c>
      <c r="I159" s="4" t="str">
        <f>HYPERLINK("http://141.218.60.56/~jnz1568/getInfo.php?workbook=02_01.xlsx&amp;sheet=A0&amp;row=159&amp;col=9&amp;number=&amp;sourceID=11","")</f>
        <v/>
      </c>
      <c r="J159" s="4" t="str">
        <f>HYPERLINK("http://141.218.60.56/~jnz1568/getInfo.php?workbook=02_01.xlsx&amp;sheet=A0&amp;row=159&amp;col=10&amp;number=&amp;sourceID=11","")</f>
        <v/>
      </c>
      <c r="K159" s="4" t="str">
        <f>HYPERLINK("http://141.218.60.56/~jnz1568/getInfo.php?workbook=02_01.xlsx&amp;sheet=A0&amp;row=159&amp;col=11&amp;number=&amp;sourceID=11","")</f>
        <v/>
      </c>
      <c r="L159" s="4" t="str">
        <f>HYPERLINK("http://141.218.60.56/~jnz1568/getInfo.php?workbook=02_01.xlsx&amp;sheet=A0&amp;row=159&amp;col=12&amp;number=8.5364e-07&amp;sourceID=11","8.5364e-07")</f>
        <v>8.5364e-07</v>
      </c>
      <c r="M159" s="4" t="str">
        <f>HYPERLINK("http://141.218.60.56/~jnz1568/getInfo.php?workbook=02_01.xlsx&amp;sheet=A0&amp;row=159&amp;col=13&amp;number=&amp;sourceID=11","")</f>
        <v/>
      </c>
      <c r="N159" s="4" t="str">
        <f>HYPERLINK("http://141.218.60.56/~jnz1568/getInfo.php?workbook=02_01.xlsx&amp;sheet=A0&amp;row=159&amp;col=14&amp;number=19820000&amp;sourceID=12","19820000")</f>
        <v>19820000</v>
      </c>
      <c r="O159" s="4" t="str">
        <f>HYPERLINK("http://141.218.60.56/~jnz1568/getInfo.php?workbook=02_01.xlsx&amp;sheet=A0&amp;row=159&amp;col=15&amp;number=19820000&amp;sourceID=12","19820000")</f>
        <v>19820000</v>
      </c>
      <c r="P159" s="4" t="str">
        <f>HYPERLINK("http://141.218.60.56/~jnz1568/getInfo.php?workbook=02_01.xlsx&amp;sheet=A0&amp;row=159&amp;col=16&amp;number=&amp;sourceID=12","")</f>
        <v/>
      </c>
      <c r="Q159" s="4" t="str">
        <f>HYPERLINK("http://141.218.60.56/~jnz1568/getInfo.php?workbook=02_01.xlsx&amp;sheet=A0&amp;row=159&amp;col=17&amp;number=&amp;sourceID=12","")</f>
        <v/>
      </c>
      <c r="R159" s="4" t="str">
        <f>HYPERLINK("http://141.218.60.56/~jnz1568/getInfo.php?workbook=02_01.xlsx&amp;sheet=A0&amp;row=159&amp;col=18&amp;number=&amp;sourceID=12","")</f>
        <v/>
      </c>
      <c r="S159" s="4" t="str">
        <f>HYPERLINK("http://141.218.60.56/~jnz1568/getInfo.php?workbook=02_01.xlsx&amp;sheet=A0&amp;row=159&amp;col=19&amp;number=8.5375e-07&amp;sourceID=12","8.5375e-07")</f>
        <v>8.5375e-07</v>
      </c>
      <c r="T159" s="4" t="str">
        <f>HYPERLINK("http://141.218.60.56/~jnz1568/getInfo.php?workbook=02_01.xlsx&amp;sheet=A0&amp;row=159&amp;col=20&amp;number=&amp;sourceID=12","")</f>
        <v/>
      </c>
      <c r="U159" s="4" t="str">
        <f>HYPERLINK("http://141.218.60.56/~jnz1568/getInfo.php?workbook=02_01.xlsx&amp;sheet=A0&amp;row=159&amp;col=21&amp;number=&amp;sourceID=13","")</f>
        <v/>
      </c>
      <c r="V159" s="4" t="str">
        <f>HYPERLINK("http://141.218.60.56/~jnz1568/getInfo.php?workbook=02_01.xlsx&amp;sheet=A0&amp;row=159&amp;col=22&amp;number=&amp;sourceID=13","")</f>
        <v/>
      </c>
      <c r="W159" s="4" t="str">
        <f>HYPERLINK("http://141.218.60.56/~jnz1568/getInfo.php?workbook=02_01.xlsx&amp;sheet=A0&amp;row=159&amp;col=23&amp;number=&amp;sourceID=13","")</f>
        <v/>
      </c>
      <c r="X159" s="4" t="str">
        <f>HYPERLINK("http://141.218.60.56/~jnz1568/getInfo.php?workbook=02_01.xlsx&amp;sheet=A0&amp;row=159&amp;col=24&amp;number=&amp;sourceID=13","")</f>
        <v/>
      </c>
      <c r="Y159" s="4" t="str">
        <f>HYPERLINK("http://141.218.60.56/~jnz1568/getInfo.php?workbook=02_01.xlsx&amp;sheet=A0&amp;row=159&amp;col=25&amp;number=&amp;sourceID=13","")</f>
        <v/>
      </c>
      <c r="Z159" s="4" t="str">
        <f>HYPERLINK("http://141.218.60.56/~jnz1568/getInfo.php?workbook=02_01.xlsx&amp;sheet=A0&amp;row=159&amp;col=26&amp;number=&amp;sourceID=13","")</f>
        <v/>
      </c>
      <c r="AA159" s="4" t="str">
        <f>HYPERLINK("http://141.218.60.56/~jnz1568/getInfo.php?workbook=02_01.xlsx&amp;sheet=A0&amp;row=159&amp;col=27&amp;number=&amp;sourceID=20","")</f>
        <v/>
      </c>
    </row>
    <row r="160" spans="1:27">
      <c r="A160" s="3">
        <v>2</v>
      </c>
      <c r="B160" s="3">
        <v>1</v>
      </c>
      <c r="C160" s="3">
        <v>19</v>
      </c>
      <c r="D160" s="3">
        <v>11</v>
      </c>
      <c r="E160" s="3">
        <f>((1/(INDEX(E0!J$4:J$28,C160,1)-INDEX(E0!J$4:J$28,D160,1))))*100000000</f>
        <v>0</v>
      </c>
      <c r="F160" s="4" t="str">
        <f>HYPERLINK("http://141.218.60.56/~jnz1568/getInfo.php?workbook=02_01.xlsx&amp;sheet=A0&amp;row=160&amp;col=6&amp;number=&amp;sourceID=18","")</f>
        <v/>
      </c>
      <c r="G160" s="4" t="str">
        <f>HYPERLINK("http://141.218.60.56/~jnz1568/getInfo.php?workbook=02_01.xlsx&amp;sheet=A0&amp;row=160&amp;col=7&amp;number==&amp;sourceID=11","=")</f>
        <v>=</v>
      </c>
      <c r="H160" s="4" t="str">
        <f>HYPERLINK("http://141.218.60.56/~jnz1568/getInfo.php?workbook=02_01.xlsx&amp;sheet=A0&amp;row=160&amp;col=8&amp;number=&amp;sourceID=11","")</f>
        <v/>
      </c>
      <c r="I160" s="4" t="str">
        <f>HYPERLINK("http://141.218.60.56/~jnz1568/getInfo.php?workbook=02_01.xlsx&amp;sheet=A0&amp;row=160&amp;col=9&amp;number=34.527&amp;sourceID=11","34.527")</f>
        <v>34.527</v>
      </c>
      <c r="J160" s="4" t="str">
        <f>HYPERLINK("http://141.218.60.56/~jnz1568/getInfo.php?workbook=02_01.xlsx&amp;sheet=A0&amp;row=160&amp;col=10&amp;number=&amp;sourceID=11","")</f>
        <v/>
      </c>
      <c r="K160" s="4" t="str">
        <f>HYPERLINK("http://141.218.60.56/~jnz1568/getInfo.php?workbook=02_01.xlsx&amp;sheet=A0&amp;row=160&amp;col=11&amp;number=9.587e-12&amp;sourceID=11","9.587e-12")</f>
        <v>9.587e-12</v>
      </c>
      <c r="L160" s="4" t="str">
        <f>HYPERLINK("http://141.218.60.56/~jnz1568/getInfo.php?workbook=02_01.xlsx&amp;sheet=A0&amp;row=160&amp;col=12&amp;number=&amp;sourceID=11","")</f>
        <v/>
      </c>
      <c r="M160" s="4" t="str">
        <f>HYPERLINK("http://141.218.60.56/~jnz1568/getInfo.php?workbook=02_01.xlsx&amp;sheet=A0&amp;row=160&amp;col=13&amp;number=&amp;sourceID=11","")</f>
        <v/>
      </c>
      <c r="N160" s="4" t="str">
        <f>HYPERLINK("http://141.218.60.56/~jnz1568/getInfo.php?workbook=02_01.xlsx&amp;sheet=A0&amp;row=160&amp;col=14&amp;number=34.532&amp;sourceID=12","34.532")</f>
        <v>34.532</v>
      </c>
      <c r="O160" s="4" t="str">
        <f>HYPERLINK("http://141.218.60.56/~jnz1568/getInfo.php?workbook=02_01.xlsx&amp;sheet=A0&amp;row=160&amp;col=15&amp;number=&amp;sourceID=12","")</f>
        <v/>
      </c>
      <c r="P160" s="4" t="str">
        <f>HYPERLINK("http://141.218.60.56/~jnz1568/getInfo.php?workbook=02_01.xlsx&amp;sheet=A0&amp;row=160&amp;col=16&amp;number=34.532&amp;sourceID=12","34.532")</f>
        <v>34.532</v>
      </c>
      <c r="Q160" s="4" t="str">
        <f>HYPERLINK("http://141.218.60.56/~jnz1568/getInfo.php?workbook=02_01.xlsx&amp;sheet=A0&amp;row=160&amp;col=17&amp;number=&amp;sourceID=12","")</f>
        <v/>
      </c>
      <c r="R160" s="4" t="str">
        <f>HYPERLINK("http://141.218.60.56/~jnz1568/getInfo.php?workbook=02_01.xlsx&amp;sheet=A0&amp;row=160&amp;col=18&amp;number=9.634e-12&amp;sourceID=12","9.634e-12")</f>
        <v>9.634e-12</v>
      </c>
      <c r="S160" s="4" t="str">
        <f>HYPERLINK("http://141.218.60.56/~jnz1568/getInfo.php?workbook=02_01.xlsx&amp;sheet=A0&amp;row=160&amp;col=19&amp;number=&amp;sourceID=12","")</f>
        <v/>
      </c>
      <c r="T160" s="4" t="str">
        <f>HYPERLINK("http://141.218.60.56/~jnz1568/getInfo.php?workbook=02_01.xlsx&amp;sheet=A0&amp;row=160&amp;col=20&amp;number=&amp;sourceID=12","")</f>
        <v/>
      </c>
      <c r="U160" s="4" t="str">
        <f>HYPERLINK("http://141.218.60.56/~jnz1568/getInfo.php?workbook=02_01.xlsx&amp;sheet=A0&amp;row=160&amp;col=21&amp;number=&amp;sourceID=13","")</f>
        <v/>
      </c>
      <c r="V160" s="4" t="str">
        <f>HYPERLINK("http://141.218.60.56/~jnz1568/getInfo.php?workbook=02_01.xlsx&amp;sheet=A0&amp;row=160&amp;col=22&amp;number=&amp;sourceID=13","")</f>
        <v/>
      </c>
      <c r="W160" s="4" t="str">
        <f>HYPERLINK("http://141.218.60.56/~jnz1568/getInfo.php?workbook=02_01.xlsx&amp;sheet=A0&amp;row=160&amp;col=23&amp;number=&amp;sourceID=13","")</f>
        <v/>
      </c>
      <c r="X160" s="4" t="str">
        <f>HYPERLINK("http://141.218.60.56/~jnz1568/getInfo.php?workbook=02_01.xlsx&amp;sheet=A0&amp;row=160&amp;col=24&amp;number=&amp;sourceID=13","")</f>
        <v/>
      </c>
      <c r="Y160" s="4" t="str">
        <f>HYPERLINK("http://141.218.60.56/~jnz1568/getInfo.php?workbook=02_01.xlsx&amp;sheet=A0&amp;row=160&amp;col=25&amp;number=&amp;sourceID=13","")</f>
        <v/>
      </c>
      <c r="Z160" s="4" t="str">
        <f>HYPERLINK("http://141.218.60.56/~jnz1568/getInfo.php?workbook=02_01.xlsx&amp;sheet=A0&amp;row=160&amp;col=26&amp;number=&amp;sourceID=13","")</f>
        <v/>
      </c>
      <c r="AA160" s="4" t="str">
        <f>HYPERLINK("http://141.218.60.56/~jnz1568/getInfo.php?workbook=02_01.xlsx&amp;sheet=A0&amp;row=160&amp;col=27&amp;number=&amp;sourceID=20","")</f>
        <v/>
      </c>
    </row>
    <row r="161" spans="1:27">
      <c r="A161" s="3">
        <v>2</v>
      </c>
      <c r="B161" s="3">
        <v>1</v>
      </c>
      <c r="C161" s="3">
        <v>19</v>
      </c>
      <c r="D161" s="3">
        <v>12</v>
      </c>
      <c r="E161" s="3">
        <f>((1/(INDEX(E0!J$4:J$28,C161,1)-INDEX(E0!J$4:J$28,D161,1))))*100000000</f>
        <v>0</v>
      </c>
      <c r="F161" s="4" t="str">
        <f>HYPERLINK("http://141.218.60.56/~jnz1568/getInfo.php?workbook=02_01.xlsx&amp;sheet=A0&amp;row=161&amp;col=6&amp;number=&amp;sourceID=18","")</f>
        <v/>
      </c>
      <c r="G161" s="4" t="str">
        <f>HYPERLINK("http://141.218.60.56/~jnz1568/getInfo.php?workbook=02_01.xlsx&amp;sheet=A0&amp;row=161&amp;col=7&amp;number==&amp;sourceID=11","=")</f>
        <v>=</v>
      </c>
      <c r="H161" s="4" t="str">
        <f>HYPERLINK("http://141.218.60.56/~jnz1568/getInfo.php?workbook=02_01.xlsx&amp;sheet=A0&amp;row=161&amp;col=8&amp;number=&amp;sourceID=11","")</f>
        <v/>
      </c>
      <c r="I161" s="4" t="str">
        <f>HYPERLINK("http://141.218.60.56/~jnz1568/getInfo.php?workbook=02_01.xlsx&amp;sheet=A0&amp;row=161&amp;col=9&amp;number=11.905&amp;sourceID=11","11.905")</f>
        <v>11.905</v>
      </c>
      <c r="J161" s="4" t="str">
        <f>HYPERLINK("http://141.218.60.56/~jnz1568/getInfo.php?workbook=02_01.xlsx&amp;sheet=A0&amp;row=161&amp;col=10&amp;number=&amp;sourceID=11","")</f>
        <v/>
      </c>
      <c r="K161" s="4" t="str">
        <f>HYPERLINK("http://141.218.60.56/~jnz1568/getInfo.php?workbook=02_01.xlsx&amp;sheet=A0&amp;row=161&amp;col=11&amp;number=8.933e-10&amp;sourceID=11","8.933e-10")</f>
        <v>8.933e-10</v>
      </c>
      <c r="L161" s="4" t="str">
        <f>HYPERLINK("http://141.218.60.56/~jnz1568/getInfo.php?workbook=02_01.xlsx&amp;sheet=A0&amp;row=161&amp;col=12&amp;number=&amp;sourceID=11","")</f>
        <v/>
      </c>
      <c r="M161" s="4" t="str">
        <f>HYPERLINK("http://141.218.60.56/~jnz1568/getInfo.php?workbook=02_01.xlsx&amp;sheet=A0&amp;row=161&amp;col=13&amp;number=5.58e-13&amp;sourceID=11","5.58e-13")</f>
        <v>5.58e-13</v>
      </c>
      <c r="N161" s="4" t="str">
        <f>HYPERLINK("http://141.218.60.56/~jnz1568/getInfo.php?workbook=02_01.xlsx&amp;sheet=A0&amp;row=161&amp;col=14&amp;number=11.906&amp;sourceID=12","11.906")</f>
        <v>11.906</v>
      </c>
      <c r="O161" s="4" t="str">
        <f>HYPERLINK("http://141.218.60.56/~jnz1568/getInfo.php?workbook=02_01.xlsx&amp;sheet=A0&amp;row=161&amp;col=15&amp;number=&amp;sourceID=12","")</f>
        <v/>
      </c>
      <c r="P161" s="4" t="str">
        <f>HYPERLINK("http://141.218.60.56/~jnz1568/getInfo.php?workbook=02_01.xlsx&amp;sheet=A0&amp;row=161&amp;col=16&amp;number=11.906&amp;sourceID=12","11.906")</f>
        <v>11.906</v>
      </c>
      <c r="Q161" s="4" t="str">
        <f>HYPERLINK("http://141.218.60.56/~jnz1568/getInfo.php?workbook=02_01.xlsx&amp;sheet=A0&amp;row=161&amp;col=17&amp;number=&amp;sourceID=12","")</f>
        <v/>
      </c>
      <c r="R161" s="4" t="str">
        <f>HYPERLINK("http://141.218.60.56/~jnz1568/getInfo.php?workbook=02_01.xlsx&amp;sheet=A0&amp;row=161&amp;col=18&amp;number=8.9342e-10&amp;sourceID=12","8.9342e-10")</f>
        <v>8.9342e-10</v>
      </c>
      <c r="S161" s="4" t="str">
        <f>HYPERLINK("http://141.218.60.56/~jnz1568/getInfo.php?workbook=02_01.xlsx&amp;sheet=A0&amp;row=161&amp;col=19&amp;number=&amp;sourceID=12","")</f>
        <v/>
      </c>
      <c r="T161" s="4" t="str">
        <f>HYPERLINK("http://141.218.60.56/~jnz1568/getInfo.php?workbook=02_01.xlsx&amp;sheet=A0&amp;row=161&amp;col=20&amp;number=5.58e-13&amp;sourceID=12","5.58e-13")</f>
        <v>5.58e-13</v>
      </c>
      <c r="U161" s="4" t="str">
        <f>HYPERLINK("http://141.218.60.56/~jnz1568/getInfo.php?workbook=02_01.xlsx&amp;sheet=A0&amp;row=161&amp;col=21&amp;number=&amp;sourceID=13","")</f>
        <v/>
      </c>
      <c r="V161" s="4" t="str">
        <f>HYPERLINK("http://141.218.60.56/~jnz1568/getInfo.php?workbook=02_01.xlsx&amp;sheet=A0&amp;row=161&amp;col=22&amp;number=&amp;sourceID=13","")</f>
        <v/>
      </c>
      <c r="W161" s="4" t="str">
        <f>HYPERLINK("http://141.218.60.56/~jnz1568/getInfo.php?workbook=02_01.xlsx&amp;sheet=A0&amp;row=161&amp;col=23&amp;number=&amp;sourceID=13","")</f>
        <v/>
      </c>
      <c r="X161" s="4" t="str">
        <f>HYPERLINK("http://141.218.60.56/~jnz1568/getInfo.php?workbook=02_01.xlsx&amp;sheet=A0&amp;row=161&amp;col=24&amp;number=&amp;sourceID=13","")</f>
        <v/>
      </c>
      <c r="Y161" s="4" t="str">
        <f>HYPERLINK("http://141.218.60.56/~jnz1568/getInfo.php?workbook=02_01.xlsx&amp;sheet=A0&amp;row=161&amp;col=25&amp;number=&amp;sourceID=13","")</f>
        <v/>
      </c>
      <c r="Z161" s="4" t="str">
        <f>HYPERLINK("http://141.218.60.56/~jnz1568/getInfo.php?workbook=02_01.xlsx&amp;sheet=A0&amp;row=161&amp;col=26&amp;number=&amp;sourceID=13","")</f>
        <v/>
      </c>
      <c r="AA161" s="4" t="str">
        <f>HYPERLINK("http://141.218.60.56/~jnz1568/getInfo.php?workbook=02_01.xlsx&amp;sheet=A0&amp;row=161&amp;col=27&amp;number=&amp;sourceID=20","")</f>
        <v/>
      </c>
    </row>
    <row r="162" spans="1:27">
      <c r="A162" s="3">
        <v>2</v>
      </c>
      <c r="B162" s="3">
        <v>1</v>
      </c>
      <c r="C162" s="3">
        <v>19</v>
      </c>
      <c r="D162" s="3">
        <v>13</v>
      </c>
      <c r="E162" s="3">
        <f>((1/(INDEX(E0!J$4:J$28,C162,1)-INDEX(E0!J$4:J$28,D162,1))))*100000000</f>
        <v>0</v>
      </c>
      <c r="F162" s="4" t="str">
        <f>HYPERLINK("http://141.218.60.56/~jnz1568/getInfo.php?workbook=02_01.xlsx&amp;sheet=A0&amp;row=162&amp;col=6&amp;number=&amp;sourceID=18","")</f>
        <v/>
      </c>
      <c r="G162" s="4" t="str">
        <f>HYPERLINK("http://141.218.60.56/~jnz1568/getInfo.php?workbook=02_01.xlsx&amp;sheet=A0&amp;row=162&amp;col=7&amp;number==&amp;sourceID=11","=")</f>
        <v>=</v>
      </c>
      <c r="H162" s="4" t="str">
        <f>HYPERLINK("http://141.218.60.56/~jnz1568/getInfo.php?workbook=02_01.xlsx&amp;sheet=A0&amp;row=162&amp;col=8&amp;number=3963800&amp;sourceID=11","3963800")</f>
        <v>3963800</v>
      </c>
      <c r="I162" s="4" t="str">
        <f>HYPERLINK("http://141.218.60.56/~jnz1568/getInfo.php?workbook=02_01.xlsx&amp;sheet=A0&amp;row=162&amp;col=9&amp;number=&amp;sourceID=11","")</f>
        <v/>
      </c>
      <c r="J162" s="4" t="str">
        <f>HYPERLINK("http://141.218.60.56/~jnz1568/getInfo.php?workbook=02_01.xlsx&amp;sheet=A0&amp;row=162&amp;col=10&amp;number=3.3495e-05&amp;sourceID=11","3.3495e-05")</f>
        <v>3.3495e-05</v>
      </c>
      <c r="K162" s="4" t="str">
        <f>HYPERLINK("http://141.218.60.56/~jnz1568/getInfo.php?workbook=02_01.xlsx&amp;sheet=A0&amp;row=162&amp;col=11&amp;number=&amp;sourceID=11","")</f>
        <v/>
      </c>
      <c r="L162" s="4" t="str">
        <f>HYPERLINK("http://141.218.60.56/~jnz1568/getInfo.php?workbook=02_01.xlsx&amp;sheet=A0&amp;row=162&amp;col=12&amp;number=&amp;sourceID=11","")</f>
        <v/>
      </c>
      <c r="M162" s="4" t="str">
        <f>HYPERLINK("http://141.218.60.56/~jnz1568/getInfo.php?workbook=02_01.xlsx&amp;sheet=A0&amp;row=162&amp;col=13&amp;number=&amp;sourceID=11","")</f>
        <v/>
      </c>
      <c r="N162" s="4" t="str">
        <f>HYPERLINK("http://141.218.60.56/~jnz1568/getInfo.php?workbook=02_01.xlsx&amp;sheet=A0&amp;row=162&amp;col=14&amp;number=3964400&amp;sourceID=12","3964400")</f>
        <v>3964400</v>
      </c>
      <c r="O162" s="4" t="str">
        <f>HYPERLINK("http://141.218.60.56/~jnz1568/getInfo.php?workbook=02_01.xlsx&amp;sheet=A0&amp;row=162&amp;col=15&amp;number=3964400&amp;sourceID=12","3964400")</f>
        <v>3964400</v>
      </c>
      <c r="P162" s="4" t="str">
        <f>HYPERLINK("http://141.218.60.56/~jnz1568/getInfo.php?workbook=02_01.xlsx&amp;sheet=A0&amp;row=162&amp;col=16&amp;number=&amp;sourceID=12","")</f>
        <v/>
      </c>
      <c r="Q162" s="4" t="str">
        <f>HYPERLINK("http://141.218.60.56/~jnz1568/getInfo.php?workbook=02_01.xlsx&amp;sheet=A0&amp;row=162&amp;col=17&amp;number=3.35e-05&amp;sourceID=12","3.35e-05")</f>
        <v>3.35e-05</v>
      </c>
      <c r="R162" s="4" t="str">
        <f>HYPERLINK("http://141.218.60.56/~jnz1568/getInfo.php?workbook=02_01.xlsx&amp;sheet=A0&amp;row=162&amp;col=18&amp;number=&amp;sourceID=12","")</f>
        <v/>
      </c>
      <c r="S162" s="4" t="str">
        <f>HYPERLINK("http://141.218.60.56/~jnz1568/getInfo.php?workbook=02_01.xlsx&amp;sheet=A0&amp;row=162&amp;col=19&amp;number=&amp;sourceID=12","")</f>
        <v/>
      </c>
      <c r="T162" s="4" t="str">
        <f>HYPERLINK("http://141.218.60.56/~jnz1568/getInfo.php?workbook=02_01.xlsx&amp;sheet=A0&amp;row=162&amp;col=20&amp;number=&amp;sourceID=12","")</f>
        <v/>
      </c>
      <c r="U162" s="4" t="str">
        <f>HYPERLINK("http://141.218.60.56/~jnz1568/getInfo.php?workbook=02_01.xlsx&amp;sheet=A0&amp;row=162&amp;col=21&amp;number=&amp;sourceID=13","")</f>
        <v/>
      </c>
      <c r="V162" s="4" t="str">
        <f>HYPERLINK("http://141.218.60.56/~jnz1568/getInfo.php?workbook=02_01.xlsx&amp;sheet=A0&amp;row=162&amp;col=22&amp;number=&amp;sourceID=13","")</f>
        <v/>
      </c>
      <c r="W162" s="4" t="str">
        <f>HYPERLINK("http://141.218.60.56/~jnz1568/getInfo.php?workbook=02_01.xlsx&amp;sheet=A0&amp;row=162&amp;col=23&amp;number=&amp;sourceID=13","")</f>
        <v/>
      </c>
      <c r="X162" s="4" t="str">
        <f>HYPERLINK("http://141.218.60.56/~jnz1568/getInfo.php?workbook=02_01.xlsx&amp;sheet=A0&amp;row=162&amp;col=24&amp;number=&amp;sourceID=13","")</f>
        <v/>
      </c>
      <c r="Y162" s="4" t="str">
        <f>HYPERLINK("http://141.218.60.56/~jnz1568/getInfo.php?workbook=02_01.xlsx&amp;sheet=A0&amp;row=162&amp;col=25&amp;number=&amp;sourceID=13","")</f>
        <v/>
      </c>
      <c r="Z162" s="4" t="str">
        <f>HYPERLINK("http://141.218.60.56/~jnz1568/getInfo.php?workbook=02_01.xlsx&amp;sheet=A0&amp;row=162&amp;col=26&amp;number=&amp;sourceID=13","")</f>
        <v/>
      </c>
      <c r="AA162" s="4" t="str">
        <f>HYPERLINK("http://141.218.60.56/~jnz1568/getInfo.php?workbook=02_01.xlsx&amp;sheet=A0&amp;row=162&amp;col=27&amp;number=&amp;sourceID=20","")</f>
        <v/>
      </c>
    </row>
    <row r="163" spans="1:27">
      <c r="A163" s="3">
        <v>2</v>
      </c>
      <c r="B163" s="3">
        <v>1</v>
      </c>
      <c r="C163" s="3">
        <v>19</v>
      </c>
      <c r="D163" s="3">
        <v>14</v>
      </c>
      <c r="E163" s="3">
        <f>((1/(INDEX(E0!J$4:J$28,C163,1)-INDEX(E0!J$4:J$28,D163,1))))*100000000</f>
        <v>0</v>
      </c>
      <c r="F163" s="4" t="str">
        <f>HYPERLINK("http://141.218.60.56/~jnz1568/getInfo.php?workbook=02_01.xlsx&amp;sheet=A0&amp;row=163&amp;col=6&amp;number=&amp;sourceID=18","")</f>
        <v/>
      </c>
      <c r="G163" s="4" t="str">
        <f>HYPERLINK("http://141.218.60.56/~jnz1568/getInfo.php?workbook=02_01.xlsx&amp;sheet=A0&amp;row=163&amp;col=7&amp;number==&amp;sourceID=11","=")</f>
        <v>=</v>
      </c>
      <c r="H163" s="4" t="str">
        <f>HYPERLINK("http://141.218.60.56/~jnz1568/getInfo.php?workbook=02_01.xlsx&amp;sheet=A0&amp;row=163&amp;col=8&amp;number=808150&amp;sourceID=11","808150")</f>
        <v>808150</v>
      </c>
      <c r="I163" s="4" t="str">
        <f>HYPERLINK("http://141.218.60.56/~jnz1568/getInfo.php?workbook=02_01.xlsx&amp;sheet=A0&amp;row=163&amp;col=9&amp;number=&amp;sourceID=11","")</f>
        <v/>
      </c>
      <c r="J163" s="4" t="str">
        <f>HYPERLINK("http://141.218.60.56/~jnz1568/getInfo.php?workbook=02_01.xlsx&amp;sheet=A0&amp;row=163&amp;col=10&amp;number=3.0165e-06&amp;sourceID=11","3.0165e-06")</f>
        <v>3.0165e-06</v>
      </c>
      <c r="K163" s="4" t="str">
        <f>HYPERLINK("http://141.218.60.56/~jnz1568/getInfo.php?workbook=02_01.xlsx&amp;sheet=A0&amp;row=163&amp;col=11&amp;number=&amp;sourceID=11","")</f>
        <v/>
      </c>
      <c r="L163" s="4" t="str">
        <f>HYPERLINK("http://141.218.60.56/~jnz1568/getInfo.php?workbook=02_01.xlsx&amp;sheet=A0&amp;row=163&amp;col=12&amp;number=2.0717e-07&amp;sourceID=11","2.0717e-07")</f>
        <v>2.0717e-07</v>
      </c>
      <c r="M163" s="4" t="str">
        <f>HYPERLINK("http://141.218.60.56/~jnz1568/getInfo.php?workbook=02_01.xlsx&amp;sheet=A0&amp;row=163&amp;col=13&amp;number=&amp;sourceID=11","")</f>
        <v/>
      </c>
      <c r="N163" s="4" t="str">
        <f>HYPERLINK("http://141.218.60.56/~jnz1568/getInfo.php?workbook=02_01.xlsx&amp;sheet=A0&amp;row=163&amp;col=14&amp;number=808260&amp;sourceID=12","808260")</f>
        <v>808260</v>
      </c>
      <c r="O163" s="4" t="str">
        <f>HYPERLINK("http://141.218.60.56/~jnz1568/getInfo.php?workbook=02_01.xlsx&amp;sheet=A0&amp;row=163&amp;col=15&amp;number=808260&amp;sourceID=12","808260")</f>
        <v>808260</v>
      </c>
      <c r="P163" s="4" t="str">
        <f>HYPERLINK("http://141.218.60.56/~jnz1568/getInfo.php?workbook=02_01.xlsx&amp;sheet=A0&amp;row=163&amp;col=16&amp;number=&amp;sourceID=12","")</f>
        <v/>
      </c>
      <c r="Q163" s="4" t="str">
        <f>HYPERLINK("http://141.218.60.56/~jnz1568/getInfo.php?workbook=02_01.xlsx&amp;sheet=A0&amp;row=163&amp;col=17&amp;number=3.0169e-06&amp;sourceID=12","3.0169e-06")</f>
        <v>3.0169e-06</v>
      </c>
      <c r="R163" s="4" t="str">
        <f>HYPERLINK("http://141.218.60.56/~jnz1568/getInfo.php?workbook=02_01.xlsx&amp;sheet=A0&amp;row=163&amp;col=18&amp;number=&amp;sourceID=12","")</f>
        <v/>
      </c>
      <c r="S163" s="4" t="str">
        <f>HYPERLINK("http://141.218.60.56/~jnz1568/getInfo.php?workbook=02_01.xlsx&amp;sheet=A0&amp;row=163&amp;col=19&amp;number=2.072e-07&amp;sourceID=12","2.072e-07")</f>
        <v>2.072e-07</v>
      </c>
      <c r="T163" s="4" t="str">
        <f>HYPERLINK("http://141.218.60.56/~jnz1568/getInfo.php?workbook=02_01.xlsx&amp;sheet=A0&amp;row=163&amp;col=20&amp;number=&amp;sourceID=12","")</f>
        <v/>
      </c>
      <c r="U163" s="4" t="str">
        <f>HYPERLINK("http://141.218.60.56/~jnz1568/getInfo.php?workbook=02_01.xlsx&amp;sheet=A0&amp;row=163&amp;col=21&amp;number=&amp;sourceID=13","")</f>
        <v/>
      </c>
      <c r="V163" s="4" t="str">
        <f>HYPERLINK("http://141.218.60.56/~jnz1568/getInfo.php?workbook=02_01.xlsx&amp;sheet=A0&amp;row=163&amp;col=22&amp;number=&amp;sourceID=13","")</f>
        <v/>
      </c>
      <c r="W163" s="4" t="str">
        <f>HYPERLINK("http://141.218.60.56/~jnz1568/getInfo.php?workbook=02_01.xlsx&amp;sheet=A0&amp;row=163&amp;col=23&amp;number=&amp;sourceID=13","")</f>
        <v/>
      </c>
      <c r="X163" s="4" t="str">
        <f>HYPERLINK("http://141.218.60.56/~jnz1568/getInfo.php?workbook=02_01.xlsx&amp;sheet=A0&amp;row=163&amp;col=24&amp;number=&amp;sourceID=13","")</f>
        <v/>
      </c>
      <c r="Y163" s="4" t="str">
        <f>HYPERLINK("http://141.218.60.56/~jnz1568/getInfo.php?workbook=02_01.xlsx&amp;sheet=A0&amp;row=163&amp;col=25&amp;number=&amp;sourceID=13","")</f>
        <v/>
      </c>
      <c r="Z163" s="4" t="str">
        <f>HYPERLINK("http://141.218.60.56/~jnz1568/getInfo.php?workbook=02_01.xlsx&amp;sheet=A0&amp;row=163&amp;col=26&amp;number=&amp;sourceID=13","")</f>
        <v/>
      </c>
      <c r="AA163" s="4" t="str">
        <f>HYPERLINK("http://141.218.60.56/~jnz1568/getInfo.php?workbook=02_01.xlsx&amp;sheet=A0&amp;row=163&amp;col=27&amp;number=&amp;sourceID=20","")</f>
        <v/>
      </c>
    </row>
    <row r="164" spans="1:27">
      <c r="A164" s="3">
        <v>2</v>
      </c>
      <c r="B164" s="3">
        <v>1</v>
      </c>
      <c r="C164" s="3">
        <v>19</v>
      </c>
      <c r="D164" s="3">
        <v>15</v>
      </c>
      <c r="E164" s="3">
        <f>((1/(INDEX(E0!J$4:J$28,C164,1)-INDEX(E0!J$4:J$28,D164,1))))*100000000</f>
        <v>0</v>
      </c>
      <c r="F164" s="4" t="str">
        <f>HYPERLINK("http://141.218.60.56/~jnz1568/getInfo.php?workbook=02_01.xlsx&amp;sheet=A0&amp;row=164&amp;col=6&amp;number=&amp;sourceID=18","")</f>
        <v/>
      </c>
      <c r="G164" s="4" t="str">
        <f>HYPERLINK("http://141.218.60.56/~jnz1568/getInfo.php?workbook=02_01.xlsx&amp;sheet=A0&amp;row=164&amp;col=7&amp;number==&amp;sourceID=11","=")</f>
        <v>=</v>
      </c>
      <c r="H164" s="4" t="str">
        <f>HYPERLINK("http://141.218.60.56/~jnz1568/getInfo.php?workbook=02_01.xlsx&amp;sheet=A0&amp;row=164&amp;col=8&amp;number=&amp;sourceID=11","")</f>
        <v/>
      </c>
      <c r="I164" s="4" t="str">
        <f>HYPERLINK("http://141.218.60.56/~jnz1568/getInfo.php?workbook=02_01.xlsx&amp;sheet=A0&amp;row=164&amp;col=9&amp;number=5.1019&amp;sourceID=11","5.1019")</f>
        <v>5.1019</v>
      </c>
      <c r="J164" s="4" t="str">
        <f>HYPERLINK("http://141.218.60.56/~jnz1568/getInfo.php?workbook=02_01.xlsx&amp;sheet=A0&amp;row=164&amp;col=10&amp;number=&amp;sourceID=11","")</f>
        <v/>
      </c>
      <c r="K164" s="4" t="str">
        <f>HYPERLINK("http://141.218.60.56/~jnz1568/getInfo.php?workbook=02_01.xlsx&amp;sheet=A0&amp;row=164&amp;col=11&amp;number=5.7673e-09&amp;sourceID=11","5.7673e-09")</f>
        <v>5.7673e-09</v>
      </c>
      <c r="L164" s="4" t="str">
        <f>HYPERLINK("http://141.218.60.56/~jnz1568/getInfo.php?workbook=02_01.xlsx&amp;sheet=A0&amp;row=164&amp;col=12&amp;number=&amp;sourceID=11","")</f>
        <v/>
      </c>
      <c r="M164" s="4" t="str">
        <f>HYPERLINK("http://141.218.60.56/~jnz1568/getInfo.php?workbook=02_01.xlsx&amp;sheet=A0&amp;row=164&amp;col=13&amp;number=3.72e-13&amp;sourceID=11","3.72e-13")</f>
        <v>3.72e-13</v>
      </c>
      <c r="N164" s="4" t="str">
        <f>HYPERLINK("http://141.218.60.56/~jnz1568/getInfo.php?workbook=02_01.xlsx&amp;sheet=A0&amp;row=164&amp;col=14&amp;number=5.1026&amp;sourceID=12","5.1026")</f>
        <v>5.1026</v>
      </c>
      <c r="O164" s="4" t="str">
        <f>HYPERLINK("http://141.218.60.56/~jnz1568/getInfo.php?workbook=02_01.xlsx&amp;sheet=A0&amp;row=164&amp;col=15&amp;number=&amp;sourceID=12","")</f>
        <v/>
      </c>
      <c r="P164" s="4" t="str">
        <f>HYPERLINK("http://141.218.60.56/~jnz1568/getInfo.php?workbook=02_01.xlsx&amp;sheet=A0&amp;row=164&amp;col=16&amp;number=5.1026&amp;sourceID=12","5.1026")</f>
        <v>5.1026</v>
      </c>
      <c r="Q164" s="4" t="str">
        <f>HYPERLINK("http://141.218.60.56/~jnz1568/getInfo.php?workbook=02_01.xlsx&amp;sheet=A0&amp;row=164&amp;col=17&amp;number=&amp;sourceID=12","")</f>
        <v/>
      </c>
      <c r="R164" s="4" t="str">
        <f>HYPERLINK("http://141.218.60.56/~jnz1568/getInfo.php?workbook=02_01.xlsx&amp;sheet=A0&amp;row=164&amp;col=18&amp;number=5.772e-09&amp;sourceID=12","5.772e-09")</f>
        <v>5.772e-09</v>
      </c>
      <c r="S164" s="4" t="str">
        <f>HYPERLINK("http://141.218.60.56/~jnz1568/getInfo.php?workbook=02_01.xlsx&amp;sheet=A0&amp;row=164&amp;col=19&amp;number=&amp;sourceID=12","")</f>
        <v/>
      </c>
      <c r="T164" s="4" t="str">
        <f>HYPERLINK("http://141.218.60.56/~jnz1568/getInfo.php?workbook=02_01.xlsx&amp;sheet=A0&amp;row=164&amp;col=20&amp;number=3.72e-13&amp;sourceID=12","3.72e-13")</f>
        <v>3.72e-13</v>
      </c>
      <c r="U164" s="4" t="str">
        <f>HYPERLINK("http://141.218.60.56/~jnz1568/getInfo.php?workbook=02_01.xlsx&amp;sheet=A0&amp;row=164&amp;col=21&amp;number=&amp;sourceID=13","")</f>
        <v/>
      </c>
      <c r="V164" s="4" t="str">
        <f>HYPERLINK("http://141.218.60.56/~jnz1568/getInfo.php?workbook=02_01.xlsx&amp;sheet=A0&amp;row=164&amp;col=22&amp;number=&amp;sourceID=13","")</f>
        <v/>
      </c>
      <c r="W164" s="4" t="str">
        <f>HYPERLINK("http://141.218.60.56/~jnz1568/getInfo.php?workbook=02_01.xlsx&amp;sheet=A0&amp;row=164&amp;col=23&amp;number=&amp;sourceID=13","")</f>
        <v/>
      </c>
      <c r="X164" s="4" t="str">
        <f>HYPERLINK("http://141.218.60.56/~jnz1568/getInfo.php?workbook=02_01.xlsx&amp;sheet=A0&amp;row=164&amp;col=24&amp;number=&amp;sourceID=13","")</f>
        <v/>
      </c>
      <c r="Y164" s="4" t="str">
        <f>HYPERLINK("http://141.218.60.56/~jnz1568/getInfo.php?workbook=02_01.xlsx&amp;sheet=A0&amp;row=164&amp;col=25&amp;number=&amp;sourceID=13","")</f>
        <v/>
      </c>
      <c r="Z164" s="4" t="str">
        <f>HYPERLINK("http://141.218.60.56/~jnz1568/getInfo.php?workbook=02_01.xlsx&amp;sheet=A0&amp;row=164&amp;col=26&amp;number=&amp;sourceID=13","")</f>
        <v/>
      </c>
      <c r="AA164" s="4" t="str">
        <f>HYPERLINK("http://141.218.60.56/~jnz1568/getInfo.php?workbook=02_01.xlsx&amp;sheet=A0&amp;row=164&amp;col=27&amp;number=&amp;sourceID=20","")</f>
        <v/>
      </c>
    </row>
    <row r="165" spans="1:27">
      <c r="A165" s="3">
        <v>2</v>
      </c>
      <c r="B165" s="3">
        <v>1</v>
      </c>
      <c r="C165" s="3">
        <v>19</v>
      </c>
      <c r="D165" s="3">
        <v>16</v>
      </c>
      <c r="E165" s="3">
        <f>((1/(INDEX(E0!J$4:J$28,C165,1)-INDEX(E0!J$4:J$28,D165,1))))*100000000</f>
        <v>0</v>
      </c>
      <c r="F165" s="4" t="str">
        <f>HYPERLINK("http://141.218.60.56/~jnz1568/getInfo.php?workbook=02_01.xlsx&amp;sheet=A0&amp;row=165&amp;col=6&amp;number=&amp;sourceID=18","")</f>
        <v/>
      </c>
      <c r="G165" s="4" t="str">
        <f>HYPERLINK("http://141.218.60.56/~jnz1568/getInfo.php?workbook=02_01.xlsx&amp;sheet=A0&amp;row=165&amp;col=7&amp;number==&amp;sourceID=11","=")</f>
        <v>=</v>
      </c>
      <c r="H165" s="4" t="str">
        <f>HYPERLINK("http://141.218.60.56/~jnz1568/getInfo.php?workbook=02_01.xlsx&amp;sheet=A0&amp;row=165&amp;col=8&amp;number=&amp;sourceID=11","")</f>
        <v/>
      </c>
      <c r="I165" s="4" t="str">
        <f>HYPERLINK("http://141.218.60.56/~jnz1568/getInfo.php?workbook=02_01.xlsx&amp;sheet=A0&amp;row=165&amp;col=9&amp;number=&amp;sourceID=11","")</f>
        <v/>
      </c>
      <c r="J165" s="4" t="str">
        <f>HYPERLINK("http://141.218.60.56/~jnz1568/getInfo.php?workbook=02_01.xlsx&amp;sheet=A0&amp;row=165&amp;col=10&amp;number=1.6758e-06&amp;sourceID=11","1.6758e-06")</f>
        <v>1.6758e-06</v>
      </c>
      <c r="K165" s="4" t="str">
        <f>HYPERLINK("http://141.218.60.56/~jnz1568/getInfo.php?workbook=02_01.xlsx&amp;sheet=A0&amp;row=165&amp;col=11&amp;number=&amp;sourceID=11","")</f>
        <v/>
      </c>
      <c r="L165" s="4" t="str">
        <f>HYPERLINK("http://141.218.60.56/~jnz1568/getInfo.php?workbook=02_01.xlsx&amp;sheet=A0&amp;row=165&amp;col=12&amp;number=3.536e-07&amp;sourceID=11","3.536e-07")</f>
        <v>3.536e-07</v>
      </c>
      <c r="M165" s="4" t="str">
        <f>HYPERLINK("http://141.218.60.56/~jnz1568/getInfo.php?workbook=02_01.xlsx&amp;sheet=A0&amp;row=165&amp;col=13&amp;number=&amp;sourceID=11","")</f>
        <v/>
      </c>
      <c r="N165" s="4" t="str">
        <f>HYPERLINK("http://141.218.60.56/~jnz1568/getInfo.php?workbook=02_01.xlsx&amp;sheet=A0&amp;row=165&amp;col=14&amp;number=2.0297e-06&amp;sourceID=12","2.0297e-06")</f>
        <v>2.0297e-06</v>
      </c>
      <c r="O165" s="4" t="str">
        <f>HYPERLINK("http://141.218.60.56/~jnz1568/getInfo.php?workbook=02_01.xlsx&amp;sheet=A0&amp;row=165&amp;col=15&amp;number=&amp;sourceID=12","")</f>
        <v/>
      </c>
      <c r="P165" s="4" t="str">
        <f>HYPERLINK("http://141.218.60.56/~jnz1568/getInfo.php?workbook=02_01.xlsx&amp;sheet=A0&amp;row=165&amp;col=16&amp;number=&amp;sourceID=12","")</f>
        <v/>
      </c>
      <c r="Q165" s="4" t="str">
        <f>HYPERLINK("http://141.218.60.56/~jnz1568/getInfo.php?workbook=02_01.xlsx&amp;sheet=A0&amp;row=165&amp;col=17&amp;number=1.676e-06&amp;sourceID=12","1.676e-06")</f>
        <v>1.676e-06</v>
      </c>
      <c r="R165" s="4" t="str">
        <f>HYPERLINK("http://141.218.60.56/~jnz1568/getInfo.php?workbook=02_01.xlsx&amp;sheet=A0&amp;row=165&amp;col=18&amp;number=&amp;sourceID=12","")</f>
        <v/>
      </c>
      <c r="S165" s="4" t="str">
        <f>HYPERLINK("http://141.218.60.56/~jnz1568/getInfo.php?workbook=02_01.xlsx&amp;sheet=A0&amp;row=165&amp;col=19&amp;number=3.5365e-07&amp;sourceID=12","3.5365e-07")</f>
        <v>3.5365e-07</v>
      </c>
      <c r="T165" s="4" t="str">
        <f>HYPERLINK("http://141.218.60.56/~jnz1568/getInfo.php?workbook=02_01.xlsx&amp;sheet=A0&amp;row=165&amp;col=20&amp;number=&amp;sourceID=12","")</f>
        <v/>
      </c>
      <c r="U165" s="4" t="str">
        <f>HYPERLINK("http://141.218.60.56/~jnz1568/getInfo.php?workbook=02_01.xlsx&amp;sheet=A0&amp;row=165&amp;col=21&amp;number=&amp;sourceID=13","")</f>
        <v/>
      </c>
      <c r="V165" s="4" t="str">
        <f>HYPERLINK("http://141.218.60.56/~jnz1568/getInfo.php?workbook=02_01.xlsx&amp;sheet=A0&amp;row=165&amp;col=22&amp;number=&amp;sourceID=13","")</f>
        <v/>
      </c>
      <c r="W165" s="4" t="str">
        <f>HYPERLINK("http://141.218.60.56/~jnz1568/getInfo.php?workbook=02_01.xlsx&amp;sheet=A0&amp;row=165&amp;col=23&amp;number=&amp;sourceID=13","")</f>
        <v/>
      </c>
      <c r="X165" s="4" t="str">
        <f>HYPERLINK("http://141.218.60.56/~jnz1568/getInfo.php?workbook=02_01.xlsx&amp;sheet=A0&amp;row=165&amp;col=24&amp;number=&amp;sourceID=13","")</f>
        <v/>
      </c>
      <c r="Y165" s="4" t="str">
        <f>HYPERLINK("http://141.218.60.56/~jnz1568/getInfo.php?workbook=02_01.xlsx&amp;sheet=A0&amp;row=165&amp;col=25&amp;number=&amp;sourceID=13","")</f>
        <v/>
      </c>
      <c r="Z165" s="4" t="str">
        <f>HYPERLINK("http://141.218.60.56/~jnz1568/getInfo.php?workbook=02_01.xlsx&amp;sheet=A0&amp;row=165&amp;col=26&amp;number=&amp;sourceID=13","")</f>
        <v/>
      </c>
      <c r="AA165" s="4" t="str">
        <f>HYPERLINK("http://141.218.60.56/~jnz1568/getInfo.php?workbook=02_01.xlsx&amp;sheet=A0&amp;row=165&amp;col=27&amp;number=&amp;sourceID=20","")</f>
        <v/>
      </c>
    </row>
    <row r="166" spans="1:27">
      <c r="A166" s="3">
        <v>2</v>
      </c>
      <c r="B166" s="3">
        <v>1</v>
      </c>
      <c r="C166" s="3">
        <v>19</v>
      </c>
      <c r="D166" s="3">
        <v>17</v>
      </c>
      <c r="E166" s="3">
        <f>((1/(INDEX(E0!J$4:J$28,C166,1)-INDEX(E0!J$4:J$28,D166,1))))*100000000</f>
        <v>0</v>
      </c>
      <c r="F166" s="4" t="str">
        <f>HYPERLINK("http://141.218.60.56/~jnz1568/getInfo.php?workbook=02_01.xlsx&amp;sheet=A0&amp;row=166&amp;col=6&amp;number=&amp;sourceID=18","")</f>
        <v/>
      </c>
      <c r="G166" s="4" t="str">
        <f>HYPERLINK("http://141.218.60.56/~jnz1568/getInfo.php?workbook=02_01.xlsx&amp;sheet=A0&amp;row=166&amp;col=7&amp;number==&amp;sourceID=11","=")</f>
        <v>=</v>
      </c>
      <c r="H166" s="4" t="str">
        <f>HYPERLINK("http://141.218.60.56/~jnz1568/getInfo.php?workbook=02_01.xlsx&amp;sheet=A0&amp;row=166&amp;col=8&amp;number=1.0436e-05&amp;sourceID=11","1.0436e-05")</f>
        <v>1.0436e-05</v>
      </c>
      <c r="I166" s="4" t="str">
        <f>HYPERLINK("http://141.218.60.56/~jnz1568/getInfo.php?workbook=02_01.xlsx&amp;sheet=A0&amp;row=166&amp;col=9&amp;number=&amp;sourceID=11","")</f>
        <v/>
      </c>
      <c r="J166" s="4" t="str">
        <f>HYPERLINK("http://141.218.60.56/~jnz1568/getInfo.php?workbook=02_01.xlsx&amp;sheet=A0&amp;row=166&amp;col=10&amp;number=&amp;sourceID=11","")</f>
        <v/>
      </c>
      <c r="K166" s="4" t="str">
        <f>HYPERLINK("http://141.218.60.56/~jnz1568/getInfo.php?workbook=02_01.xlsx&amp;sheet=A0&amp;row=166&amp;col=11&amp;number=&amp;sourceID=11","")</f>
        <v/>
      </c>
      <c r="L166" s="4" t="str">
        <f>HYPERLINK("http://141.218.60.56/~jnz1568/getInfo.php?workbook=02_01.xlsx&amp;sheet=A0&amp;row=166&amp;col=12&amp;number=0&amp;sourceID=11","0")</f>
        <v>0</v>
      </c>
      <c r="M166" s="4" t="str">
        <f>HYPERLINK("http://141.218.60.56/~jnz1568/getInfo.php?workbook=02_01.xlsx&amp;sheet=A0&amp;row=166&amp;col=13&amp;number=&amp;sourceID=11","")</f>
        <v/>
      </c>
      <c r="N166" s="4" t="str">
        <f>HYPERLINK("http://141.218.60.56/~jnz1568/getInfo.php?workbook=02_01.xlsx&amp;sheet=A0&amp;row=166&amp;col=14&amp;number=1.0449e-05&amp;sourceID=12","1.0449e-05")</f>
        <v>1.0449e-05</v>
      </c>
      <c r="O166" s="4" t="str">
        <f>HYPERLINK("http://141.218.60.56/~jnz1568/getInfo.php?workbook=02_01.xlsx&amp;sheet=A0&amp;row=166&amp;col=15&amp;number=1.0449e-05&amp;sourceID=12","1.0449e-05")</f>
        <v>1.0449e-05</v>
      </c>
      <c r="P166" s="4" t="str">
        <f>HYPERLINK("http://141.218.60.56/~jnz1568/getInfo.php?workbook=02_01.xlsx&amp;sheet=A0&amp;row=166&amp;col=16&amp;number=&amp;sourceID=12","")</f>
        <v/>
      </c>
      <c r="Q166" s="4" t="str">
        <f>HYPERLINK("http://141.218.60.56/~jnz1568/getInfo.php?workbook=02_01.xlsx&amp;sheet=A0&amp;row=166&amp;col=17&amp;number=&amp;sourceID=12","")</f>
        <v/>
      </c>
      <c r="R166" s="4" t="str">
        <f>HYPERLINK("http://141.218.60.56/~jnz1568/getInfo.php?workbook=02_01.xlsx&amp;sheet=A0&amp;row=166&amp;col=18&amp;number=&amp;sourceID=12","")</f>
        <v/>
      </c>
      <c r="S166" s="4" t="str">
        <f>HYPERLINK("http://141.218.60.56/~jnz1568/getInfo.php?workbook=02_01.xlsx&amp;sheet=A0&amp;row=166&amp;col=19&amp;number=0&amp;sourceID=12","0")</f>
        <v>0</v>
      </c>
      <c r="T166" s="4" t="str">
        <f>HYPERLINK("http://141.218.60.56/~jnz1568/getInfo.php?workbook=02_01.xlsx&amp;sheet=A0&amp;row=166&amp;col=20&amp;number=&amp;sourceID=12","")</f>
        <v/>
      </c>
      <c r="U166" s="4" t="str">
        <f>HYPERLINK("http://141.218.60.56/~jnz1568/getInfo.php?workbook=02_01.xlsx&amp;sheet=A0&amp;row=166&amp;col=21&amp;number=&amp;sourceID=13","")</f>
        <v/>
      </c>
      <c r="V166" s="4" t="str">
        <f>HYPERLINK("http://141.218.60.56/~jnz1568/getInfo.php?workbook=02_01.xlsx&amp;sheet=A0&amp;row=166&amp;col=22&amp;number=&amp;sourceID=13","")</f>
        <v/>
      </c>
      <c r="W166" s="4" t="str">
        <f>HYPERLINK("http://141.218.60.56/~jnz1568/getInfo.php?workbook=02_01.xlsx&amp;sheet=A0&amp;row=166&amp;col=23&amp;number=&amp;sourceID=13","")</f>
        <v/>
      </c>
      <c r="X166" s="4" t="str">
        <f>HYPERLINK("http://141.218.60.56/~jnz1568/getInfo.php?workbook=02_01.xlsx&amp;sheet=A0&amp;row=166&amp;col=24&amp;number=&amp;sourceID=13","")</f>
        <v/>
      </c>
      <c r="Y166" s="4" t="str">
        <f>HYPERLINK("http://141.218.60.56/~jnz1568/getInfo.php?workbook=02_01.xlsx&amp;sheet=A0&amp;row=166&amp;col=25&amp;number=&amp;sourceID=13","")</f>
        <v/>
      </c>
      <c r="Z166" s="4" t="str">
        <f>HYPERLINK("http://141.218.60.56/~jnz1568/getInfo.php?workbook=02_01.xlsx&amp;sheet=A0&amp;row=166&amp;col=26&amp;number=&amp;sourceID=13","")</f>
        <v/>
      </c>
      <c r="AA166" s="4" t="str">
        <f>HYPERLINK("http://141.218.60.56/~jnz1568/getInfo.php?workbook=02_01.xlsx&amp;sheet=A0&amp;row=166&amp;col=27&amp;number=&amp;sourceID=20","")</f>
        <v/>
      </c>
    </row>
    <row r="167" spans="1:27">
      <c r="A167" s="3">
        <v>2</v>
      </c>
      <c r="B167" s="3">
        <v>1</v>
      </c>
      <c r="C167" s="3">
        <v>19</v>
      </c>
      <c r="D167" s="3">
        <v>18</v>
      </c>
      <c r="E167" s="3">
        <f>((1/(INDEX(E0!J$4:J$28,C167,1)-INDEX(E0!J$4:J$28,D167,1))))*100000000</f>
        <v>0</v>
      </c>
      <c r="F167" s="4" t="str">
        <f>HYPERLINK("http://141.218.60.56/~jnz1568/getInfo.php?workbook=02_01.xlsx&amp;sheet=A0&amp;row=167&amp;col=6&amp;number=&amp;sourceID=18","")</f>
        <v/>
      </c>
      <c r="G167" s="4" t="str">
        <f>HYPERLINK("http://141.218.60.56/~jnz1568/getInfo.php?workbook=02_01.xlsx&amp;sheet=A0&amp;row=167&amp;col=7&amp;number==&amp;sourceID=11","=")</f>
        <v>=</v>
      </c>
      <c r="H167" s="4" t="str">
        <f>HYPERLINK("http://141.218.60.56/~jnz1568/getInfo.php?workbook=02_01.xlsx&amp;sheet=A0&amp;row=167&amp;col=8&amp;number=&amp;sourceID=11","")</f>
        <v/>
      </c>
      <c r="I167" s="4" t="str">
        <f>HYPERLINK("http://141.218.60.56/~jnz1568/getInfo.php?workbook=02_01.xlsx&amp;sheet=A0&amp;row=167&amp;col=9&amp;number=0&amp;sourceID=11","0")</f>
        <v>0</v>
      </c>
      <c r="J167" s="4" t="str">
        <f>HYPERLINK("http://141.218.60.56/~jnz1568/getInfo.php?workbook=02_01.xlsx&amp;sheet=A0&amp;row=167&amp;col=10&amp;number=&amp;sourceID=11","")</f>
        <v/>
      </c>
      <c r="K167" s="4" t="str">
        <f>HYPERLINK("http://141.218.60.56/~jnz1568/getInfo.php?workbook=02_01.xlsx&amp;sheet=A0&amp;row=167&amp;col=11&amp;number=0&amp;sourceID=11","0")</f>
        <v>0</v>
      </c>
      <c r="L167" s="4" t="str">
        <f>HYPERLINK("http://141.218.60.56/~jnz1568/getInfo.php?workbook=02_01.xlsx&amp;sheet=A0&amp;row=167&amp;col=12&amp;number=&amp;sourceID=11","")</f>
        <v/>
      </c>
      <c r="M167" s="4" t="str">
        <f>HYPERLINK("http://141.218.60.56/~jnz1568/getInfo.php?workbook=02_01.xlsx&amp;sheet=A0&amp;row=167&amp;col=13&amp;number=&amp;sourceID=11","")</f>
        <v/>
      </c>
      <c r="N167" s="4" t="str">
        <f>HYPERLINK("http://141.218.60.56/~jnz1568/getInfo.php?workbook=02_01.xlsx&amp;sheet=A0&amp;row=167&amp;col=14&amp;number=0&amp;sourceID=12","0")</f>
        <v>0</v>
      </c>
      <c r="O167" s="4" t="str">
        <f>HYPERLINK("http://141.218.60.56/~jnz1568/getInfo.php?workbook=02_01.xlsx&amp;sheet=A0&amp;row=167&amp;col=15&amp;number=&amp;sourceID=12","")</f>
        <v/>
      </c>
      <c r="P167" s="4" t="str">
        <f>HYPERLINK("http://141.218.60.56/~jnz1568/getInfo.php?workbook=02_01.xlsx&amp;sheet=A0&amp;row=167&amp;col=16&amp;number=0&amp;sourceID=12","0")</f>
        <v>0</v>
      </c>
      <c r="Q167" s="4" t="str">
        <f>HYPERLINK("http://141.218.60.56/~jnz1568/getInfo.php?workbook=02_01.xlsx&amp;sheet=A0&amp;row=167&amp;col=17&amp;number=&amp;sourceID=12","")</f>
        <v/>
      </c>
      <c r="R167" s="4" t="str">
        <f>HYPERLINK("http://141.218.60.56/~jnz1568/getInfo.php?workbook=02_01.xlsx&amp;sheet=A0&amp;row=167&amp;col=18&amp;number=0&amp;sourceID=12","0")</f>
        <v>0</v>
      </c>
      <c r="S167" s="4" t="str">
        <f>HYPERLINK("http://141.218.60.56/~jnz1568/getInfo.php?workbook=02_01.xlsx&amp;sheet=A0&amp;row=167&amp;col=19&amp;number=&amp;sourceID=12","")</f>
        <v/>
      </c>
      <c r="T167" s="4" t="str">
        <f>HYPERLINK("http://141.218.60.56/~jnz1568/getInfo.php?workbook=02_01.xlsx&amp;sheet=A0&amp;row=167&amp;col=20&amp;number=&amp;sourceID=12","")</f>
        <v/>
      </c>
      <c r="U167" s="4" t="str">
        <f>HYPERLINK("http://141.218.60.56/~jnz1568/getInfo.php?workbook=02_01.xlsx&amp;sheet=A0&amp;row=167&amp;col=21&amp;number=&amp;sourceID=13","")</f>
        <v/>
      </c>
      <c r="V167" s="4" t="str">
        <f>HYPERLINK("http://141.218.60.56/~jnz1568/getInfo.php?workbook=02_01.xlsx&amp;sheet=A0&amp;row=167&amp;col=22&amp;number=&amp;sourceID=13","")</f>
        <v/>
      </c>
      <c r="W167" s="4" t="str">
        <f>HYPERLINK("http://141.218.60.56/~jnz1568/getInfo.php?workbook=02_01.xlsx&amp;sheet=A0&amp;row=167&amp;col=23&amp;number=&amp;sourceID=13","")</f>
        <v/>
      </c>
      <c r="X167" s="4" t="str">
        <f>HYPERLINK("http://141.218.60.56/~jnz1568/getInfo.php?workbook=02_01.xlsx&amp;sheet=A0&amp;row=167&amp;col=24&amp;number=&amp;sourceID=13","")</f>
        <v/>
      </c>
      <c r="Y167" s="4" t="str">
        <f>HYPERLINK("http://141.218.60.56/~jnz1568/getInfo.php?workbook=02_01.xlsx&amp;sheet=A0&amp;row=167&amp;col=25&amp;number=&amp;sourceID=13","")</f>
        <v/>
      </c>
      <c r="Z167" s="4" t="str">
        <f>HYPERLINK("http://141.218.60.56/~jnz1568/getInfo.php?workbook=02_01.xlsx&amp;sheet=A0&amp;row=167&amp;col=26&amp;number=&amp;sourceID=13","")</f>
        <v/>
      </c>
      <c r="AA167" s="4" t="str">
        <f>HYPERLINK("http://141.218.60.56/~jnz1568/getInfo.php?workbook=02_01.xlsx&amp;sheet=A0&amp;row=167&amp;col=27&amp;number=&amp;sourceID=20","")</f>
        <v/>
      </c>
    </row>
    <row r="168" spans="1:27">
      <c r="A168" s="3">
        <v>2</v>
      </c>
      <c r="B168" s="3">
        <v>1</v>
      </c>
      <c r="C168" s="3">
        <v>20</v>
      </c>
      <c r="D168" s="3">
        <v>1</v>
      </c>
      <c r="E168" s="3">
        <f>((1/(INDEX(E0!J$4:J$28,C168,1)-INDEX(E0!J$4:J$28,D168,1))))*100000000</f>
        <v>0</v>
      </c>
      <c r="F168" s="4" t="str">
        <f>HYPERLINK("http://141.218.60.56/~jnz1568/getInfo.php?workbook=02_01.xlsx&amp;sheet=A0&amp;row=168&amp;col=6&amp;number=&amp;sourceID=18","")</f>
        <v/>
      </c>
      <c r="G168" s="4" t="str">
        <f>HYPERLINK("http://141.218.60.56/~jnz1568/getInfo.php?workbook=02_01.xlsx&amp;sheet=A0&amp;row=168&amp;col=7&amp;number==&amp;sourceID=11","=")</f>
        <v>=</v>
      </c>
      <c r="H168" s="4" t="str">
        <f>HYPERLINK("http://141.218.60.56/~jnz1568/getInfo.php?workbook=02_01.xlsx&amp;sheet=A0&amp;row=168&amp;col=8&amp;number=550220000&amp;sourceID=11","550220000")</f>
        <v>550220000</v>
      </c>
      <c r="I168" s="4" t="str">
        <f>HYPERLINK("http://141.218.60.56/~jnz1568/getInfo.php?workbook=02_01.xlsx&amp;sheet=A0&amp;row=168&amp;col=9&amp;number=&amp;sourceID=11","")</f>
        <v/>
      </c>
      <c r="J168" s="4" t="str">
        <f>HYPERLINK("http://141.218.60.56/~jnz1568/getInfo.php?workbook=02_01.xlsx&amp;sheet=A0&amp;row=168&amp;col=10&amp;number=&amp;sourceID=11","")</f>
        <v/>
      </c>
      <c r="K168" s="4" t="str">
        <f>HYPERLINK("http://141.218.60.56/~jnz1568/getInfo.php?workbook=02_01.xlsx&amp;sheet=A0&amp;row=168&amp;col=11&amp;number=&amp;sourceID=11","")</f>
        <v/>
      </c>
      <c r="L168" s="4" t="str">
        <f>HYPERLINK("http://141.218.60.56/~jnz1568/getInfo.php?workbook=02_01.xlsx&amp;sheet=A0&amp;row=168&amp;col=12&amp;number=1.0785&amp;sourceID=11","1.0785")</f>
        <v>1.0785</v>
      </c>
      <c r="M168" s="4" t="str">
        <f>HYPERLINK("http://141.218.60.56/~jnz1568/getInfo.php?workbook=02_01.xlsx&amp;sheet=A0&amp;row=168&amp;col=13&amp;number=&amp;sourceID=11","")</f>
        <v/>
      </c>
      <c r="N168" s="4" t="str">
        <f>HYPERLINK("http://141.218.60.56/~jnz1568/getInfo.php?workbook=02_01.xlsx&amp;sheet=A0&amp;row=168&amp;col=14&amp;number=550290000&amp;sourceID=12","550290000")</f>
        <v>550290000</v>
      </c>
      <c r="O168" s="4" t="str">
        <f>HYPERLINK("http://141.218.60.56/~jnz1568/getInfo.php?workbook=02_01.xlsx&amp;sheet=A0&amp;row=168&amp;col=15&amp;number=550290000&amp;sourceID=12","550290000")</f>
        <v>550290000</v>
      </c>
      <c r="P168" s="4" t="str">
        <f>HYPERLINK("http://141.218.60.56/~jnz1568/getInfo.php?workbook=02_01.xlsx&amp;sheet=A0&amp;row=168&amp;col=16&amp;number=&amp;sourceID=12","")</f>
        <v/>
      </c>
      <c r="Q168" s="4" t="str">
        <f>HYPERLINK("http://141.218.60.56/~jnz1568/getInfo.php?workbook=02_01.xlsx&amp;sheet=A0&amp;row=168&amp;col=17&amp;number=&amp;sourceID=12","")</f>
        <v/>
      </c>
      <c r="R168" s="4" t="str">
        <f>HYPERLINK("http://141.218.60.56/~jnz1568/getInfo.php?workbook=02_01.xlsx&amp;sheet=A0&amp;row=168&amp;col=18&amp;number=&amp;sourceID=12","")</f>
        <v/>
      </c>
      <c r="S168" s="4" t="str">
        <f>HYPERLINK("http://141.218.60.56/~jnz1568/getInfo.php?workbook=02_01.xlsx&amp;sheet=A0&amp;row=168&amp;col=19&amp;number=1.0786&amp;sourceID=12","1.0786")</f>
        <v>1.0786</v>
      </c>
      <c r="T168" s="4" t="str">
        <f>HYPERLINK("http://141.218.60.56/~jnz1568/getInfo.php?workbook=02_01.xlsx&amp;sheet=A0&amp;row=168&amp;col=20&amp;number=&amp;sourceID=12","")</f>
        <v/>
      </c>
      <c r="U168" s="4" t="str">
        <f>HYPERLINK("http://141.218.60.56/~jnz1568/getInfo.php?workbook=02_01.xlsx&amp;sheet=A0&amp;row=168&amp;col=21&amp;number=&amp;sourceID=13","")</f>
        <v/>
      </c>
      <c r="V168" s="4" t="str">
        <f>HYPERLINK("http://141.218.60.56/~jnz1568/getInfo.php?workbook=02_01.xlsx&amp;sheet=A0&amp;row=168&amp;col=22&amp;number=&amp;sourceID=13","")</f>
        <v/>
      </c>
      <c r="W168" s="4" t="str">
        <f>HYPERLINK("http://141.218.60.56/~jnz1568/getInfo.php?workbook=02_01.xlsx&amp;sheet=A0&amp;row=168&amp;col=23&amp;number=&amp;sourceID=13","")</f>
        <v/>
      </c>
      <c r="X168" s="4" t="str">
        <f>HYPERLINK("http://141.218.60.56/~jnz1568/getInfo.php?workbook=02_01.xlsx&amp;sheet=A0&amp;row=168&amp;col=24&amp;number=&amp;sourceID=13","")</f>
        <v/>
      </c>
      <c r="Y168" s="4" t="str">
        <f>HYPERLINK("http://141.218.60.56/~jnz1568/getInfo.php?workbook=02_01.xlsx&amp;sheet=A0&amp;row=168&amp;col=25&amp;number=&amp;sourceID=13","")</f>
        <v/>
      </c>
      <c r="Z168" s="4" t="str">
        <f>HYPERLINK("http://141.218.60.56/~jnz1568/getInfo.php?workbook=02_01.xlsx&amp;sheet=A0&amp;row=168&amp;col=26&amp;number=&amp;sourceID=13","")</f>
        <v/>
      </c>
      <c r="AA168" s="4" t="str">
        <f>HYPERLINK("http://141.218.60.56/~jnz1568/getInfo.php?workbook=02_01.xlsx&amp;sheet=A0&amp;row=168&amp;col=27&amp;number=&amp;sourceID=20","")</f>
        <v/>
      </c>
    </row>
    <row r="169" spans="1:27">
      <c r="A169" s="3">
        <v>2</v>
      </c>
      <c r="B169" s="3">
        <v>1</v>
      </c>
      <c r="C169" s="3">
        <v>20</v>
      </c>
      <c r="D169" s="3">
        <v>2</v>
      </c>
      <c r="E169" s="3">
        <f>((1/(INDEX(E0!J$4:J$28,C169,1)-INDEX(E0!J$4:J$28,D169,1))))*100000000</f>
        <v>0</v>
      </c>
      <c r="F169" s="4" t="str">
        <f>HYPERLINK("http://141.218.60.56/~jnz1568/getInfo.php?workbook=02_01.xlsx&amp;sheet=A0&amp;row=169&amp;col=6&amp;number=&amp;sourceID=18","")</f>
        <v/>
      </c>
      <c r="G169" s="4" t="str">
        <f>HYPERLINK("http://141.218.60.56/~jnz1568/getInfo.php?workbook=02_01.xlsx&amp;sheet=A0&amp;row=169&amp;col=7&amp;number==&amp;sourceID=11","=")</f>
        <v>=</v>
      </c>
      <c r="H169" s="4" t="str">
        <f>HYPERLINK("http://141.218.60.56/~jnz1568/getInfo.php?workbook=02_01.xlsx&amp;sheet=A0&amp;row=169&amp;col=8&amp;number=&amp;sourceID=11","")</f>
        <v/>
      </c>
      <c r="I169" s="4" t="str">
        <f>HYPERLINK("http://141.218.60.56/~jnz1568/getInfo.php?workbook=02_01.xlsx&amp;sheet=A0&amp;row=169&amp;col=9&amp;number=168.74&amp;sourceID=11","168.74")</f>
        <v>168.74</v>
      </c>
      <c r="J169" s="4" t="str">
        <f>HYPERLINK("http://141.218.60.56/~jnz1568/getInfo.php?workbook=02_01.xlsx&amp;sheet=A0&amp;row=169&amp;col=10&amp;number=&amp;sourceID=11","")</f>
        <v/>
      </c>
      <c r="K169" s="4" t="str">
        <f>HYPERLINK("http://141.218.60.56/~jnz1568/getInfo.php?workbook=02_01.xlsx&amp;sheet=A0&amp;row=169&amp;col=11&amp;number=9.7951e-07&amp;sourceID=11","9.7951e-07")</f>
        <v>9.7951e-07</v>
      </c>
      <c r="L169" s="4" t="str">
        <f>HYPERLINK("http://141.218.60.56/~jnz1568/getInfo.php?workbook=02_01.xlsx&amp;sheet=A0&amp;row=169&amp;col=12&amp;number=&amp;sourceID=11","")</f>
        <v/>
      </c>
      <c r="M169" s="4" t="str">
        <f>HYPERLINK("http://141.218.60.56/~jnz1568/getInfo.php?workbook=02_01.xlsx&amp;sheet=A0&amp;row=169&amp;col=13&amp;number=&amp;sourceID=11","")</f>
        <v/>
      </c>
      <c r="N169" s="4" t="str">
        <f>HYPERLINK("http://141.218.60.56/~jnz1568/getInfo.php?workbook=02_01.xlsx&amp;sheet=A0&amp;row=169&amp;col=14&amp;number=168.76&amp;sourceID=12","168.76")</f>
        <v>168.76</v>
      </c>
      <c r="O169" s="4" t="str">
        <f>HYPERLINK("http://141.218.60.56/~jnz1568/getInfo.php?workbook=02_01.xlsx&amp;sheet=A0&amp;row=169&amp;col=15&amp;number=&amp;sourceID=12","")</f>
        <v/>
      </c>
      <c r="P169" s="4" t="str">
        <f>HYPERLINK("http://141.218.60.56/~jnz1568/getInfo.php?workbook=02_01.xlsx&amp;sheet=A0&amp;row=169&amp;col=16&amp;number=168.76&amp;sourceID=12","168.76")</f>
        <v>168.76</v>
      </c>
      <c r="Q169" s="4" t="str">
        <f>HYPERLINK("http://141.218.60.56/~jnz1568/getInfo.php?workbook=02_01.xlsx&amp;sheet=A0&amp;row=169&amp;col=17&amp;number=&amp;sourceID=12","")</f>
        <v/>
      </c>
      <c r="R169" s="4" t="str">
        <f>HYPERLINK("http://141.218.60.56/~jnz1568/getInfo.php?workbook=02_01.xlsx&amp;sheet=A0&amp;row=169&amp;col=18&amp;number=9.8923e-07&amp;sourceID=12","9.8923e-07")</f>
        <v>9.8923e-07</v>
      </c>
      <c r="S169" s="4" t="str">
        <f>HYPERLINK("http://141.218.60.56/~jnz1568/getInfo.php?workbook=02_01.xlsx&amp;sheet=A0&amp;row=169&amp;col=19&amp;number=&amp;sourceID=12","")</f>
        <v/>
      </c>
      <c r="T169" s="4" t="str">
        <f>HYPERLINK("http://141.218.60.56/~jnz1568/getInfo.php?workbook=02_01.xlsx&amp;sheet=A0&amp;row=169&amp;col=20&amp;number=&amp;sourceID=12","")</f>
        <v/>
      </c>
      <c r="U169" s="4" t="str">
        <f>HYPERLINK("http://141.218.60.56/~jnz1568/getInfo.php?workbook=02_01.xlsx&amp;sheet=A0&amp;row=169&amp;col=21&amp;number=&amp;sourceID=13","")</f>
        <v/>
      </c>
      <c r="V169" s="4" t="str">
        <f>HYPERLINK("http://141.218.60.56/~jnz1568/getInfo.php?workbook=02_01.xlsx&amp;sheet=A0&amp;row=169&amp;col=22&amp;number=&amp;sourceID=13","")</f>
        <v/>
      </c>
      <c r="W169" s="4" t="str">
        <f>HYPERLINK("http://141.218.60.56/~jnz1568/getInfo.php?workbook=02_01.xlsx&amp;sheet=A0&amp;row=169&amp;col=23&amp;number=&amp;sourceID=13","")</f>
        <v/>
      </c>
      <c r="X169" s="4" t="str">
        <f>HYPERLINK("http://141.218.60.56/~jnz1568/getInfo.php?workbook=02_01.xlsx&amp;sheet=A0&amp;row=169&amp;col=24&amp;number=&amp;sourceID=13","")</f>
        <v/>
      </c>
      <c r="Y169" s="4" t="str">
        <f>HYPERLINK("http://141.218.60.56/~jnz1568/getInfo.php?workbook=02_01.xlsx&amp;sheet=A0&amp;row=169&amp;col=25&amp;number=&amp;sourceID=13","")</f>
        <v/>
      </c>
      <c r="Z169" s="4" t="str">
        <f>HYPERLINK("http://141.218.60.56/~jnz1568/getInfo.php?workbook=02_01.xlsx&amp;sheet=A0&amp;row=169&amp;col=26&amp;number=&amp;sourceID=13","")</f>
        <v/>
      </c>
      <c r="AA169" s="4" t="str">
        <f>HYPERLINK("http://141.218.60.56/~jnz1568/getInfo.php?workbook=02_01.xlsx&amp;sheet=A0&amp;row=169&amp;col=27&amp;number=&amp;sourceID=20","")</f>
        <v/>
      </c>
    </row>
    <row r="170" spans="1:27">
      <c r="A170" s="3">
        <v>2</v>
      </c>
      <c r="B170" s="3">
        <v>1</v>
      </c>
      <c r="C170" s="3">
        <v>20</v>
      </c>
      <c r="D170" s="3">
        <v>3</v>
      </c>
      <c r="E170" s="3">
        <f>((1/(INDEX(E0!J$4:J$28,C170,1)-INDEX(E0!J$4:J$28,D170,1))))*100000000</f>
        <v>0</v>
      </c>
      <c r="F170" s="4" t="str">
        <f>HYPERLINK("http://141.218.60.56/~jnz1568/getInfo.php?workbook=02_01.xlsx&amp;sheet=A0&amp;row=170&amp;col=6&amp;number=&amp;sourceID=18","")</f>
        <v/>
      </c>
      <c r="G170" s="4" t="str">
        <f>HYPERLINK("http://141.218.60.56/~jnz1568/getInfo.php?workbook=02_01.xlsx&amp;sheet=A0&amp;row=170&amp;col=7&amp;number==&amp;sourceID=11","=")</f>
        <v>=</v>
      </c>
      <c r="H170" s="4" t="str">
        <f>HYPERLINK("http://141.218.60.56/~jnz1568/getInfo.php?workbook=02_01.xlsx&amp;sheet=A0&amp;row=170&amp;col=8&amp;number=79206000&amp;sourceID=11","79206000")</f>
        <v>79206000</v>
      </c>
      <c r="I170" s="4" t="str">
        <f>HYPERLINK("http://141.218.60.56/~jnz1568/getInfo.php?workbook=02_01.xlsx&amp;sheet=A0&amp;row=170&amp;col=9&amp;number=&amp;sourceID=11","")</f>
        <v/>
      </c>
      <c r="J170" s="4" t="str">
        <f>HYPERLINK("http://141.218.60.56/~jnz1568/getInfo.php?workbook=02_01.xlsx&amp;sheet=A0&amp;row=170&amp;col=10&amp;number=&amp;sourceID=11","")</f>
        <v/>
      </c>
      <c r="K170" s="4" t="str">
        <f>HYPERLINK("http://141.218.60.56/~jnz1568/getInfo.php?workbook=02_01.xlsx&amp;sheet=A0&amp;row=170&amp;col=11&amp;number=&amp;sourceID=11","")</f>
        <v/>
      </c>
      <c r="L170" s="4" t="str">
        <f>HYPERLINK("http://141.218.60.56/~jnz1568/getInfo.php?workbook=02_01.xlsx&amp;sheet=A0&amp;row=170&amp;col=12&amp;number=0.0074299&amp;sourceID=11","0.0074299")</f>
        <v>0.0074299</v>
      </c>
      <c r="M170" s="4" t="str">
        <f>HYPERLINK("http://141.218.60.56/~jnz1568/getInfo.php?workbook=02_01.xlsx&amp;sheet=A0&amp;row=170&amp;col=13&amp;number=&amp;sourceID=11","")</f>
        <v/>
      </c>
      <c r="N170" s="4" t="str">
        <f>HYPERLINK("http://141.218.60.56/~jnz1568/getInfo.php?workbook=02_01.xlsx&amp;sheet=A0&amp;row=170&amp;col=14&amp;number=79217000&amp;sourceID=12","79217000")</f>
        <v>79217000</v>
      </c>
      <c r="O170" s="4" t="str">
        <f>HYPERLINK("http://141.218.60.56/~jnz1568/getInfo.php?workbook=02_01.xlsx&amp;sheet=A0&amp;row=170&amp;col=15&amp;number=79217000&amp;sourceID=12","79217000")</f>
        <v>79217000</v>
      </c>
      <c r="P170" s="4" t="str">
        <f>HYPERLINK("http://141.218.60.56/~jnz1568/getInfo.php?workbook=02_01.xlsx&amp;sheet=A0&amp;row=170&amp;col=16&amp;number=&amp;sourceID=12","")</f>
        <v/>
      </c>
      <c r="Q170" s="4" t="str">
        <f>HYPERLINK("http://141.218.60.56/~jnz1568/getInfo.php?workbook=02_01.xlsx&amp;sheet=A0&amp;row=170&amp;col=17&amp;number=&amp;sourceID=12","")</f>
        <v/>
      </c>
      <c r="R170" s="4" t="str">
        <f>HYPERLINK("http://141.218.60.56/~jnz1568/getInfo.php?workbook=02_01.xlsx&amp;sheet=A0&amp;row=170&amp;col=18&amp;number=&amp;sourceID=12","")</f>
        <v/>
      </c>
      <c r="S170" s="4" t="str">
        <f>HYPERLINK("http://141.218.60.56/~jnz1568/getInfo.php?workbook=02_01.xlsx&amp;sheet=A0&amp;row=170&amp;col=19&amp;number=0.0074309&amp;sourceID=12","0.0074309")</f>
        <v>0.0074309</v>
      </c>
      <c r="T170" s="4" t="str">
        <f>HYPERLINK("http://141.218.60.56/~jnz1568/getInfo.php?workbook=02_01.xlsx&amp;sheet=A0&amp;row=170&amp;col=20&amp;number=&amp;sourceID=12","")</f>
        <v/>
      </c>
      <c r="U170" s="4" t="str">
        <f>HYPERLINK("http://141.218.60.56/~jnz1568/getInfo.php?workbook=02_01.xlsx&amp;sheet=A0&amp;row=170&amp;col=21&amp;number=&amp;sourceID=13","")</f>
        <v/>
      </c>
      <c r="V170" s="4" t="str">
        <f>HYPERLINK("http://141.218.60.56/~jnz1568/getInfo.php?workbook=02_01.xlsx&amp;sheet=A0&amp;row=170&amp;col=22&amp;number=&amp;sourceID=13","")</f>
        <v/>
      </c>
      <c r="W170" s="4" t="str">
        <f>HYPERLINK("http://141.218.60.56/~jnz1568/getInfo.php?workbook=02_01.xlsx&amp;sheet=A0&amp;row=170&amp;col=23&amp;number=&amp;sourceID=13","")</f>
        <v/>
      </c>
      <c r="X170" s="4" t="str">
        <f>HYPERLINK("http://141.218.60.56/~jnz1568/getInfo.php?workbook=02_01.xlsx&amp;sheet=A0&amp;row=170&amp;col=24&amp;number=&amp;sourceID=13","")</f>
        <v/>
      </c>
      <c r="Y170" s="4" t="str">
        <f>HYPERLINK("http://141.218.60.56/~jnz1568/getInfo.php?workbook=02_01.xlsx&amp;sheet=A0&amp;row=170&amp;col=25&amp;number=&amp;sourceID=13","")</f>
        <v/>
      </c>
      <c r="Z170" s="4" t="str">
        <f>HYPERLINK("http://141.218.60.56/~jnz1568/getInfo.php?workbook=02_01.xlsx&amp;sheet=A0&amp;row=170&amp;col=26&amp;number=&amp;sourceID=13","")</f>
        <v/>
      </c>
      <c r="AA170" s="4" t="str">
        <f>HYPERLINK("http://141.218.60.56/~jnz1568/getInfo.php?workbook=02_01.xlsx&amp;sheet=A0&amp;row=170&amp;col=27&amp;number=&amp;sourceID=20","")</f>
        <v/>
      </c>
    </row>
    <row r="171" spans="1:27">
      <c r="A171" s="3">
        <v>2</v>
      </c>
      <c r="B171" s="3">
        <v>1</v>
      </c>
      <c r="C171" s="3">
        <v>20</v>
      </c>
      <c r="D171" s="3">
        <v>4</v>
      </c>
      <c r="E171" s="3">
        <f>((1/(INDEX(E0!J$4:J$28,C171,1)-INDEX(E0!J$4:J$28,D171,1))))*100000000</f>
        <v>0</v>
      </c>
      <c r="F171" s="4" t="str">
        <f>HYPERLINK("http://141.218.60.56/~jnz1568/getInfo.php?workbook=02_01.xlsx&amp;sheet=A0&amp;row=171&amp;col=6&amp;number=&amp;sourceID=18","")</f>
        <v/>
      </c>
      <c r="G171" s="4" t="str">
        <f>HYPERLINK("http://141.218.60.56/~jnz1568/getInfo.php?workbook=02_01.xlsx&amp;sheet=A0&amp;row=171&amp;col=7&amp;number==&amp;sourceID=11","=")</f>
        <v>=</v>
      </c>
      <c r="H171" s="4" t="str">
        <f>HYPERLINK("http://141.218.60.56/~jnz1568/getInfo.php?workbook=02_01.xlsx&amp;sheet=A0&amp;row=171&amp;col=8&amp;number=&amp;sourceID=11","")</f>
        <v/>
      </c>
      <c r="I171" s="4" t="str">
        <f>HYPERLINK("http://141.218.60.56/~jnz1568/getInfo.php?workbook=02_01.xlsx&amp;sheet=A0&amp;row=171&amp;col=9&amp;number=168.7&amp;sourceID=11","168.7")</f>
        <v>168.7</v>
      </c>
      <c r="J171" s="4" t="str">
        <f>HYPERLINK("http://141.218.60.56/~jnz1568/getInfo.php?workbook=02_01.xlsx&amp;sheet=A0&amp;row=171&amp;col=10&amp;number=&amp;sourceID=11","")</f>
        <v/>
      </c>
      <c r="K171" s="4" t="str">
        <f>HYPERLINK("http://141.218.60.56/~jnz1568/getInfo.php?workbook=02_01.xlsx&amp;sheet=A0&amp;row=171&amp;col=11&amp;number=1.8221e-06&amp;sourceID=11","1.8221e-06")</f>
        <v>1.8221e-06</v>
      </c>
      <c r="L171" s="4" t="str">
        <f>HYPERLINK("http://141.218.60.56/~jnz1568/getInfo.php?workbook=02_01.xlsx&amp;sheet=A0&amp;row=171&amp;col=12&amp;number=&amp;sourceID=11","")</f>
        <v/>
      </c>
      <c r="M171" s="4" t="str">
        <f>HYPERLINK("http://141.218.60.56/~jnz1568/getInfo.php?workbook=02_01.xlsx&amp;sheet=A0&amp;row=171&amp;col=13&amp;number=3.3756e-08&amp;sourceID=11","3.3756e-08")</f>
        <v>3.3756e-08</v>
      </c>
      <c r="N171" s="4" t="str">
        <f>HYPERLINK("http://141.218.60.56/~jnz1568/getInfo.php?workbook=02_01.xlsx&amp;sheet=A0&amp;row=171&amp;col=14&amp;number=168.72&amp;sourceID=12","168.72")</f>
        <v>168.72</v>
      </c>
      <c r="O171" s="4" t="str">
        <f>HYPERLINK("http://141.218.60.56/~jnz1568/getInfo.php?workbook=02_01.xlsx&amp;sheet=A0&amp;row=171&amp;col=15&amp;number=&amp;sourceID=12","")</f>
        <v/>
      </c>
      <c r="P171" s="4" t="str">
        <f>HYPERLINK("http://141.218.60.56/~jnz1568/getInfo.php?workbook=02_01.xlsx&amp;sheet=A0&amp;row=171&amp;col=16&amp;number=168.72&amp;sourceID=12","168.72")</f>
        <v>168.72</v>
      </c>
      <c r="Q171" s="4" t="str">
        <f>HYPERLINK("http://141.218.60.56/~jnz1568/getInfo.php?workbook=02_01.xlsx&amp;sheet=A0&amp;row=171&amp;col=17&amp;number=&amp;sourceID=12","")</f>
        <v/>
      </c>
      <c r="R171" s="4" t="str">
        <f>HYPERLINK("http://141.218.60.56/~jnz1568/getInfo.php?workbook=02_01.xlsx&amp;sheet=A0&amp;row=171&amp;col=18&amp;number=1.8131e-06&amp;sourceID=12","1.8131e-06")</f>
        <v>1.8131e-06</v>
      </c>
      <c r="S171" s="4" t="str">
        <f>HYPERLINK("http://141.218.60.56/~jnz1568/getInfo.php?workbook=02_01.xlsx&amp;sheet=A0&amp;row=171&amp;col=19&amp;number=&amp;sourceID=12","")</f>
        <v/>
      </c>
      <c r="T171" s="4" t="str">
        <f>HYPERLINK("http://141.218.60.56/~jnz1568/getInfo.php?workbook=02_01.xlsx&amp;sheet=A0&amp;row=171&amp;col=20&amp;number=3.376e-08&amp;sourceID=12","3.376e-08")</f>
        <v>3.376e-08</v>
      </c>
      <c r="U171" s="4" t="str">
        <f>HYPERLINK("http://141.218.60.56/~jnz1568/getInfo.php?workbook=02_01.xlsx&amp;sheet=A0&amp;row=171&amp;col=21&amp;number=&amp;sourceID=13","")</f>
        <v/>
      </c>
      <c r="V171" s="4" t="str">
        <f>HYPERLINK("http://141.218.60.56/~jnz1568/getInfo.php?workbook=02_01.xlsx&amp;sheet=A0&amp;row=171&amp;col=22&amp;number=&amp;sourceID=13","")</f>
        <v/>
      </c>
      <c r="W171" s="4" t="str">
        <f>HYPERLINK("http://141.218.60.56/~jnz1568/getInfo.php?workbook=02_01.xlsx&amp;sheet=A0&amp;row=171&amp;col=23&amp;number=&amp;sourceID=13","")</f>
        <v/>
      </c>
      <c r="X171" s="4" t="str">
        <f>HYPERLINK("http://141.218.60.56/~jnz1568/getInfo.php?workbook=02_01.xlsx&amp;sheet=A0&amp;row=171&amp;col=24&amp;number=&amp;sourceID=13","")</f>
        <v/>
      </c>
      <c r="Y171" s="4" t="str">
        <f>HYPERLINK("http://141.218.60.56/~jnz1568/getInfo.php?workbook=02_01.xlsx&amp;sheet=A0&amp;row=171&amp;col=25&amp;number=&amp;sourceID=13","")</f>
        <v/>
      </c>
      <c r="Z171" s="4" t="str">
        <f>HYPERLINK("http://141.218.60.56/~jnz1568/getInfo.php?workbook=02_01.xlsx&amp;sheet=A0&amp;row=171&amp;col=26&amp;number=&amp;sourceID=13","")</f>
        <v/>
      </c>
      <c r="AA171" s="4" t="str">
        <f>HYPERLINK("http://141.218.60.56/~jnz1568/getInfo.php?workbook=02_01.xlsx&amp;sheet=A0&amp;row=171&amp;col=27&amp;number=&amp;sourceID=20","")</f>
        <v/>
      </c>
    </row>
    <row r="172" spans="1:27">
      <c r="A172" s="3">
        <v>2</v>
      </c>
      <c r="B172" s="3">
        <v>1</v>
      </c>
      <c r="C172" s="3">
        <v>20</v>
      </c>
      <c r="D172" s="3">
        <v>5</v>
      </c>
      <c r="E172" s="3">
        <f>((1/(INDEX(E0!J$4:J$28,C172,1)-INDEX(E0!J$4:J$28,D172,1))))*100000000</f>
        <v>0</v>
      </c>
      <c r="F172" s="4" t="str">
        <f>HYPERLINK("http://141.218.60.56/~jnz1568/getInfo.php?workbook=02_01.xlsx&amp;sheet=A0&amp;row=172&amp;col=6&amp;number=&amp;sourceID=18","")</f>
        <v/>
      </c>
      <c r="G172" s="4" t="str">
        <f>HYPERLINK("http://141.218.60.56/~jnz1568/getInfo.php?workbook=02_01.xlsx&amp;sheet=A0&amp;row=172&amp;col=7&amp;number==&amp;sourceID=11","=")</f>
        <v>=</v>
      </c>
      <c r="H172" s="4" t="str">
        <f>HYPERLINK("http://141.218.60.56/~jnz1568/getInfo.php?workbook=02_01.xlsx&amp;sheet=A0&amp;row=172&amp;col=8&amp;number=&amp;sourceID=11","")</f>
        <v/>
      </c>
      <c r="I172" s="4" t="str">
        <f>HYPERLINK("http://141.218.60.56/~jnz1568/getInfo.php?workbook=02_01.xlsx&amp;sheet=A0&amp;row=172&amp;col=9&amp;number=45.716&amp;sourceID=11","45.716")</f>
        <v>45.716</v>
      </c>
      <c r="J172" s="4" t="str">
        <f>HYPERLINK("http://141.218.60.56/~jnz1568/getInfo.php?workbook=02_01.xlsx&amp;sheet=A0&amp;row=172&amp;col=10&amp;number=&amp;sourceID=11","")</f>
        <v/>
      </c>
      <c r="K172" s="4" t="str">
        <f>HYPERLINK("http://141.218.60.56/~jnz1568/getInfo.php?workbook=02_01.xlsx&amp;sheet=A0&amp;row=172&amp;col=11&amp;number=1.3847e-07&amp;sourceID=11","1.3847e-07")</f>
        <v>1.3847e-07</v>
      </c>
      <c r="L172" s="4" t="str">
        <f>HYPERLINK("http://141.218.60.56/~jnz1568/getInfo.php?workbook=02_01.xlsx&amp;sheet=A0&amp;row=172&amp;col=12&amp;number=&amp;sourceID=11","")</f>
        <v/>
      </c>
      <c r="M172" s="4" t="str">
        <f>HYPERLINK("http://141.218.60.56/~jnz1568/getInfo.php?workbook=02_01.xlsx&amp;sheet=A0&amp;row=172&amp;col=13&amp;number=&amp;sourceID=11","")</f>
        <v/>
      </c>
      <c r="N172" s="4" t="str">
        <f>HYPERLINK("http://141.218.60.56/~jnz1568/getInfo.php?workbook=02_01.xlsx&amp;sheet=A0&amp;row=172&amp;col=14&amp;number=45.722&amp;sourceID=12","45.722")</f>
        <v>45.722</v>
      </c>
      <c r="O172" s="4" t="str">
        <f>HYPERLINK("http://141.218.60.56/~jnz1568/getInfo.php?workbook=02_01.xlsx&amp;sheet=A0&amp;row=172&amp;col=15&amp;number=&amp;sourceID=12","")</f>
        <v/>
      </c>
      <c r="P172" s="4" t="str">
        <f>HYPERLINK("http://141.218.60.56/~jnz1568/getInfo.php?workbook=02_01.xlsx&amp;sheet=A0&amp;row=172&amp;col=16&amp;number=45.722&amp;sourceID=12","45.722")</f>
        <v>45.722</v>
      </c>
      <c r="Q172" s="4" t="str">
        <f>HYPERLINK("http://141.218.60.56/~jnz1568/getInfo.php?workbook=02_01.xlsx&amp;sheet=A0&amp;row=172&amp;col=17&amp;number=&amp;sourceID=12","")</f>
        <v/>
      </c>
      <c r="R172" s="4" t="str">
        <f>HYPERLINK("http://141.218.60.56/~jnz1568/getInfo.php?workbook=02_01.xlsx&amp;sheet=A0&amp;row=172&amp;col=18&amp;number=1.385e-07&amp;sourceID=12","1.385e-07")</f>
        <v>1.385e-07</v>
      </c>
      <c r="S172" s="4" t="str">
        <f>HYPERLINK("http://141.218.60.56/~jnz1568/getInfo.php?workbook=02_01.xlsx&amp;sheet=A0&amp;row=172&amp;col=19&amp;number=&amp;sourceID=12","")</f>
        <v/>
      </c>
      <c r="T172" s="4" t="str">
        <f>HYPERLINK("http://141.218.60.56/~jnz1568/getInfo.php?workbook=02_01.xlsx&amp;sheet=A0&amp;row=172&amp;col=20&amp;number=&amp;sourceID=12","")</f>
        <v/>
      </c>
      <c r="U172" s="4" t="str">
        <f>HYPERLINK("http://141.218.60.56/~jnz1568/getInfo.php?workbook=02_01.xlsx&amp;sheet=A0&amp;row=172&amp;col=21&amp;number=&amp;sourceID=13","")</f>
        <v/>
      </c>
      <c r="V172" s="4" t="str">
        <f>HYPERLINK("http://141.218.60.56/~jnz1568/getInfo.php?workbook=02_01.xlsx&amp;sheet=A0&amp;row=172&amp;col=22&amp;number=&amp;sourceID=13","")</f>
        <v/>
      </c>
      <c r="W172" s="4" t="str">
        <f>HYPERLINK("http://141.218.60.56/~jnz1568/getInfo.php?workbook=02_01.xlsx&amp;sheet=A0&amp;row=172&amp;col=23&amp;number=&amp;sourceID=13","")</f>
        <v/>
      </c>
      <c r="X172" s="4" t="str">
        <f>HYPERLINK("http://141.218.60.56/~jnz1568/getInfo.php?workbook=02_01.xlsx&amp;sheet=A0&amp;row=172&amp;col=24&amp;number=&amp;sourceID=13","")</f>
        <v/>
      </c>
      <c r="Y172" s="4" t="str">
        <f>HYPERLINK("http://141.218.60.56/~jnz1568/getInfo.php?workbook=02_01.xlsx&amp;sheet=A0&amp;row=172&amp;col=25&amp;number=&amp;sourceID=13","")</f>
        <v/>
      </c>
      <c r="Z172" s="4" t="str">
        <f>HYPERLINK("http://141.218.60.56/~jnz1568/getInfo.php?workbook=02_01.xlsx&amp;sheet=A0&amp;row=172&amp;col=26&amp;number=&amp;sourceID=13","")</f>
        <v/>
      </c>
      <c r="AA172" s="4" t="str">
        <f>HYPERLINK("http://141.218.60.56/~jnz1568/getInfo.php?workbook=02_01.xlsx&amp;sheet=A0&amp;row=172&amp;col=27&amp;number=&amp;sourceID=20","")</f>
        <v/>
      </c>
    </row>
    <row r="173" spans="1:27">
      <c r="A173" s="3">
        <v>2</v>
      </c>
      <c r="B173" s="3">
        <v>1</v>
      </c>
      <c r="C173" s="3">
        <v>20</v>
      </c>
      <c r="D173" s="3">
        <v>6</v>
      </c>
      <c r="E173" s="3">
        <f>((1/(INDEX(E0!J$4:J$28,C173,1)-INDEX(E0!J$4:J$28,D173,1))))*100000000</f>
        <v>0</v>
      </c>
      <c r="F173" s="4" t="str">
        <f>HYPERLINK("http://141.218.60.56/~jnz1568/getInfo.php?workbook=02_01.xlsx&amp;sheet=A0&amp;row=173&amp;col=6&amp;number=&amp;sourceID=18","")</f>
        <v/>
      </c>
      <c r="G173" s="4" t="str">
        <f>HYPERLINK("http://141.218.60.56/~jnz1568/getInfo.php?workbook=02_01.xlsx&amp;sheet=A0&amp;row=173&amp;col=7&amp;number==&amp;sourceID=11","=")</f>
        <v>=</v>
      </c>
      <c r="H173" s="4" t="str">
        <f>HYPERLINK("http://141.218.60.56/~jnz1568/getInfo.php?workbook=02_01.xlsx&amp;sheet=A0&amp;row=173&amp;col=8&amp;number=26213000&amp;sourceID=11","26213000")</f>
        <v>26213000</v>
      </c>
      <c r="I173" s="4" t="str">
        <f>HYPERLINK("http://141.218.60.56/~jnz1568/getInfo.php?workbook=02_01.xlsx&amp;sheet=A0&amp;row=173&amp;col=9&amp;number=&amp;sourceID=11","")</f>
        <v/>
      </c>
      <c r="J173" s="4" t="str">
        <f>HYPERLINK("http://141.218.60.56/~jnz1568/getInfo.php?workbook=02_01.xlsx&amp;sheet=A0&amp;row=173&amp;col=10&amp;number=&amp;sourceID=11","")</f>
        <v/>
      </c>
      <c r="K173" s="4" t="str">
        <f>HYPERLINK("http://141.218.60.56/~jnz1568/getInfo.php?workbook=02_01.xlsx&amp;sheet=A0&amp;row=173&amp;col=11&amp;number=&amp;sourceID=11","")</f>
        <v/>
      </c>
      <c r="L173" s="4" t="str">
        <f>HYPERLINK("http://141.218.60.56/~jnz1568/getInfo.php?workbook=02_01.xlsx&amp;sheet=A0&amp;row=173&amp;col=12&amp;number=0.00028195&amp;sourceID=11","0.00028195")</f>
        <v>0.00028195</v>
      </c>
      <c r="M173" s="4" t="str">
        <f>HYPERLINK("http://141.218.60.56/~jnz1568/getInfo.php?workbook=02_01.xlsx&amp;sheet=A0&amp;row=173&amp;col=13&amp;number=&amp;sourceID=11","")</f>
        <v/>
      </c>
      <c r="N173" s="4" t="str">
        <f>HYPERLINK("http://141.218.60.56/~jnz1568/getInfo.php?workbook=02_01.xlsx&amp;sheet=A0&amp;row=173&amp;col=14&amp;number=26216000&amp;sourceID=12","26216000")</f>
        <v>26216000</v>
      </c>
      <c r="O173" s="4" t="str">
        <f>HYPERLINK("http://141.218.60.56/~jnz1568/getInfo.php?workbook=02_01.xlsx&amp;sheet=A0&amp;row=173&amp;col=15&amp;number=26216000&amp;sourceID=12","26216000")</f>
        <v>26216000</v>
      </c>
      <c r="P173" s="4" t="str">
        <f>HYPERLINK("http://141.218.60.56/~jnz1568/getInfo.php?workbook=02_01.xlsx&amp;sheet=A0&amp;row=173&amp;col=16&amp;number=&amp;sourceID=12","")</f>
        <v/>
      </c>
      <c r="Q173" s="4" t="str">
        <f>HYPERLINK("http://141.218.60.56/~jnz1568/getInfo.php?workbook=02_01.xlsx&amp;sheet=A0&amp;row=173&amp;col=17&amp;number=&amp;sourceID=12","")</f>
        <v/>
      </c>
      <c r="R173" s="4" t="str">
        <f>HYPERLINK("http://141.218.60.56/~jnz1568/getInfo.php?workbook=02_01.xlsx&amp;sheet=A0&amp;row=173&amp;col=18&amp;number=&amp;sourceID=12","")</f>
        <v/>
      </c>
      <c r="S173" s="4" t="str">
        <f>HYPERLINK("http://141.218.60.56/~jnz1568/getInfo.php?workbook=02_01.xlsx&amp;sheet=A0&amp;row=173&amp;col=19&amp;number=0.00028199&amp;sourceID=12","0.00028199")</f>
        <v>0.00028199</v>
      </c>
      <c r="T173" s="4" t="str">
        <f>HYPERLINK("http://141.218.60.56/~jnz1568/getInfo.php?workbook=02_01.xlsx&amp;sheet=A0&amp;row=173&amp;col=20&amp;number=&amp;sourceID=12","")</f>
        <v/>
      </c>
      <c r="U173" s="4" t="str">
        <f>HYPERLINK("http://141.218.60.56/~jnz1568/getInfo.php?workbook=02_01.xlsx&amp;sheet=A0&amp;row=173&amp;col=21&amp;number=&amp;sourceID=13","")</f>
        <v/>
      </c>
      <c r="V173" s="4" t="str">
        <f>HYPERLINK("http://141.218.60.56/~jnz1568/getInfo.php?workbook=02_01.xlsx&amp;sheet=A0&amp;row=173&amp;col=22&amp;number=&amp;sourceID=13","")</f>
        <v/>
      </c>
      <c r="W173" s="4" t="str">
        <f>HYPERLINK("http://141.218.60.56/~jnz1568/getInfo.php?workbook=02_01.xlsx&amp;sheet=A0&amp;row=173&amp;col=23&amp;number=&amp;sourceID=13","")</f>
        <v/>
      </c>
      <c r="X173" s="4" t="str">
        <f>HYPERLINK("http://141.218.60.56/~jnz1568/getInfo.php?workbook=02_01.xlsx&amp;sheet=A0&amp;row=173&amp;col=24&amp;number=&amp;sourceID=13","")</f>
        <v/>
      </c>
      <c r="Y173" s="4" t="str">
        <f>HYPERLINK("http://141.218.60.56/~jnz1568/getInfo.php?workbook=02_01.xlsx&amp;sheet=A0&amp;row=173&amp;col=25&amp;number=&amp;sourceID=13","")</f>
        <v/>
      </c>
      <c r="Z173" s="4" t="str">
        <f>HYPERLINK("http://141.218.60.56/~jnz1568/getInfo.php?workbook=02_01.xlsx&amp;sheet=A0&amp;row=173&amp;col=26&amp;number=&amp;sourceID=13","")</f>
        <v/>
      </c>
      <c r="AA173" s="4" t="str">
        <f>HYPERLINK("http://141.218.60.56/~jnz1568/getInfo.php?workbook=02_01.xlsx&amp;sheet=A0&amp;row=173&amp;col=27&amp;number=&amp;sourceID=20","")</f>
        <v/>
      </c>
    </row>
    <row r="174" spans="1:27">
      <c r="A174" s="3">
        <v>2</v>
      </c>
      <c r="B174" s="3">
        <v>1</v>
      </c>
      <c r="C174" s="3">
        <v>20</v>
      </c>
      <c r="D174" s="3">
        <v>7</v>
      </c>
      <c r="E174" s="3">
        <f>((1/(INDEX(E0!J$4:J$28,C174,1)-INDEX(E0!J$4:J$28,D174,1))))*100000000</f>
        <v>0</v>
      </c>
      <c r="F174" s="4" t="str">
        <f>HYPERLINK("http://141.218.60.56/~jnz1568/getInfo.php?workbook=02_01.xlsx&amp;sheet=A0&amp;row=174&amp;col=6&amp;number=&amp;sourceID=18","")</f>
        <v/>
      </c>
      <c r="G174" s="4" t="str">
        <f>HYPERLINK("http://141.218.60.56/~jnz1568/getInfo.php?workbook=02_01.xlsx&amp;sheet=A0&amp;row=174&amp;col=7&amp;number==&amp;sourceID=11","=")</f>
        <v>=</v>
      </c>
      <c r="H174" s="4" t="str">
        <f>HYPERLINK("http://141.218.60.56/~jnz1568/getInfo.php?workbook=02_01.xlsx&amp;sheet=A0&amp;row=174&amp;col=8&amp;number=239370&amp;sourceID=11","239370")</f>
        <v>239370</v>
      </c>
      <c r="I174" s="4" t="str">
        <f>HYPERLINK("http://141.218.60.56/~jnz1568/getInfo.php?workbook=02_01.xlsx&amp;sheet=A0&amp;row=174&amp;col=9&amp;number=&amp;sourceID=11","")</f>
        <v/>
      </c>
      <c r="J174" s="4" t="str">
        <f>HYPERLINK("http://141.218.60.56/~jnz1568/getInfo.php?workbook=02_01.xlsx&amp;sheet=A0&amp;row=174&amp;col=10&amp;number=3.4802e-05&amp;sourceID=11","3.4802e-05")</f>
        <v>3.4802e-05</v>
      </c>
      <c r="K174" s="4" t="str">
        <f>HYPERLINK("http://141.218.60.56/~jnz1568/getInfo.php?workbook=02_01.xlsx&amp;sheet=A0&amp;row=174&amp;col=11&amp;number=&amp;sourceID=11","")</f>
        <v/>
      </c>
      <c r="L174" s="4" t="str">
        <f>HYPERLINK("http://141.218.60.56/~jnz1568/getInfo.php?workbook=02_01.xlsx&amp;sheet=A0&amp;row=174&amp;col=12&amp;number=&amp;sourceID=11","")</f>
        <v/>
      </c>
      <c r="M174" s="4" t="str">
        <f>HYPERLINK("http://141.218.60.56/~jnz1568/getInfo.php?workbook=02_01.xlsx&amp;sheet=A0&amp;row=174&amp;col=13&amp;number=&amp;sourceID=11","")</f>
        <v/>
      </c>
      <c r="N174" s="4" t="str">
        <f>HYPERLINK("http://141.218.60.56/~jnz1568/getInfo.php?workbook=02_01.xlsx&amp;sheet=A0&amp;row=174&amp;col=14&amp;number=239400&amp;sourceID=12","239400")</f>
        <v>239400</v>
      </c>
      <c r="O174" s="4" t="str">
        <f>HYPERLINK("http://141.218.60.56/~jnz1568/getInfo.php?workbook=02_01.xlsx&amp;sheet=A0&amp;row=174&amp;col=15&amp;number=239400&amp;sourceID=12","239400")</f>
        <v>239400</v>
      </c>
      <c r="P174" s="4" t="str">
        <f>HYPERLINK("http://141.218.60.56/~jnz1568/getInfo.php?workbook=02_01.xlsx&amp;sheet=A0&amp;row=174&amp;col=16&amp;number=&amp;sourceID=12","")</f>
        <v/>
      </c>
      <c r="Q174" s="4" t="str">
        <f>HYPERLINK("http://141.218.60.56/~jnz1568/getInfo.php?workbook=02_01.xlsx&amp;sheet=A0&amp;row=174&amp;col=17&amp;number=3.4807e-05&amp;sourceID=12","3.4807e-05")</f>
        <v>3.4807e-05</v>
      </c>
      <c r="R174" s="4" t="str">
        <f>HYPERLINK("http://141.218.60.56/~jnz1568/getInfo.php?workbook=02_01.xlsx&amp;sheet=A0&amp;row=174&amp;col=18&amp;number=&amp;sourceID=12","")</f>
        <v/>
      </c>
      <c r="S174" s="4" t="str">
        <f>HYPERLINK("http://141.218.60.56/~jnz1568/getInfo.php?workbook=02_01.xlsx&amp;sheet=A0&amp;row=174&amp;col=19&amp;number=&amp;sourceID=12","")</f>
        <v/>
      </c>
      <c r="T174" s="4" t="str">
        <f>HYPERLINK("http://141.218.60.56/~jnz1568/getInfo.php?workbook=02_01.xlsx&amp;sheet=A0&amp;row=174&amp;col=20&amp;number=&amp;sourceID=12","")</f>
        <v/>
      </c>
      <c r="U174" s="4" t="str">
        <f>HYPERLINK("http://141.218.60.56/~jnz1568/getInfo.php?workbook=02_01.xlsx&amp;sheet=A0&amp;row=174&amp;col=21&amp;number=&amp;sourceID=13","")</f>
        <v/>
      </c>
      <c r="V174" s="4" t="str">
        <f>HYPERLINK("http://141.218.60.56/~jnz1568/getInfo.php?workbook=02_01.xlsx&amp;sheet=A0&amp;row=174&amp;col=22&amp;number=&amp;sourceID=13","")</f>
        <v/>
      </c>
      <c r="W174" s="4" t="str">
        <f>HYPERLINK("http://141.218.60.56/~jnz1568/getInfo.php?workbook=02_01.xlsx&amp;sheet=A0&amp;row=174&amp;col=23&amp;number=&amp;sourceID=13","")</f>
        <v/>
      </c>
      <c r="X174" s="4" t="str">
        <f>HYPERLINK("http://141.218.60.56/~jnz1568/getInfo.php?workbook=02_01.xlsx&amp;sheet=A0&amp;row=174&amp;col=24&amp;number=&amp;sourceID=13","")</f>
        <v/>
      </c>
      <c r="Y174" s="4" t="str">
        <f>HYPERLINK("http://141.218.60.56/~jnz1568/getInfo.php?workbook=02_01.xlsx&amp;sheet=A0&amp;row=174&amp;col=25&amp;number=&amp;sourceID=13","")</f>
        <v/>
      </c>
      <c r="Z174" s="4" t="str">
        <f>HYPERLINK("http://141.218.60.56/~jnz1568/getInfo.php?workbook=02_01.xlsx&amp;sheet=A0&amp;row=174&amp;col=26&amp;number=&amp;sourceID=13","")</f>
        <v/>
      </c>
      <c r="AA174" s="4" t="str">
        <f>HYPERLINK("http://141.218.60.56/~jnz1568/getInfo.php?workbook=02_01.xlsx&amp;sheet=A0&amp;row=174&amp;col=27&amp;number=&amp;sourceID=20","")</f>
        <v/>
      </c>
    </row>
    <row r="175" spans="1:27">
      <c r="A175" s="3">
        <v>2</v>
      </c>
      <c r="B175" s="3">
        <v>1</v>
      </c>
      <c r="C175" s="3">
        <v>20</v>
      </c>
      <c r="D175" s="3">
        <v>8</v>
      </c>
      <c r="E175" s="3">
        <f>((1/(INDEX(E0!J$4:J$28,C175,1)-INDEX(E0!J$4:J$28,D175,1))))*100000000</f>
        <v>0</v>
      </c>
      <c r="F175" s="4" t="str">
        <f>HYPERLINK("http://141.218.60.56/~jnz1568/getInfo.php?workbook=02_01.xlsx&amp;sheet=A0&amp;row=175&amp;col=6&amp;number=&amp;sourceID=18","")</f>
        <v/>
      </c>
      <c r="G175" s="4" t="str">
        <f>HYPERLINK("http://141.218.60.56/~jnz1568/getInfo.php?workbook=02_01.xlsx&amp;sheet=A0&amp;row=175&amp;col=7&amp;number==&amp;sourceID=11","=")</f>
        <v>=</v>
      </c>
      <c r="H175" s="4" t="str">
        <f>HYPERLINK("http://141.218.60.56/~jnz1568/getInfo.php?workbook=02_01.xlsx&amp;sheet=A0&amp;row=175&amp;col=8&amp;number=&amp;sourceID=11","")</f>
        <v/>
      </c>
      <c r="I175" s="4" t="str">
        <f>HYPERLINK("http://141.218.60.56/~jnz1568/getInfo.php?workbook=02_01.xlsx&amp;sheet=A0&amp;row=175&amp;col=9&amp;number=45.709&amp;sourceID=11","45.709")</f>
        <v>45.709</v>
      </c>
      <c r="J175" s="4" t="str">
        <f>HYPERLINK("http://141.218.60.56/~jnz1568/getInfo.php?workbook=02_01.xlsx&amp;sheet=A0&amp;row=175&amp;col=10&amp;number=&amp;sourceID=11","")</f>
        <v/>
      </c>
      <c r="K175" s="4" t="str">
        <f>HYPERLINK("http://141.218.60.56/~jnz1568/getInfo.php?workbook=02_01.xlsx&amp;sheet=A0&amp;row=175&amp;col=11&amp;number=5.6897e-08&amp;sourceID=11","5.6897e-08")</f>
        <v>5.6897e-08</v>
      </c>
      <c r="L175" s="4" t="str">
        <f>HYPERLINK("http://141.218.60.56/~jnz1568/getInfo.php?workbook=02_01.xlsx&amp;sheet=A0&amp;row=175&amp;col=12&amp;number=&amp;sourceID=11","")</f>
        <v/>
      </c>
      <c r="M175" s="4" t="str">
        <f>HYPERLINK("http://141.218.60.56/~jnz1568/getInfo.php?workbook=02_01.xlsx&amp;sheet=A0&amp;row=175&amp;col=13&amp;number=1.0488e-09&amp;sourceID=11","1.0488e-09")</f>
        <v>1.0488e-09</v>
      </c>
      <c r="N175" s="4" t="str">
        <f>HYPERLINK("http://141.218.60.56/~jnz1568/getInfo.php?workbook=02_01.xlsx&amp;sheet=A0&amp;row=175&amp;col=14&amp;number=45.716&amp;sourceID=12","45.716")</f>
        <v>45.716</v>
      </c>
      <c r="O175" s="4" t="str">
        <f>HYPERLINK("http://141.218.60.56/~jnz1568/getInfo.php?workbook=02_01.xlsx&amp;sheet=A0&amp;row=175&amp;col=15&amp;number=&amp;sourceID=12","")</f>
        <v/>
      </c>
      <c r="P175" s="4" t="str">
        <f>HYPERLINK("http://141.218.60.56/~jnz1568/getInfo.php?workbook=02_01.xlsx&amp;sheet=A0&amp;row=175&amp;col=16&amp;number=45.716&amp;sourceID=12","45.716")</f>
        <v>45.716</v>
      </c>
      <c r="Q175" s="4" t="str">
        <f>HYPERLINK("http://141.218.60.56/~jnz1568/getInfo.php?workbook=02_01.xlsx&amp;sheet=A0&amp;row=175&amp;col=17&amp;number=&amp;sourceID=12","")</f>
        <v/>
      </c>
      <c r="R175" s="4" t="str">
        <f>HYPERLINK("http://141.218.60.56/~jnz1568/getInfo.php?workbook=02_01.xlsx&amp;sheet=A0&amp;row=175&amp;col=18&amp;number=5.6647e-08&amp;sourceID=12","5.6647e-08")</f>
        <v>5.6647e-08</v>
      </c>
      <c r="S175" s="4" t="str">
        <f>HYPERLINK("http://141.218.60.56/~jnz1568/getInfo.php?workbook=02_01.xlsx&amp;sheet=A0&amp;row=175&amp;col=19&amp;number=&amp;sourceID=12","")</f>
        <v/>
      </c>
      <c r="T175" s="4" t="str">
        <f>HYPERLINK("http://141.218.60.56/~jnz1568/getInfo.php?workbook=02_01.xlsx&amp;sheet=A0&amp;row=175&amp;col=20&amp;number=1.0489e-09&amp;sourceID=12","1.0489e-09")</f>
        <v>1.0489e-09</v>
      </c>
      <c r="U175" s="4" t="str">
        <f>HYPERLINK("http://141.218.60.56/~jnz1568/getInfo.php?workbook=02_01.xlsx&amp;sheet=A0&amp;row=175&amp;col=21&amp;number=&amp;sourceID=13","")</f>
        <v/>
      </c>
      <c r="V175" s="4" t="str">
        <f>HYPERLINK("http://141.218.60.56/~jnz1568/getInfo.php?workbook=02_01.xlsx&amp;sheet=A0&amp;row=175&amp;col=22&amp;number=&amp;sourceID=13","")</f>
        <v/>
      </c>
      <c r="W175" s="4" t="str">
        <f>HYPERLINK("http://141.218.60.56/~jnz1568/getInfo.php?workbook=02_01.xlsx&amp;sheet=A0&amp;row=175&amp;col=23&amp;number=&amp;sourceID=13","")</f>
        <v/>
      </c>
      <c r="X175" s="4" t="str">
        <f>HYPERLINK("http://141.218.60.56/~jnz1568/getInfo.php?workbook=02_01.xlsx&amp;sheet=A0&amp;row=175&amp;col=24&amp;number=&amp;sourceID=13","")</f>
        <v/>
      </c>
      <c r="Y175" s="4" t="str">
        <f>HYPERLINK("http://141.218.60.56/~jnz1568/getInfo.php?workbook=02_01.xlsx&amp;sheet=A0&amp;row=175&amp;col=25&amp;number=&amp;sourceID=13","")</f>
        <v/>
      </c>
      <c r="Z175" s="4" t="str">
        <f>HYPERLINK("http://141.218.60.56/~jnz1568/getInfo.php?workbook=02_01.xlsx&amp;sheet=A0&amp;row=175&amp;col=26&amp;number=&amp;sourceID=13","")</f>
        <v/>
      </c>
      <c r="AA175" s="4" t="str">
        <f>HYPERLINK("http://141.218.60.56/~jnz1568/getInfo.php?workbook=02_01.xlsx&amp;sheet=A0&amp;row=175&amp;col=27&amp;number=&amp;sourceID=20","")</f>
        <v/>
      </c>
    </row>
    <row r="176" spans="1:27">
      <c r="A176" s="3">
        <v>2</v>
      </c>
      <c r="B176" s="3">
        <v>1</v>
      </c>
      <c r="C176" s="3">
        <v>20</v>
      </c>
      <c r="D176" s="3">
        <v>9</v>
      </c>
      <c r="E176" s="3">
        <f>((1/(INDEX(E0!J$4:J$28,C176,1)-INDEX(E0!J$4:J$28,D176,1))))*100000000</f>
        <v>0</v>
      </c>
      <c r="F176" s="4" t="str">
        <f>HYPERLINK("http://141.218.60.56/~jnz1568/getInfo.php?workbook=02_01.xlsx&amp;sheet=A0&amp;row=176&amp;col=6&amp;number=&amp;sourceID=18","")</f>
        <v/>
      </c>
      <c r="G176" s="4" t="str">
        <f>HYPERLINK("http://141.218.60.56/~jnz1568/getInfo.php?workbook=02_01.xlsx&amp;sheet=A0&amp;row=176&amp;col=7&amp;number==&amp;sourceID=11","=")</f>
        <v>=</v>
      </c>
      <c r="H176" s="4" t="str">
        <f>HYPERLINK("http://141.218.60.56/~jnz1568/getInfo.php?workbook=02_01.xlsx&amp;sheet=A0&amp;row=176&amp;col=8&amp;number=2154700&amp;sourceID=11","2154700")</f>
        <v>2154700</v>
      </c>
      <c r="I176" s="4" t="str">
        <f>HYPERLINK("http://141.218.60.56/~jnz1568/getInfo.php?workbook=02_01.xlsx&amp;sheet=A0&amp;row=176&amp;col=9&amp;number=&amp;sourceID=11","")</f>
        <v/>
      </c>
      <c r="J176" s="4" t="str">
        <f>HYPERLINK("http://141.218.60.56/~jnz1568/getInfo.php?workbook=02_01.xlsx&amp;sheet=A0&amp;row=176&amp;col=10&amp;number=2.3199e-05&amp;sourceID=11","2.3199e-05")</f>
        <v>2.3199e-05</v>
      </c>
      <c r="K176" s="4" t="str">
        <f>HYPERLINK("http://141.218.60.56/~jnz1568/getInfo.php?workbook=02_01.xlsx&amp;sheet=A0&amp;row=176&amp;col=11&amp;number=&amp;sourceID=11","")</f>
        <v/>
      </c>
      <c r="L176" s="4" t="str">
        <f>HYPERLINK("http://141.218.60.56/~jnz1568/getInfo.php?workbook=02_01.xlsx&amp;sheet=A0&amp;row=176&amp;col=12&amp;number=3.004e-05&amp;sourceID=11","3.004e-05")</f>
        <v>3.004e-05</v>
      </c>
      <c r="M176" s="4" t="str">
        <f>HYPERLINK("http://141.218.60.56/~jnz1568/getInfo.php?workbook=02_01.xlsx&amp;sheet=A0&amp;row=176&amp;col=13&amp;number=&amp;sourceID=11","")</f>
        <v/>
      </c>
      <c r="N176" s="4" t="str">
        <f>HYPERLINK("http://141.218.60.56/~jnz1568/getInfo.php?workbook=02_01.xlsx&amp;sheet=A0&amp;row=176&amp;col=14&amp;number=2155000&amp;sourceID=12","2155000")</f>
        <v>2155000</v>
      </c>
      <c r="O176" s="4" t="str">
        <f>HYPERLINK("http://141.218.60.56/~jnz1568/getInfo.php?workbook=02_01.xlsx&amp;sheet=A0&amp;row=176&amp;col=15&amp;number=2155000&amp;sourceID=12","2155000")</f>
        <v>2155000</v>
      </c>
      <c r="P176" s="4" t="str">
        <f>HYPERLINK("http://141.218.60.56/~jnz1568/getInfo.php?workbook=02_01.xlsx&amp;sheet=A0&amp;row=176&amp;col=16&amp;number=&amp;sourceID=12","")</f>
        <v/>
      </c>
      <c r="Q176" s="4" t="str">
        <f>HYPERLINK("http://141.218.60.56/~jnz1568/getInfo.php?workbook=02_01.xlsx&amp;sheet=A0&amp;row=176&amp;col=17&amp;number=2.3202e-05&amp;sourceID=12","2.3202e-05")</f>
        <v>2.3202e-05</v>
      </c>
      <c r="R176" s="4" t="str">
        <f>HYPERLINK("http://141.218.60.56/~jnz1568/getInfo.php?workbook=02_01.xlsx&amp;sheet=A0&amp;row=176&amp;col=18&amp;number=&amp;sourceID=12","")</f>
        <v/>
      </c>
      <c r="S176" s="4" t="str">
        <f>HYPERLINK("http://141.218.60.56/~jnz1568/getInfo.php?workbook=02_01.xlsx&amp;sheet=A0&amp;row=176&amp;col=19&amp;number=3.0044e-05&amp;sourceID=12","3.0044e-05")</f>
        <v>3.0044e-05</v>
      </c>
      <c r="T176" s="4" t="str">
        <f>HYPERLINK("http://141.218.60.56/~jnz1568/getInfo.php?workbook=02_01.xlsx&amp;sheet=A0&amp;row=176&amp;col=20&amp;number=&amp;sourceID=12","")</f>
        <v/>
      </c>
      <c r="U176" s="4" t="str">
        <f>HYPERLINK("http://141.218.60.56/~jnz1568/getInfo.php?workbook=02_01.xlsx&amp;sheet=A0&amp;row=176&amp;col=21&amp;number=&amp;sourceID=13","")</f>
        <v/>
      </c>
      <c r="V176" s="4" t="str">
        <f>HYPERLINK("http://141.218.60.56/~jnz1568/getInfo.php?workbook=02_01.xlsx&amp;sheet=A0&amp;row=176&amp;col=22&amp;number=&amp;sourceID=13","")</f>
        <v/>
      </c>
      <c r="W176" s="4" t="str">
        <f>HYPERLINK("http://141.218.60.56/~jnz1568/getInfo.php?workbook=02_01.xlsx&amp;sheet=A0&amp;row=176&amp;col=23&amp;number=&amp;sourceID=13","")</f>
        <v/>
      </c>
      <c r="X176" s="4" t="str">
        <f>HYPERLINK("http://141.218.60.56/~jnz1568/getInfo.php?workbook=02_01.xlsx&amp;sheet=A0&amp;row=176&amp;col=24&amp;number=&amp;sourceID=13","")</f>
        <v/>
      </c>
      <c r="Y176" s="4" t="str">
        <f>HYPERLINK("http://141.218.60.56/~jnz1568/getInfo.php?workbook=02_01.xlsx&amp;sheet=A0&amp;row=176&amp;col=25&amp;number=&amp;sourceID=13","")</f>
        <v/>
      </c>
      <c r="Z176" s="4" t="str">
        <f>HYPERLINK("http://141.218.60.56/~jnz1568/getInfo.php?workbook=02_01.xlsx&amp;sheet=A0&amp;row=176&amp;col=26&amp;number=&amp;sourceID=13","")</f>
        <v/>
      </c>
      <c r="AA176" s="4" t="str">
        <f>HYPERLINK("http://141.218.60.56/~jnz1568/getInfo.php?workbook=02_01.xlsx&amp;sheet=A0&amp;row=176&amp;col=27&amp;number=&amp;sourceID=20","")</f>
        <v/>
      </c>
    </row>
    <row r="177" spans="1:27">
      <c r="A177" s="3">
        <v>2</v>
      </c>
      <c r="B177" s="3">
        <v>1</v>
      </c>
      <c r="C177" s="3">
        <v>20</v>
      </c>
      <c r="D177" s="3">
        <v>10</v>
      </c>
      <c r="E177" s="3">
        <f>((1/(INDEX(E0!J$4:J$28,C177,1)-INDEX(E0!J$4:J$28,D177,1))))*100000000</f>
        <v>0</v>
      </c>
      <c r="F177" s="4" t="str">
        <f>HYPERLINK("http://141.218.60.56/~jnz1568/getInfo.php?workbook=02_01.xlsx&amp;sheet=A0&amp;row=177&amp;col=6&amp;number=&amp;sourceID=18","")</f>
        <v/>
      </c>
      <c r="G177" s="4" t="str">
        <f>HYPERLINK("http://141.218.60.56/~jnz1568/getInfo.php?workbook=02_01.xlsx&amp;sheet=A0&amp;row=177&amp;col=7&amp;number==SUM(H177:M177)&amp;sourceID=11","=SUM(H177:M177)")</f>
        <v>=SUM(H177:M177)</v>
      </c>
      <c r="H177" s="4" t="str">
        <f>HYPERLINK("http://141.218.60.56/~jnz1568/getInfo.php?workbook=02_01.xlsx&amp;sheet=A0&amp;row=177&amp;col=8&amp;number=&amp;sourceID=11","")</f>
        <v/>
      </c>
      <c r="I177" s="4" t="str">
        <f>HYPERLINK("http://141.218.60.56/~jnz1568/getInfo.php?workbook=02_01.xlsx&amp;sheet=A0&amp;row=177&amp;col=9&amp;number=14.538&amp;sourceID=11","14.538")</f>
        <v>14.538</v>
      </c>
      <c r="J177" s="4" t="str">
        <f>HYPERLINK("http://141.218.60.56/~jnz1568/getInfo.php?workbook=02_01.xlsx&amp;sheet=A0&amp;row=177&amp;col=10&amp;number=&amp;sourceID=11","")</f>
        <v/>
      </c>
      <c r="K177" s="4" t="str">
        <f>HYPERLINK("http://141.218.60.56/~jnz1568/getInfo.php?workbook=02_01.xlsx&amp;sheet=A0&amp;row=177&amp;col=11&amp;number=2.1511e-08&amp;sourceID=11","2.1511e-08")</f>
        <v>2.1511e-08</v>
      </c>
      <c r="L177" s="4" t="str">
        <f>HYPERLINK("http://141.218.60.56/~jnz1568/getInfo.php?workbook=02_01.xlsx&amp;sheet=A0&amp;row=177&amp;col=12&amp;number=&amp;sourceID=11","")</f>
        <v/>
      </c>
      <c r="M177" s="4" t="str">
        <f>HYPERLINK("http://141.218.60.56/~jnz1568/getInfo.php?workbook=02_01.xlsx&amp;sheet=A0&amp;row=177&amp;col=13&amp;number=&amp;sourceID=11","")</f>
        <v/>
      </c>
      <c r="N177" s="4" t="str">
        <f>HYPERLINK("http://141.218.60.56/~jnz1568/getInfo.php?workbook=02_01.xlsx&amp;sheet=A0&amp;row=177&amp;col=14&amp;number=14.54&amp;sourceID=12","14.54")</f>
        <v>14.54</v>
      </c>
      <c r="O177" s="4" t="str">
        <f>HYPERLINK("http://141.218.60.56/~jnz1568/getInfo.php?workbook=02_01.xlsx&amp;sheet=A0&amp;row=177&amp;col=15&amp;number=&amp;sourceID=12","")</f>
        <v/>
      </c>
      <c r="P177" s="4" t="str">
        <f>HYPERLINK("http://141.218.60.56/~jnz1568/getInfo.php?workbook=02_01.xlsx&amp;sheet=A0&amp;row=177&amp;col=16&amp;number=14.54&amp;sourceID=12","14.54")</f>
        <v>14.54</v>
      </c>
      <c r="Q177" s="4" t="str">
        <f>HYPERLINK("http://141.218.60.56/~jnz1568/getInfo.php?workbook=02_01.xlsx&amp;sheet=A0&amp;row=177&amp;col=17&amp;number=&amp;sourceID=12","")</f>
        <v/>
      </c>
      <c r="R177" s="4" t="str">
        <f>HYPERLINK("http://141.218.60.56/~jnz1568/getInfo.php?workbook=02_01.xlsx&amp;sheet=A0&amp;row=177&amp;col=18&amp;number=2.1522e-08&amp;sourceID=12","2.1522e-08")</f>
        <v>2.1522e-08</v>
      </c>
      <c r="S177" s="4" t="str">
        <f>HYPERLINK("http://141.218.60.56/~jnz1568/getInfo.php?workbook=02_01.xlsx&amp;sheet=A0&amp;row=177&amp;col=19&amp;number=&amp;sourceID=12","")</f>
        <v/>
      </c>
      <c r="T177" s="4" t="str">
        <f>HYPERLINK("http://141.218.60.56/~jnz1568/getInfo.php?workbook=02_01.xlsx&amp;sheet=A0&amp;row=177&amp;col=20&amp;number=&amp;sourceID=12","")</f>
        <v/>
      </c>
      <c r="U177" s="4" t="str">
        <f>HYPERLINK("http://141.218.60.56/~jnz1568/getInfo.php?workbook=02_01.xlsx&amp;sheet=A0&amp;row=177&amp;col=21&amp;number=&amp;sourceID=13","")</f>
        <v/>
      </c>
      <c r="V177" s="4" t="str">
        <f>HYPERLINK("http://141.218.60.56/~jnz1568/getInfo.php?workbook=02_01.xlsx&amp;sheet=A0&amp;row=177&amp;col=22&amp;number=&amp;sourceID=13","")</f>
        <v/>
      </c>
      <c r="W177" s="4" t="str">
        <f>HYPERLINK("http://141.218.60.56/~jnz1568/getInfo.php?workbook=02_01.xlsx&amp;sheet=A0&amp;row=177&amp;col=23&amp;number=&amp;sourceID=13","")</f>
        <v/>
      </c>
      <c r="X177" s="4" t="str">
        <f>HYPERLINK("http://141.218.60.56/~jnz1568/getInfo.php?workbook=02_01.xlsx&amp;sheet=A0&amp;row=177&amp;col=24&amp;number=&amp;sourceID=13","")</f>
        <v/>
      </c>
      <c r="Y177" s="4" t="str">
        <f>HYPERLINK("http://141.218.60.56/~jnz1568/getInfo.php?workbook=02_01.xlsx&amp;sheet=A0&amp;row=177&amp;col=25&amp;number=&amp;sourceID=13","")</f>
        <v/>
      </c>
      <c r="Z177" s="4" t="str">
        <f>HYPERLINK("http://141.218.60.56/~jnz1568/getInfo.php?workbook=02_01.xlsx&amp;sheet=A0&amp;row=177&amp;col=26&amp;number=&amp;sourceID=13","")</f>
        <v/>
      </c>
      <c r="AA177" s="4" t="str">
        <f>HYPERLINK("http://141.218.60.56/~jnz1568/getInfo.php?workbook=02_01.xlsx&amp;sheet=A0&amp;row=177&amp;col=27&amp;number=&amp;sourceID=20","")</f>
        <v/>
      </c>
    </row>
    <row r="178" spans="1:27">
      <c r="A178" s="3">
        <v>2</v>
      </c>
      <c r="B178" s="3">
        <v>1</v>
      </c>
      <c r="C178" s="3">
        <v>20</v>
      </c>
      <c r="D178" s="3">
        <v>11</v>
      </c>
      <c r="E178" s="3">
        <f>((1/(INDEX(E0!J$4:J$28,C178,1)-INDEX(E0!J$4:J$28,D178,1))))*100000000</f>
        <v>0</v>
      </c>
      <c r="F178" s="4" t="str">
        <f>HYPERLINK("http://141.218.60.56/~jnz1568/getInfo.php?workbook=02_01.xlsx&amp;sheet=A0&amp;row=178&amp;col=6&amp;number=&amp;sourceID=18","")</f>
        <v/>
      </c>
      <c r="G178" s="4" t="str">
        <f>HYPERLINK("http://141.218.60.56/~jnz1568/getInfo.php?workbook=02_01.xlsx&amp;sheet=A0&amp;row=178&amp;col=7&amp;number==&amp;sourceID=11","=")</f>
        <v>=</v>
      </c>
      <c r="H178" s="4" t="str">
        <f>HYPERLINK("http://141.218.60.56/~jnz1568/getInfo.php?workbook=02_01.xlsx&amp;sheet=A0&amp;row=178&amp;col=8&amp;number=11798000&amp;sourceID=11","11798000")</f>
        <v>11798000</v>
      </c>
      <c r="I178" s="4" t="str">
        <f>HYPERLINK("http://141.218.60.56/~jnz1568/getInfo.php?workbook=02_01.xlsx&amp;sheet=A0&amp;row=178&amp;col=9&amp;number=&amp;sourceID=11","")</f>
        <v/>
      </c>
      <c r="J178" s="4" t="str">
        <f>HYPERLINK("http://141.218.60.56/~jnz1568/getInfo.php?workbook=02_01.xlsx&amp;sheet=A0&amp;row=178&amp;col=10&amp;number=&amp;sourceID=11","")</f>
        <v/>
      </c>
      <c r="K178" s="4" t="str">
        <f>HYPERLINK("http://141.218.60.56/~jnz1568/getInfo.php?workbook=02_01.xlsx&amp;sheet=A0&amp;row=178&amp;col=11&amp;number=&amp;sourceID=11","")</f>
        <v/>
      </c>
      <c r="L178" s="4" t="str">
        <f>HYPERLINK("http://141.218.60.56/~jnz1568/getInfo.php?workbook=02_01.xlsx&amp;sheet=A0&amp;row=178&amp;col=12&amp;number=1.2705e-05&amp;sourceID=11","1.2705e-05")</f>
        <v>1.2705e-05</v>
      </c>
      <c r="M178" s="4" t="str">
        <f>HYPERLINK("http://141.218.60.56/~jnz1568/getInfo.php?workbook=02_01.xlsx&amp;sheet=A0&amp;row=178&amp;col=13&amp;number=&amp;sourceID=11","")</f>
        <v/>
      </c>
      <c r="N178" s="4" t="str">
        <f>HYPERLINK("http://141.218.60.56/~jnz1568/getInfo.php?workbook=02_01.xlsx&amp;sheet=A0&amp;row=178&amp;col=14&amp;number=11800000&amp;sourceID=12","11800000")</f>
        <v>11800000</v>
      </c>
      <c r="O178" s="4" t="str">
        <f>HYPERLINK("http://141.218.60.56/~jnz1568/getInfo.php?workbook=02_01.xlsx&amp;sheet=A0&amp;row=178&amp;col=15&amp;number=11800000&amp;sourceID=12","11800000")</f>
        <v>11800000</v>
      </c>
      <c r="P178" s="4" t="str">
        <f>HYPERLINK("http://141.218.60.56/~jnz1568/getInfo.php?workbook=02_01.xlsx&amp;sheet=A0&amp;row=178&amp;col=16&amp;number=&amp;sourceID=12","")</f>
        <v/>
      </c>
      <c r="Q178" s="4" t="str">
        <f>HYPERLINK("http://141.218.60.56/~jnz1568/getInfo.php?workbook=02_01.xlsx&amp;sheet=A0&amp;row=178&amp;col=17&amp;number=&amp;sourceID=12","")</f>
        <v/>
      </c>
      <c r="R178" s="4" t="str">
        <f>HYPERLINK("http://141.218.60.56/~jnz1568/getInfo.php?workbook=02_01.xlsx&amp;sheet=A0&amp;row=178&amp;col=18&amp;number=&amp;sourceID=12","")</f>
        <v/>
      </c>
      <c r="S178" s="4" t="str">
        <f>HYPERLINK("http://141.218.60.56/~jnz1568/getInfo.php?workbook=02_01.xlsx&amp;sheet=A0&amp;row=178&amp;col=19&amp;number=1.2707e-05&amp;sourceID=12","1.2707e-05")</f>
        <v>1.2707e-05</v>
      </c>
      <c r="T178" s="4" t="str">
        <f>HYPERLINK("http://141.218.60.56/~jnz1568/getInfo.php?workbook=02_01.xlsx&amp;sheet=A0&amp;row=178&amp;col=20&amp;number=&amp;sourceID=12","")</f>
        <v/>
      </c>
      <c r="U178" s="4" t="str">
        <f>HYPERLINK("http://141.218.60.56/~jnz1568/getInfo.php?workbook=02_01.xlsx&amp;sheet=A0&amp;row=178&amp;col=21&amp;number=&amp;sourceID=13","")</f>
        <v/>
      </c>
      <c r="V178" s="4" t="str">
        <f>HYPERLINK("http://141.218.60.56/~jnz1568/getInfo.php?workbook=02_01.xlsx&amp;sheet=A0&amp;row=178&amp;col=22&amp;number=&amp;sourceID=13","")</f>
        <v/>
      </c>
      <c r="W178" s="4" t="str">
        <f>HYPERLINK("http://141.218.60.56/~jnz1568/getInfo.php?workbook=02_01.xlsx&amp;sheet=A0&amp;row=178&amp;col=23&amp;number=&amp;sourceID=13","")</f>
        <v/>
      </c>
      <c r="X178" s="4" t="str">
        <f>HYPERLINK("http://141.218.60.56/~jnz1568/getInfo.php?workbook=02_01.xlsx&amp;sheet=A0&amp;row=178&amp;col=24&amp;number=&amp;sourceID=13","")</f>
        <v/>
      </c>
      <c r="Y178" s="4" t="str">
        <f>HYPERLINK("http://141.218.60.56/~jnz1568/getInfo.php?workbook=02_01.xlsx&amp;sheet=A0&amp;row=178&amp;col=25&amp;number=&amp;sourceID=13","")</f>
        <v/>
      </c>
      <c r="Z178" s="4" t="str">
        <f>HYPERLINK("http://141.218.60.56/~jnz1568/getInfo.php?workbook=02_01.xlsx&amp;sheet=A0&amp;row=178&amp;col=26&amp;number=&amp;sourceID=13","")</f>
        <v/>
      </c>
      <c r="AA178" s="4" t="str">
        <f>HYPERLINK("http://141.218.60.56/~jnz1568/getInfo.php?workbook=02_01.xlsx&amp;sheet=A0&amp;row=178&amp;col=27&amp;number=&amp;sourceID=20","")</f>
        <v/>
      </c>
    </row>
    <row r="179" spans="1:27">
      <c r="A179" s="3">
        <v>2</v>
      </c>
      <c r="B179" s="3">
        <v>1</v>
      </c>
      <c r="C179" s="3">
        <v>20</v>
      </c>
      <c r="D179" s="3">
        <v>12</v>
      </c>
      <c r="E179" s="3">
        <f>((1/(INDEX(E0!J$4:J$28,C179,1)-INDEX(E0!J$4:J$28,D179,1))))*100000000</f>
        <v>0</v>
      </c>
      <c r="F179" s="4" t="str">
        <f>HYPERLINK("http://141.218.60.56/~jnz1568/getInfo.php?workbook=02_01.xlsx&amp;sheet=A0&amp;row=179&amp;col=6&amp;number=&amp;sourceID=18","")</f>
        <v/>
      </c>
      <c r="G179" s="4" t="str">
        <f>HYPERLINK("http://141.218.60.56/~jnz1568/getInfo.php?workbook=02_01.xlsx&amp;sheet=A0&amp;row=179&amp;col=7&amp;number==&amp;sourceID=11","=")</f>
        <v>=</v>
      </c>
      <c r="H179" s="4" t="str">
        <f>HYPERLINK("http://141.218.60.56/~jnz1568/getInfo.php?workbook=02_01.xlsx&amp;sheet=A0&amp;row=179&amp;col=8&amp;number=301670&amp;sourceID=11","301670")</f>
        <v>301670</v>
      </c>
      <c r="I179" s="4" t="str">
        <f>HYPERLINK("http://141.218.60.56/~jnz1568/getInfo.php?workbook=02_01.xlsx&amp;sheet=A0&amp;row=179&amp;col=9&amp;number=&amp;sourceID=11","")</f>
        <v/>
      </c>
      <c r="J179" s="4" t="str">
        <f>HYPERLINK("http://141.218.60.56/~jnz1568/getInfo.php?workbook=02_01.xlsx&amp;sheet=A0&amp;row=179&amp;col=10&amp;number=1.1826e-05&amp;sourceID=11","1.1826e-05")</f>
        <v>1.1826e-05</v>
      </c>
      <c r="K179" s="4" t="str">
        <f>HYPERLINK("http://141.218.60.56/~jnz1568/getInfo.php?workbook=02_01.xlsx&amp;sheet=A0&amp;row=179&amp;col=11&amp;number=&amp;sourceID=11","")</f>
        <v/>
      </c>
      <c r="L179" s="4" t="str">
        <f>HYPERLINK("http://141.218.60.56/~jnz1568/getInfo.php?workbook=02_01.xlsx&amp;sheet=A0&amp;row=179&amp;col=12&amp;number=&amp;sourceID=11","")</f>
        <v/>
      </c>
      <c r="M179" s="4" t="str">
        <f>HYPERLINK("http://141.218.60.56/~jnz1568/getInfo.php?workbook=02_01.xlsx&amp;sheet=A0&amp;row=179&amp;col=13&amp;number=&amp;sourceID=11","")</f>
        <v/>
      </c>
      <c r="N179" s="4" t="str">
        <f>HYPERLINK("http://141.218.60.56/~jnz1568/getInfo.php?workbook=02_01.xlsx&amp;sheet=A0&amp;row=179&amp;col=14&amp;number=301710&amp;sourceID=12","301710")</f>
        <v>301710</v>
      </c>
      <c r="O179" s="4" t="str">
        <f>HYPERLINK("http://141.218.60.56/~jnz1568/getInfo.php?workbook=02_01.xlsx&amp;sheet=A0&amp;row=179&amp;col=15&amp;number=301710&amp;sourceID=12","301710")</f>
        <v>301710</v>
      </c>
      <c r="P179" s="4" t="str">
        <f>HYPERLINK("http://141.218.60.56/~jnz1568/getInfo.php?workbook=02_01.xlsx&amp;sheet=A0&amp;row=179&amp;col=16&amp;number=&amp;sourceID=12","")</f>
        <v/>
      </c>
      <c r="Q179" s="4" t="str">
        <f>HYPERLINK("http://141.218.60.56/~jnz1568/getInfo.php?workbook=02_01.xlsx&amp;sheet=A0&amp;row=179&amp;col=17&amp;number=1.1827e-05&amp;sourceID=12","1.1827e-05")</f>
        <v>1.1827e-05</v>
      </c>
      <c r="R179" s="4" t="str">
        <f>HYPERLINK("http://141.218.60.56/~jnz1568/getInfo.php?workbook=02_01.xlsx&amp;sheet=A0&amp;row=179&amp;col=18&amp;number=&amp;sourceID=12","")</f>
        <v/>
      </c>
      <c r="S179" s="4" t="str">
        <f>HYPERLINK("http://141.218.60.56/~jnz1568/getInfo.php?workbook=02_01.xlsx&amp;sheet=A0&amp;row=179&amp;col=19&amp;number=&amp;sourceID=12","")</f>
        <v/>
      </c>
      <c r="T179" s="4" t="str">
        <f>HYPERLINK("http://141.218.60.56/~jnz1568/getInfo.php?workbook=02_01.xlsx&amp;sheet=A0&amp;row=179&amp;col=20&amp;number=&amp;sourceID=12","")</f>
        <v/>
      </c>
      <c r="U179" s="4" t="str">
        <f>HYPERLINK("http://141.218.60.56/~jnz1568/getInfo.php?workbook=02_01.xlsx&amp;sheet=A0&amp;row=179&amp;col=21&amp;number=&amp;sourceID=13","")</f>
        <v/>
      </c>
      <c r="V179" s="4" t="str">
        <f>HYPERLINK("http://141.218.60.56/~jnz1568/getInfo.php?workbook=02_01.xlsx&amp;sheet=A0&amp;row=179&amp;col=22&amp;number=&amp;sourceID=13","")</f>
        <v/>
      </c>
      <c r="W179" s="4" t="str">
        <f>HYPERLINK("http://141.218.60.56/~jnz1568/getInfo.php?workbook=02_01.xlsx&amp;sheet=A0&amp;row=179&amp;col=23&amp;number=&amp;sourceID=13","")</f>
        <v/>
      </c>
      <c r="X179" s="4" t="str">
        <f>HYPERLINK("http://141.218.60.56/~jnz1568/getInfo.php?workbook=02_01.xlsx&amp;sheet=A0&amp;row=179&amp;col=24&amp;number=&amp;sourceID=13","")</f>
        <v/>
      </c>
      <c r="Y179" s="4" t="str">
        <f>HYPERLINK("http://141.218.60.56/~jnz1568/getInfo.php?workbook=02_01.xlsx&amp;sheet=A0&amp;row=179&amp;col=25&amp;number=&amp;sourceID=13","")</f>
        <v/>
      </c>
      <c r="Z179" s="4" t="str">
        <f>HYPERLINK("http://141.218.60.56/~jnz1568/getInfo.php?workbook=02_01.xlsx&amp;sheet=A0&amp;row=179&amp;col=26&amp;number=&amp;sourceID=13","")</f>
        <v/>
      </c>
      <c r="AA179" s="4" t="str">
        <f>HYPERLINK("http://141.218.60.56/~jnz1568/getInfo.php?workbook=02_01.xlsx&amp;sheet=A0&amp;row=179&amp;col=27&amp;number=&amp;sourceID=20","")</f>
        <v/>
      </c>
    </row>
    <row r="180" spans="1:27">
      <c r="A180" s="3">
        <v>2</v>
      </c>
      <c r="B180" s="3">
        <v>1</v>
      </c>
      <c r="C180" s="3">
        <v>20</v>
      </c>
      <c r="D180" s="3">
        <v>13</v>
      </c>
      <c r="E180" s="3">
        <f>((1/(INDEX(E0!J$4:J$28,C180,1)-INDEX(E0!J$4:J$28,D180,1))))*100000000</f>
        <v>0</v>
      </c>
      <c r="F180" s="4" t="str">
        <f>HYPERLINK("http://141.218.60.56/~jnz1568/getInfo.php?workbook=02_01.xlsx&amp;sheet=A0&amp;row=180&amp;col=6&amp;number=&amp;sourceID=18","")</f>
        <v/>
      </c>
      <c r="G180" s="4" t="str">
        <f>HYPERLINK("http://141.218.60.56/~jnz1568/getInfo.php?workbook=02_01.xlsx&amp;sheet=A0&amp;row=180&amp;col=7&amp;number==&amp;sourceID=11","=")</f>
        <v>=</v>
      </c>
      <c r="H180" s="4" t="str">
        <f>HYPERLINK("http://141.218.60.56/~jnz1568/getInfo.php?workbook=02_01.xlsx&amp;sheet=A0&amp;row=180&amp;col=8&amp;number=&amp;sourceID=11","")</f>
        <v/>
      </c>
      <c r="I180" s="4" t="str">
        <f>HYPERLINK("http://141.218.60.56/~jnz1568/getInfo.php?workbook=02_01.xlsx&amp;sheet=A0&amp;row=180&amp;col=9&amp;number=14.538&amp;sourceID=11","14.538")</f>
        <v>14.538</v>
      </c>
      <c r="J180" s="4" t="str">
        <f>HYPERLINK("http://141.218.60.56/~jnz1568/getInfo.php?workbook=02_01.xlsx&amp;sheet=A0&amp;row=180&amp;col=10&amp;number=&amp;sourceID=11","")</f>
        <v/>
      </c>
      <c r="K180" s="4" t="str">
        <f>HYPERLINK("http://141.218.60.56/~jnz1568/getInfo.php?workbook=02_01.xlsx&amp;sheet=A0&amp;row=180&amp;col=11&amp;number=1.8033e-09&amp;sourceID=11","1.8033e-09")</f>
        <v>1.8033e-09</v>
      </c>
      <c r="L180" s="4" t="str">
        <f>HYPERLINK("http://141.218.60.56/~jnz1568/getInfo.php?workbook=02_01.xlsx&amp;sheet=A0&amp;row=180&amp;col=12&amp;number=&amp;sourceID=11","")</f>
        <v/>
      </c>
      <c r="M180" s="4" t="str">
        <f>HYPERLINK("http://141.218.60.56/~jnz1568/getInfo.php?workbook=02_01.xlsx&amp;sheet=A0&amp;row=180&amp;col=13&amp;number=3.3393e-11&amp;sourceID=11","3.3393e-11")</f>
        <v>3.3393e-11</v>
      </c>
      <c r="N180" s="4" t="str">
        <f>HYPERLINK("http://141.218.60.56/~jnz1568/getInfo.php?workbook=02_01.xlsx&amp;sheet=A0&amp;row=180&amp;col=14&amp;number=14.54&amp;sourceID=12","14.54")</f>
        <v>14.54</v>
      </c>
      <c r="O180" s="4" t="str">
        <f>HYPERLINK("http://141.218.60.56/~jnz1568/getInfo.php?workbook=02_01.xlsx&amp;sheet=A0&amp;row=180&amp;col=15&amp;number=&amp;sourceID=12","")</f>
        <v/>
      </c>
      <c r="P180" s="4" t="str">
        <f>HYPERLINK("http://141.218.60.56/~jnz1568/getInfo.php?workbook=02_01.xlsx&amp;sheet=A0&amp;row=180&amp;col=16&amp;number=14.54&amp;sourceID=12","14.54")</f>
        <v>14.54</v>
      </c>
      <c r="Q180" s="4" t="str">
        <f>HYPERLINK("http://141.218.60.56/~jnz1568/getInfo.php?workbook=02_01.xlsx&amp;sheet=A0&amp;row=180&amp;col=17&amp;number=&amp;sourceID=12","")</f>
        <v/>
      </c>
      <c r="R180" s="4" t="str">
        <f>HYPERLINK("http://141.218.60.56/~jnz1568/getInfo.php?workbook=02_01.xlsx&amp;sheet=A0&amp;row=180&amp;col=18&amp;number=1.8035e-09&amp;sourceID=12","1.8035e-09")</f>
        <v>1.8035e-09</v>
      </c>
      <c r="S180" s="4" t="str">
        <f>HYPERLINK("http://141.218.60.56/~jnz1568/getInfo.php?workbook=02_01.xlsx&amp;sheet=A0&amp;row=180&amp;col=19&amp;number=&amp;sourceID=12","")</f>
        <v/>
      </c>
      <c r="T180" s="4" t="str">
        <f>HYPERLINK("http://141.218.60.56/~jnz1568/getInfo.php?workbook=02_01.xlsx&amp;sheet=A0&amp;row=180&amp;col=20&amp;number=3.3398e-11&amp;sourceID=12","3.3398e-11")</f>
        <v>3.3398e-11</v>
      </c>
      <c r="U180" s="4" t="str">
        <f>HYPERLINK("http://141.218.60.56/~jnz1568/getInfo.php?workbook=02_01.xlsx&amp;sheet=A0&amp;row=180&amp;col=21&amp;number=&amp;sourceID=13","")</f>
        <v/>
      </c>
      <c r="V180" s="4" t="str">
        <f>HYPERLINK("http://141.218.60.56/~jnz1568/getInfo.php?workbook=02_01.xlsx&amp;sheet=A0&amp;row=180&amp;col=22&amp;number=&amp;sourceID=13","")</f>
        <v/>
      </c>
      <c r="W180" s="4" t="str">
        <f>HYPERLINK("http://141.218.60.56/~jnz1568/getInfo.php?workbook=02_01.xlsx&amp;sheet=A0&amp;row=180&amp;col=23&amp;number=&amp;sourceID=13","")</f>
        <v/>
      </c>
      <c r="X180" s="4" t="str">
        <f>HYPERLINK("http://141.218.60.56/~jnz1568/getInfo.php?workbook=02_01.xlsx&amp;sheet=A0&amp;row=180&amp;col=24&amp;number=&amp;sourceID=13","")</f>
        <v/>
      </c>
      <c r="Y180" s="4" t="str">
        <f>HYPERLINK("http://141.218.60.56/~jnz1568/getInfo.php?workbook=02_01.xlsx&amp;sheet=A0&amp;row=180&amp;col=25&amp;number=&amp;sourceID=13","")</f>
        <v/>
      </c>
      <c r="Z180" s="4" t="str">
        <f>HYPERLINK("http://141.218.60.56/~jnz1568/getInfo.php?workbook=02_01.xlsx&amp;sheet=A0&amp;row=180&amp;col=26&amp;number=&amp;sourceID=13","")</f>
        <v/>
      </c>
      <c r="AA180" s="4" t="str">
        <f>HYPERLINK("http://141.218.60.56/~jnz1568/getInfo.php?workbook=02_01.xlsx&amp;sheet=A0&amp;row=180&amp;col=27&amp;number=&amp;sourceID=20","")</f>
        <v/>
      </c>
    </row>
    <row r="181" spans="1:27">
      <c r="A181" s="3">
        <v>2</v>
      </c>
      <c r="B181" s="3">
        <v>1</v>
      </c>
      <c r="C181" s="3">
        <v>20</v>
      </c>
      <c r="D181" s="3">
        <v>14</v>
      </c>
      <c r="E181" s="3">
        <f>((1/(INDEX(E0!J$4:J$28,C181,1)-INDEX(E0!J$4:J$28,D181,1))))*100000000</f>
        <v>0</v>
      </c>
      <c r="F181" s="4" t="str">
        <f>HYPERLINK("http://141.218.60.56/~jnz1568/getInfo.php?workbook=02_01.xlsx&amp;sheet=A0&amp;row=181&amp;col=6&amp;number=&amp;sourceID=18","")</f>
        <v/>
      </c>
      <c r="G181" s="4" t="str">
        <f>HYPERLINK("http://141.218.60.56/~jnz1568/getInfo.php?workbook=02_01.xlsx&amp;sheet=A0&amp;row=181&amp;col=7&amp;number==&amp;sourceID=11","=")</f>
        <v>=</v>
      </c>
      <c r="H181" s="4" t="str">
        <f>HYPERLINK("http://141.218.60.56/~jnz1568/getInfo.php?workbook=02_01.xlsx&amp;sheet=A0&amp;row=181&amp;col=8&amp;number=&amp;sourceID=11","")</f>
        <v/>
      </c>
      <c r="I181" s="4" t="str">
        <f>HYPERLINK("http://141.218.60.56/~jnz1568/getInfo.php?workbook=02_01.xlsx&amp;sheet=A0&amp;row=181&amp;col=9&amp;number=0.43073&amp;sourceID=11","0.43073")</f>
        <v>0.43073</v>
      </c>
      <c r="J181" s="4" t="str">
        <f>HYPERLINK("http://141.218.60.56/~jnz1568/getInfo.php?workbook=02_01.xlsx&amp;sheet=A0&amp;row=181&amp;col=10&amp;number=&amp;sourceID=11","")</f>
        <v/>
      </c>
      <c r="K181" s="4" t="str">
        <f>HYPERLINK("http://141.218.60.56/~jnz1568/getInfo.php?workbook=02_01.xlsx&amp;sheet=A0&amp;row=181&amp;col=11&amp;number=1.06e-13&amp;sourceID=11","1.06e-13")</f>
        <v>1.06e-13</v>
      </c>
      <c r="L181" s="4" t="str">
        <f>HYPERLINK("http://141.218.60.56/~jnz1568/getInfo.php?workbook=02_01.xlsx&amp;sheet=A0&amp;row=181&amp;col=12&amp;number=&amp;sourceID=11","")</f>
        <v/>
      </c>
      <c r="M181" s="4" t="str">
        <f>HYPERLINK("http://141.218.60.56/~jnz1568/getInfo.php?workbook=02_01.xlsx&amp;sheet=A0&amp;row=181&amp;col=13&amp;number=8e-15&amp;sourceID=11","8e-15")</f>
        <v>8e-15</v>
      </c>
      <c r="N181" s="4" t="str">
        <f>HYPERLINK("http://141.218.60.56/~jnz1568/getInfo.php?workbook=02_01.xlsx&amp;sheet=A0&amp;row=181&amp;col=14&amp;number=0.43079&amp;sourceID=12","0.43079")</f>
        <v>0.43079</v>
      </c>
      <c r="O181" s="4" t="str">
        <f>HYPERLINK("http://141.218.60.56/~jnz1568/getInfo.php?workbook=02_01.xlsx&amp;sheet=A0&amp;row=181&amp;col=15&amp;number=&amp;sourceID=12","")</f>
        <v/>
      </c>
      <c r="P181" s="4" t="str">
        <f>HYPERLINK("http://141.218.60.56/~jnz1568/getInfo.php?workbook=02_01.xlsx&amp;sheet=A0&amp;row=181&amp;col=16&amp;number=0.43079&amp;sourceID=12","0.43079")</f>
        <v>0.43079</v>
      </c>
      <c r="Q181" s="4" t="str">
        <f>HYPERLINK("http://141.218.60.56/~jnz1568/getInfo.php?workbook=02_01.xlsx&amp;sheet=A0&amp;row=181&amp;col=17&amp;number=&amp;sourceID=12","")</f>
        <v/>
      </c>
      <c r="R181" s="4" t="str">
        <f>HYPERLINK("http://141.218.60.56/~jnz1568/getInfo.php?workbook=02_01.xlsx&amp;sheet=A0&amp;row=181&amp;col=18&amp;number=4.3e-14&amp;sourceID=12","4.3e-14")</f>
        <v>4.3e-14</v>
      </c>
      <c r="S181" s="4" t="str">
        <f>HYPERLINK("http://141.218.60.56/~jnz1568/getInfo.php?workbook=02_01.xlsx&amp;sheet=A0&amp;row=181&amp;col=19&amp;number=&amp;sourceID=12","")</f>
        <v/>
      </c>
      <c r="T181" s="4" t="str">
        <f>HYPERLINK("http://141.218.60.56/~jnz1568/getInfo.php?workbook=02_01.xlsx&amp;sheet=A0&amp;row=181&amp;col=20&amp;number=8e-15&amp;sourceID=12","8e-15")</f>
        <v>8e-15</v>
      </c>
      <c r="U181" s="4" t="str">
        <f>HYPERLINK("http://141.218.60.56/~jnz1568/getInfo.php?workbook=02_01.xlsx&amp;sheet=A0&amp;row=181&amp;col=21&amp;number=&amp;sourceID=13","")</f>
        <v/>
      </c>
      <c r="V181" s="4" t="str">
        <f>HYPERLINK("http://141.218.60.56/~jnz1568/getInfo.php?workbook=02_01.xlsx&amp;sheet=A0&amp;row=181&amp;col=22&amp;number=&amp;sourceID=13","")</f>
        <v/>
      </c>
      <c r="W181" s="4" t="str">
        <f>HYPERLINK("http://141.218.60.56/~jnz1568/getInfo.php?workbook=02_01.xlsx&amp;sheet=A0&amp;row=181&amp;col=23&amp;number=&amp;sourceID=13","")</f>
        <v/>
      </c>
      <c r="X181" s="4" t="str">
        <f>HYPERLINK("http://141.218.60.56/~jnz1568/getInfo.php?workbook=02_01.xlsx&amp;sheet=A0&amp;row=181&amp;col=24&amp;number=&amp;sourceID=13","")</f>
        <v/>
      </c>
      <c r="Y181" s="4" t="str">
        <f>HYPERLINK("http://141.218.60.56/~jnz1568/getInfo.php?workbook=02_01.xlsx&amp;sheet=A0&amp;row=181&amp;col=25&amp;number=&amp;sourceID=13","")</f>
        <v/>
      </c>
      <c r="Z181" s="4" t="str">
        <f>HYPERLINK("http://141.218.60.56/~jnz1568/getInfo.php?workbook=02_01.xlsx&amp;sheet=A0&amp;row=181&amp;col=26&amp;number=&amp;sourceID=13","")</f>
        <v/>
      </c>
      <c r="AA181" s="4" t="str">
        <f>HYPERLINK("http://141.218.60.56/~jnz1568/getInfo.php?workbook=02_01.xlsx&amp;sheet=A0&amp;row=181&amp;col=27&amp;number=&amp;sourceID=20","")</f>
        <v/>
      </c>
    </row>
    <row r="182" spans="1:27">
      <c r="A182" s="3">
        <v>2</v>
      </c>
      <c r="B182" s="3">
        <v>1</v>
      </c>
      <c r="C182" s="3">
        <v>20</v>
      </c>
      <c r="D182" s="3">
        <v>15</v>
      </c>
      <c r="E182" s="3">
        <f>((1/(INDEX(E0!J$4:J$28,C182,1)-INDEX(E0!J$4:J$28,D182,1))))*100000000</f>
        <v>0</v>
      </c>
      <c r="F182" s="4" t="str">
        <f>HYPERLINK("http://141.218.60.56/~jnz1568/getInfo.php?workbook=02_01.xlsx&amp;sheet=A0&amp;row=182&amp;col=6&amp;number=&amp;sourceID=18","")</f>
        <v/>
      </c>
      <c r="G182" s="4" t="str">
        <f>HYPERLINK("http://141.218.60.56/~jnz1568/getInfo.php?workbook=02_01.xlsx&amp;sheet=A0&amp;row=182&amp;col=7&amp;number==&amp;sourceID=11","=")</f>
        <v>=</v>
      </c>
      <c r="H182" s="4" t="str">
        <f>HYPERLINK("http://141.218.60.56/~jnz1568/getInfo.php?workbook=02_01.xlsx&amp;sheet=A0&amp;row=182&amp;col=8&amp;number=2715400&amp;sourceID=11","2715400")</f>
        <v>2715400</v>
      </c>
      <c r="I182" s="4" t="str">
        <f>HYPERLINK("http://141.218.60.56/~jnz1568/getInfo.php?workbook=02_01.xlsx&amp;sheet=A0&amp;row=182&amp;col=9&amp;number=&amp;sourceID=11","")</f>
        <v/>
      </c>
      <c r="J182" s="4" t="str">
        <f>HYPERLINK("http://141.218.60.56/~jnz1568/getInfo.php?workbook=02_01.xlsx&amp;sheet=A0&amp;row=182&amp;col=10&amp;number=7.8832e-06&amp;sourceID=11","7.8832e-06")</f>
        <v>7.8832e-06</v>
      </c>
      <c r="K182" s="4" t="str">
        <f>HYPERLINK("http://141.218.60.56/~jnz1568/getInfo.php?workbook=02_01.xlsx&amp;sheet=A0&amp;row=182&amp;col=11&amp;number=&amp;sourceID=11","")</f>
        <v/>
      </c>
      <c r="L182" s="4" t="str">
        <f>HYPERLINK("http://141.218.60.56/~jnz1568/getInfo.php?workbook=02_01.xlsx&amp;sheet=A0&amp;row=182&amp;col=12&amp;number=3.79e-06&amp;sourceID=11","3.79e-06")</f>
        <v>3.79e-06</v>
      </c>
      <c r="M182" s="4" t="str">
        <f>HYPERLINK("http://141.218.60.56/~jnz1568/getInfo.php?workbook=02_01.xlsx&amp;sheet=A0&amp;row=182&amp;col=13&amp;number=&amp;sourceID=11","")</f>
        <v/>
      </c>
      <c r="N182" s="4" t="str">
        <f>HYPERLINK("http://141.218.60.56/~jnz1568/getInfo.php?workbook=02_01.xlsx&amp;sheet=A0&amp;row=182&amp;col=14&amp;number=2715800&amp;sourceID=12","2715800")</f>
        <v>2715800</v>
      </c>
      <c r="O182" s="4" t="str">
        <f>HYPERLINK("http://141.218.60.56/~jnz1568/getInfo.php?workbook=02_01.xlsx&amp;sheet=A0&amp;row=182&amp;col=15&amp;number=2715800&amp;sourceID=12","2715800")</f>
        <v>2715800</v>
      </c>
      <c r="P182" s="4" t="str">
        <f>HYPERLINK("http://141.218.60.56/~jnz1568/getInfo.php?workbook=02_01.xlsx&amp;sheet=A0&amp;row=182&amp;col=16&amp;number=&amp;sourceID=12","")</f>
        <v/>
      </c>
      <c r="Q182" s="4" t="str">
        <f>HYPERLINK("http://141.218.60.56/~jnz1568/getInfo.php?workbook=02_01.xlsx&amp;sheet=A0&amp;row=182&amp;col=17&amp;number=7.8843e-06&amp;sourceID=12","7.8843e-06")</f>
        <v>7.8843e-06</v>
      </c>
      <c r="R182" s="4" t="str">
        <f>HYPERLINK("http://141.218.60.56/~jnz1568/getInfo.php?workbook=02_01.xlsx&amp;sheet=A0&amp;row=182&amp;col=18&amp;number=&amp;sourceID=12","")</f>
        <v/>
      </c>
      <c r="S182" s="4" t="str">
        <f>HYPERLINK("http://141.218.60.56/~jnz1568/getInfo.php?workbook=02_01.xlsx&amp;sheet=A0&amp;row=182&amp;col=19&amp;number=3.7905e-06&amp;sourceID=12","3.7905e-06")</f>
        <v>3.7905e-06</v>
      </c>
      <c r="T182" s="4" t="str">
        <f>HYPERLINK("http://141.218.60.56/~jnz1568/getInfo.php?workbook=02_01.xlsx&amp;sheet=A0&amp;row=182&amp;col=20&amp;number=&amp;sourceID=12","")</f>
        <v/>
      </c>
      <c r="U182" s="4" t="str">
        <f>HYPERLINK("http://141.218.60.56/~jnz1568/getInfo.php?workbook=02_01.xlsx&amp;sheet=A0&amp;row=182&amp;col=21&amp;number=&amp;sourceID=13","")</f>
        <v/>
      </c>
      <c r="V182" s="4" t="str">
        <f>HYPERLINK("http://141.218.60.56/~jnz1568/getInfo.php?workbook=02_01.xlsx&amp;sheet=A0&amp;row=182&amp;col=22&amp;number=&amp;sourceID=13","")</f>
        <v/>
      </c>
      <c r="W182" s="4" t="str">
        <f>HYPERLINK("http://141.218.60.56/~jnz1568/getInfo.php?workbook=02_01.xlsx&amp;sheet=A0&amp;row=182&amp;col=23&amp;number=&amp;sourceID=13","")</f>
        <v/>
      </c>
      <c r="X182" s="4" t="str">
        <f>HYPERLINK("http://141.218.60.56/~jnz1568/getInfo.php?workbook=02_01.xlsx&amp;sheet=A0&amp;row=182&amp;col=24&amp;number=&amp;sourceID=13","")</f>
        <v/>
      </c>
      <c r="Y182" s="4" t="str">
        <f>HYPERLINK("http://141.218.60.56/~jnz1568/getInfo.php?workbook=02_01.xlsx&amp;sheet=A0&amp;row=182&amp;col=25&amp;number=&amp;sourceID=13","")</f>
        <v/>
      </c>
      <c r="Z182" s="4" t="str">
        <f>HYPERLINK("http://141.218.60.56/~jnz1568/getInfo.php?workbook=02_01.xlsx&amp;sheet=A0&amp;row=182&amp;col=26&amp;number=&amp;sourceID=13","")</f>
        <v/>
      </c>
      <c r="AA182" s="4" t="str">
        <f>HYPERLINK("http://141.218.60.56/~jnz1568/getInfo.php?workbook=02_01.xlsx&amp;sheet=A0&amp;row=182&amp;col=27&amp;number=&amp;sourceID=20","")</f>
        <v/>
      </c>
    </row>
    <row r="183" spans="1:27">
      <c r="A183" s="3">
        <v>2</v>
      </c>
      <c r="B183" s="3">
        <v>1</v>
      </c>
      <c r="C183" s="3">
        <v>20</v>
      </c>
      <c r="D183" s="3">
        <v>16</v>
      </c>
      <c r="E183" s="3">
        <f>((1/(INDEX(E0!J$4:J$28,C183,1)-INDEX(E0!J$4:J$28,D183,1))))*100000000</f>
        <v>0</v>
      </c>
      <c r="F183" s="4" t="str">
        <f>HYPERLINK("http://141.218.60.56/~jnz1568/getInfo.php?workbook=02_01.xlsx&amp;sheet=A0&amp;row=183&amp;col=6&amp;number=&amp;sourceID=18","")</f>
        <v/>
      </c>
      <c r="G183" s="4" t="str">
        <f>HYPERLINK("http://141.218.60.56/~jnz1568/getInfo.php?workbook=02_01.xlsx&amp;sheet=A0&amp;row=183&amp;col=7&amp;number==&amp;sourceID=11","=")</f>
        <v>=</v>
      </c>
      <c r="H183" s="4" t="str">
        <f>HYPERLINK("http://141.218.60.56/~jnz1568/getInfo.php?workbook=02_01.xlsx&amp;sheet=A0&amp;row=183&amp;col=8&amp;number=&amp;sourceID=11","")</f>
        <v/>
      </c>
      <c r="I183" s="4" t="str">
        <f>HYPERLINK("http://141.218.60.56/~jnz1568/getInfo.php?workbook=02_01.xlsx&amp;sheet=A0&amp;row=183&amp;col=9&amp;number=2.5844&amp;sourceID=11","2.5844")</f>
        <v>2.5844</v>
      </c>
      <c r="J183" s="4" t="str">
        <f>HYPERLINK("http://141.218.60.56/~jnz1568/getInfo.php?workbook=02_01.xlsx&amp;sheet=A0&amp;row=183&amp;col=10&amp;number=&amp;sourceID=11","")</f>
        <v/>
      </c>
      <c r="K183" s="4" t="str">
        <f>HYPERLINK("http://141.218.60.56/~jnz1568/getInfo.php?workbook=02_01.xlsx&amp;sheet=A0&amp;row=183&amp;col=11&amp;number=&amp;sourceID=11","")</f>
        <v/>
      </c>
      <c r="L183" s="4" t="str">
        <f>HYPERLINK("http://141.218.60.56/~jnz1568/getInfo.php?workbook=02_01.xlsx&amp;sheet=A0&amp;row=183&amp;col=12&amp;number=&amp;sourceID=11","")</f>
        <v/>
      </c>
      <c r="M183" s="4" t="str">
        <f>HYPERLINK("http://141.218.60.56/~jnz1568/getInfo.php?workbook=02_01.xlsx&amp;sheet=A0&amp;row=183&amp;col=13&amp;number=3.18e-12&amp;sourceID=11","3.18e-12")</f>
        <v>3.18e-12</v>
      </c>
      <c r="N183" s="4" t="str">
        <f>HYPERLINK("http://141.218.60.56/~jnz1568/getInfo.php?workbook=02_01.xlsx&amp;sheet=A0&amp;row=183&amp;col=14&amp;number=2.5848&amp;sourceID=12","2.5848")</f>
        <v>2.5848</v>
      </c>
      <c r="O183" s="4" t="str">
        <f>HYPERLINK("http://141.218.60.56/~jnz1568/getInfo.php?workbook=02_01.xlsx&amp;sheet=A0&amp;row=183&amp;col=15&amp;number=&amp;sourceID=12","")</f>
        <v/>
      </c>
      <c r="P183" s="4" t="str">
        <f>HYPERLINK("http://141.218.60.56/~jnz1568/getInfo.php?workbook=02_01.xlsx&amp;sheet=A0&amp;row=183&amp;col=16&amp;number=2.5848&amp;sourceID=12","2.5848")</f>
        <v>2.5848</v>
      </c>
      <c r="Q183" s="4" t="str">
        <f>HYPERLINK("http://141.218.60.56/~jnz1568/getInfo.php?workbook=02_01.xlsx&amp;sheet=A0&amp;row=183&amp;col=17&amp;number=&amp;sourceID=12","")</f>
        <v/>
      </c>
      <c r="R183" s="4" t="str">
        <f>HYPERLINK("http://141.218.60.56/~jnz1568/getInfo.php?workbook=02_01.xlsx&amp;sheet=A0&amp;row=183&amp;col=18&amp;number=&amp;sourceID=12","")</f>
        <v/>
      </c>
      <c r="S183" s="4" t="str">
        <f>HYPERLINK("http://141.218.60.56/~jnz1568/getInfo.php?workbook=02_01.xlsx&amp;sheet=A0&amp;row=183&amp;col=19&amp;number=&amp;sourceID=12","")</f>
        <v/>
      </c>
      <c r="T183" s="4" t="str">
        <f>HYPERLINK("http://141.218.60.56/~jnz1568/getInfo.php?workbook=02_01.xlsx&amp;sheet=A0&amp;row=183&amp;col=20&amp;number=3.18e-12&amp;sourceID=12","3.18e-12")</f>
        <v>3.18e-12</v>
      </c>
      <c r="U183" s="4" t="str">
        <f>HYPERLINK("http://141.218.60.56/~jnz1568/getInfo.php?workbook=02_01.xlsx&amp;sheet=A0&amp;row=183&amp;col=21&amp;number=&amp;sourceID=13","")</f>
        <v/>
      </c>
      <c r="V183" s="4" t="str">
        <f>HYPERLINK("http://141.218.60.56/~jnz1568/getInfo.php?workbook=02_01.xlsx&amp;sheet=A0&amp;row=183&amp;col=22&amp;number=&amp;sourceID=13","")</f>
        <v/>
      </c>
      <c r="W183" s="4" t="str">
        <f>HYPERLINK("http://141.218.60.56/~jnz1568/getInfo.php?workbook=02_01.xlsx&amp;sheet=A0&amp;row=183&amp;col=23&amp;number=&amp;sourceID=13","")</f>
        <v/>
      </c>
      <c r="X183" s="4" t="str">
        <f>HYPERLINK("http://141.218.60.56/~jnz1568/getInfo.php?workbook=02_01.xlsx&amp;sheet=A0&amp;row=183&amp;col=24&amp;number=&amp;sourceID=13","")</f>
        <v/>
      </c>
      <c r="Y183" s="4" t="str">
        <f>HYPERLINK("http://141.218.60.56/~jnz1568/getInfo.php?workbook=02_01.xlsx&amp;sheet=A0&amp;row=183&amp;col=25&amp;number=&amp;sourceID=13","")</f>
        <v/>
      </c>
      <c r="Z183" s="4" t="str">
        <f>HYPERLINK("http://141.218.60.56/~jnz1568/getInfo.php?workbook=02_01.xlsx&amp;sheet=A0&amp;row=183&amp;col=26&amp;number=&amp;sourceID=13","")</f>
        <v/>
      </c>
      <c r="AA183" s="4" t="str">
        <f>HYPERLINK("http://141.218.60.56/~jnz1568/getInfo.php?workbook=02_01.xlsx&amp;sheet=A0&amp;row=183&amp;col=27&amp;number=&amp;sourceID=20","")</f>
        <v/>
      </c>
    </row>
    <row r="184" spans="1:27">
      <c r="A184" s="3">
        <v>2</v>
      </c>
      <c r="B184" s="3">
        <v>1</v>
      </c>
      <c r="C184" s="3">
        <v>20</v>
      </c>
      <c r="D184" s="3">
        <v>17</v>
      </c>
      <c r="E184" s="3">
        <f>((1/(INDEX(E0!J$4:J$28,C184,1)-INDEX(E0!J$4:J$28,D184,1))))*100000000</f>
        <v>0</v>
      </c>
      <c r="F184" s="4" t="str">
        <f>HYPERLINK("http://141.218.60.56/~jnz1568/getInfo.php?workbook=02_01.xlsx&amp;sheet=A0&amp;row=184&amp;col=6&amp;number=&amp;sourceID=18","")</f>
        <v/>
      </c>
      <c r="G184" s="4" t="str">
        <f>HYPERLINK("http://141.218.60.56/~jnz1568/getInfo.php?workbook=02_01.xlsx&amp;sheet=A0&amp;row=184&amp;col=7&amp;number==&amp;sourceID=11","=")</f>
        <v>=</v>
      </c>
      <c r="H184" s="4" t="str">
        <f>HYPERLINK("http://141.218.60.56/~jnz1568/getInfo.php?workbook=02_01.xlsx&amp;sheet=A0&amp;row=184&amp;col=8&amp;number=&amp;sourceID=11","")</f>
        <v/>
      </c>
      <c r="I184" s="4" t="str">
        <f>HYPERLINK("http://141.218.60.56/~jnz1568/getInfo.php?workbook=02_01.xlsx&amp;sheet=A0&amp;row=184&amp;col=9&amp;number=0&amp;sourceID=11","0")</f>
        <v>0</v>
      </c>
      <c r="J184" s="4" t="str">
        <f>HYPERLINK("http://141.218.60.56/~jnz1568/getInfo.php?workbook=02_01.xlsx&amp;sheet=A0&amp;row=184&amp;col=10&amp;number=&amp;sourceID=11","")</f>
        <v/>
      </c>
      <c r="K184" s="4" t="str">
        <f>HYPERLINK("http://141.218.60.56/~jnz1568/getInfo.php?workbook=02_01.xlsx&amp;sheet=A0&amp;row=184&amp;col=11&amp;number=4.7e-13&amp;sourceID=11","4.7e-13")</f>
        <v>4.7e-13</v>
      </c>
      <c r="L184" s="4" t="str">
        <f>HYPERLINK("http://141.218.60.56/~jnz1568/getInfo.php?workbook=02_01.xlsx&amp;sheet=A0&amp;row=184&amp;col=12&amp;number=&amp;sourceID=11","")</f>
        <v/>
      </c>
      <c r="M184" s="4" t="str">
        <f>HYPERLINK("http://141.218.60.56/~jnz1568/getInfo.php?workbook=02_01.xlsx&amp;sheet=A0&amp;row=184&amp;col=13&amp;number=&amp;sourceID=11","")</f>
        <v/>
      </c>
      <c r="N184" s="4" t="str">
        <f>HYPERLINK("http://141.218.60.56/~jnz1568/getInfo.php?workbook=02_01.xlsx&amp;sheet=A0&amp;row=184&amp;col=14&amp;number=4.71e-13&amp;sourceID=12","4.71e-13")</f>
        <v>4.71e-13</v>
      </c>
      <c r="O184" s="4" t="str">
        <f>HYPERLINK("http://141.218.60.56/~jnz1568/getInfo.php?workbook=02_01.xlsx&amp;sheet=A0&amp;row=184&amp;col=15&amp;number=&amp;sourceID=12","")</f>
        <v/>
      </c>
      <c r="P184" s="4" t="str">
        <f>HYPERLINK("http://141.218.60.56/~jnz1568/getInfo.php?workbook=02_01.xlsx&amp;sheet=A0&amp;row=184&amp;col=16&amp;number=0&amp;sourceID=12","0")</f>
        <v>0</v>
      </c>
      <c r="Q184" s="4" t="str">
        <f>HYPERLINK("http://141.218.60.56/~jnz1568/getInfo.php?workbook=02_01.xlsx&amp;sheet=A0&amp;row=184&amp;col=17&amp;number=&amp;sourceID=12","")</f>
        <v/>
      </c>
      <c r="R184" s="4" t="str">
        <f>HYPERLINK("http://141.218.60.56/~jnz1568/getInfo.php?workbook=02_01.xlsx&amp;sheet=A0&amp;row=184&amp;col=18&amp;number=4.71e-13&amp;sourceID=12","4.71e-13")</f>
        <v>4.71e-13</v>
      </c>
      <c r="S184" s="4" t="str">
        <f>HYPERLINK("http://141.218.60.56/~jnz1568/getInfo.php?workbook=02_01.xlsx&amp;sheet=A0&amp;row=184&amp;col=19&amp;number=&amp;sourceID=12","")</f>
        <v/>
      </c>
      <c r="T184" s="4" t="str">
        <f>HYPERLINK("http://141.218.60.56/~jnz1568/getInfo.php?workbook=02_01.xlsx&amp;sheet=A0&amp;row=184&amp;col=20&amp;number=&amp;sourceID=12","")</f>
        <v/>
      </c>
      <c r="U184" s="4" t="str">
        <f>HYPERLINK("http://141.218.60.56/~jnz1568/getInfo.php?workbook=02_01.xlsx&amp;sheet=A0&amp;row=184&amp;col=21&amp;number=&amp;sourceID=13","")</f>
        <v/>
      </c>
      <c r="V184" s="4" t="str">
        <f>HYPERLINK("http://141.218.60.56/~jnz1568/getInfo.php?workbook=02_01.xlsx&amp;sheet=A0&amp;row=184&amp;col=22&amp;number=&amp;sourceID=13","")</f>
        <v/>
      </c>
      <c r="W184" s="4" t="str">
        <f>HYPERLINK("http://141.218.60.56/~jnz1568/getInfo.php?workbook=02_01.xlsx&amp;sheet=A0&amp;row=184&amp;col=23&amp;number=&amp;sourceID=13","")</f>
        <v/>
      </c>
      <c r="X184" s="4" t="str">
        <f>HYPERLINK("http://141.218.60.56/~jnz1568/getInfo.php?workbook=02_01.xlsx&amp;sheet=A0&amp;row=184&amp;col=24&amp;number=&amp;sourceID=13","")</f>
        <v/>
      </c>
      <c r="Y184" s="4" t="str">
        <f>HYPERLINK("http://141.218.60.56/~jnz1568/getInfo.php?workbook=02_01.xlsx&amp;sheet=A0&amp;row=184&amp;col=25&amp;number=&amp;sourceID=13","")</f>
        <v/>
      </c>
      <c r="Z184" s="4" t="str">
        <f>HYPERLINK("http://141.218.60.56/~jnz1568/getInfo.php?workbook=02_01.xlsx&amp;sheet=A0&amp;row=184&amp;col=26&amp;number=&amp;sourceID=13","")</f>
        <v/>
      </c>
      <c r="AA184" s="4" t="str">
        <f>HYPERLINK("http://141.218.60.56/~jnz1568/getInfo.php?workbook=02_01.xlsx&amp;sheet=A0&amp;row=184&amp;col=27&amp;number=&amp;sourceID=20","")</f>
        <v/>
      </c>
    </row>
    <row r="185" spans="1:27">
      <c r="A185" s="3">
        <v>2</v>
      </c>
      <c r="B185" s="3">
        <v>1</v>
      </c>
      <c r="C185" s="3">
        <v>20</v>
      </c>
      <c r="D185" s="3">
        <v>18</v>
      </c>
      <c r="E185" s="3">
        <f>((1/(INDEX(E0!J$4:J$28,C185,1)-INDEX(E0!J$4:J$28,D185,1))))*100000000</f>
        <v>0</v>
      </c>
      <c r="F185" s="4" t="str">
        <f>HYPERLINK("http://141.218.60.56/~jnz1568/getInfo.php?workbook=02_01.xlsx&amp;sheet=A0&amp;row=185&amp;col=6&amp;number=&amp;sourceID=18","")</f>
        <v/>
      </c>
      <c r="G185" s="4" t="str">
        <f>HYPERLINK("http://141.218.60.56/~jnz1568/getInfo.php?workbook=02_01.xlsx&amp;sheet=A0&amp;row=185&amp;col=7&amp;number==&amp;sourceID=11","=")</f>
        <v>=</v>
      </c>
      <c r="H185" s="4" t="str">
        <f>HYPERLINK("http://141.218.60.56/~jnz1568/getInfo.php?workbook=02_01.xlsx&amp;sheet=A0&amp;row=185&amp;col=8&amp;number=1.1926e-05&amp;sourceID=11","1.1926e-05")</f>
        <v>1.1926e-05</v>
      </c>
      <c r="I185" s="4" t="str">
        <f>HYPERLINK("http://141.218.60.56/~jnz1568/getInfo.php?workbook=02_01.xlsx&amp;sheet=A0&amp;row=185&amp;col=9&amp;number=&amp;sourceID=11","")</f>
        <v/>
      </c>
      <c r="J185" s="4" t="str">
        <f>HYPERLINK("http://141.218.60.56/~jnz1568/getInfo.php?workbook=02_01.xlsx&amp;sheet=A0&amp;row=185&amp;col=10&amp;number=&amp;sourceID=11","")</f>
        <v/>
      </c>
      <c r="K185" s="4" t="str">
        <f>HYPERLINK("http://141.218.60.56/~jnz1568/getInfo.php?workbook=02_01.xlsx&amp;sheet=A0&amp;row=185&amp;col=11&amp;number=&amp;sourceID=11","")</f>
        <v/>
      </c>
      <c r="L185" s="4" t="str">
        <f>HYPERLINK("http://141.218.60.56/~jnz1568/getInfo.php?workbook=02_01.xlsx&amp;sheet=A0&amp;row=185&amp;col=12&amp;number=0&amp;sourceID=11","0")</f>
        <v>0</v>
      </c>
      <c r="M185" s="4" t="str">
        <f>HYPERLINK("http://141.218.60.56/~jnz1568/getInfo.php?workbook=02_01.xlsx&amp;sheet=A0&amp;row=185&amp;col=13&amp;number=&amp;sourceID=11","")</f>
        <v/>
      </c>
      <c r="N185" s="4" t="str">
        <f>HYPERLINK("http://141.218.60.56/~jnz1568/getInfo.php?workbook=02_01.xlsx&amp;sheet=A0&amp;row=185&amp;col=14&amp;number=1.1942e-05&amp;sourceID=12","1.1942e-05")</f>
        <v>1.1942e-05</v>
      </c>
      <c r="O185" s="4" t="str">
        <f>HYPERLINK("http://141.218.60.56/~jnz1568/getInfo.php?workbook=02_01.xlsx&amp;sheet=A0&amp;row=185&amp;col=15&amp;number=1.1942e-05&amp;sourceID=12","1.1942e-05")</f>
        <v>1.1942e-05</v>
      </c>
      <c r="P185" s="4" t="str">
        <f>HYPERLINK("http://141.218.60.56/~jnz1568/getInfo.php?workbook=02_01.xlsx&amp;sheet=A0&amp;row=185&amp;col=16&amp;number=&amp;sourceID=12","")</f>
        <v/>
      </c>
      <c r="Q185" s="4" t="str">
        <f>HYPERLINK("http://141.218.60.56/~jnz1568/getInfo.php?workbook=02_01.xlsx&amp;sheet=A0&amp;row=185&amp;col=17&amp;number=&amp;sourceID=12","")</f>
        <v/>
      </c>
      <c r="R185" s="4" t="str">
        <f>HYPERLINK("http://141.218.60.56/~jnz1568/getInfo.php?workbook=02_01.xlsx&amp;sheet=A0&amp;row=185&amp;col=18&amp;number=&amp;sourceID=12","")</f>
        <v/>
      </c>
      <c r="S185" s="4" t="str">
        <f>HYPERLINK("http://141.218.60.56/~jnz1568/getInfo.php?workbook=02_01.xlsx&amp;sheet=A0&amp;row=185&amp;col=19&amp;number=0&amp;sourceID=12","0")</f>
        <v>0</v>
      </c>
      <c r="T185" s="4" t="str">
        <f>HYPERLINK("http://141.218.60.56/~jnz1568/getInfo.php?workbook=02_01.xlsx&amp;sheet=A0&amp;row=185&amp;col=20&amp;number=&amp;sourceID=12","")</f>
        <v/>
      </c>
      <c r="U185" s="4" t="str">
        <f>HYPERLINK("http://141.218.60.56/~jnz1568/getInfo.php?workbook=02_01.xlsx&amp;sheet=A0&amp;row=185&amp;col=21&amp;number=&amp;sourceID=13","")</f>
        <v/>
      </c>
      <c r="V185" s="4" t="str">
        <f>HYPERLINK("http://141.218.60.56/~jnz1568/getInfo.php?workbook=02_01.xlsx&amp;sheet=A0&amp;row=185&amp;col=22&amp;number=&amp;sourceID=13","")</f>
        <v/>
      </c>
      <c r="W185" s="4" t="str">
        <f>HYPERLINK("http://141.218.60.56/~jnz1568/getInfo.php?workbook=02_01.xlsx&amp;sheet=A0&amp;row=185&amp;col=23&amp;number=&amp;sourceID=13","")</f>
        <v/>
      </c>
      <c r="X185" s="4" t="str">
        <f>HYPERLINK("http://141.218.60.56/~jnz1568/getInfo.php?workbook=02_01.xlsx&amp;sheet=A0&amp;row=185&amp;col=24&amp;number=&amp;sourceID=13","")</f>
        <v/>
      </c>
      <c r="Y185" s="4" t="str">
        <f>HYPERLINK("http://141.218.60.56/~jnz1568/getInfo.php?workbook=02_01.xlsx&amp;sheet=A0&amp;row=185&amp;col=25&amp;number=&amp;sourceID=13","")</f>
        <v/>
      </c>
      <c r="Z185" s="4" t="str">
        <f>HYPERLINK("http://141.218.60.56/~jnz1568/getInfo.php?workbook=02_01.xlsx&amp;sheet=A0&amp;row=185&amp;col=26&amp;number=&amp;sourceID=13","")</f>
        <v/>
      </c>
      <c r="AA185" s="4" t="str">
        <f>HYPERLINK("http://141.218.60.56/~jnz1568/getInfo.php?workbook=02_01.xlsx&amp;sheet=A0&amp;row=185&amp;col=27&amp;number=&amp;sourceID=20","")</f>
        <v/>
      </c>
    </row>
    <row r="186" spans="1:27">
      <c r="A186" s="3">
        <v>2</v>
      </c>
      <c r="B186" s="3">
        <v>1</v>
      </c>
      <c r="C186" s="3">
        <v>21</v>
      </c>
      <c r="D186" s="3">
        <v>1</v>
      </c>
      <c r="E186" s="3">
        <f>((1/(INDEX(E0!J$4:J$28,C186,1)-INDEX(E0!J$4:J$28,D186,1))))*100000000</f>
        <v>0</v>
      </c>
      <c r="F186" s="4" t="str">
        <f>HYPERLINK("http://141.218.60.56/~jnz1568/getInfo.php?workbook=02_01.xlsx&amp;sheet=A0&amp;row=186&amp;col=6&amp;number=&amp;sourceID=18","")</f>
        <v/>
      </c>
      <c r="G186" s="4" t="str">
        <f>HYPERLINK("http://141.218.60.56/~jnz1568/getInfo.php?workbook=02_01.xlsx&amp;sheet=A0&amp;row=186&amp;col=7&amp;number==&amp;sourceID=11","=")</f>
        <v>=</v>
      </c>
      <c r="H186" s="4" t="str">
        <f>HYPERLINK("http://141.218.60.56/~jnz1568/getInfo.php?workbook=02_01.xlsx&amp;sheet=A0&amp;row=186&amp;col=8&amp;number=&amp;sourceID=11","")</f>
        <v/>
      </c>
      <c r="I186" s="4" t="str">
        <f>HYPERLINK("http://141.218.60.56/~jnz1568/getInfo.php?workbook=02_01.xlsx&amp;sheet=A0&amp;row=186&amp;col=9&amp;number=&amp;sourceID=11","")</f>
        <v/>
      </c>
      <c r="J186" s="4" t="str">
        <f>HYPERLINK("http://141.218.60.56/~jnz1568/getInfo.php?workbook=02_01.xlsx&amp;sheet=A0&amp;row=186&amp;col=10&amp;number=0.065726&amp;sourceID=11","0.065726")</f>
        <v>0.065726</v>
      </c>
      <c r="K186" s="4" t="str">
        <f>HYPERLINK("http://141.218.60.56/~jnz1568/getInfo.php?workbook=02_01.xlsx&amp;sheet=A0&amp;row=186&amp;col=11&amp;number=&amp;sourceID=11","")</f>
        <v/>
      </c>
      <c r="L186" s="4" t="str">
        <f>HYPERLINK("http://141.218.60.56/~jnz1568/getInfo.php?workbook=02_01.xlsx&amp;sheet=A0&amp;row=186&amp;col=12&amp;number=5.825e-12&amp;sourceID=11","5.825e-12")</f>
        <v>5.825e-12</v>
      </c>
      <c r="M186" s="4" t="str">
        <f>HYPERLINK("http://141.218.60.56/~jnz1568/getInfo.php?workbook=02_01.xlsx&amp;sheet=A0&amp;row=186&amp;col=13&amp;number=&amp;sourceID=11","")</f>
        <v/>
      </c>
      <c r="N186" s="4" t="str">
        <f>HYPERLINK("http://141.218.60.56/~jnz1568/getInfo.php?workbook=02_01.xlsx&amp;sheet=A0&amp;row=186&amp;col=14&amp;number=0.065736&amp;sourceID=12","0.065736")</f>
        <v>0.065736</v>
      </c>
      <c r="O186" s="4" t="str">
        <f>HYPERLINK("http://141.218.60.56/~jnz1568/getInfo.php?workbook=02_01.xlsx&amp;sheet=A0&amp;row=186&amp;col=15&amp;number=&amp;sourceID=12","")</f>
        <v/>
      </c>
      <c r="P186" s="4" t="str">
        <f>HYPERLINK("http://141.218.60.56/~jnz1568/getInfo.php?workbook=02_01.xlsx&amp;sheet=A0&amp;row=186&amp;col=16&amp;number=&amp;sourceID=12","")</f>
        <v/>
      </c>
      <c r="Q186" s="4" t="str">
        <f>HYPERLINK("http://141.218.60.56/~jnz1568/getInfo.php?workbook=02_01.xlsx&amp;sheet=A0&amp;row=186&amp;col=17&amp;number=0.065736&amp;sourceID=12","0.065736")</f>
        <v>0.065736</v>
      </c>
      <c r="R186" s="4" t="str">
        <f>HYPERLINK("http://141.218.60.56/~jnz1568/getInfo.php?workbook=02_01.xlsx&amp;sheet=A0&amp;row=186&amp;col=18&amp;number=&amp;sourceID=12","")</f>
        <v/>
      </c>
      <c r="S186" s="4" t="str">
        <f>HYPERLINK("http://141.218.60.56/~jnz1568/getInfo.php?workbook=02_01.xlsx&amp;sheet=A0&amp;row=186&amp;col=19&amp;number=7.091e-12&amp;sourceID=12","7.091e-12")</f>
        <v>7.091e-12</v>
      </c>
      <c r="T186" s="4" t="str">
        <f>HYPERLINK("http://141.218.60.56/~jnz1568/getInfo.php?workbook=02_01.xlsx&amp;sheet=A0&amp;row=186&amp;col=20&amp;number=&amp;sourceID=12","")</f>
        <v/>
      </c>
      <c r="U186" s="4" t="str">
        <f>HYPERLINK("http://141.218.60.56/~jnz1568/getInfo.php?workbook=02_01.xlsx&amp;sheet=A0&amp;row=186&amp;col=21&amp;number=&amp;sourceID=13","")</f>
        <v/>
      </c>
      <c r="V186" s="4" t="str">
        <f>HYPERLINK("http://141.218.60.56/~jnz1568/getInfo.php?workbook=02_01.xlsx&amp;sheet=A0&amp;row=186&amp;col=22&amp;number=&amp;sourceID=13","")</f>
        <v/>
      </c>
      <c r="W186" s="4" t="str">
        <f>HYPERLINK("http://141.218.60.56/~jnz1568/getInfo.php?workbook=02_01.xlsx&amp;sheet=A0&amp;row=186&amp;col=23&amp;number=&amp;sourceID=13","")</f>
        <v/>
      </c>
      <c r="X186" s="4" t="str">
        <f>HYPERLINK("http://141.218.60.56/~jnz1568/getInfo.php?workbook=02_01.xlsx&amp;sheet=A0&amp;row=186&amp;col=24&amp;number=&amp;sourceID=13","")</f>
        <v/>
      </c>
      <c r="Y186" s="4" t="str">
        <f>HYPERLINK("http://141.218.60.56/~jnz1568/getInfo.php?workbook=02_01.xlsx&amp;sheet=A0&amp;row=186&amp;col=25&amp;number=&amp;sourceID=13","")</f>
        <v/>
      </c>
      <c r="Z186" s="4" t="str">
        <f>HYPERLINK("http://141.218.60.56/~jnz1568/getInfo.php?workbook=02_01.xlsx&amp;sheet=A0&amp;row=186&amp;col=26&amp;number=&amp;sourceID=13","")</f>
        <v/>
      </c>
      <c r="AA186" s="4" t="str">
        <f>HYPERLINK("http://141.218.60.56/~jnz1568/getInfo.php?workbook=02_01.xlsx&amp;sheet=A0&amp;row=186&amp;col=27&amp;number=&amp;sourceID=20","")</f>
        <v/>
      </c>
    </row>
    <row r="187" spans="1:27">
      <c r="A187" s="3">
        <v>2</v>
      </c>
      <c r="B187" s="3">
        <v>1</v>
      </c>
      <c r="C187" s="3">
        <v>21</v>
      </c>
      <c r="D187" s="3">
        <v>2</v>
      </c>
      <c r="E187" s="3">
        <f>((1/(INDEX(E0!J$4:J$28,C187,1)-INDEX(E0!J$4:J$28,D187,1))))*100000000</f>
        <v>0</v>
      </c>
      <c r="F187" s="4" t="str">
        <f>HYPERLINK("http://141.218.60.56/~jnz1568/getInfo.php?workbook=02_01.xlsx&amp;sheet=A0&amp;row=187&amp;col=6&amp;number=&amp;sourceID=18","")</f>
        <v/>
      </c>
      <c r="G187" s="4" t="str">
        <f>HYPERLINK("http://141.218.60.56/~jnz1568/getInfo.php?workbook=02_01.xlsx&amp;sheet=A0&amp;row=187&amp;col=7&amp;number==&amp;sourceID=11","=")</f>
        <v>=</v>
      </c>
      <c r="H187" s="4" t="str">
        <f>HYPERLINK("http://141.218.60.56/~jnz1568/getInfo.php?workbook=02_01.xlsx&amp;sheet=A0&amp;row=187&amp;col=8&amp;number=&amp;sourceID=11","")</f>
        <v/>
      </c>
      <c r="I187" s="4" t="str">
        <f>HYPERLINK("http://141.218.60.56/~jnz1568/getInfo.php?workbook=02_01.xlsx&amp;sheet=A0&amp;row=187&amp;col=9&amp;number=2056.7&amp;sourceID=11","2056.7")</f>
        <v>2056.7</v>
      </c>
      <c r="J187" s="4" t="str">
        <f>HYPERLINK("http://141.218.60.56/~jnz1568/getInfo.php?workbook=02_01.xlsx&amp;sheet=A0&amp;row=187&amp;col=10&amp;number=&amp;sourceID=11","")</f>
        <v/>
      </c>
      <c r="K187" s="4" t="str">
        <f>HYPERLINK("http://141.218.60.56/~jnz1568/getInfo.php?workbook=02_01.xlsx&amp;sheet=A0&amp;row=187&amp;col=11&amp;number=&amp;sourceID=11","")</f>
        <v/>
      </c>
      <c r="L187" s="4" t="str">
        <f>HYPERLINK("http://141.218.60.56/~jnz1568/getInfo.php?workbook=02_01.xlsx&amp;sheet=A0&amp;row=187&amp;col=12&amp;number=&amp;sourceID=11","")</f>
        <v/>
      </c>
      <c r="M187" s="4" t="str">
        <f>HYPERLINK("http://141.218.60.56/~jnz1568/getInfo.php?workbook=02_01.xlsx&amp;sheet=A0&amp;row=187&amp;col=13&amp;number=4.6663e-09&amp;sourceID=11","4.6663e-09")</f>
        <v>4.6663e-09</v>
      </c>
      <c r="N187" s="4" t="str">
        <f>HYPERLINK("http://141.218.60.56/~jnz1568/getInfo.php?workbook=02_01.xlsx&amp;sheet=A0&amp;row=187&amp;col=14&amp;number=2057&amp;sourceID=12","2057")</f>
        <v>2057</v>
      </c>
      <c r="O187" s="4" t="str">
        <f>HYPERLINK("http://141.218.60.56/~jnz1568/getInfo.php?workbook=02_01.xlsx&amp;sheet=A0&amp;row=187&amp;col=15&amp;number=&amp;sourceID=12","")</f>
        <v/>
      </c>
      <c r="P187" s="4" t="str">
        <f>HYPERLINK("http://141.218.60.56/~jnz1568/getInfo.php?workbook=02_01.xlsx&amp;sheet=A0&amp;row=187&amp;col=16&amp;number=2057&amp;sourceID=12","2057")</f>
        <v>2057</v>
      </c>
      <c r="Q187" s="4" t="str">
        <f>HYPERLINK("http://141.218.60.56/~jnz1568/getInfo.php?workbook=02_01.xlsx&amp;sheet=A0&amp;row=187&amp;col=17&amp;number=&amp;sourceID=12","")</f>
        <v/>
      </c>
      <c r="R187" s="4" t="str">
        <f>HYPERLINK("http://141.218.60.56/~jnz1568/getInfo.php?workbook=02_01.xlsx&amp;sheet=A0&amp;row=187&amp;col=18&amp;number=&amp;sourceID=12","")</f>
        <v/>
      </c>
      <c r="S187" s="4" t="str">
        <f>HYPERLINK("http://141.218.60.56/~jnz1568/getInfo.php?workbook=02_01.xlsx&amp;sheet=A0&amp;row=187&amp;col=19&amp;number=&amp;sourceID=12","")</f>
        <v/>
      </c>
      <c r="T187" s="4" t="str">
        <f>HYPERLINK("http://141.218.60.56/~jnz1568/getInfo.php?workbook=02_01.xlsx&amp;sheet=A0&amp;row=187&amp;col=20&amp;number=4.6669e-09&amp;sourceID=12","4.6669e-09")</f>
        <v>4.6669e-09</v>
      </c>
      <c r="U187" s="4" t="str">
        <f>HYPERLINK("http://141.218.60.56/~jnz1568/getInfo.php?workbook=02_01.xlsx&amp;sheet=A0&amp;row=187&amp;col=21&amp;number=&amp;sourceID=13","")</f>
        <v/>
      </c>
      <c r="V187" s="4" t="str">
        <f>HYPERLINK("http://141.218.60.56/~jnz1568/getInfo.php?workbook=02_01.xlsx&amp;sheet=A0&amp;row=187&amp;col=22&amp;number=&amp;sourceID=13","")</f>
        <v/>
      </c>
      <c r="W187" s="4" t="str">
        <f>HYPERLINK("http://141.218.60.56/~jnz1568/getInfo.php?workbook=02_01.xlsx&amp;sheet=A0&amp;row=187&amp;col=23&amp;number=&amp;sourceID=13","")</f>
        <v/>
      </c>
      <c r="X187" s="4" t="str">
        <f>HYPERLINK("http://141.218.60.56/~jnz1568/getInfo.php?workbook=02_01.xlsx&amp;sheet=A0&amp;row=187&amp;col=24&amp;number=&amp;sourceID=13","")</f>
        <v/>
      </c>
      <c r="Y187" s="4" t="str">
        <f>HYPERLINK("http://141.218.60.56/~jnz1568/getInfo.php?workbook=02_01.xlsx&amp;sheet=A0&amp;row=187&amp;col=25&amp;number=&amp;sourceID=13","")</f>
        <v/>
      </c>
      <c r="Z187" s="4" t="str">
        <f>HYPERLINK("http://141.218.60.56/~jnz1568/getInfo.php?workbook=02_01.xlsx&amp;sheet=A0&amp;row=187&amp;col=26&amp;number=&amp;sourceID=13","")</f>
        <v/>
      </c>
      <c r="AA187" s="4" t="str">
        <f>HYPERLINK("http://141.218.60.56/~jnz1568/getInfo.php?workbook=02_01.xlsx&amp;sheet=A0&amp;row=187&amp;col=27&amp;number=&amp;sourceID=20","")</f>
        <v/>
      </c>
    </row>
    <row r="188" spans="1:27">
      <c r="A188" s="3">
        <v>2</v>
      </c>
      <c r="B188" s="3">
        <v>1</v>
      </c>
      <c r="C188" s="3">
        <v>21</v>
      </c>
      <c r="D188" s="3">
        <v>3</v>
      </c>
      <c r="E188" s="3">
        <f>((1/(INDEX(E0!J$4:J$28,C188,1)-INDEX(E0!J$4:J$28,D188,1))))*100000000</f>
        <v>0</v>
      </c>
      <c r="F188" s="4" t="str">
        <f>HYPERLINK("http://141.218.60.56/~jnz1568/getInfo.php?workbook=02_01.xlsx&amp;sheet=A0&amp;row=188&amp;col=6&amp;number=&amp;sourceID=18","")</f>
        <v/>
      </c>
      <c r="G188" s="4" t="str">
        <f>HYPERLINK("http://141.218.60.56/~jnz1568/getInfo.php?workbook=02_01.xlsx&amp;sheet=A0&amp;row=188&amp;col=7&amp;number==&amp;sourceID=11","=")</f>
        <v>=</v>
      </c>
      <c r="H188" s="4" t="str">
        <f>HYPERLINK("http://141.218.60.56/~jnz1568/getInfo.php?workbook=02_01.xlsx&amp;sheet=A0&amp;row=188&amp;col=8&amp;number=&amp;sourceID=11","")</f>
        <v/>
      </c>
      <c r="I188" s="4" t="str">
        <f>HYPERLINK("http://141.218.60.56/~jnz1568/getInfo.php?workbook=02_01.xlsx&amp;sheet=A0&amp;row=188&amp;col=9&amp;number=&amp;sourceID=11","")</f>
        <v/>
      </c>
      <c r="J188" s="4" t="str">
        <f>HYPERLINK("http://141.218.60.56/~jnz1568/getInfo.php?workbook=02_01.xlsx&amp;sheet=A0&amp;row=188&amp;col=10&amp;number=0.018049&amp;sourceID=11","0.018049")</f>
        <v>0.018049</v>
      </c>
      <c r="K188" s="4" t="str">
        <f>HYPERLINK("http://141.218.60.56/~jnz1568/getInfo.php?workbook=02_01.xlsx&amp;sheet=A0&amp;row=188&amp;col=11&amp;number=&amp;sourceID=11","")</f>
        <v/>
      </c>
      <c r="L188" s="4" t="str">
        <f>HYPERLINK("http://141.218.60.56/~jnz1568/getInfo.php?workbook=02_01.xlsx&amp;sheet=A0&amp;row=188&amp;col=12&amp;number=2.95e-13&amp;sourceID=11","2.95e-13")</f>
        <v>2.95e-13</v>
      </c>
      <c r="M188" s="4" t="str">
        <f>HYPERLINK("http://141.218.60.56/~jnz1568/getInfo.php?workbook=02_01.xlsx&amp;sheet=A0&amp;row=188&amp;col=13&amp;number=&amp;sourceID=11","")</f>
        <v/>
      </c>
      <c r="N188" s="4" t="str">
        <f>HYPERLINK("http://141.218.60.56/~jnz1568/getInfo.php?workbook=02_01.xlsx&amp;sheet=A0&amp;row=188&amp;col=14&amp;number=0.018051&amp;sourceID=12","0.018051")</f>
        <v>0.018051</v>
      </c>
      <c r="O188" s="4" t="str">
        <f>HYPERLINK("http://141.218.60.56/~jnz1568/getInfo.php?workbook=02_01.xlsx&amp;sheet=A0&amp;row=188&amp;col=15&amp;number=&amp;sourceID=12","")</f>
        <v/>
      </c>
      <c r="P188" s="4" t="str">
        <f>HYPERLINK("http://141.218.60.56/~jnz1568/getInfo.php?workbook=02_01.xlsx&amp;sheet=A0&amp;row=188&amp;col=16&amp;number=&amp;sourceID=12","")</f>
        <v/>
      </c>
      <c r="Q188" s="4" t="str">
        <f>HYPERLINK("http://141.218.60.56/~jnz1568/getInfo.php?workbook=02_01.xlsx&amp;sheet=A0&amp;row=188&amp;col=17&amp;number=0.018051&amp;sourceID=12","0.018051")</f>
        <v>0.018051</v>
      </c>
      <c r="R188" s="4" t="str">
        <f>HYPERLINK("http://141.218.60.56/~jnz1568/getInfo.php?workbook=02_01.xlsx&amp;sheet=A0&amp;row=188&amp;col=18&amp;number=&amp;sourceID=12","")</f>
        <v/>
      </c>
      <c r="S188" s="4" t="str">
        <f>HYPERLINK("http://141.218.60.56/~jnz1568/getInfo.php?workbook=02_01.xlsx&amp;sheet=A0&amp;row=188&amp;col=19&amp;number=3.21e-13&amp;sourceID=12","3.21e-13")</f>
        <v>3.21e-13</v>
      </c>
      <c r="T188" s="4" t="str">
        <f>HYPERLINK("http://141.218.60.56/~jnz1568/getInfo.php?workbook=02_01.xlsx&amp;sheet=A0&amp;row=188&amp;col=20&amp;number=&amp;sourceID=12","")</f>
        <v/>
      </c>
      <c r="U188" s="4" t="str">
        <f>HYPERLINK("http://141.218.60.56/~jnz1568/getInfo.php?workbook=02_01.xlsx&amp;sheet=A0&amp;row=188&amp;col=21&amp;number=&amp;sourceID=13","")</f>
        <v/>
      </c>
      <c r="V188" s="4" t="str">
        <f>HYPERLINK("http://141.218.60.56/~jnz1568/getInfo.php?workbook=02_01.xlsx&amp;sheet=A0&amp;row=188&amp;col=22&amp;number=&amp;sourceID=13","")</f>
        <v/>
      </c>
      <c r="W188" s="4" t="str">
        <f>HYPERLINK("http://141.218.60.56/~jnz1568/getInfo.php?workbook=02_01.xlsx&amp;sheet=A0&amp;row=188&amp;col=23&amp;number=&amp;sourceID=13","")</f>
        <v/>
      </c>
      <c r="X188" s="4" t="str">
        <f>HYPERLINK("http://141.218.60.56/~jnz1568/getInfo.php?workbook=02_01.xlsx&amp;sheet=A0&amp;row=188&amp;col=24&amp;number=&amp;sourceID=13","")</f>
        <v/>
      </c>
      <c r="Y188" s="4" t="str">
        <f>HYPERLINK("http://141.218.60.56/~jnz1568/getInfo.php?workbook=02_01.xlsx&amp;sheet=A0&amp;row=188&amp;col=25&amp;number=&amp;sourceID=13","")</f>
        <v/>
      </c>
      <c r="Z188" s="4" t="str">
        <f>HYPERLINK("http://141.218.60.56/~jnz1568/getInfo.php?workbook=02_01.xlsx&amp;sheet=A0&amp;row=188&amp;col=26&amp;number=&amp;sourceID=13","")</f>
        <v/>
      </c>
      <c r="AA188" s="4" t="str">
        <f>HYPERLINK("http://141.218.60.56/~jnz1568/getInfo.php?workbook=02_01.xlsx&amp;sheet=A0&amp;row=188&amp;col=27&amp;number=&amp;sourceID=20","")</f>
        <v/>
      </c>
    </row>
    <row r="189" spans="1:27">
      <c r="A189" s="3">
        <v>2</v>
      </c>
      <c r="B189" s="3">
        <v>1</v>
      </c>
      <c r="C189" s="3">
        <v>21</v>
      </c>
      <c r="D189" s="3">
        <v>4</v>
      </c>
      <c r="E189" s="3">
        <f>((1/(INDEX(E0!J$4:J$28,C189,1)-INDEX(E0!J$4:J$28,D189,1))))*100000000</f>
        <v>0</v>
      </c>
      <c r="F189" s="4" t="str">
        <f>HYPERLINK("http://141.218.60.56/~jnz1568/getInfo.php?workbook=02_01.xlsx&amp;sheet=A0&amp;row=189&amp;col=6&amp;number=&amp;sourceID=18","")</f>
        <v/>
      </c>
      <c r="G189" s="4" t="str">
        <f>HYPERLINK("http://141.218.60.56/~jnz1568/getInfo.php?workbook=02_01.xlsx&amp;sheet=A0&amp;row=189&amp;col=7&amp;number==&amp;sourceID=11","=")</f>
        <v>=</v>
      </c>
      <c r="H189" s="4" t="str">
        <f>HYPERLINK("http://141.218.60.56/~jnz1568/getInfo.php?workbook=02_01.xlsx&amp;sheet=A0&amp;row=189&amp;col=8&amp;number=&amp;sourceID=11","")</f>
        <v/>
      </c>
      <c r="I189" s="4" t="str">
        <f>HYPERLINK("http://141.218.60.56/~jnz1568/getInfo.php?workbook=02_01.xlsx&amp;sheet=A0&amp;row=189&amp;col=9&amp;number=587.61&amp;sourceID=11","587.61")</f>
        <v>587.61</v>
      </c>
      <c r="J189" s="4" t="str">
        <f>HYPERLINK("http://141.218.60.56/~jnz1568/getInfo.php?workbook=02_01.xlsx&amp;sheet=A0&amp;row=189&amp;col=10&amp;number=&amp;sourceID=11","")</f>
        <v/>
      </c>
      <c r="K189" s="4" t="str">
        <f>HYPERLINK("http://141.218.60.56/~jnz1568/getInfo.php?workbook=02_01.xlsx&amp;sheet=A0&amp;row=189&amp;col=11&amp;number=3.9429e-08&amp;sourceID=11","3.9429e-08")</f>
        <v>3.9429e-08</v>
      </c>
      <c r="L189" s="4" t="str">
        <f>HYPERLINK("http://141.218.60.56/~jnz1568/getInfo.php?workbook=02_01.xlsx&amp;sheet=A0&amp;row=189&amp;col=12&amp;number=&amp;sourceID=11","")</f>
        <v/>
      </c>
      <c r="M189" s="4" t="str">
        <f>HYPERLINK("http://141.218.60.56/~jnz1568/getInfo.php?workbook=02_01.xlsx&amp;sheet=A0&amp;row=189&amp;col=13&amp;number=9.3316e-10&amp;sourceID=11","9.3316e-10")</f>
        <v>9.3316e-10</v>
      </c>
      <c r="N189" s="4" t="str">
        <f>HYPERLINK("http://141.218.60.56/~jnz1568/getInfo.php?workbook=02_01.xlsx&amp;sheet=A0&amp;row=189&amp;col=14&amp;number=587.69&amp;sourceID=12","587.69")</f>
        <v>587.69</v>
      </c>
      <c r="O189" s="4" t="str">
        <f>HYPERLINK("http://141.218.60.56/~jnz1568/getInfo.php?workbook=02_01.xlsx&amp;sheet=A0&amp;row=189&amp;col=15&amp;number=&amp;sourceID=12","")</f>
        <v/>
      </c>
      <c r="P189" s="4" t="str">
        <f>HYPERLINK("http://141.218.60.56/~jnz1568/getInfo.php?workbook=02_01.xlsx&amp;sheet=A0&amp;row=189&amp;col=16&amp;number=587.69&amp;sourceID=12","587.69")</f>
        <v>587.69</v>
      </c>
      <c r="Q189" s="4" t="str">
        <f>HYPERLINK("http://141.218.60.56/~jnz1568/getInfo.php?workbook=02_01.xlsx&amp;sheet=A0&amp;row=189&amp;col=17&amp;number=&amp;sourceID=12","")</f>
        <v/>
      </c>
      <c r="R189" s="4" t="str">
        <f>HYPERLINK("http://141.218.60.56/~jnz1568/getInfo.php?workbook=02_01.xlsx&amp;sheet=A0&amp;row=189&amp;col=18&amp;number=4.0898e-08&amp;sourceID=12","4.0898e-08")</f>
        <v>4.0898e-08</v>
      </c>
      <c r="S189" s="4" t="str">
        <f>HYPERLINK("http://141.218.60.56/~jnz1568/getInfo.php?workbook=02_01.xlsx&amp;sheet=A0&amp;row=189&amp;col=19&amp;number=&amp;sourceID=12","")</f>
        <v/>
      </c>
      <c r="T189" s="4" t="str">
        <f>HYPERLINK("http://141.218.60.56/~jnz1568/getInfo.php?workbook=02_01.xlsx&amp;sheet=A0&amp;row=189&amp;col=20&amp;number=9.333e-10&amp;sourceID=12","9.333e-10")</f>
        <v>9.333e-10</v>
      </c>
      <c r="U189" s="4" t="str">
        <f>HYPERLINK("http://141.218.60.56/~jnz1568/getInfo.php?workbook=02_01.xlsx&amp;sheet=A0&amp;row=189&amp;col=21&amp;number=&amp;sourceID=13","")</f>
        <v/>
      </c>
      <c r="V189" s="4" t="str">
        <f>HYPERLINK("http://141.218.60.56/~jnz1568/getInfo.php?workbook=02_01.xlsx&amp;sheet=A0&amp;row=189&amp;col=22&amp;number=&amp;sourceID=13","")</f>
        <v/>
      </c>
      <c r="W189" s="4" t="str">
        <f>HYPERLINK("http://141.218.60.56/~jnz1568/getInfo.php?workbook=02_01.xlsx&amp;sheet=A0&amp;row=189&amp;col=23&amp;number=&amp;sourceID=13","")</f>
        <v/>
      </c>
      <c r="X189" s="4" t="str">
        <f>HYPERLINK("http://141.218.60.56/~jnz1568/getInfo.php?workbook=02_01.xlsx&amp;sheet=A0&amp;row=189&amp;col=24&amp;number=&amp;sourceID=13","")</f>
        <v/>
      </c>
      <c r="Y189" s="4" t="str">
        <f>HYPERLINK("http://141.218.60.56/~jnz1568/getInfo.php?workbook=02_01.xlsx&amp;sheet=A0&amp;row=189&amp;col=25&amp;number=&amp;sourceID=13","")</f>
        <v/>
      </c>
      <c r="Z189" s="4" t="str">
        <f>HYPERLINK("http://141.218.60.56/~jnz1568/getInfo.php?workbook=02_01.xlsx&amp;sheet=A0&amp;row=189&amp;col=26&amp;number=&amp;sourceID=13","")</f>
        <v/>
      </c>
      <c r="AA189" s="4" t="str">
        <f>HYPERLINK("http://141.218.60.56/~jnz1568/getInfo.php?workbook=02_01.xlsx&amp;sheet=A0&amp;row=189&amp;col=27&amp;number=&amp;sourceID=20","")</f>
        <v/>
      </c>
    </row>
    <row r="190" spans="1:27">
      <c r="A190" s="3">
        <v>2</v>
      </c>
      <c r="B190" s="3">
        <v>1</v>
      </c>
      <c r="C190" s="3">
        <v>21</v>
      </c>
      <c r="D190" s="3">
        <v>5</v>
      </c>
      <c r="E190" s="3">
        <f>((1/(INDEX(E0!J$4:J$28,C190,1)-INDEX(E0!J$4:J$28,D190,1))))*100000000</f>
        <v>0</v>
      </c>
      <c r="F190" s="4" t="str">
        <f>HYPERLINK("http://141.218.60.56/~jnz1568/getInfo.php?workbook=02_01.xlsx&amp;sheet=A0&amp;row=190&amp;col=6&amp;number=&amp;sourceID=18","")</f>
        <v/>
      </c>
      <c r="G190" s="4" t="str">
        <f>HYPERLINK("http://141.218.60.56/~jnz1568/getInfo.php?workbook=02_01.xlsx&amp;sheet=A0&amp;row=190&amp;col=7&amp;number==&amp;sourceID=11","=")</f>
        <v>=</v>
      </c>
      <c r="H190" s="4" t="str">
        <f>HYPERLINK("http://141.218.60.56/~jnz1568/getInfo.php?workbook=02_01.xlsx&amp;sheet=A0&amp;row=190&amp;col=8&amp;number=&amp;sourceID=11","")</f>
        <v/>
      </c>
      <c r="I190" s="4" t="str">
        <f>HYPERLINK("http://141.218.60.56/~jnz1568/getInfo.php?workbook=02_01.xlsx&amp;sheet=A0&amp;row=190&amp;col=9&amp;number=1.2905&amp;sourceID=11","1.2905")</f>
        <v>1.2905</v>
      </c>
      <c r="J190" s="4" t="str">
        <f>HYPERLINK("http://141.218.60.56/~jnz1568/getInfo.php?workbook=02_01.xlsx&amp;sheet=A0&amp;row=190&amp;col=10&amp;number=&amp;sourceID=11","")</f>
        <v/>
      </c>
      <c r="K190" s="4" t="str">
        <f>HYPERLINK("http://141.218.60.56/~jnz1568/getInfo.php?workbook=02_01.xlsx&amp;sheet=A0&amp;row=190&amp;col=11&amp;number=&amp;sourceID=11","")</f>
        <v/>
      </c>
      <c r="L190" s="4" t="str">
        <f>HYPERLINK("http://141.218.60.56/~jnz1568/getInfo.php?workbook=02_01.xlsx&amp;sheet=A0&amp;row=190&amp;col=12&amp;number=&amp;sourceID=11","")</f>
        <v/>
      </c>
      <c r="M190" s="4" t="str">
        <f>HYPERLINK("http://141.218.60.56/~jnz1568/getInfo.php?workbook=02_01.xlsx&amp;sheet=A0&amp;row=190&amp;col=13&amp;number=3.36e-13&amp;sourceID=11","3.36e-13")</f>
        <v>3.36e-13</v>
      </c>
      <c r="N190" s="4" t="str">
        <f>HYPERLINK("http://141.218.60.56/~jnz1568/getInfo.php?workbook=02_01.xlsx&amp;sheet=A0&amp;row=190&amp;col=14&amp;number=1.2907&amp;sourceID=12","1.2907")</f>
        <v>1.2907</v>
      </c>
      <c r="O190" s="4" t="str">
        <f>HYPERLINK("http://141.218.60.56/~jnz1568/getInfo.php?workbook=02_01.xlsx&amp;sheet=A0&amp;row=190&amp;col=15&amp;number=&amp;sourceID=12","")</f>
        <v/>
      </c>
      <c r="P190" s="4" t="str">
        <f>HYPERLINK("http://141.218.60.56/~jnz1568/getInfo.php?workbook=02_01.xlsx&amp;sheet=A0&amp;row=190&amp;col=16&amp;number=1.2907&amp;sourceID=12","1.2907")</f>
        <v>1.2907</v>
      </c>
      <c r="Q190" s="4" t="str">
        <f>HYPERLINK("http://141.218.60.56/~jnz1568/getInfo.php?workbook=02_01.xlsx&amp;sheet=A0&amp;row=190&amp;col=17&amp;number=&amp;sourceID=12","")</f>
        <v/>
      </c>
      <c r="R190" s="4" t="str">
        <f>HYPERLINK("http://141.218.60.56/~jnz1568/getInfo.php?workbook=02_01.xlsx&amp;sheet=A0&amp;row=190&amp;col=18&amp;number=&amp;sourceID=12","")</f>
        <v/>
      </c>
      <c r="S190" s="4" t="str">
        <f>HYPERLINK("http://141.218.60.56/~jnz1568/getInfo.php?workbook=02_01.xlsx&amp;sheet=A0&amp;row=190&amp;col=19&amp;number=&amp;sourceID=12","")</f>
        <v/>
      </c>
      <c r="T190" s="4" t="str">
        <f>HYPERLINK("http://141.218.60.56/~jnz1568/getInfo.php?workbook=02_01.xlsx&amp;sheet=A0&amp;row=190&amp;col=20&amp;number=3.36e-13&amp;sourceID=12","3.36e-13")</f>
        <v>3.36e-13</v>
      </c>
      <c r="U190" s="4" t="str">
        <f>HYPERLINK("http://141.218.60.56/~jnz1568/getInfo.php?workbook=02_01.xlsx&amp;sheet=A0&amp;row=190&amp;col=21&amp;number=&amp;sourceID=13","")</f>
        <v/>
      </c>
      <c r="V190" s="4" t="str">
        <f>HYPERLINK("http://141.218.60.56/~jnz1568/getInfo.php?workbook=02_01.xlsx&amp;sheet=A0&amp;row=190&amp;col=22&amp;number=&amp;sourceID=13","")</f>
        <v/>
      </c>
      <c r="W190" s="4" t="str">
        <f>HYPERLINK("http://141.218.60.56/~jnz1568/getInfo.php?workbook=02_01.xlsx&amp;sheet=A0&amp;row=190&amp;col=23&amp;number=&amp;sourceID=13","")</f>
        <v/>
      </c>
      <c r="X190" s="4" t="str">
        <f>HYPERLINK("http://141.218.60.56/~jnz1568/getInfo.php?workbook=02_01.xlsx&amp;sheet=A0&amp;row=190&amp;col=24&amp;number=&amp;sourceID=13","")</f>
        <v/>
      </c>
      <c r="Y190" s="4" t="str">
        <f>HYPERLINK("http://141.218.60.56/~jnz1568/getInfo.php?workbook=02_01.xlsx&amp;sheet=A0&amp;row=190&amp;col=25&amp;number=&amp;sourceID=13","")</f>
        <v/>
      </c>
      <c r="Z190" s="4" t="str">
        <f>HYPERLINK("http://141.218.60.56/~jnz1568/getInfo.php?workbook=02_01.xlsx&amp;sheet=A0&amp;row=190&amp;col=26&amp;number=&amp;sourceID=13","")</f>
        <v/>
      </c>
      <c r="AA190" s="4" t="str">
        <f>HYPERLINK("http://141.218.60.56/~jnz1568/getInfo.php?workbook=02_01.xlsx&amp;sheet=A0&amp;row=190&amp;col=27&amp;number=&amp;sourceID=20","")</f>
        <v/>
      </c>
    </row>
    <row r="191" spans="1:27">
      <c r="A191" s="3">
        <v>2</v>
      </c>
      <c r="B191" s="3">
        <v>1</v>
      </c>
      <c r="C191" s="3">
        <v>21</v>
      </c>
      <c r="D191" s="3">
        <v>6</v>
      </c>
      <c r="E191" s="3">
        <f>((1/(INDEX(E0!J$4:J$28,C191,1)-INDEX(E0!J$4:J$28,D191,1))))*100000000</f>
        <v>0</v>
      </c>
      <c r="F191" s="4" t="str">
        <f>HYPERLINK("http://141.218.60.56/~jnz1568/getInfo.php?workbook=02_01.xlsx&amp;sheet=A0&amp;row=191&amp;col=6&amp;number=&amp;sourceID=18","")</f>
        <v/>
      </c>
      <c r="G191" s="4" t="str">
        <f>HYPERLINK("http://141.218.60.56/~jnz1568/getInfo.php?workbook=02_01.xlsx&amp;sheet=A0&amp;row=191&amp;col=7&amp;number==&amp;sourceID=11","=")</f>
        <v>=</v>
      </c>
      <c r="H191" s="4" t="str">
        <f>HYPERLINK("http://141.218.60.56/~jnz1568/getInfo.php?workbook=02_01.xlsx&amp;sheet=A0&amp;row=191&amp;col=8&amp;number=&amp;sourceID=11","")</f>
        <v/>
      </c>
      <c r="I191" s="4" t="str">
        <f>HYPERLINK("http://141.218.60.56/~jnz1568/getInfo.php?workbook=02_01.xlsx&amp;sheet=A0&amp;row=191&amp;col=9&amp;number=&amp;sourceID=11","")</f>
        <v/>
      </c>
      <c r="J191" s="4" t="str">
        <f>HYPERLINK("http://141.218.60.56/~jnz1568/getInfo.php?workbook=02_01.xlsx&amp;sheet=A0&amp;row=191&amp;col=10&amp;number=0.00027255&amp;sourceID=11","0.00027255")</f>
        <v>0.00027255</v>
      </c>
      <c r="K191" s="4" t="str">
        <f>HYPERLINK("http://141.218.60.56/~jnz1568/getInfo.php?workbook=02_01.xlsx&amp;sheet=A0&amp;row=191&amp;col=11&amp;number=&amp;sourceID=11","")</f>
        <v/>
      </c>
      <c r="L191" s="4" t="str">
        <f>HYPERLINK("http://141.218.60.56/~jnz1568/getInfo.php?workbook=02_01.xlsx&amp;sheet=A0&amp;row=191&amp;col=12&amp;number=0&amp;sourceID=11","0")</f>
        <v>0</v>
      </c>
      <c r="M191" s="4" t="str">
        <f>HYPERLINK("http://141.218.60.56/~jnz1568/getInfo.php?workbook=02_01.xlsx&amp;sheet=A0&amp;row=191&amp;col=13&amp;number=&amp;sourceID=11","")</f>
        <v/>
      </c>
      <c r="N191" s="4" t="str">
        <f>HYPERLINK("http://141.218.60.56/~jnz1568/getInfo.php?workbook=02_01.xlsx&amp;sheet=A0&amp;row=191&amp;col=14&amp;number=0.00027259&amp;sourceID=12","0.00027259")</f>
        <v>0.00027259</v>
      </c>
      <c r="O191" s="4" t="str">
        <f>HYPERLINK("http://141.218.60.56/~jnz1568/getInfo.php?workbook=02_01.xlsx&amp;sheet=A0&amp;row=191&amp;col=15&amp;number=&amp;sourceID=12","")</f>
        <v/>
      </c>
      <c r="P191" s="4" t="str">
        <f>HYPERLINK("http://141.218.60.56/~jnz1568/getInfo.php?workbook=02_01.xlsx&amp;sheet=A0&amp;row=191&amp;col=16&amp;number=&amp;sourceID=12","")</f>
        <v/>
      </c>
      <c r="Q191" s="4" t="str">
        <f>HYPERLINK("http://141.218.60.56/~jnz1568/getInfo.php?workbook=02_01.xlsx&amp;sheet=A0&amp;row=191&amp;col=17&amp;number=0.00027259&amp;sourceID=12","0.00027259")</f>
        <v>0.00027259</v>
      </c>
      <c r="R191" s="4" t="str">
        <f>HYPERLINK("http://141.218.60.56/~jnz1568/getInfo.php?workbook=02_01.xlsx&amp;sheet=A0&amp;row=191&amp;col=18&amp;number=&amp;sourceID=12","")</f>
        <v/>
      </c>
      <c r="S191" s="4" t="str">
        <f>HYPERLINK("http://141.218.60.56/~jnz1568/getInfo.php?workbook=02_01.xlsx&amp;sheet=A0&amp;row=191&amp;col=19&amp;number=0&amp;sourceID=12","0")</f>
        <v>0</v>
      </c>
      <c r="T191" s="4" t="str">
        <f>HYPERLINK("http://141.218.60.56/~jnz1568/getInfo.php?workbook=02_01.xlsx&amp;sheet=A0&amp;row=191&amp;col=20&amp;number=&amp;sourceID=12","")</f>
        <v/>
      </c>
      <c r="U191" s="4" t="str">
        <f>HYPERLINK("http://141.218.60.56/~jnz1568/getInfo.php?workbook=02_01.xlsx&amp;sheet=A0&amp;row=191&amp;col=21&amp;number=&amp;sourceID=13","")</f>
        <v/>
      </c>
      <c r="V191" s="4" t="str">
        <f>HYPERLINK("http://141.218.60.56/~jnz1568/getInfo.php?workbook=02_01.xlsx&amp;sheet=A0&amp;row=191&amp;col=22&amp;number=&amp;sourceID=13","")</f>
        <v/>
      </c>
      <c r="W191" s="4" t="str">
        <f>HYPERLINK("http://141.218.60.56/~jnz1568/getInfo.php?workbook=02_01.xlsx&amp;sheet=A0&amp;row=191&amp;col=23&amp;number=&amp;sourceID=13","")</f>
        <v/>
      </c>
      <c r="X191" s="4" t="str">
        <f>HYPERLINK("http://141.218.60.56/~jnz1568/getInfo.php?workbook=02_01.xlsx&amp;sheet=A0&amp;row=191&amp;col=24&amp;number=&amp;sourceID=13","")</f>
        <v/>
      </c>
      <c r="Y191" s="4" t="str">
        <f>HYPERLINK("http://141.218.60.56/~jnz1568/getInfo.php?workbook=02_01.xlsx&amp;sheet=A0&amp;row=191&amp;col=25&amp;number=&amp;sourceID=13","")</f>
        <v/>
      </c>
      <c r="Z191" s="4" t="str">
        <f>HYPERLINK("http://141.218.60.56/~jnz1568/getInfo.php?workbook=02_01.xlsx&amp;sheet=A0&amp;row=191&amp;col=26&amp;number=&amp;sourceID=13","")</f>
        <v/>
      </c>
      <c r="AA191" s="4" t="str">
        <f>HYPERLINK("http://141.218.60.56/~jnz1568/getInfo.php?workbook=02_01.xlsx&amp;sheet=A0&amp;row=191&amp;col=27&amp;number=&amp;sourceID=20","")</f>
        <v/>
      </c>
    </row>
    <row r="192" spans="1:27">
      <c r="A192" s="3">
        <v>2</v>
      </c>
      <c r="B192" s="3">
        <v>1</v>
      </c>
      <c r="C192" s="3">
        <v>21</v>
      </c>
      <c r="D192" s="3">
        <v>7</v>
      </c>
      <c r="E192" s="3">
        <f>((1/(INDEX(E0!J$4:J$28,C192,1)-INDEX(E0!J$4:J$28,D192,1))))*100000000</f>
        <v>0</v>
      </c>
      <c r="F192" s="4" t="str">
        <f>HYPERLINK("http://141.218.60.56/~jnz1568/getInfo.php?workbook=02_01.xlsx&amp;sheet=A0&amp;row=192&amp;col=6&amp;number=&amp;sourceID=18","")</f>
        <v/>
      </c>
      <c r="G192" s="4" t="str">
        <f>HYPERLINK("http://141.218.60.56/~jnz1568/getInfo.php?workbook=02_01.xlsx&amp;sheet=A0&amp;row=192&amp;col=7&amp;number==&amp;sourceID=11","=")</f>
        <v>=</v>
      </c>
      <c r="H192" s="4" t="str">
        <f>HYPERLINK("http://141.218.60.56/~jnz1568/getInfo.php?workbook=02_01.xlsx&amp;sheet=A0&amp;row=192&amp;col=8&amp;number=67860000&amp;sourceID=11","67860000")</f>
        <v>67860000</v>
      </c>
      <c r="I192" s="4" t="str">
        <f>HYPERLINK("http://141.218.60.56/~jnz1568/getInfo.php?workbook=02_01.xlsx&amp;sheet=A0&amp;row=192&amp;col=9&amp;number=&amp;sourceID=11","")</f>
        <v/>
      </c>
      <c r="J192" s="4" t="str">
        <f>HYPERLINK("http://141.218.60.56/~jnz1568/getInfo.php?workbook=02_01.xlsx&amp;sheet=A0&amp;row=192&amp;col=10&amp;number=7.1477e-06&amp;sourceID=11","7.1477e-06")</f>
        <v>7.1477e-06</v>
      </c>
      <c r="K192" s="4" t="str">
        <f>HYPERLINK("http://141.218.60.56/~jnz1568/getInfo.php?workbook=02_01.xlsx&amp;sheet=A0&amp;row=192&amp;col=11&amp;number=&amp;sourceID=11","")</f>
        <v/>
      </c>
      <c r="L192" s="4" t="str">
        <f>HYPERLINK("http://141.218.60.56/~jnz1568/getInfo.php?workbook=02_01.xlsx&amp;sheet=A0&amp;row=192&amp;col=12&amp;number=0.00017377&amp;sourceID=11","0.00017377")</f>
        <v>0.00017377</v>
      </c>
      <c r="M192" s="4" t="str">
        <f>HYPERLINK("http://141.218.60.56/~jnz1568/getInfo.php?workbook=02_01.xlsx&amp;sheet=A0&amp;row=192&amp;col=13&amp;number=&amp;sourceID=11","")</f>
        <v/>
      </c>
      <c r="N192" s="4" t="str">
        <f>HYPERLINK("http://141.218.60.56/~jnz1568/getInfo.php?workbook=02_01.xlsx&amp;sheet=A0&amp;row=192&amp;col=14&amp;number=67869000&amp;sourceID=12","67869000")</f>
        <v>67869000</v>
      </c>
      <c r="O192" s="4" t="str">
        <f>HYPERLINK("http://141.218.60.56/~jnz1568/getInfo.php?workbook=02_01.xlsx&amp;sheet=A0&amp;row=192&amp;col=15&amp;number=67869000&amp;sourceID=12","67869000")</f>
        <v>67869000</v>
      </c>
      <c r="P192" s="4" t="str">
        <f>HYPERLINK("http://141.218.60.56/~jnz1568/getInfo.php?workbook=02_01.xlsx&amp;sheet=A0&amp;row=192&amp;col=16&amp;number=&amp;sourceID=12","")</f>
        <v/>
      </c>
      <c r="Q192" s="4" t="str">
        <f>HYPERLINK("http://141.218.60.56/~jnz1568/getInfo.php?workbook=02_01.xlsx&amp;sheet=A0&amp;row=192&amp;col=17&amp;number=7.1487e-06&amp;sourceID=12","7.1487e-06")</f>
        <v>7.1487e-06</v>
      </c>
      <c r="R192" s="4" t="str">
        <f>HYPERLINK("http://141.218.60.56/~jnz1568/getInfo.php?workbook=02_01.xlsx&amp;sheet=A0&amp;row=192&amp;col=18&amp;number=&amp;sourceID=12","")</f>
        <v/>
      </c>
      <c r="S192" s="4" t="str">
        <f>HYPERLINK("http://141.218.60.56/~jnz1568/getInfo.php?workbook=02_01.xlsx&amp;sheet=A0&amp;row=192&amp;col=19&amp;number=0.00017379&amp;sourceID=12","0.00017379")</f>
        <v>0.00017379</v>
      </c>
      <c r="T192" s="4" t="str">
        <f>HYPERLINK("http://141.218.60.56/~jnz1568/getInfo.php?workbook=02_01.xlsx&amp;sheet=A0&amp;row=192&amp;col=20&amp;number=&amp;sourceID=12","")</f>
        <v/>
      </c>
      <c r="U192" s="4" t="str">
        <f>HYPERLINK("http://141.218.60.56/~jnz1568/getInfo.php?workbook=02_01.xlsx&amp;sheet=A0&amp;row=192&amp;col=21&amp;number=&amp;sourceID=13","")</f>
        <v/>
      </c>
      <c r="V192" s="4" t="str">
        <f>HYPERLINK("http://141.218.60.56/~jnz1568/getInfo.php?workbook=02_01.xlsx&amp;sheet=A0&amp;row=192&amp;col=22&amp;number=&amp;sourceID=13","")</f>
        <v/>
      </c>
      <c r="W192" s="4" t="str">
        <f>HYPERLINK("http://141.218.60.56/~jnz1568/getInfo.php?workbook=02_01.xlsx&amp;sheet=A0&amp;row=192&amp;col=23&amp;number=&amp;sourceID=13","")</f>
        <v/>
      </c>
      <c r="X192" s="4" t="str">
        <f>HYPERLINK("http://141.218.60.56/~jnz1568/getInfo.php?workbook=02_01.xlsx&amp;sheet=A0&amp;row=192&amp;col=24&amp;number=&amp;sourceID=13","")</f>
        <v/>
      </c>
      <c r="Y192" s="4" t="str">
        <f>HYPERLINK("http://141.218.60.56/~jnz1568/getInfo.php?workbook=02_01.xlsx&amp;sheet=A0&amp;row=192&amp;col=25&amp;number=&amp;sourceID=13","")</f>
        <v/>
      </c>
      <c r="Z192" s="4" t="str">
        <f>HYPERLINK("http://141.218.60.56/~jnz1568/getInfo.php?workbook=02_01.xlsx&amp;sheet=A0&amp;row=192&amp;col=26&amp;number=&amp;sourceID=13","")</f>
        <v/>
      </c>
      <c r="AA192" s="4" t="str">
        <f>HYPERLINK("http://141.218.60.56/~jnz1568/getInfo.php?workbook=02_01.xlsx&amp;sheet=A0&amp;row=192&amp;col=27&amp;number=&amp;sourceID=20","")</f>
        <v/>
      </c>
    </row>
    <row r="193" spans="1:27">
      <c r="A193" s="3">
        <v>2</v>
      </c>
      <c r="B193" s="3">
        <v>1</v>
      </c>
      <c r="C193" s="3">
        <v>21</v>
      </c>
      <c r="D193" s="3">
        <v>8</v>
      </c>
      <c r="E193" s="3">
        <f>((1/(INDEX(E0!J$4:J$28,C193,1)-INDEX(E0!J$4:J$28,D193,1))))*100000000</f>
        <v>0</v>
      </c>
      <c r="F193" s="4" t="str">
        <f>HYPERLINK("http://141.218.60.56/~jnz1568/getInfo.php?workbook=02_01.xlsx&amp;sheet=A0&amp;row=193&amp;col=6&amp;number=&amp;sourceID=18","")</f>
        <v/>
      </c>
      <c r="G193" s="4" t="str">
        <f>HYPERLINK("http://141.218.60.56/~jnz1568/getInfo.php?workbook=02_01.xlsx&amp;sheet=A0&amp;row=193&amp;col=7&amp;number==&amp;sourceID=11","=")</f>
        <v>=</v>
      </c>
      <c r="H193" s="4" t="str">
        <f>HYPERLINK("http://141.218.60.56/~jnz1568/getInfo.php?workbook=02_01.xlsx&amp;sheet=A0&amp;row=193&amp;col=8&amp;number=&amp;sourceID=11","")</f>
        <v/>
      </c>
      <c r="I193" s="4" t="str">
        <f>HYPERLINK("http://141.218.60.56/~jnz1568/getInfo.php?workbook=02_01.xlsx&amp;sheet=A0&amp;row=193&amp;col=9&amp;number=0.36732&amp;sourceID=11","0.36732")</f>
        <v>0.36732</v>
      </c>
      <c r="J193" s="4" t="str">
        <f>HYPERLINK("http://141.218.60.56/~jnz1568/getInfo.php?workbook=02_01.xlsx&amp;sheet=A0&amp;row=193&amp;col=10&amp;number=&amp;sourceID=11","")</f>
        <v/>
      </c>
      <c r="K193" s="4" t="str">
        <f>HYPERLINK("http://141.218.60.56/~jnz1568/getInfo.php?workbook=02_01.xlsx&amp;sheet=A0&amp;row=193&amp;col=11&amp;number=6.9641e-10&amp;sourceID=11","6.9641e-10")</f>
        <v>6.9641e-10</v>
      </c>
      <c r="L193" s="4" t="str">
        <f>HYPERLINK("http://141.218.60.56/~jnz1568/getInfo.php?workbook=02_01.xlsx&amp;sheet=A0&amp;row=193&amp;col=12&amp;number=&amp;sourceID=11","")</f>
        <v/>
      </c>
      <c r="M193" s="4" t="str">
        <f>HYPERLINK("http://141.218.60.56/~jnz1568/getInfo.php?workbook=02_01.xlsx&amp;sheet=A0&amp;row=193&amp;col=13&amp;number=6.7e-14&amp;sourceID=11","6.7e-14")</f>
        <v>6.7e-14</v>
      </c>
      <c r="N193" s="4" t="str">
        <f>HYPERLINK("http://141.218.60.56/~jnz1568/getInfo.php?workbook=02_01.xlsx&amp;sheet=A0&amp;row=193&amp;col=14&amp;number=0.36737&amp;sourceID=12","0.36737")</f>
        <v>0.36737</v>
      </c>
      <c r="O193" s="4" t="str">
        <f>HYPERLINK("http://141.218.60.56/~jnz1568/getInfo.php?workbook=02_01.xlsx&amp;sheet=A0&amp;row=193&amp;col=15&amp;number=&amp;sourceID=12","")</f>
        <v/>
      </c>
      <c r="P193" s="4" t="str">
        <f>HYPERLINK("http://141.218.60.56/~jnz1568/getInfo.php?workbook=02_01.xlsx&amp;sheet=A0&amp;row=193&amp;col=16&amp;number=0.36737&amp;sourceID=12","0.36737")</f>
        <v>0.36737</v>
      </c>
      <c r="Q193" s="4" t="str">
        <f>HYPERLINK("http://141.218.60.56/~jnz1568/getInfo.php?workbook=02_01.xlsx&amp;sheet=A0&amp;row=193&amp;col=17&amp;number=&amp;sourceID=12","")</f>
        <v/>
      </c>
      <c r="R193" s="4" t="str">
        <f>HYPERLINK("http://141.218.60.56/~jnz1568/getInfo.php?workbook=02_01.xlsx&amp;sheet=A0&amp;row=193&amp;col=18&amp;number=6.9574e-10&amp;sourceID=12","6.9574e-10")</f>
        <v>6.9574e-10</v>
      </c>
      <c r="S193" s="4" t="str">
        <f>HYPERLINK("http://141.218.60.56/~jnz1568/getInfo.php?workbook=02_01.xlsx&amp;sheet=A0&amp;row=193&amp;col=19&amp;number=&amp;sourceID=12","")</f>
        <v/>
      </c>
      <c r="T193" s="4" t="str">
        <f>HYPERLINK("http://141.218.60.56/~jnz1568/getInfo.php?workbook=02_01.xlsx&amp;sheet=A0&amp;row=193&amp;col=20&amp;number=6.7e-14&amp;sourceID=12","6.7e-14")</f>
        <v>6.7e-14</v>
      </c>
      <c r="U193" s="4" t="str">
        <f>HYPERLINK("http://141.218.60.56/~jnz1568/getInfo.php?workbook=02_01.xlsx&amp;sheet=A0&amp;row=193&amp;col=21&amp;number=&amp;sourceID=13","")</f>
        <v/>
      </c>
      <c r="V193" s="4" t="str">
        <f>HYPERLINK("http://141.218.60.56/~jnz1568/getInfo.php?workbook=02_01.xlsx&amp;sheet=A0&amp;row=193&amp;col=22&amp;number=&amp;sourceID=13","")</f>
        <v/>
      </c>
      <c r="W193" s="4" t="str">
        <f>HYPERLINK("http://141.218.60.56/~jnz1568/getInfo.php?workbook=02_01.xlsx&amp;sheet=A0&amp;row=193&amp;col=23&amp;number=&amp;sourceID=13","")</f>
        <v/>
      </c>
      <c r="X193" s="4" t="str">
        <f>HYPERLINK("http://141.218.60.56/~jnz1568/getInfo.php?workbook=02_01.xlsx&amp;sheet=A0&amp;row=193&amp;col=24&amp;number=&amp;sourceID=13","")</f>
        <v/>
      </c>
      <c r="Y193" s="4" t="str">
        <f>HYPERLINK("http://141.218.60.56/~jnz1568/getInfo.php?workbook=02_01.xlsx&amp;sheet=A0&amp;row=193&amp;col=25&amp;number=&amp;sourceID=13","")</f>
        <v/>
      </c>
      <c r="Z193" s="4" t="str">
        <f>HYPERLINK("http://141.218.60.56/~jnz1568/getInfo.php?workbook=02_01.xlsx&amp;sheet=A0&amp;row=193&amp;col=26&amp;number=&amp;sourceID=13","")</f>
        <v/>
      </c>
      <c r="AA193" s="4" t="str">
        <f>HYPERLINK("http://141.218.60.56/~jnz1568/getInfo.php?workbook=02_01.xlsx&amp;sheet=A0&amp;row=193&amp;col=27&amp;number=&amp;sourceID=20","")</f>
        <v/>
      </c>
    </row>
    <row r="194" spans="1:27">
      <c r="A194" s="3">
        <v>2</v>
      </c>
      <c r="B194" s="3">
        <v>1</v>
      </c>
      <c r="C194" s="3">
        <v>21</v>
      </c>
      <c r="D194" s="3">
        <v>9</v>
      </c>
      <c r="E194" s="3">
        <f>((1/(INDEX(E0!J$4:J$28,C194,1)-INDEX(E0!J$4:J$28,D194,1))))*100000000</f>
        <v>0</v>
      </c>
      <c r="F194" s="4" t="str">
        <f>HYPERLINK("http://141.218.60.56/~jnz1568/getInfo.php?workbook=02_01.xlsx&amp;sheet=A0&amp;row=194&amp;col=6&amp;number=&amp;sourceID=18","")</f>
        <v/>
      </c>
      <c r="G194" s="4" t="str">
        <f>HYPERLINK("http://141.218.60.56/~jnz1568/getInfo.php?workbook=02_01.xlsx&amp;sheet=A0&amp;row=194&amp;col=7&amp;number==&amp;sourceID=11","=")</f>
        <v>=</v>
      </c>
      <c r="H194" s="4" t="str">
        <f>HYPERLINK("http://141.218.60.56/~jnz1568/getInfo.php?workbook=02_01.xlsx&amp;sheet=A0&amp;row=194&amp;col=8&amp;number=4846800&amp;sourceID=11","4846800")</f>
        <v>4846800</v>
      </c>
      <c r="I194" s="4" t="str">
        <f>HYPERLINK("http://141.218.60.56/~jnz1568/getInfo.php?workbook=02_01.xlsx&amp;sheet=A0&amp;row=194&amp;col=9&amp;number=&amp;sourceID=11","")</f>
        <v/>
      </c>
      <c r="J194" s="4" t="str">
        <f>HYPERLINK("http://141.218.60.56/~jnz1568/getInfo.php?workbook=02_01.xlsx&amp;sheet=A0&amp;row=194&amp;col=10&amp;number=4.7668e-06&amp;sourceID=11","4.7668e-06")</f>
        <v>4.7668e-06</v>
      </c>
      <c r="K194" s="4" t="str">
        <f>HYPERLINK("http://141.218.60.56/~jnz1568/getInfo.php?workbook=02_01.xlsx&amp;sheet=A0&amp;row=194&amp;col=11&amp;number=&amp;sourceID=11","")</f>
        <v/>
      </c>
      <c r="L194" s="4" t="str">
        <f>HYPERLINK("http://141.218.60.56/~jnz1568/getInfo.php?workbook=02_01.xlsx&amp;sheet=A0&amp;row=194&amp;col=12&amp;number=&amp;sourceID=11","")</f>
        <v/>
      </c>
      <c r="M194" s="4" t="str">
        <f>HYPERLINK("http://141.218.60.56/~jnz1568/getInfo.php?workbook=02_01.xlsx&amp;sheet=A0&amp;row=194&amp;col=13&amp;number=&amp;sourceID=11","")</f>
        <v/>
      </c>
      <c r="N194" s="4" t="str">
        <f>HYPERLINK("http://141.218.60.56/~jnz1568/getInfo.php?workbook=02_01.xlsx&amp;sheet=A0&amp;row=194&amp;col=14&amp;number=4847400&amp;sourceID=12","4847400")</f>
        <v>4847400</v>
      </c>
      <c r="O194" s="4" t="str">
        <f>HYPERLINK("http://141.218.60.56/~jnz1568/getInfo.php?workbook=02_01.xlsx&amp;sheet=A0&amp;row=194&amp;col=15&amp;number=4847400&amp;sourceID=12","4847400")</f>
        <v>4847400</v>
      </c>
      <c r="P194" s="4" t="str">
        <f>HYPERLINK("http://141.218.60.56/~jnz1568/getInfo.php?workbook=02_01.xlsx&amp;sheet=A0&amp;row=194&amp;col=16&amp;number=&amp;sourceID=12","")</f>
        <v/>
      </c>
      <c r="Q194" s="4" t="str">
        <f>HYPERLINK("http://141.218.60.56/~jnz1568/getInfo.php?workbook=02_01.xlsx&amp;sheet=A0&amp;row=194&amp;col=17&amp;number=4.7675e-06&amp;sourceID=12","4.7675e-06")</f>
        <v>4.7675e-06</v>
      </c>
      <c r="R194" s="4" t="str">
        <f>HYPERLINK("http://141.218.60.56/~jnz1568/getInfo.php?workbook=02_01.xlsx&amp;sheet=A0&amp;row=194&amp;col=18&amp;number=&amp;sourceID=12","")</f>
        <v/>
      </c>
      <c r="S194" s="4" t="str">
        <f>HYPERLINK("http://141.218.60.56/~jnz1568/getInfo.php?workbook=02_01.xlsx&amp;sheet=A0&amp;row=194&amp;col=19&amp;number=&amp;sourceID=12","")</f>
        <v/>
      </c>
      <c r="T194" s="4" t="str">
        <f>HYPERLINK("http://141.218.60.56/~jnz1568/getInfo.php?workbook=02_01.xlsx&amp;sheet=A0&amp;row=194&amp;col=20&amp;number=&amp;sourceID=12","")</f>
        <v/>
      </c>
      <c r="U194" s="4" t="str">
        <f>HYPERLINK("http://141.218.60.56/~jnz1568/getInfo.php?workbook=02_01.xlsx&amp;sheet=A0&amp;row=194&amp;col=21&amp;number=&amp;sourceID=13","")</f>
        <v/>
      </c>
      <c r="V194" s="4" t="str">
        <f>HYPERLINK("http://141.218.60.56/~jnz1568/getInfo.php?workbook=02_01.xlsx&amp;sheet=A0&amp;row=194&amp;col=22&amp;number=&amp;sourceID=13","")</f>
        <v/>
      </c>
      <c r="W194" s="4" t="str">
        <f>HYPERLINK("http://141.218.60.56/~jnz1568/getInfo.php?workbook=02_01.xlsx&amp;sheet=A0&amp;row=194&amp;col=23&amp;number=&amp;sourceID=13","")</f>
        <v/>
      </c>
      <c r="X194" s="4" t="str">
        <f>HYPERLINK("http://141.218.60.56/~jnz1568/getInfo.php?workbook=02_01.xlsx&amp;sheet=A0&amp;row=194&amp;col=24&amp;number=&amp;sourceID=13","")</f>
        <v/>
      </c>
      <c r="Y194" s="4" t="str">
        <f>HYPERLINK("http://141.218.60.56/~jnz1568/getInfo.php?workbook=02_01.xlsx&amp;sheet=A0&amp;row=194&amp;col=25&amp;number=&amp;sourceID=13","")</f>
        <v/>
      </c>
      <c r="Z194" s="4" t="str">
        <f>HYPERLINK("http://141.218.60.56/~jnz1568/getInfo.php?workbook=02_01.xlsx&amp;sheet=A0&amp;row=194&amp;col=26&amp;number=&amp;sourceID=13","")</f>
        <v/>
      </c>
      <c r="AA194" s="4" t="str">
        <f>HYPERLINK("http://141.218.60.56/~jnz1568/getInfo.php?workbook=02_01.xlsx&amp;sheet=A0&amp;row=194&amp;col=27&amp;number=&amp;sourceID=20","")</f>
        <v/>
      </c>
    </row>
    <row r="195" spans="1:27">
      <c r="A195" s="3">
        <v>2</v>
      </c>
      <c r="B195" s="3">
        <v>1</v>
      </c>
      <c r="C195" s="3">
        <v>21</v>
      </c>
      <c r="D195" s="3">
        <v>10</v>
      </c>
      <c r="E195" s="3">
        <f>((1/(INDEX(E0!J$4:J$28,C195,1)-INDEX(E0!J$4:J$28,D195,1))))*100000000</f>
        <v>0</v>
      </c>
      <c r="F195" s="4" t="str">
        <f>HYPERLINK("http://141.218.60.56/~jnz1568/getInfo.php?workbook=02_01.xlsx&amp;sheet=A0&amp;row=195&amp;col=6&amp;number=&amp;sourceID=18","")</f>
        <v/>
      </c>
      <c r="G195" s="4" t="str">
        <f>HYPERLINK("http://141.218.60.56/~jnz1568/getInfo.php?workbook=02_01.xlsx&amp;sheet=A0&amp;row=195&amp;col=7&amp;number==&amp;sourceID=11","=")</f>
        <v>=</v>
      </c>
      <c r="H195" s="4" t="str">
        <f>HYPERLINK("http://141.218.60.56/~jnz1568/getInfo.php?workbook=02_01.xlsx&amp;sheet=A0&amp;row=195&amp;col=8&amp;number=&amp;sourceID=11","")</f>
        <v/>
      </c>
      <c r="I195" s="4" t="str">
        <f>HYPERLINK("http://141.218.60.56/~jnz1568/getInfo.php?workbook=02_01.xlsx&amp;sheet=A0&amp;row=195&amp;col=9&amp;number=46.659&amp;sourceID=11","46.659")</f>
        <v>46.659</v>
      </c>
      <c r="J195" s="4" t="str">
        <f>HYPERLINK("http://141.218.60.56/~jnz1568/getInfo.php?workbook=02_01.xlsx&amp;sheet=A0&amp;row=195&amp;col=10&amp;number=&amp;sourceID=11","")</f>
        <v/>
      </c>
      <c r="K195" s="4" t="str">
        <f>HYPERLINK("http://141.218.60.56/~jnz1568/getInfo.php?workbook=02_01.xlsx&amp;sheet=A0&amp;row=195&amp;col=11&amp;number=&amp;sourceID=11","")</f>
        <v/>
      </c>
      <c r="L195" s="4" t="str">
        <f>HYPERLINK("http://141.218.60.56/~jnz1568/getInfo.php?workbook=02_01.xlsx&amp;sheet=A0&amp;row=195&amp;col=12&amp;number=&amp;sourceID=11","")</f>
        <v/>
      </c>
      <c r="M195" s="4" t="str">
        <f>HYPERLINK("http://141.218.60.56/~jnz1568/getInfo.php?workbook=02_01.xlsx&amp;sheet=A0&amp;row=195&amp;col=13&amp;number=1.215e-12&amp;sourceID=11","1.215e-12")</f>
        <v>1.215e-12</v>
      </c>
      <c r="N195" s="4" t="str">
        <f>HYPERLINK("http://141.218.60.56/~jnz1568/getInfo.php?workbook=02_01.xlsx&amp;sheet=A0&amp;row=195&amp;col=14&amp;number=46.665&amp;sourceID=12","46.665")</f>
        <v>46.665</v>
      </c>
      <c r="O195" s="4" t="str">
        <f>HYPERLINK("http://141.218.60.56/~jnz1568/getInfo.php?workbook=02_01.xlsx&amp;sheet=A0&amp;row=195&amp;col=15&amp;number=&amp;sourceID=12","")</f>
        <v/>
      </c>
      <c r="P195" s="4" t="str">
        <f>HYPERLINK("http://141.218.60.56/~jnz1568/getInfo.php?workbook=02_01.xlsx&amp;sheet=A0&amp;row=195&amp;col=16&amp;number=46.665&amp;sourceID=12","46.665")</f>
        <v>46.665</v>
      </c>
      <c r="Q195" s="4" t="str">
        <f>HYPERLINK("http://141.218.60.56/~jnz1568/getInfo.php?workbook=02_01.xlsx&amp;sheet=A0&amp;row=195&amp;col=17&amp;number=&amp;sourceID=12","")</f>
        <v/>
      </c>
      <c r="R195" s="4" t="str">
        <f>HYPERLINK("http://141.218.60.56/~jnz1568/getInfo.php?workbook=02_01.xlsx&amp;sheet=A0&amp;row=195&amp;col=18&amp;number=&amp;sourceID=12","")</f>
        <v/>
      </c>
      <c r="S195" s="4" t="str">
        <f>HYPERLINK("http://141.218.60.56/~jnz1568/getInfo.php?workbook=02_01.xlsx&amp;sheet=A0&amp;row=195&amp;col=19&amp;number=&amp;sourceID=12","")</f>
        <v/>
      </c>
      <c r="T195" s="4" t="str">
        <f>HYPERLINK("http://141.218.60.56/~jnz1568/getInfo.php?workbook=02_01.xlsx&amp;sheet=A0&amp;row=195&amp;col=20&amp;number=1.216e-12&amp;sourceID=12","1.216e-12")</f>
        <v>1.216e-12</v>
      </c>
      <c r="U195" s="4" t="str">
        <f>HYPERLINK("http://141.218.60.56/~jnz1568/getInfo.php?workbook=02_01.xlsx&amp;sheet=A0&amp;row=195&amp;col=21&amp;number=&amp;sourceID=13","")</f>
        <v/>
      </c>
      <c r="V195" s="4" t="str">
        <f>HYPERLINK("http://141.218.60.56/~jnz1568/getInfo.php?workbook=02_01.xlsx&amp;sheet=A0&amp;row=195&amp;col=22&amp;number=&amp;sourceID=13","")</f>
        <v/>
      </c>
      <c r="W195" s="4" t="str">
        <f>HYPERLINK("http://141.218.60.56/~jnz1568/getInfo.php?workbook=02_01.xlsx&amp;sheet=A0&amp;row=195&amp;col=23&amp;number=&amp;sourceID=13","")</f>
        <v/>
      </c>
      <c r="X195" s="4" t="str">
        <f>HYPERLINK("http://141.218.60.56/~jnz1568/getInfo.php?workbook=02_01.xlsx&amp;sheet=A0&amp;row=195&amp;col=24&amp;number=&amp;sourceID=13","")</f>
        <v/>
      </c>
      <c r="Y195" s="4" t="str">
        <f>HYPERLINK("http://141.218.60.56/~jnz1568/getInfo.php?workbook=02_01.xlsx&amp;sheet=A0&amp;row=195&amp;col=25&amp;number=&amp;sourceID=13","")</f>
        <v/>
      </c>
      <c r="Z195" s="4" t="str">
        <f>HYPERLINK("http://141.218.60.56/~jnz1568/getInfo.php?workbook=02_01.xlsx&amp;sheet=A0&amp;row=195&amp;col=26&amp;number=&amp;sourceID=13","")</f>
        <v/>
      </c>
      <c r="AA195" s="4" t="str">
        <f>HYPERLINK("http://141.218.60.56/~jnz1568/getInfo.php?workbook=02_01.xlsx&amp;sheet=A0&amp;row=195&amp;col=27&amp;number=&amp;sourceID=20","")</f>
        <v/>
      </c>
    </row>
    <row r="196" spans="1:27">
      <c r="A196" s="3">
        <v>2</v>
      </c>
      <c r="B196" s="3">
        <v>1</v>
      </c>
      <c r="C196" s="3">
        <v>21</v>
      </c>
      <c r="D196" s="3">
        <v>11</v>
      </c>
      <c r="E196" s="3">
        <f>((1/(INDEX(E0!J$4:J$28,C196,1)-INDEX(E0!J$4:J$28,D196,1))))*100000000</f>
        <v>0</v>
      </c>
      <c r="F196" s="4" t="str">
        <f>HYPERLINK("http://141.218.60.56/~jnz1568/getInfo.php?workbook=02_01.xlsx&amp;sheet=A0&amp;row=196&amp;col=6&amp;number=&amp;sourceID=18","")</f>
        <v/>
      </c>
      <c r="G196" s="4" t="str">
        <f>HYPERLINK("http://141.218.60.56/~jnz1568/getInfo.php?workbook=02_01.xlsx&amp;sheet=A0&amp;row=196&amp;col=7&amp;number==&amp;sourceID=11","=")</f>
        <v>=</v>
      </c>
      <c r="H196" s="4" t="str">
        <f>HYPERLINK("http://141.218.60.56/~jnz1568/getInfo.php?workbook=02_01.xlsx&amp;sheet=A0&amp;row=196&amp;col=8&amp;number=&amp;sourceID=11","")</f>
        <v/>
      </c>
      <c r="I196" s="4" t="str">
        <f>HYPERLINK("http://141.218.60.56/~jnz1568/getInfo.php?workbook=02_01.xlsx&amp;sheet=A0&amp;row=196&amp;col=9&amp;number=&amp;sourceID=11","")</f>
        <v/>
      </c>
      <c r="J196" s="4" t="str">
        <f>HYPERLINK("http://141.218.60.56/~jnz1568/getInfo.php?workbook=02_01.xlsx&amp;sheet=A0&amp;row=196&amp;col=10&amp;number=3.1816e-05&amp;sourceID=11","3.1816e-05")</f>
        <v>3.1816e-05</v>
      </c>
      <c r="K196" s="4" t="str">
        <f>HYPERLINK("http://141.218.60.56/~jnz1568/getInfo.php?workbook=02_01.xlsx&amp;sheet=A0&amp;row=196&amp;col=11&amp;number=&amp;sourceID=11","")</f>
        <v/>
      </c>
      <c r="L196" s="4" t="str">
        <f>HYPERLINK("http://141.218.60.56/~jnz1568/getInfo.php?workbook=02_01.xlsx&amp;sheet=A0&amp;row=196&amp;col=12&amp;number=0&amp;sourceID=11","0")</f>
        <v>0</v>
      </c>
      <c r="M196" s="4" t="str">
        <f>HYPERLINK("http://141.218.60.56/~jnz1568/getInfo.php?workbook=02_01.xlsx&amp;sheet=A0&amp;row=196&amp;col=13&amp;number=&amp;sourceID=11","")</f>
        <v/>
      </c>
      <c r="N196" s="4" t="str">
        <f>HYPERLINK("http://141.218.60.56/~jnz1568/getInfo.php?workbook=02_01.xlsx&amp;sheet=A0&amp;row=196&amp;col=14&amp;number=3.182e-05&amp;sourceID=12","3.182e-05")</f>
        <v>3.182e-05</v>
      </c>
      <c r="O196" s="4" t="str">
        <f>HYPERLINK("http://141.218.60.56/~jnz1568/getInfo.php?workbook=02_01.xlsx&amp;sheet=A0&amp;row=196&amp;col=15&amp;number=&amp;sourceID=12","")</f>
        <v/>
      </c>
      <c r="P196" s="4" t="str">
        <f>HYPERLINK("http://141.218.60.56/~jnz1568/getInfo.php?workbook=02_01.xlsx&amp;sheet=A0&amp;row=196&amp;col=16&amp;number=&amp;sourceID=12","")</f>
        <v/>
      </c>
      <c r="Q196" s="4" t="str">
        <f>HYPERLINK("http://141.218.60.56/~jnz1568/getInfo.php?workbook=02_01.xlsx&amp;sheet=A0&amp;row=196&amp;col=17&amp;number=3.182e-05&amp;sourceID=12","3.182e-05")</f>
        <v>3.182e-05</v>
      </c>
      <c r="R196" s="4" t="str">
        <f>HYPERLINK("http://141.218.60.56/~jnz1568/getInfo.php?workbook=02_01.xlsx&amp;sheet=A0&amp;row=196&amp;col=18&amp;number=&amp;sourceID=12","")</f>
        <v/>
      </c>
      <c r="S196" s="4" t="str">
        <f>HYPERLINK("http://141.218.60.56/~jnz1568/getInfo.php?workbook=02_01.xlsx&amp;sheet=A0&amp;row=196&amp;col=19&amp;number=0&amp;sourceID=12","0")</f>
        <v>0</v>
      </c>
      <c r="T196" s="4" t="str">
        <f>HYPERLINK("http://141.218.60.56/~jnz1568/getInfo.php?workbook=02_01.xlsx&amp;sheet=A0&amp;row=196&amp;col=20&amp;number=&amp;sourceID=12","")</f>
        <v/>
      </c>
      <c r="U196" s="4" t="str">
        <f>HYPERLINK("http://141.218.60.56/~jnz1568/getInfo.php?workbook=02_01.xlsx&amp;sheet=A0&amp;row=196&amp;col=21&amp;number=&amp;sourceID=13","")</f>
        <v/>
      </c>
      <c r="V196" s="4" t="str">
        <f>HYPERLINK("http://141.218.60.56/~jnz1568/getInfo.php?workbook=02_01.xlsx&amp;sheet=A0&amp;row=196&amp;col=22&amp;number=&amp;sourceID=13","")</f>
        <v/>
      </c>
      <c r="W196" s="4" t="str">
        <f>HYPERLINK("http://141.218.60.56/~jnz1568/getInfo.php?workbook=02_01.xlsx&amp;sheet=A0&amp;row=196&amp;col=23&amp;number=&amp;sourceID=13","")</f>
        <v/>
      </c>
      <c r="X196" s="4" t="str">
        <f>HYPERLINK("http://141.218.60.56/~jnz1568/getInfo.php?workbook=02_01.xlsx&amp;sheet=A0&amp;row=196&amp;col=24&amp;number=&amp;sourceID=13","")</f>
        <v/>
      </c>
      <c r="Y196" s="4" t="str">
        <f>HYPERLINK("http://141.218.60.56/~jnz1568/getInfo.php?workbook=02_01.xlsx&amp;sheet=A0&amp;row=196&amp;col=25&amp;number=&amp;sourceID=13","")</f>
        <v/>
      </c>
      <c r="Z196" s="4" t="str">
        <f>HYPERLINK("http://141.218.60.56/~jnz1568/getInfo.php?workbook=02_01.xlsx&amp;sheet=A0&amp;row=196&amp;col=26&amp;number=&amp;sourceID=13","")</f>
        <v/>
      </c>
      <c r="AA196" s="4" t="str">
        <f>HYPERLINK("http://141.218.60.56/~jnz1568/getInfo.php?workbook=02_01.xlsx&amp;sheet=A0&amp;row=196&amp;col=27&amp;number=&amp;sourceID=20","")</f>
        <v/>
      </c>
    </row>
    <row r="197" spans="1:27">
      <c r="A197" s="3">
        <v>2</v>
      </c>
      <c r="B197" s="3">
        <v>1</v>
      </c>
      <c r="C197" s="3">
        <v>21</v>
      </c>
      <c r="D197" s="3">
        <v>12</v>
      </c>
      <c r="E197" s="3">
        <f>((1/(INDEX(E0!J$4:J$28,C197,1)-INDEX(E0!J$4:J$28,D197,1))))*100000000</f>
        <v>0</v>
      </c>
      <c r="F197" s="4" t="str">
        <f>HYPERLINK("http://141.218.60.56/~jnz1568/getInfo.php?workbook=02_01.xlsx&amp;sheet=A0&amp;row=197&amp;col=6&amp;number=&amp;sourceID=18","")</f>
        <v/>
      </c>
      <c r="G197" s="4" t="str">
        <f>HYPERLINK("http://141.218.60.56/~jnz1568/getInfo.php?workbook=02_01.xlsx&amp;sheet=A0&amp;row=197&amp;col=7&amp;number==&amp;sourceID=11","=")</f>
        <v>=</v>
      </c>
      <c r="H197" s="4" t="str">
        <f>HYPERLINK("http://141.218.60.56/~jnz1568/getInfo.php?workbook=02_01.xlsx&amp;sheet=A0&amp;row=197&amp;col=8&amp;number=38610000&amp;sourceID=11","38610000")</f>
        <v>38610000</v>
      </c>
      <c r="I197" s="4" t="str">
        <f>HYPERLINK("http://141.218.60.56/~jnz1568/getInfo.php?workbook=02_01.xlsx&amp;sheet=A0&amp;row=197&amp;col=9&amp;number=&amp;sourceID=11","")</f>
        <v/>
      </c>
      <c r="J197" s="4" t="str">
        <f>HYPERLINK("http://141.218.60.56/~jnz1568/getInfo.php?workbook=02_01.xlsx&amp;sheet=A0&amp;row=197&amp;col=10&amp;number=1.2237e-05&amp;sourceID=11","1.2237e-05")</f>
        <v>1.2237e-05</v>
      </c>
      <c r="K197" s="4" t="str">
        <f>HYPERLINK("http://141.218.60.56/~jnz1568/getInfo.php?workbook=02_01.xlsx&amp;sheet=A0&amp;row=197&amp;col=11&amp;number=&amp;sourceID=11","")</f>
        <v/>
      </c>
      <c r="L197" s="4" t="str">
        <f>HYPERLINK("http://141.218.60.56/~jnz1568/getInfo.php?workbook=02_01.xlsx&amp;sheet=A0&amp;row=197&amp;col=12&amp;number=9.8984e-06&amp;sourceID=11","9.8984e-06")</f>
        <v>9.8984e-06</v>
      </c>
      <c r="M197" s="4" t="str">
        <f>HYPERLINK("http://141.218.60.56/~jnz1568/getInfo.php?workbook=02_01.xlsx&amp;sheet=A0&amp;row=197&amp;col=13&amp;number=&amp;sourceID=11","")</f>
        <v/>
      </c>
      <c r="N197" s="4" t="str">
        <f>HYPERLINK("http://141.218.60.56/~jnz1568/getInfo.php?workbook=02_01.xlsx&amp;sheet=A0&amp;row=197&amp;col=14&amp;number=38615000&amp;sourceID=12","38615000")</f>
        <v>38615000</v>
      </c>
      <c r="O197" s="4" t="str">
        <f>HYPERLINK("http://141.218.60.56/~jnz1568/getInfo.php?workbook=02_01.xlsx&amp;sheet=A0&amp;row=197&amp;col=15&amp;number=38615000&amp;sourceID=12","38615000")</f>
        <v>38615000</v>
      </c>
      <c r="P197" s="4" t="str">
        <f>HYPERLINK("http://141.218.60.56/~jnz1568/getInfo.php?workbook=02_01.xlsx&amp;sheet=A0&amp;row=197&amp;col=16&amp;number=&amp;sourceID=12","")</f>
        <v/>
      </c>
      <c r="Q197" s="4" t="str">
        <f>HYPERLINK("http://141.218.60.56/~jnz1568/getInfo.php?workbook=02_01.xlsx&amp;sheet=A0&amp;row=197&amp;col=17&amp;number=1.2239e-05&amp;sourceID=12","1.2239e-05")</f>
        <v>1.2239e-05</v>
      </c>
      <c r="R197" s="4" t="str">
        <f>HYPERLINK("http://141.218.60.56/~jnz1568/getInfo.php?workbook=02_01.xlsx&amp;sheet=A0&amp;row=197&amp;col=18&amp;number=&amp;sourceID=12","")</f>
        <v/>
      </c>
      <c r="S197" s="4" t="str">
        <f>HYPERLINK("http://141.218.60.56/~jnz1568/getInfo.php?workbook=02_01.xlsx&amp;sheet=A0&amp;row=197&amp;col=19&amp;number=9.8997e-06&amp;sourceID=12","9.8997e-06")</f>
        <v>9.8997e-06</v>
      </c>
      <c r="T197" s="4" t="str">
        <f>HYPERLINK("http://141.218.60.56/~jnz1568/getInfo.php?workbook=02_01.xlsx&amp;sheet=A0&amp;row=197&amp;col=20&amp;number=&amp;sourceID=12","")</f>
        <v/>
      </c>
      <c r="U197" s="4" t="str">
        <f>HYPERLINK("http://141.218.60.56/~jnz1568/getInfo.php?workbook=02_01.xlsx&amp;sheet=A0&amp;row=197&amp;col=21&amp;number=&amp;sourceID=13","")</f>
        <v/>
      </c>
      <c r="V197" s="4" t="str">
        <f>HYPERLINK("http://141.218.60.56/~jnz1568/getInfo.php?workbook=02_01.xlsx&amp;sheet=A0&amp;row=197&amp;col=22&amp;number=&amp;sourceID=13","")</f>
        <v/>
      </c>
      <c r="W197" s="4" t="str">
        <f>HYPERLINK("http://141.218.60.56/~jnz1568/getInfo.php?workbook=02_01.xlsx&amp;sheet=A0&amp;row=197&amp;col=23&amp;number=&amp;sourceID=13","")</f>
        <v/>
      </c>
      <c r="X197" s="4" t="str">
        <f>HYPERLINK("http://141.218.60.56/~jnz1568/getInfo.php?workbook=02_01.xlsx&amp;sheet=A0&amp;row=197&amp;col=24&amp;number=&amp;sourceID=13","")</f>
        <v/>
      </c>
      <c r="Y197" s="4" t="str">
        <f>HYPERLINK("http://141.218.60.56/~jnz1568/getInfo.php?workbook=02_01.xlsx&amp;sheet=A0&amp;row=197&amp;col=25&amp;number=&amp;sourceID=13","")</f>
        <v/>
      </c>
      <c r="Z197" s="4" t="str">
        <f>HYPERLINK("http://141.218.60.56/~jnz1568/getInfo.php?workbook=02_01.xlsx&amp;sheet=A0&amp;row=197&amp;col=26&amp;number=&amp;sourceID=13","")</f>
        <v/>
      </c>
      <c r="AA197" s="4" t="str">
        <f>HYPERLINK("http://141.218.60.56/~jnz1568/getInfo.php?workbook=02_01.xlsx&amp;sheet=A0&amp;row=197&amp;col=27&amp;number=&amp;sourceID=20","")</f>
        <v/>
      </c>
    </row>
    <row r="198" spans="1:27">
      <c r="A198" s="3">
        <v>2</v>
      </c>
      <c r="B198" s="3">
        <v>1</v>
      </c>
      <c r="C198" s="3">
        <v>21</v>
      </c>
      <c r="D198" s="3">
        <v>13</v>
      </c>
      <c r="E198" s="3">
        <f>((1/(INDEX(E0!J$4:J$28,C198,1)-INDEX(E0!J$4:J$28,D198,1))))*100000000</f>
        <v>0</v>
      </c>
      <c r="F198" s="4" t="str">
        <f>HYPERLINK("http://141.218.60.56/~jnz1568/getInfo.php?workbook=02_01.xlsx&amp;sheet=A0&amp;row=198&amp;col=6&amp;number=&amp;sourceID=18","")</f>
        <v/>
      </c>
      <c r="G198" s="4" t="str">
        <f>HYPERLINK("http://141.218.60.56/~jnz1568/getInfo.php?workbook=02_01.xlsx&amp;sheet=A0&amp;row=198&amp;col=7&amp;number==&amp;sourceID=11","=")</f>
        <v>=</v>
      </c>
      <c r="H198" s="4" t="str">
        <f>HYPERLINK("http://141.218.60.56/~jnz1568/getInfo.php?workbook=02_01.xlsx&amp;sheet=A0&amp;row=198&amp;col=8&amp;number=&amp;sourceID=11","")</f>
        <v/>
      </c>
      <c r="I198" s="4" t="str">
        <f>HYPERLINK("http://141.218.60.56/~jnz1568/getInfo.php?workbook=02_01.xlsx&amp;sheet=A0&amp;row=198&amp;col=9&amp;number=13.328&amp;sourceID=11","13.328")</f>
        <v>13.328</v>
      </c>
      <c r="J198" s="4" t="str">
        <f>HYPERLINK("http://141.218.60.56/~jnz1568/getInfo.php?workbook=02_01.xlsx&amp;sheet=A0&amp;row=198&amp;col=10&amp;number=&amp;sourceID=11","")</f>
        <v/>
      </c>
      <c r="K198" s="4" t="str">
        <f>HYPERLINK("http://141.218.60.56/~jnz1568/getInfo.php?workbook=02_01.xlsx&amp;sheet=A0&amp;row=198&amp;col=11&amp;number=3.8032e-11&amp;sourceID=11","3.8032e-11")</f>
        <v>3.8032e-11</v>
      </c>
      <c r="L198" s="4" t="str">
        <f>HYPERLINK("http://141.218.60.56/~jnz1568/getInfo.php?workbook=02_01.xlsx&amp;sheet=A0&amp;row=198&amp;col=12&amp;number=&amp;sourceID=11","")</f>
        <v/>
      </c>
      <c r="M198" s="4" t="str">
        <f>HYPERLINK("http://141.218.60.56/~jnz1568/getInfo.php?workbook=02_01.xlsx&amp;sheet=A0&amp;row=198&amp;col=13&amp;number=2.43e-13&amp;sourceID=11","2.43e-13")</f>
        <v>2.43e-13</v>
      </c>
      <c r="N198" s="4" t="str">
        <f>HYPERLINK("http://141.218.60.56/~jnz1568/getInfo.php?workbook=02_01.xlsx&amp;sheet=A0&amp;row=198&amp;col=14&amp;number=13.33&amp;sourceID=12","13.33")</f>
        <v>13.33</v>
      </c>
      <c r="O198" s="4" t="str">
        <f>HYPERLINK("http://141.218.60.56/~jnz1568/getInfo.php?workbook=02_01.xlsx&amp;sheet=A0&amp;row=198&amp;col=15&amp;number=&amp;sourceID=12","")</f>
        <v/>
      </c>
      <c r="P198" s="4" t="str">
        <f>HYPERLINK("http://141.218.60.56/~jnz1568/getInfo.php?workbook=02_01.xlsx&amp;sheet=A0&amp;row=198&amp;col=16&amp;number=13.33&amp;sourceID=12","13.33")</f>
        <v>13.33</v>
      </c>
      <c r="Q198" s="4" t="str">
        <f>HYPERLINK("http://141.218.60.56/~jnz1568/getInfo.php?workbook=02_01.xlsx&amp;sheet=A0&amp;row=198&amp;col=17&amp;number=&amp;sourceID=12","")</f>
        <v/>
      </c>
      <c r="R198" s="4" t="str">
        <f>HYPERLINK("http://141.218.60.56/~jnz1568/getInfo.php?workbook=02_01.xlsx&amp;sheet=A0&amp;row=198&amp;col=18&amp;number=3.8039e-11&amp;sourceID=12","3.8039e-11")</f>
        <v>3.8039e-11</v>
      </c>
      <c r="S198" s="4" t="str">
        <f>HYPERLINK("http://141.218.60.56/~jnz1568/getInfo.php?workbook=02_01.xlsx&amp;sheet=A0&amp;row=198&amp;col=19&amp;number=&amp;sourceID=12","")</f>
        <v/>
      </c>
      <c r="T198" s="4" t="str">
        <f>HYPERLINK("http://141.218.60.56/~jnz1568/getInfo.php?workbook=02_01.xlsx&amp;sheet=A0&amp;row=198&amp;col=20&amp;number=2.43e-13&amp;sourceID=12","2.43e-13")</f>
        <v>2.43e-13</v>
      </c>
      <c r="U198" s="4" t="str">
        <f>HYPERLINK("http://141.218.60.56/~jnz1568/getInfo.php?workbook=02_01.xlsx&amp;sheet=A0&amp;row=198&amp;col=21&amp;number=&amp;sourceID=13","")</f>
        <v/>
      </c>
      <c r="V198" s="4" t="str">
        <f>HYPERLINK("http://141.218.60.56/~jnz1568/getInfo.php?workbook=02_01.xlsx&amp;sheet=A0&amp;row=198&amp;col=22&amp;number=&amp;sourceID=13","")</f>
        <v/>
      </c>
      <c r="W198" s="4" t="str">
        <f>HYPERLINK("http://141.218.60.56/~jnz1568/getInfo.php?workbook=02_01.xlsx&amp;sheet=A0&amp;row=198&amp;col=23&amp;number=&amp;sourceID=13","")</f>
        <v/>
      </c>
      <c r="X198" s="4" t="str">
        <f>HYPERLINK("http://141.218.60.56/~jnz1568/getInfo.php?workbook=02_01.xlsx&amp;sheet=A0&amp;row=198&amp;col=24&amp;number=&amp;sourceID=13","")</f>
        <v/>
      </c>
      <c r="Y198" s="4" t="str">
        <f>HYPERLINK("http://141.218.60.56/~jnz1568/getInfo.php?workbook=02_01.xlsx&amp;sheet=A0&amp;row=198&amp;col=25&amp;number=&amp;sourceID=13","")</f>
        <v/>
      </c>
      <c r="Z198" s="4" t="str">
        <f>HYPERLINK("http://141.218.60.56/~jnz1568/getInfo.php?workbook=02_01.xlsx&amp;sheet=A0&amp;row=198&amp;col=26&amp;number=&amp;sourceID=13","")</f>
        <v/>
      </c>
      <c r="AA198" s="4" t="str">
        <f>HYPERLINK("http://141.218.60.56/~jnz1568/getInfo.php?workbook=02_01.xlsx&amp;sheet=A0&amp;row=198&amp;col=27&amp;number=&amp;sourceID=20","")</f>
        <v/>
      </c>
    </row>
    <row r="199" spans="1:27">
      <c r="A199" s="3">
        <v>2</v>
      </c>
      <c r="B199" s="3">
        <v>1</v>
      </c>
      <c r="C199" s="3">
        <v>21</v>
      </c>
      <c r="D199" s="3">
        <v>14</v>
      </c>
      <c r="E199" s="3">
        <f>((1/(INDEX(E0!J$4:J$28,C199,1)-INDEX(E0!J$4:J$28,D199,1))))*100000000</f>
        <v>0</v>
      </c>
      <c r="F199" s="4" t="str">
        <f>HYPERLINK("http://141.218.60.56/~jnz1568/getInfo.php?workbook=02_01.xlsx&amp;sheet=A0&amp;row=199&amp;col=6&amp;number=&amp;sourceID=18","")</f>
        <v/>
      </c>
      <c r="G199" s="4" t="str">
        <f>HYPERLINK("http://141.218.60.56/~jnz1568/getInfo.php?workbook=02_01.xlsx&amp;sheet=A0&amp;row=199&amp;col=7&amp;number==&amp;sourceID=11","=")</f>
        <v>=</v>
      </c>
      <c r="H199" s="4" t="str">
        <f>HYPERLINK("http://141.218.60.56/~jnz1568/getInfo.php?workbook=02_01.xlsx&amp;sheet=A0&amp;row=199&amp;col=8&amp;number=&amp;sourceID=11","")</f>
        <v/>
      </c>
      <c r="I199" s="4" t="str">
        <f>HYPERLINK("http://141.218.60.56/~jnz1568/getInfo.php?workbook=02_01.xlsx&amp;sheet=A0&amp;row=199&amp;col=9&amp;number=8.3919&amp;sourceID=11","8.3919")</f>
        <v>8.3919</v>
      </c>
      <c r="J199" s="4" t="str">
        <f>HYPERLINK("http://141.218.60.56/~jnz1568/getInfo.php?workbook=02_01.xlsx&amp;sheet=A0&amp;row=199&amp;col=10&amp;number=&amp;sourceID=11","")</f>
        <v/>
      </c>
      <c r="K199" s="4" t="str">
        <f>HYPERLINK("http://141.218.60.56/~jnz1568/getInfo.php?workbook=02_01.xlsx&amp;sheet=A0&amp;row=199&amp;col=11&amp;number=1.3187e-09&amp;sourceID=11","1.3187e-09")</f>
        <v>1.3187e-09</v>
      </c>
      <c r="L199" s="4" t="str">
        <f>HYPERLINK("http://141.218.60.56/~jnz1568/getInfo.php?workbook=02_01.xlsx&amp;sheet=A0&amp;row=199&amp;col=12&amp;number=&amp;sourceID=11","")</f>
        <v/>
      </c>
      <c r="M199" s="4" t="str">
        <f>HYPERLINK("http://141.218.60.56/~jnz1568/getInfo.php?workbook=02_01.xlsx&amp;sheet=A0&amp;row=199&amp;col=13&amp;number=2.065e-12&amp;sourceID=11","2.065e-12")</f>
        <v>2.065e-12</v>
      </c>
      <c r="N199" s="4" t="str">
        <f>HYPERLINK("http://141.218.60.56/~jnz1568/getInfo.php?workbook=02_01.xlsx&amp;sheet=A0&amp;row=199&amp;col=14&amp;number=8.3931&amp;sourceID=12","8.3931")</f>
        <v>8.3931</v>
      </c>
      <c r="O199" s="4" t="str">
        <f>HYPERLINK("http://141.218.60.56/~jnz1568/getInfo.php?workbook=02_01.xlsx&amp;sheet=A0&amp;row=199&amp;col=15&amp;number=&amp;sourceID=12","")</f>
        <v/>
      </c>
      <c r="P199" s="4" t="str">
        <f>HYPERLINK("http://141.218.60.56/~jnz1568/getInfo.php?workbook=02_01.xlsx&amp;sheet=A0&amp;row=199&amp;col=16&amp;number=8.3931&amp;sourceID=12","8.3931")</f>
        <v>8.3931</v>
      </c>
      <c r="Q199" s="4" t="str">
        <f>HYPERLINK("http://141.218.60.56/~jnz1568/getInfo.php?workbook=02_01.xlsx&amp;sheet=A0&amp;row=199&amp;col=17&amp;number=&amp;sourceID=12","")</f>
        <v/>
      </c>
      <c r="R199" s="4" t="str">
        <f>HYPERLINK("http://141.218.60.56/~jnz1568/getInfo.php?workbook=02_01.xlsx&amp;sheet=A0&amp;row=199&amp;col=18&amp;number=1.3122e-09&amp;sourceID=12","1.3122e-09")</f>
        <v>1.3122e-09</v>
      </c>
      <c r="S199" s="4" t="str">
        <f>HYPERLINK("http://141.218.60.56/~jnz1568/getInfo.php?workbook=02_01.xlsx&amp;sheet=A0&amp;row=199&amp;col=19&amp;number=&amp;sourceID=12","")</f>
        <v/>
      </c>
      <c r="T199" s="4" t="str">
        <f>HYPERLINK("http://141.218.60.56/~jnz1568/getInfo.php?workbook=02_01.xlsx&amp;sheet=A0&amp;row=199&amp;col=20&amp;number=2.066e-12&amp;sourceID=12","2.066e-12")</f>
        <v>2.066e-12</v>
      </c>
      <c r="U199" s="4" t="str">
        <f>HYPERLINK("http://141.218.60.56/~jnz1568/getInfo.php?workbook=02_01.xlsx&amp;sheet=A0&amp;row=199&amp;col=21&amp;number=&amp;sourceID=13","")</f>
        <v/>
      </c>
      <c r="V199" s="4" t="str">
        <f>HYPERLINK("http://141.218.60.56/~jnz1568/getInfo.php?workbook=02_01.xlsx&amp;sheet=A0&amp;row=199&amp;col=22&amp;number=&amp;sourceID=13","")</f>
        <v/>
      </c>
      <c r="W199" s="4" t="str">
        <f>HYPERLINK("http://141.218.60.56/~jnz1568/getInfo.php?workbook=02_01.xlsx&amp;sheet=A0&amp;row=199&amp;col=23&amp;number=&amp;sourceID=13","")</f>
        <v/>
      </c>
      <c r="X199" s="4" t="str">
        <f>HYPERLINK("http://141.218.60.56/~jnz1568/getInfo.php?workbook=02_01.xlsx&amp;sheet=A0&amp;row=199&amp;col=24&amp;number=&amp;sourceID=13","")</f>
        <v/>
      </c>
      <c r="Y199" s="4" t="str">
        <f>HYPERLINK("http://141.218.60.56/~jnz1568/getInfo.php?workbook=02_01.xlsx&amp;sheet=A0&amp;row=199&amp;col=25&amp;number=&amp;sourceID=13","")</f>
        <v/>
      </c>
      <c r="Z199" s="4" t="str">
        <f>HYPERLINK("http://141.218.60.56/~jnz1568/getInfo.php?workbook=02_01.xlsx&amp;sheet=A0&amp;row=199&amp;col=26&amp;number=&amp;sourceID=13","")</f>
        <v/>
      </c>
      <c r="AA199" s="4" t="str">
        <f>HYPERLINK("http://141.218.60.56/~jnz1568/getInfo.php?workbook=02_01.xlsx&amp;sheet=A0&amp;row=199&amp;col=27&amp;number=&amp;sourceID=20","")</f>
        <v/>
      </c>
    </row>
    <row r="200" spans="1:27">
      <c r="A200" s="3">
        <v>2</v>
      </c>
      <c r="B200" s="3">
        <v>1</v>
      </c>
      <c r="C200" s="3">
        <v>21</v>
      </c>
      <c r="D200" s="3">
        <v>15</v>
      </c>
      <c r="E200" s="3">
        <f>((1/(INDEX(E0!J$4:J$28,C200,1)-INDEX(E0!J$4:J$28,D200,1))))*100000000</f>
        <v>0</v>
      </c>
      <c r="F200" s="4" t="str">
        <f>HYPERLINK("http://141.218.60.56/~jnz1568/getInfo.php?workbook=02_01.xlsx&amp;sheet=A0&amp;row=200&amp;col=6&amp;number=&amp;sourceID=18","")</f>
        <v/>
      </c>
      <c r="G200" s="4" t="str">
        <f>HYPERLINK("http://141.218.60.56/~jnz1568/getInfo.php?workbook=02_01.xlsx&amp;sheet=A0&amp;row=200&amp;col=7&amp;number==&amp;sourceID=11","=")</f>
        <v>=</v>
      </c>
      <c r="H200" s="4" t="str">
        <f>HYPERLINK("http://141.218.60.56/~jnz1568/getInfo.php?workbook=02_01.xlsx&amp;sheet=A0&amp;row=200&amp;col=8&amp;number=2757900&amp;sourceID=11","2757900")</f>
        <v>2757900</v>
      </c>
      <c r="I200" s="4" t="str">
        <f>HYPERLINK("http://141.218.60.56/~jnz1568/getInfo.php?workbook=02_01.xlsx&amp;sheet=A0&amp;row=200&amp;col=9&amp;number=&amp;sourceID=11","")</f>
        <v/>
      </c>
      <c r="J200" s="4" t="str">
        <f>HYPERLINK("http://141.218.60.56/~jnz1568/getInfo.php?workbook=02_01.xlsx&amp;sheet=A0&amp;row=200&amp;col=10&amp;number=8.157e-06&amp;sourceID=11","8.157e-06")</f>
        <v>8.157e-06</v>
      </c>
      <c r="K200" s="4" t="str">
        <f>HYPERLINK("http://141.218.60.56/~jnz1568/getInfo.php?workbook=02_01.xlsx&amp;sheet=A0&amp;row=200&amp;col=11&amp;number=&amp;sourceID=11","")</f>
        <v/>
      </c>
      <c r="L200" s="4" t="str">
        <f>HYPERLINK("http://141.218.60.56/~jnz1568/getInfo.php?workbook=02_01.xlsx&amp;sheet=A0&amp;row=200&amp;col=12&amp;number=&amp;sourceID=11","")</f>
        <v/>
      </c>
      <c r="M200" s="4" t="str">
        <f>HYPERLINK("http://141.218.60.56/~jnz1568/getInfo.php?workbook=02_01.xlsx&amp;sheet=A0&amp;row=200&amp;col=13&amp;number=&amp;sourceID=11","")</f>
        <v/>
      </c>
      <c r="N200" s="4" t="str">
        <f>HYPERLINK("http://141.218.60.56/~jnz1568/getInfo.php?workbook=02_01.xlsx&amp;sheet=A0&amp;row=200&amp;col=14&amp;number=2758200&amp;sourceID=12","2758200")</f>
        <v>2758200</v>
      </c>
      <c r="O200" s="4" t="str">
        <f>HYPERLINK("http://141.218.60.56/~jnz1568/getInfo.php?workbook=02_01.xlsx&amp;sheet=A0&amp;row=200&amp;col=15&amp;number=2758200&amp;sourceID=12","2758200")</f>
        <v>2758200</v>
      </c>
      <c r="P200" s="4" t="str">
        <f>HYPERLINK("http://141.218.60.56/~jnz1568/getInfo.php?workbook=02_01.xlsx&amp;sheet=A0&amp;row=200&amp;col=16&amp;number=&amp;sourceID=12","")</f>
        <v/>
      </c>
      <c r="Q200" s="4" t="str">
        <f>HYPERLINK("http://141.218.60.56/~jnz1568/getInfo.php?workbook=02_01.xlsx&amp;sheet=A0&amp;row=200&amp;col=17&amp;number=8.1582e-06&amp;sourceID=12","8.1582e-06")</f>
        <v>8.1582e-06</v>
      </c>
      <c r="R200" s="4" t="str">
        <f>HYPERLINK("http://141.218.60.56/~jnz1568/getInfo.php?workbook=02_01.xlsx&amp;sheet=A0&amp;row=200&amp;col=18&amp;number=&amp;sourceID=12","")</f>
        <v/>
      </c>
      <c r="S200" s="4" t="str">
        <f>HYPERLINK("http://141.218.60.56/~jnz1568/getInfo.php?workbook=02_01.xlsx&amp;sheet=A0&amp;row=200&amp;col=19&amp;number=&amp;sourceID=12","")</f>
        <v/>
      </c>
      <c r="T200" s="4" t="str">
        <f>HYPERLINK("http://141.218.60.56/~jnz1568/getInfo.php?workbook=02_01.xlsx&amp;sheet=A0&amp;row=200&amp;col=20&amp;number=&amp;sourceID=12","")</f>
        <v/>
      </c>
      <c r="U200" s="4" t="str">
        <f>HYPERLINK("http://141.218.60.56/~jnz1568/getInfo.php?workbook=02_01.xlsx&amp;sheet=A0&amp;row=200&amp;col=21&amp;number=&amp;sourceID=13","")</f>
        <v/>
      </c>
      <c r="V200" s="4" t="str">
        <f>HYPERLINK("http://141.218.60.56/~jnz1568/getInfo.php?workbook=02_01.xlsx&amp;sheet=A0&amp;row=200&amp;col=22&amp;number=&amp;sourceID=13","")</f>
        <v/>
      </c>
      <c r="W200" s="4" t="str">
        <f>HYPERLINK("http://141.218.60.56/~jnz1568/getInfo.php?workbook=02_01.xlsx&amp;sheet=A0&amp;row=200&amp;col=23&amp;number=&amp;sourceID=13","")</f>
        <v/>
      </c>
      <c r="X200" s="4" t="str">
        <f>HYPERLINK("http://141.218.60.56/~jnz1568/getInfo.php?workbook=02_01.xlsx&amp;sheet=A0&amp;row=200&amp;col=24&amp;number=&amp;sourceID=13","")</f>
        <v/>
      </c>
      <c r="Y200" s="4" t="str">
        <f>HYPERLINK("http://141.218.60.56/~jnz1568/getInfo.php?workbook=02_01.xlsx&amp;sheet=A0&amp;row=200&amp;col=25&amp;number=&amp;sourceID=13","")</f>
        <v/>
      </c>
      <c r="Z200" s="4" t="str">
        <f>HYPERLINK("http://141.218.60.56/~jnz1568/getInfo.php?workbook=02_01.xlsx&amp;sheet=A0&amp;row=200&amp;col=26&amp;number=&amp;sourceID=13","")</f>
        <v/>
      </c>
      <c r="AA200" s="4" t="str">
        <f>HYPERLINK("http://141.218.60.56/~jnz1568/getInfo.php?workbook=02_01.xlsx&amp;sheet=A0&amp;row=200&amp;col=27&amp;number=&amp;sourceID=20","")</f>
        <v/>
      </c>
    </row>
    <row r="201" spans="1:27">
      <c r="A201" s="3">
        <v>2</v>
      </c>
      <c r="B201" s="3">
        <v>1</v>
      </c>
      <c r="C201" s="3">
        <v>21</v>
      </c>
      <c r="D201" s="3">
        <v>16</v>
      </c>
      <c r="E201" s="3">
        <f>((1/(INDEX(E0!J$4:J$28,C201,1)-INDEX(E0!J$4:J$28,D201,1))))*100000000</f>
        <v>0</v>
      </c>
      <c r="F201" s="4" t="str">
        <f>HYPERLINK("http://141.218.60.56/~jnz1568/getInfo.php?workbook=02_01.xlsx&amp;sheet=A0&amp;row=201&amp;col=6&amp;number=&amp;sourceID=18","")</f>
        <v/>
      </c>
      <c r="G201" s="4" t="str">
        <f>HYPERLINK("http://141.218.60.56/~jnz1568/getInfo.php?workbook=02_01.xlsx&amp;sheet=A0&amp;row=201&amp;col=7&amp;number==&amp;sourceID=11","=")</f>
        <v>=</v>
      </c>
      <c r="H201" s="4" t="str">
        <f>HYPERLINK("http://141.218.60.56/~jnz1568/getInfo.php?workbook=02_01.xlsx&amp;sheet=A0&amp;row=201&amp;col=8&amp;number=&amp;sourceID=11","")</f>
        <v/>
      </c>
      <c r="I201" s="4" t="str">
        <f>HYPERLINK("http://141.218.60.56/~jnz1568/getInfo.php?workbook=02_01.xlsx&amp;sheet=A0&amp;row=201&amp;col=9&amp;number=1.3986&amp;sourceID=11","1.3986")</f>
        <v>1.3986</v>
      </c>
      <c r="J201" s="4" t="str">
        <f>HYPERLINK("http://141.218.60.56/~jnz1568/getInfo.php?workbook=02_01.xlsx&amp;sheet=A0&amp;row=201&amp;col=10&amp;number=&amp;sourceID=11","")</f>
        <v/>
      </c>
      <c r="K201" s="4" t="str">
        <f>HYPERLINK("http://141.218.60.56/~jnz1568/getInfo.php?workbook=02_01.xlsx&amp;sheet=A0&amp;row=201&amp;col=11&amp;number=1.2256e-09&amp;sourceID=11","1.2256e-09")</f>
        <v>1.2256e-09</v>
      </c>
      <c r="L201" s="4" t="str">
        <f>HYPERLINK("http://141.218.60.56/~jnz1568/getInfo.php?workbook=02_01.xlsx&amp;sheet=A0&amp;row=201&amp;col=12&amp;number=&amp;sourceID=11","")</f>
        <v/>
      </c>
      <c r="M201" s="4" t="str">
        <f>HYPERLINK("http://141.218.60.56/~jnz1568/getInfo.php?workbook=02_01.xlsx&amp;sheet=A0&amp;row=201&amp;col=13&amp;number=2.55e-13&amp;sourceID=11","2.55e-13")</f>
        <v>2.55e-13</v>
      </c>
      <c r="N201" s="4" t="str">
        <f>HYPERLINK("http://141.218.60.56/~jnz1568/getInfo.php?workbook=02_01.xlsx&amp;sheet=A0&amp;row=201&amp;col=14&amp;number=1.3988&amp;sourceID=12","1.3988")</f>
        <v>1.3988</v>
      </c>
      <c r="O201" s="4" t="str">
        <f>HYPERLINK("http://141.218.60.56/~jnz1568/getInfo.php?workbook=02_01.xlsx&amp;sheet=A0&amp;row=201&amp;col=15&amp;number=&amp;sourceID=12","")</f>
        <v/>
      </c>
      <c r="P201" s="4" t="str">
        <f>HYPERLINK("http://141.218.60.56/~jnz1568/getInfo.php?workbook=02_01.xlsx&amp;sheet=A0&amp;row=201&amp;col=16&amp;number=1.3988&amp;sourceID=12","1.3988")</f>
        <v>1.3988</v>
      </c>
      <c r="Q201" s="4" t="str">
        <f>HYPERLINK("http://141.218.60.56/~jnz1568/getInfo.php?workbook=02_01.xlsx&amp;sheet=A0&amp;row=201&amp;col=17&amp;number=&amp;sourceID=12","")</f>
        <v/>
      </c>
      <c r="R201" s="4" t="str">
        <f>HYPERLINK("http://141.218.60.56/~jnz1568/getInfo.php?workbook=02_01.xlsx&amp;sheet=A0&amp;row=201&amp;col=18&amp;number=1.224e-09&amp;sourceID=12","1.224e-09")</f>
        <v>1.224e-09</v>
      </c>
      <c r="S201" s="4" t="str">
        <f>HYPERLINK("http://141.218.60.56/~jnz1568/getInfo.php?workbook=02_01.xlsx&amp;sheet=A0&amp;row=201&amp;col=19&amp;number=&amp;sourceID=12","")</f>
        <v/>
      </c>
      <c r="T201" s="4" t="str">
        <f>HYPERLINK("http://141.218.60.56/~jnz1568/getInfo.php?workbook=02_01.xlsx&amp;sheet=A0&amp;row=201&amp;col=20&amp;number=2.55e-13&amp;sourceID=12","2.55e-13")</f>
        <v>2.55e-13</v>
      </c>
      <c r="U201" s="4" t="str">
        <f>HYPERLINK("http://141.218.60.56/~jnz1568/getInfo.php?workbook=02_01.xlsx&amp;sheet=A0&amp;row=201&amp;col=21&amp;number=&amp;sourceID=13","")</f>
        <v/>
      </c>
      <c r="V201" s="4" t="str">
        <f>HYPERLINK("http://141.218.60.56/~jnz1568/getInfo.php?workbook=02_01.xlsx&amp;sheet=A0&amp;row=201&amp;col=22&amp;number=&amp;sourceID=13","")</f>
        <v/>
      </c>
      <c r="W201" s="4" t="str">
        <f>HYPERLINK("http://141.218.60.56/~jnz1568/getInfo.php?workbook=02_01.xlsx&amp;sheet=A0&amp;row=201&amp;col=23&amp;number=&amp;sourceID=13","")</f>
        <v/>
      </c>
      <c r="X201" s="4" t="str">
        <f>HYPERLINK("http://141.218.60.56/~jnz1568/getInfo.php?workbook=02_01.xlsx&amp;sheet=A0&amp;row=201&amp;col=24&amp;number=&amp;sourceID=13","")</f>
        <v/>
      </c>
      <c r="Y201" s="4" t="str">
        <f>HYPERLINK("http://141.218.60.56/~jnz1568/getInfo.php?workbook=02_01.xlsx&amp;sheet=A0&amp;row=201&amp;col=25&amp;number=&amp;sourceID=13","")</f>
        <v/>
      </c>
      <c r="Z201" s="4" t="str">
        <f>HYPERLINK("http://141.218.60.56/~jnz1568/getInfo.php?workbook=02_01.xlsx&amp;sheet=A0&amp;row=201&amp;col=26&amp;number=&amp;sourceID=13","")</f>
        <v/>
      </c>
      <c r="AA201" s="4" t="str">
        <f>HYPERLINK("http://141.218.60.56/~jnz1568/getInfo.php?workbook=02_01.xlsx&amp;sheet=A0&amp;row=201&amp;col=27&amp;number=&amp;sourceID=20","")</f>
        <v/>
      </c>
    </row>
    <row r="202" spans="1:27">
      <c r="A202" s="3">
        <v>2</v>
      </c>
      <c r="B202" s="3">
        <v>1</v>
      </c>
      <c r="C202" s="3">
        <v>21</v>
      </c>
      <c r="D202" s="3">
        <v>17</v>
      </c>
      <c r="E202" s="3">
        <f>((1/(INDEX(E0!J$4:J$28,C202,1)-INDEX(E0!J$4:J$28,D202,1))))*100000000</f>
        <v>0</v>
      </c>
      <c r="F202" s="4" t="str">
        <f>HYPERLINK("http://141.218.60.56/~jnz1568/getInfo.php?workbook=02_01.xlsx&amp;sheet=A0&amp;row=202&amp;col=6&amp;number=&amp;sourceID=18","")</f>
        <v/>
      </c>
      <c r="G202" s="4" t="str">
        <f>HYPERLINK("http://141.218.60.56/~jnz1568/getInfo.php?workbook=02_01.xlsx&amp;sheet=A0&amp;row=202&amp;col=7&amp;number==&amp;sourceID=11","=")</f>
        <v>=</v>
      </c>
      <c r="H202" s="4" t="str">
        <f>HYPERLINK("http://141.218.60.56/~jnz1568/getInfo.php?workbook=02_01.xlsx&amp;sheet=A0&amp;row=202&amp;col=8&amp;number=&amp;sourceID=11","")</f>
        <v/>
      </c>
      <c r="I202" s="4" t="str">
        <f>HYPERLINK("http://141.218.60.56/~jnz1568/getInfo.php?workbook=02_01.xlsx&amp;sheet=A0&amp;row=202&amp;col=9&amp;number=0&amp;sourceID=11","0")</f>
        <v>0</v>
      </c>
      <c r="J202" s="4" t="str">
        <f>HYPERLINK("http://141.218.60.56/~jnz1568/getInfo.php?workbook=02_01.xlsx&amp;sheet=A0&amp;row=202&amp;col=10&amp;number=&amp;sourceID=11","")</f>
        <v/>
      </c>
      <c r="K202" s="4" t="str">
        <f>HYPERLINK("http://141.218.60.56/~jnz1568/getInfo.php?workbook=02_01.xlsx&amp;sheet=A0&amp;row=202&amp;col=11&amp;number=&amp;sourceID=11","")</f>
        <v/>
      </c>
      <c r="L202" s="4" t="str">
        <f>HYPERLINK("http://141.218.60.56/~jnz1568/getInfo.php?workbook=02_01.xlsx&amp;sheet=A0&amp;row=202&amp;col=12&amp;number=&amp;sourceID=11","")</f>
        <v/>
      </c>
      <c r="M202" s="4" t="str">
        <f>HYPERLINK("http://141.218.60.56/~jnz1568/getInfo.php?workbook=02_01.xlsx&amp;sheet=A0&amp;row=202&amp;col=13&amp;number=0&amp;sourceID=11","0")</f>
        <v>0</v>
      </c>
      <c r="N202" s="4" t="str">
        <f>HYPERLINK("http://141.218.60.56/~jnz1568/getInfo.php?workbook=02_01.xlsx&amp;sheet=A0&amp;row=202&amp;col=14&amp;number=0&amp;sourceID=12","0")</f>
        <v>0</v>
      </c>
      <c r="O202" s="4" t="str">
        <f>HYPERLINK("http://141.218.60.56/~jnz1568/getInfo.php?workbook=02_01.xlsx&amp;sheet=A0&amp;row=202&amp;col=15&amp;number=&amp;sourceID=12","")</f>
        <v/>
      </c>
      <c r="P202" s="4" t="str">
        <f>HYPERLINK("http://141.218.60.56/~jnz1568/getInfo.php?workbook=02_01.xlsx&amp;sheet=A0&amp;row=202&amp;col=16&amp;number=0&amp;sourceID=12","0")</f>
        <v>0</v>
      </c>
      <c r="Q202" s="4" t="str">
        <f>HYPERLINK("http://141.218.60.56/~jnz1568/getInfo.php?workbook=02_01.xlsx&amp;sheet=A0&amp;row=202&amp;col=17&amp;number=&amp;sourceID=12","")</f>
        <v/>
      </c>
      <c r="R202" s="4" t="str">
        <f>HYPERLINK("http://141.218.60.56/~jnz1568/getInfo.php?workbook=02_01.xlsx&amp;sheet=A0&amp;row=202&amp;col=18&amp;number=&amp;sourceID=12","")</f>
        <v/>
      </c>
      <c r="S202" s="4" t="str">
        <f>HYPERLINK("http://141.218.60.56/~jnz1568/getInfo.php?workbook=02_01.xlsx&amp;sheet=A0&amp;row=202&amp;col=19&amp;number=&amp;sourceID=12","")</f>
        <v/>
      </c>
      <c r="T202" s="4" t="str">
        <f>HYPERLINK("http://141.218.60.56/~jnz1568/getInfo.php?workbook=02_01.xlsx&amp;sheet=A0&amp;row=202&amp;col=20&amp;number=0&amp;sourceID=12","0")</f>
        <v>0</v>
      </c>
      <c r="U202" s="4" t="str">
        <f>HYPERLINK("http://141.218.60.56/~jnz1568/getInfo.php?workbook=02_01.xlsx&amp;sheet=A0&amp;row=202&amp;col=21&amp;number=&amp;sourceID=13","")</f>
        <v/>
      </c>
      <c r="V202" s="4" t="str">
        <f>HYPERLINK("http://141.218.60.56/~jnz1568/getInfo.php?workbook=02_01.xlsx&amp;sheet=A0&amp;row=202&amp;col=22&amp;number=&amp;sourceID=13","")</f>
        <v/>
      </c>
      <c r="W202" s="4" t="str">
        <f>HYPERLINK("http://141.218.60.56/~jnz1568/getInfo.php?workbook=02_01.xlsx&amp;sheet=A0&amp;row=202&amp;col=23&amp;number=&amp;sourceID=13","")</f>
        <v/>
      </c>
      <c r="X202" s="4" t="str">
        <f>HYPERLINK("http://141.218.60.56/~jnz1568/getInfo.php?workbook=02_01.xlsx&amp;sheet=A0&amp;row=202&amp;col=24&amp;number=&amp;sourceID=13","")</f>
        <v/>
      </c>
      <c r="Y202" s="4" t="str">
        <f>HYPERLINK("http://141.218.60.56/~jnz1568/getInfo.php?workbook=02_01.xlsx&amp;sheet=A0&amp;row=202&amp;col=25&amp;number=&amp;sourceID=13","")</f>
        <v/>
      </c>
      <c r="Z202" s="4" t="str">
        <f>HYPERLINK("http://141.218.60.56/~jnz1568/getInfo.php?workbook=02_01.xlsx&amp;sheet=A0&amp;row=202&amp;col=26&amp;number=&amp;sourceID=13","")</f>
        <v/>
      </c>
      <c r="AA202" s="4" t="str">
        <f>HYPERLINK("http://141.218.60.56/~jnz1568/getInfo.php?workbook=02_01.xlsx&amp;sheet=A0&amp;row=202&amp;col=27&amp;number=&amp;sourceID=20","")</f>
        <v/>
      </c>
    </row>
    <row r="203" spans="1:27">
      <c r="A203" s="3">
        <v>2</v>
      </c>
      <c r="B203" s="3">
        <v>1</v>
      </c>
      <c r="C203" s="3">
        <v>21</v>
      </c>
      <c r="D203" s="3">
        <v>18</v>
      </c>
      <c r="E203" s="3">
        <f>((1/(INDEX(E0!J$4:J$28,C203,1)-INDEX(E0!J$4:J$28,D203,1))))*100000000</f>
        <v>0</v>
      </c>
      <c r="F203" s="4" t="str">
        <f>HYPERLINK("http://141.218.60.56/~jnz1568/getInfo.php?workbook=02_01.xlsx&amp;sheet=A0&amp;row=203&amp;col=6&amp;number=&amp;sourceID=18","")</f>
        <v/>
      </c>
      <c r="G203" s="4" t="str">
        <f>HYPERLINK("http://141.218.60.56/~jnz1568/getInfo.php?workbook=02_01.xlsx&amp;sheet=A0&amp;row=203&amp;col=7&amp;number==&amp;sourceID=11","=")</f>
        <v>=</v>
      </c>
      <c r="H203" s="4" t="str">
        <f>HYPERLINK("http://141.218.60.56/~jnz1568/getInfo.php?workbook=02_01.xlsx&amp;sheet=A0&amp;row=203&amp;col=8&amp;number=&amp;sourceID=11","")</f>
        <v/>
      </c>
      <c r="I203" s="4" t="str">
        <f>HYPERLINK("http://141.218.60.56/~jnz1568/getInfo.php?workbook=02_01.xlsx&amp;sheet=A0&amp;row=203&amp;col=9&amp;number=&amp;sourceID=11","")</f>
        <v/>
      </c>
      <c r="J203" s="4" t="str">
        <f>HYPERLINK("http://141.218.60.56/~jnz1568/getInfo.php?workbook=02_01.xlsx&amp;sheet=A0&amp;row=203&amp;col=10&amp;number=0&amp;sourceID=11","0")</f>
        <v>0</v>
      </c>
      <c r="K203" s="4" t="str">
        <f>HYPERLINK("http://141.218.60.56/~jnz1568/getInfo.php?workbook=02_01.xlsx&amp;sheet=A0&amp;row=203&amp;col=11&amp;number=&amp;sourceID=11","")</f>
        <v/>
      </c>
      <c r="L203" s="4" t="str">
        <f>HYPERLINK("http://141.218.60.56/~jnz1568/getInfo.php?workbook=02_01.xlsx&amp;sheet=A0&amp;row=203&amp;col=12&amp;number=0&amp;sourceID=11","0")</f>
        <v>0</v>
      </c>
      <c r="M203" s="4" t="str">
        <f>HYPERLINK("http://141.218.60.56/~jnz1568/getInfo.php?workbook=02_01.xlsx&amp;sheet=A0&amp;row=203&amp;col=13&amp;number=&amp;sourceID=11","")</f>
        <v/>
      </c>
      <c r="N203" s="4" t="str">
        <f>HYPERLINK("http://141.218.60.56/~jnz1568/getInfo.php?workbook=02_01.xlsx&amp;sheet=A0&amp;row=203&amp;col=14&amp;number=0&amp;sourceID=12","0")</f>
        <v>0</v>
      </c>
      <c r="O203" s="4" t="str">
        <f>HYPERLINK("http://141.218.60.56/~jnz1568/getInfo.php?workbook=02_01.xlsx&amp;sheet=A0&amp;row=203&amp;col=15&amp;number=&amp;sourceID=12","")</f>
        <v/>
      </c>
      <c r="P203" s="4" t="str">
        <f>HYPERLINK("http://141.218.60.56/~jnz1568/getInfo.php?workbook=02_01.xlsx&amp;sheet=A0&amp;row=203&amp;col=16&amp;number=&amp;sourceID=12","")</f>
        <v/>
      </c>
      <c r="Q203" s="4" t="str">
        <f>HYPERLINK("http://141.218.60.56/~jnz1568/getInfo.php?workbook=02_01.xlsx&amp;sheet=A0&amp;row=203&amp;col=17&amp;number=0&amp;sourceID=12","0")</f>
        <v>0</v>
      </c>
      <c r="R203" s="4" t="str">
        <f>HYPERLINK("http://141.218.60.56/~jnz1568/getInfo.php?workbook=02_01.xlsx&amp;sheet=A0&amp;row=203&amp;col=18&amp;number=&amp;sourceID=12","")</f>
        <v/>
      </c>
      <c r="S203" s="4" t="str">
        <f>HYPERLINK("http://141.218.60.56/~jnz1568/getInfo.php?workbook=02_01.xlsx&amp;sheet=A0&amp;row=203&amp;col=19&amp;number=0&amp;sourceID=12","0")</f>
        <v>0</v>
      </c>
      <c r="T203" s="4" t="str">
        <f>HYPERLINK("http://141.218.60.56/~jnz1568/getInfo.php?workbook=02_01.xlsx&amp;sheet=A0&amp;row=203&amp;col=20&amp;number=&amp;sourceID=12","")</f>
        <v/>
      </c>
      <c r="U203" s="4" t="str">
        <f>HYPERLINK("http://141.218.60.56/~jnz1568/getInfo.php?workbook=02_01.xlsx&amp;sheet=A0&amp;row=203&amp;col=21&amp;number=&amp;sourceID=13","")</f>
        <v/>
      </c>
      <c r="V203" s="4" t="str">
        <f>HYPERLINK("http://141.218.60.56/~jnz1568/getInfo.php?workbook=02_01.xlsx&amp;sheet=A0&amp;row=203&amp;col=22&amp;number=&amp;sourceID=13","")</f>
        <v/>
      </c>
      <c r="W203" s="4" t="str">
        <f>HYPERLINK("http://141.218.60.56/~jnz1568/getInfo.php?workbook=02_01.xlsx&amp;sheet=A0&amp;row=203&amp;col=23&amp;number=&amp;sourceID=13","")</f>
        <v/>
      </c>
      <c r="X203" s="4" t="str">
        <f>HYPERLINK("http://141.218.60.56/~jnz1568/getInfo.php?workbook=02_01.xlsx&amp;sheet=A0&amp;row=203&amp;col=24&amp;number=&amp;sourceID=13","")</f>
        <v/>
      </c>
      <c r="Y203" s="4" t="str">
        <f>HYPERLINK("http://141.218.60.56/~jnz1568/getInfo.php?workbook=02_01.xlsx&amp;sheet=A0&amp;row=203&amp;col=25&amp;number=&amp;sourceID=13","")</f>
        <v/>
      </c>
      <c r="Z203" s="4" t="str">
        <f>HYPERLINK("http://141.218.60.56/~jnz1568/getInfo.php?workbook=02_01.xlsx&amp;sheet=A0&amp;row=203&amp;col=26&amp;number=&amp;sourceID=13","")</f>
        <v/>
      </c>
      <c r="AA203" s="4" t="str">
        <f>HYPERLINK("http://141.218.60.56/~jnz1568/getInfo.php?workbook=02_01.xlsx&amp;sheet=A0&amp;row=203&amp;col=27&amp;number=&amp;sourceID=20","")</f>
        <v/>
      </c>
    </row>
    <row r="204" spans="1:27">
      <c r="A204" s="3">
        <v>2</v>
      </c>
      <c r="B204" s="3">
        <v>1</v>
      </c>
      <c r="C204" s="3">
        <v>21</v>
      </c>
      <c r="D204" s="3">
        <v>19</v>
      </c>
      <c r="E204" s="3">
        <f>((1/(INDEX(E0!J$4:J$28,C204,1)-INDEX(E0!J$4:J$28,D204,1))))*100000000</f>
        <v>0</v>
      </c>
      <c r="F204" s="4" t="str">
        <f>HYPERLINK("http://141.218.60.56/~jnz1568/getInfo.php?workbook=02_01.xlsx&amp;sheet=A0&amp;row=204&amp;col=6&amp;number=&amp;sourceID=18","")</f>
        <v/>
      </c>
      <c r="G204" s="4" t="str">
        <f>HYPERLINK("http://141.218.60.56/~jnz1568/getInfo.php?workbook=02_01.xlsx&amp;sheet=A0&amp;row=204&amp;col=7&amp;number==&amp;sourceID=11","=")</f>
        <v>=</v>
      </c>
      <c r="H204" s="4" t="str">
        <f>HYPERLINK("http://141.218.60.56/~jnz1568/getInfo.php?workbook=02_01.xlsx&amp;sheet=A0&amp;row=204&amp;col=8&amp;number=3.5329e-07&amp;sourceID=11","3.5329e-07")</f>
        <v>3.5329e-07</v>
      </c>
      <c r="I204" s="4" t="str">
        <f>HYPERLINK("http://141.218.60.56/~jnz1568/getInfo.php?workbook=02_01.xlsx&amp;sheet=A0&amp;row=204&amp;col=9&amp;number=&amp;sourceID=11","")</f>
        <v/>
      </c>
      <c r="J204" s="4" t="str">
        <f>HYPERLINK("http://141.218.60.56/~jnz1568/getInfo.php?workbook=02_01.xlsx&amp;sheet=A0&amp;row=204&amp;col=10&amp;number=0&amp;sourceID=11","0")</f>
        <v>0</v>
      </c>
      <c r="K204" s="4" t="str">
        <f>HYPERLINK("http://141.218.60.56/~jnz1568/getInfo.php?workbook=02_01.xlsx&amp;sheet=A0&amp;row=204&amp;col=11&amp;number=&amp;sourceID=11","")</f>
        <v/>
      </c>
      <c r="L204" s="4" t="str">
        <f>HYPERLINK("http://141.218.60.56/~jnz1568/getInfo.php?workbook=02_01.xlsx&amp;sheet=A0&amp;row=204&amp;col=12&amp;number=0&amp;sourceID=11","0")</f>
        <v>0</v>
      </c>
      <c r="M204" s="4" t="str">
        <f>HYPERLINK("http://141.218.60.56/~jnz1568/getInfo.php?workbook=02_01.xlsx&amp;sheet=A0&amp;row=204&amp;col=13&amp;number=&amp;sourceID=11","")</f>
        <v/>
      </c>
      <c r="N204" s="4" t="str">
        <f>HYPERLINK("http://141.218.60.56/~jnz1568/getInfo.php?workbook=02_01.xlsx&amp;sheet=A0&amp;row=204&amp;col=14&amp;number=3.5444e-07&amp;sourceID=12","3.5444e-07")</f>
        <v>3.5444e-07</v>
      </c>
      <c r="O204" s="4" t="str">
        <f>HYPERLINK("http://141.218.60.56/~jnz1568/getInfo.php?workbook=02_01.xlsx&amp;sheet=A0&amp;row=204&amp;col=15&amp;number=3.5444e-07&amp;sourceID=12","3.5444e-07")</f>
        <v>3.5444e-07</v>
      </c>
      <c r="P204" s="4" t="str">
        <f>HYPERLINK("http://141.218.60.56/~jnz1568/getInfo.php?workbook=02_01.xlsx&amp;sheet=A0&amp;row=204&amp;col=16&amp;number=&amp;sourceID=12","")</f>
        <v/>
      </c>
      <c r="Q204" s="4" t="str">
        <f>HYPERLINK("http://141.218.60.56/~jnz1568/getInfo.php?workbook=02_01.xlsx&amp;sheet=A0&amp;row=204&amp;col=17&amp;number=0&amp;sourceID=12","0")</f>
        <v>0</v>
      </c>
      <c r="R204" s="4" t="str">
        <f>HYPERLINK("http://141.218.60.56/~jnz1568/getInfo.php?workbook=02_01.xlsx&amp;sheet=A0&amp;row=204&amp;col=18&amp;number=&amp;sourceID=12","")</f>
        <v/>
      </c>
      <c r="S204" s="4" t="str">
        <f>HYPERLINK("http://141.218.60.56/~jnz1568/getInfo.php?workbook=02_01.xlsx&amp;sheet=A0&amp;row=204&amp;col=19&amp;number=0&amp;sourceID=12","0")</f>
        <v>0</v>
      </c>
      <c r="T204" s="4" t="str">
        <f>HYPERLINK("http://141.218.60.56/~jnz1568/getInfo.php?workbook=02_01.xlsx&amp;sheet=A0&amp;row=204&amp;col=20&amp;number=&amp;sourceID=12","")</f>
        <v/>
      </c>
      <c r="U204" s="4" t="str">
        <f>HYPERLINK("http://141.218.60.56/~jnz1568/getInfo.php?workbook=02_01.xlsx&amp;sheet=A0&amp;row=204&amp;col=21&amp;number=&amp;sourceID=13","")</f>
        <v/>
      </c>
      <c r="V204" s="4" t="str">
        <f>HYPERLINK("http://141.218.60.56/~jnz1568/getInfo.php?workbook=02_01.xlsx&amp;sheet=A0&amp;row=204&amp;col=22&amp;number=&amp;sourceID=13","")</f>
        <v/>
      </c>
      <c r="W204" s="4" t="str">
        <f>HYPERLINK("http://141.218.60.56/~jnz1568/getInfo.php?workbook=02_01.xlsx&amp;sheet=A0&amp;row=204&amp;col=23&amp;number=&amp;sourceID=13","")</f>
        <v/>
      </c>
      <c r="X204" s="4" t="str">
        <f>HYPERLINK("http://141.218.60.56/~jnz1568/getInfo.php?workbook=02_01.xlsx&amp;sheet=A0&amp;row=204&amp;col=24&amp;number=&amp;sourceID=13","")</f>
        <v/>
      </c>
      <c r="Y204" s="4" t="str">
        <f>HYPERLINK("http://141.218.60.56/~jnz1568/getInfo.php?workbook=02_01.xlsx&amp;sheet=A0&amp;row=204&amp;col=25&amp;number=&amp;sourceID=13","")</f>
        <v/>
      </c>
      <c r="Z204" s="4" t="str">
        <f>HYPERLINK("http://141.218.60.56/~jnz1568/getInfo.php?workbook=02_01.xlsx&amp;sheet=A0&amp;row=204&amp;col=26&amp;number=&amp;sourceID=13","")</f>
        <v/>
      </c>
      <c r="AA204" s="4" t="str">
        <f>HYPERLINK("http://141.218.60.56/~jnz1568/getInfo.php?workbook=02_01.xlsx&amp;sheet=A0&amp;row=204&amp;col=27&amp;number=&amp;sourceID=20","")</f>
        <v/>
      </c>
    </row>
    <row r="205" spans="1:27">
      <c r="A205" s="3">
        <v>2</v>
      </c>
      <c r="B205" s="3">
        <v>1</v>
      </c>
      <c r="C205" s="3">
        <v>21</v>
      </c>
      <c r="D205" s="3">
        <v>20</v>
      </c>
      <c r="E205" s="3">
        <f>((1/(INDEX(E0!J$4:J$28,C205,1)-INDEX(E0!J$4:J$28,D205,1))))*100000000</f>
        <v>0</v>
      </c>
      <c r="F205" s="4" t="str">
        <f>HYPERLINK("http://141.218.60.56/~jnz1568/getInfo.php?workbook=02_01.xlsx&amp;sheet=A0&amp;row=205&amp;col=6&amp;number=&amp;sourceID=18","")</f>
        <v/>
      </c>
      <c r="G205" s="4" t="str">
        <f>HYPERLINK("http://141.218.60.56/~jnz1568/getInfo.php?workbook=02_01.xlsx&amp;sheet=A0&amp;row=205&amp;col=7&amp;number==&amp;sourceID=11","=")</f>
        <v>=</v>
      </c>
      <c r="H205" s="4" t="str">
        <f>HYPERLINK("http://141.218.60.56/~jnz1568/getInfo.php?workbook=02_01.xlsx&amp;sheet=A0&amp;row=205&amp;col=8&amp;number=&amp;sourceID=11","")</f>
        <v/>
      </c>
      <c r="I205" s="4" t="str">
        <f>HYPERLINK("http://141.218.60.56/~jnz1568/getInfo.php?workbook=02_01.xlsx&amp;sheet=A0&amp;row=205&amp;col=9&amp;number=0&amp;sourceID=11","0")</f>
        <v>0</v>
      </c>
      <c r="J205" s="4" t="str">
        <f>HYPERLINK("http://141.218.60.56/~jnz1568/getInfo.php?workbook=02_01.xlsx&amp;sheet=A0&amp;row=205&amp;col=10&amp;number=&amp;sourceID=11","")</f>
        <v/>
      </c>
      <c r="K205" s="4" t="str">
        <f>HYPERLINK("http://141.218.60.56/~jnz1568/getInfo.php?workbook=02_01.xlsx&amp;sheet=A0&amp;row=205&amp;col=11&amp;number=0&amp;sourceID=11","0")</f>
        <v>0</v>
      </c>
      <c r="L205" s="4" t="str">
        <f>HYPERLINK("http://141.218.60.56/~jnz1568/getInfo.php?workbook=02_01.xlsx&amp;sheet=A0&amp;row=205&amp;col=12&amp;number=&amp;sourceID=11","")</f>
        <v/>
      </c>
      <c r="M205" s="4" t="str">
        <f>HYPERLINK("http://141.218.60.56/~jnz1568/getInfo.php?workbook=02_01.xlsx&amp;sheet=A0&amp;row=205&amp;col=13&amp;number=0&amp;sourceID=11","0")</f>
        <v>0</v>
      </c>
      <c r="N205" s="4" t="str">
        <f>HYPERLINK("http://141.218.60.56/~jnz1568/getInfo.php?workbook=02_01.xlsx&amp;sheet=A0&amp;row=205&amp;col=14&amp;number=0&amp;sourceID=12","0")</f>
        <v>0</v>
      </c>
      <c r="O205" s="4" t="str">
        <f>HYPERLINK("http://141.218.60.56/~jnz1568/getInfo.php?workbook=02_01.xlsx&amp;sheet=A0&amp;row=205&amp;col=15&amp;number=&amp;sourceID=12","")</f>
        <v/>
      </c>
      <c r="P205" s="4" t="str">
        <f>HYPERLINK("http://141.218.60.56/~jnz1568/getInfo.php?workbook=02_01.xlsx&amp;sheet=A0&amp;row=205&amp;col=16&amp;number=0&amp;sourceID=12","0")</f>
        <v>0</v>
      </c>
      <c r="Q205" s="4" t="str">
        <f>HYPERLINK("http://141.218.60.56/~jnz1568/getInfo.php?workbook=02_01.xlsx&amp;sheet=A0&amp;row=205&amp;col=17&amp;number=&amp;sourceID=12","")</f>
        <v/>
      </c>
      <c r="R205" s="4" t="str">
        <f>HYPERLINK("http://141.218.60.56/~jnz1568/getInfo.php?workbook=02_01.xlsx&amp;sheet=A0&amp;row=205&amp;col=18&amp;number=0&amp;sourceID=12","0")</f>
        <v>0</v>
      </c>
      <c r="S205" s="4" t="str">
        <f>HYPERLINK("http://141.218.60.56/~jnz1568/getInfo.php?workbook=02_01.xlsx&amp;sheet=A0&amp;row=205&amp;col=19&amp;number=&amp;sourceID=12","")</f>
        <v/>
      </c>
      <c r="T205" s="4" t="str">
        <f>HYPERLINK("http://141.218.60.56/~jnz1568/getInfo.php?workbook=02_01.xlsx&amp;sheet=A0&amp;row=205&amp;col=20&amp;number=0&amp;sourceID=12","0")</f>
        <v>0</v>
      </c>
      <c r="U205" s="4" t="str">
        <f>HYPERLINK("http://141.218.60.56/~jnz1568/getInfo.php?workbook=02_01.xlsx&amp;sheet=A0&amp;row=205&amp;col=21&amp;number=&amp;sourceID=13","")</f>
        <v/>
      </c>
      <c r="V205" s="4" t="str">
        <f>HYPERLINK("http://141.218.60.56/~jnz1568/getInfo.php?workbook=02_01.xlsx&amp;sheet=A0&amp;row=205&amp;col=22&amp;number=&amp;sourceID=13","")</f>
        <v/>
      </c>
      <c r="W205" s="4" t="str">
        <f>HYPERLINK("http://141.218.60.56/~jnz1568/getInfo.php?workbook=02_01.xlsx&amp;sheet=A0&amp;row=205&amp;col=23&amp;number=&amp;sourceID=13","")</f>
        <v/>
      </c>
      <c r="X205" s="4" t="str">
        <f>HYPERLINK("http://141.218.60.56/~jnz1568/getInfo.php?workbook=02_01.xlsx&amp;sheet=A0&amp;row=205&amp;col=24&amp;number=&amp;sourceID=13","")</f>
        <v/>
      </c>
      <c r="Y205" s="4" t="str">
        <f>HYPERLINK("http://141.218.60.56/~jnz1568/getInfo.php?workbook=02_01.xlsx&amp;sheet=A0&amp;row=205&amp;col=25&amp;number=&amp;sourceID=13","")</f>
        <v/>
      </c>
      <c r="Z205" s="4" t="str">
        <f>HYPERLINK("http://141.218.60.56/~jnz1568/getInfo.php?workbook=02_01.xlsx&amp;sheet=A0&amp;row=205&amp;col=26&amp;number=&amp;sourceID=13","")</f>
        <v/>
      </c>
      <c r="AA205" s="4" t="str">
        <f>HYPERLINK("http://141.218.60.56/~jnz1568/getInfo.php?workbook=02_01.xlsx&amp;sheet=A0&amp;row=205&amp;col=27&amp;number=&amp;sourceID=20","")</f>
        <v/>
      </c>
    </row>
    <row r="206" spans="1:27">
      <c r="A206" s="3">
        <v>2</v>
      </c>
      <c r="B206" s="3">
        <v>1</v>
      </c>
      <c r="C206" s="3">
        <v>22</v>
      </c>
      <c r="D206" s="3">
        <v>1</v>
      </c>
      <c r="E206" s="3">
        <f>((1/(INDEX(E0!J$4:J$28,C206,1)-INDEX(E0!J$4:J$28,D206,1))))*100000000</f>
        <v>0</v>
      </c>
      <c r="F206" s="4" t="str">
        <f>HYPERLINK("http://141.218.60.56/~jnz1568/getInfo.php?workbook=02_01.xlsx&amp;sheet=A0&amp;row=206&amp;col=6&amp;number=&amp;sourceID=18","")</f>
        <v/>
      </c>
      <c r="G206" s="4" t="str">
        <f>HYPERLINK("http://141.218.60.56/~jnz1568/getInfo.php?workbook=02_01.xlsx&amp;sheet=A0&amp;row=206&amp;col=7&amp;number==&amp;sourceID=11","=")</f>
        <v>=</v>
      </c>
      <c r="H206" s="4" t="str">
        <f>HYPERLINK("http://141.218.60.56/~jnz1568/getInfo.php?workbook=02_01.xlsx&amp;sheet=A0&amp;row=206&amp;col=8&amp;number=&amp;sourceID=11","")</f>
        <v/>
      </c>
      <c r="I206" s="4" t="str">
        <f>HYPERLINK("http://141.218.60.56/~jnz1568/getInfo.php?workbook=02_01.xlsx&amp;sheet=A0&amp;row=206&amp;col=9&amp;number=11812&amp;sourceID=11","11812")</f>
        <v>11812</v>
      </c>
      <c r="J206" s="4" t="str">
        <f>HYPERLINK("http://141.218.60.56/~jnz1568/getInfo.php?workbook=02_01.xlsx&amp;sheet=A0&amp;row=206&amp;col=10&amp;number=&amp;sourceID=11","")</f>
        <v/>
      </c>
      <c r="K206" s="4" t="str">
        <f>HYPERLINK("http://141.218.60.56/~jnz1568/getInfo.php?workbook=02_01.xlsx&amp;sheet=A0&amp;row=206&amp;col=11&amp;number=&amp;sourceID=11","")</f>
        <v/>
      </c>
      <c r="L206" s="4" t="str">
        <f>HYPERLINK("http://141.218.60.56/~jnz1568/getInfo.php?workbook=02_01.xlsx&amp;sheet=A0&amp;row=206&amp;col=12&amp;number=&amp;sourceID=11","")</f>
        <v/>
      </c>
      <c r="M206" s="4" t="str">
        <f>HYPERLINK("http://141.218.60.56/~jnz1568/getInfo.php?workbook=02_01.xlsx&amp;sheet=A0&amp;row=206&amp;col=13&amp;number=2.7443e-05&amp;sourceID=11","2.7443e-05")</f>
        <v>2.7443e-05</v>
      </c>
      <c r="N206" s="4" t="str">
        <f>HYPERLINK("http://141.218.60.56/~jnz1568/getInfo.php?workbook=02_01.xlsx&amp;sheet=A0&amp;row=206&amp;col=14&amp;number=11814&amp;sourceID=12","11814")</f>
        <v>11814</v>
      </c>
      <c r="O206" s="4" t="str">
        <f>HYPERLINK("http://141.218.60.56/~jnz1568/getInfo.php?workbook=02_01.xlsx&amp;sheet=A0&amp;row=206&amp;col=15&amp;number=&amp;sourceID=12","")</f>
        <v/>
      </c>
      <c r="P206" s="4" t="str">
        <f>HYPERLINK("http://141.218.60.56/~jnz1568/getInfo.php?workbook=02_01.xlsx&amp;sheet=A0&amp;row=206&amp;col=16&amp;number=11814&amp;sourceID=12","11814")</f>
        <v>11814</v>
      </c>
      <c r="Q206" s="4" t="str">
        <f>HYPERLINK("http://141.218.60.56/~jnz1568/getInfo.php?workbook=02_01.xlsx&amp;sheet=A0&amp;row=206&amp;col=17&amp;number=&amp;sourceID=12","")</f>
        <v/>
      </c>
      <c r="R206" s="4" t="str">
        <f>HYPERLINK("http://141.218.60.56/~jnz1568/getInfo.php?workbook=02_01.xlsx&amp;sheet=A0&amp;row=206&amp;col=18&amp;number=&amp;sourceID=12","")</f>
        <v/>
      </c>
      <c r="S206" s="4" t="str">
        <f>HYPERLINK("http://141.218.60.56/~jnz1568/getInfo.php?workbook=02_01.xlsx&amp;sheet=A0&amp;row=206&amp;col=19&amp;number=&amp;sourceID=12","")</f>
        <v/>
      </c>
      <c r="T206" s="4" t="str">
        <f>HYPERLINK("http://141.218.60.56/~jnz1568/getInfo.php?workbook=02_01.xlsx&amp;sheet=A0&amp;row=206&amp;col=20&amp;number=2.7447e-05&amp;sourceID=12","2.7447e-05")</f>
        <v>2.7447e-05</v>
      </c>
      <c r="U206" s="4" t="str">
        <f>HYPERLINK("http://141.218.60.56/~jnz1568/getInfo.php?workbook=02_01.xlsx&amp;sheet=A0&amp;row=206&amp;col=21&amp;number=&amp;sourceID=13","")</f>
        <v/>
      </c>
      <c r="V206" s="4" t="str">
        <f>HYPERLINK("http://141.218.60.56/~jnz1568/getInfo.php?workbook=02_01.xlsx&amp;sheet=A0&amp;row=206&amp;col=22&amp;number=&amp;sourceID=13","")</f>
        <v/>
      </c>
      <c r="W206" s="4" t="str">
        <f>HYPERLINK("http://141.218.60.56/~jnz1568/getInfo.php?workbook=02_01.xlsx&amp;sheet=A0&amp;row=206&amp;col=23&amp;number=&amp;sourceID=13","")</f>
        <v/>
      </c>
      <c r="X206" s="4" t="str">
        <f>HYPERLINK("http://141.218.60.56/~jnz1568/getInfo.php?workbook=02_01.xlsx&amp;sheet=A0&amp;row=206&amp;col=24&amp;number=&amp;sourceID=13","")</f>
        <v/>
      </c>
      <c r="Y206" s="4" t="str">
        <f>HYPERLINK("http://141.218.60.56/~jnz1568/getInfo.php?workbook=02_01.xlsx&amp;sheet=A0&amp;row=206&amp;col=25&amp;number=&amp;sourceID=13","")</f>
        <v/>
      </c>
      <c r="Z206" s="4" t="str">
        <f>HYPERLINK("http://141.218.60.56/~jnz1568/getInfo.php?workbook=02_01.xlsx&amp;sheet=A0&amp;row=206&amp;col=26&amp;number=&amp;sourceID=13","")</f>
        <v/>
      </c>
      <c r="AA206" s="4" t="str">
        <f>HYPERLINK("http://141.218.60.56/~jnz1568/getInfo.php?workbook=02_01.xlsx&amp;sheet=A0&amp;row=206&amp;col=27&amp;number=&amp;sourceID=20","")</f>
        <v/>
      </c>
    </row>
    <row r="207" spans="1:27">
      <c r="A207" s="3">
        <v>2</v>
      </c>
      <c r="B207" s="3">
        <v>1</v>
      </c>
      <c r="C207" s="3">
        <v>22</v>
      </c>
      <c r="D207" s="3">
        <v>2</v>
      </c>
      <c r="E207" s="3">
        <f>((1/(INDEX(E0!J$4:J$28,C207,1)-INDEX(E0!J$4:J$28,D207,1))))*100000000</f>
        <v>0</v>
      </c>
      <c r="F207" s="4" t="str">
        <f>HYPERLINK("http://141.218.60.56/~jnz1568/getInfo.php?workbook=02_01.xlsx&amp;sheet=A0&amp;row=207&amp;col=6&amp;number=&amp;sourceID=18","")</f>
        <v/>
      </c>
      <c r="G207" s="4" t="str">
        <f>HYPERLINK("http://141.218.60.56/~jnz1568/getInfo.php?workbook=02_01.xlsx&amp;sheet=A0&amp;row=207&amp;col=7&amp;number==&amp;sourceID=11","=")</f>
        <v>=</v>
      </c>
      <c r="H207" s="4" t="str">
        <f>HYPERLINK("http://141.218.60.56/~jnz1568/getInfo.php?workbook=02_01.xlsx&amp;sheet=A0&amp;row=207&amp;col=8&amp;number=&amp;sourceID=11","")</f>
        <v/>
      </c>
      <c r="I207" s="4" t="str">
        <f>HYPERLINK("http://141.218.60.56/~jnz1568/getInfo.php?workbook=02_01.xlsx&amp;sheet=A0&amp;row=207&amp;col=9&amp;number=&amp;sourceID=11","")</f>
        <v/>
      </c>
      <c r="J207" s="4" t="str">
        <f>HYPERLINK("http://141.218.60.56/~jnz1568/getInfo.php?workbook=02_01.xlsx&amp;sheet=A0&amp;row=207&amp;col=10&amp;number=0.00010046&amp;sourceID=11","0.00010046")</f>
        <v>0.00010046</v>
      </c>
      <c r="K207" s="4" t="str">
        <f>HYPERLINK("http://141.218.60.56/~jnz1568/getInfo.php?workbook=02_01.xlsx&amp;sheet=A0&amp;row=207&amp;col=11&amp;number=&amp;sourceID=11","")</f>
        <v/>
      </c>
      <c r="L207" s="4" t="str">
        <f>HYPERLINK("http://141.218.60.56/~jnz1568/getInfo.php?workbook=02_01.xlsx&amp;sheet=A0&amp;row=207&amp;col=12&amp;number=0.0033552&amp;sourceID=11","0.0033552")</f>
        <v>0.0033552</v>
      </c>
      <c r="M207" s="4" t="str">
        <f>HYPERLINK("http://141.218.60.56/~jnz1568/getInfo.php?workbook=02_01.xlsx&amp;sheet=A0&amp;row=207&amp;col=13&amp;number=&amp;sourceID=11","")</f>
        <v/>
      </c>
      <c r="N207" s="4" t="str">
        <f>HYPERLINK("http://141.218.60.56/~jnz1568/getInfo.php?workbook=02_01.xlsx&amp;sheet=A0&amp;row=207&amp;col=14&amp;number=0.0034561&amp;sourceID=12","0.0034561")</f>
        <v>0.0034561</v>
      </c>
      <c r="O207" s="4" t="str">
        <f>HYPERLINK("http://141.218.60.56/~jnz1568/getInfo.php?workbook=02_01.xlsx&amp;sheet=A0&amp;row=207&amp;col=15&amp;number=&amp;sourceID=12","")</f>
        <v/>
      </c>
      <c r="P207" s="4" t="str">
        <f>HYPERLINK("http://141.218.60.56/~jnz1568/getInfo.php?workbook=02_01.xlsx&amp;sheet=A0&amp;row=207&amp;col=16&amp;number=&amp;sourceID=12","")</f>
        <v/>
      </c>
      <c r="Q207" s="4" t="str">
        <f>HYPERLINK("http://141.218.60.56/~jnz1568/getInfo.php?workbook=02_01.xlsx&amp;sheet=A0&amp;row=207&amp;col=17&amp;number=0.00010048&amp;sourceID=12","0.00010048")</f>
        <v>0.00010048</v>
      </c>
      <c r="R207" s="4" t="str">
        <f>HYPERLINK("http://141.218.60.56/~jnz1568/getInfo.php?workbook=02_01.xlsx&amp;sheet=A0&amp;row=207&amp;col=18&amp;number=&amp;sourceID=12","")</f>
        <v/>
      </c>
      <c r="S207" s="4" t="str">
        <f>HYPERLINK("http://141.218.60.56/~jnz1568/getInfo.php?workbook=02_01.xlsx&amp;sheet=A0&amp;row=207&amp;col=19&amp;number=0.0033556&amp;sourceID=12","0.0033556")</f>
        <v>0.0033556</v>
      </c>
      <c r="T207" s="4" t="str">
        <f>HYPERLINK("http://141.218.60.56/~jnz1568/getInfo.php?workbook=02_01.xlsx&amp;sheet=A0&amp;row=207&amp;col=20&amp;number=&amp;sourceID=12","")</f>
        <v/>
      </c>
      <c r="U207" s="4" t="str">
        <f>HYPERLINK("http://141.218.60.56/~jnz1568/getInfo.php?workbook=02_01.xlsx&amp;sheet=A0&amp;row=207&amp;col=21&amp;number=&amp;sourceID=13","")</f>
        <v/>
      </c>
      <c r="V207" s="4" t="str">
        <f>HYPERLINK("http://141.218.60.56/~jnz1568/getInfo.php?workbook=02_01.xlsx&amp;sheet=A0&amp;row=207&amp;col=22&amp;number=&amp;sourceID=13","")</f>
        <v/>
      </c>
      <c r="W207" s="4" t="str">
        <f>HYPERLINK("http://141.218.60.56/~jnz1568/getInfo.php?workbook=02_01.xlsx&amp;sheet=A0&amp;row=207&amp;col=23&amp;number=&amp;sourceID=13","")</f>
        <v/>
      </c>
      <c r="X207" s="4" t="str">
        <f>HYPERLINK("http://141.218.60.56/~jnz1568/getInfo.php?workbook=02_01.xlsx&amp;sheet=A0&amp;row=207&amp;col=24&amp;number=&amp;sourceID=13","")</f>
        <v/>
      </c>
      <c r="Y207" s="4" t="str">
        <f>HYPERLINK("http://141.218.60.56/~jnz1568/getInfo.php?workbook=02_01.xlsx&amp;sheet=A0&amp;row=207&amp;col=25&amp;number=&amp;sourceID=13","")</f>
        <v/>
      </c>
      <c r="Z207" s="4" t="str">
        <f>HYPERLINK("http://141.218.60.56/~jnz1568/getInfo.php?workbook=02_01.xlsx&amp;sheet=A0&amp;row=207&amp;col=26&amp;number=&amp;sourceID=13","")</f>
        <v/>
      </c>
      <c r="AA207" s="4" t="str">
        <f>HYPERLINK("http://141.218.60.56/~jnz1568/getInfo.php?workbook=02_01.xlsx&amp;sheet=A0&amp;row=207&amp;col=27&amp;number=&amp;sourceID=20","")</f>
        <v/>
      </c>
    </row>
    <row r="208" spans="1:27">
      <c r="A208" s="3">
        <v>2</v>
      </c>
      <c r="B208" s="3">
        <v>1</v>
      </c>
      <c r="C208" s="3">
        <v>22</v>
      </c>
      <c r="D208" s="3">
        <v>3</v>
      </c>
      <c r="E208" s="3">
        <f>((1/(INDEX(E0!J$4:J$28,C208,1)-INDEX(E0!J$4:J$28,D208,1))))*100000000</f>
        <v>0</v>
      </c>
      <c r="F208" s="4" t="str">
        <f>HYPERLINK("http://141.218.60.56/~jnz1568/getInfo.php?workbook=02_01.xlsx&amp;sheet=A0&amp;row=208&amp;col=6&amp;number=&amp;sourceID=18","")</f>
        <v/>
      </c>
      <c r="G208" s="4" t="str">
        <f>HYPERLINK("http://141.218.60.56/~jnz1568/getInfo.php?workbook=02_01.xlsx&amp;sheet=A0&amp;row=208&amp;col=7&amp;number==&amp;sourceID=11","=")</f>
        <v>=</v>
      </c>
      <c r="H208" s="4" t="str">
        <f>HYPERLINK("http://141.218.60.56/~jnz1568/getInfo.php?workbook=02_01.xlsx&amp;sheet=A0&amp;row=208&amp;col=8&amp;number=&amp;sourceID=11","")</f>
        <v/>
      </c>
      <c r="I208" s="4" t="str">
        <f>HYPERLINK("http://141.218.60.56/~jnz1568/getInfo.php?workbook=02_01.xlsx&amp;sheet=A0&amp;row=208&amp;col=9&amp;number=61.778&amp;sourceID=11","61.778")</f>
        <v>61.778</v>
      </c>
      <c r="J208" s="4" t="str">
        <f>HYPERLINK("http://141.218.60.56/~jnz1568/getInfo.php?workbook=02_01.xlsx&amp;sheet=A0&amp;row=208&amp;col=10&amp;number=&amp;sourceID=11","")</f>
        <v/>
      </c>
      <c r="K208" s="4" t="str">
        <f>HYPERLINK("http://141.218.60.56/~jnz1568/getInfo.php?workbook=02_01.xlsx&amp;sheet=A0&amp;row=208&amp;col=11&amp;number=&amp;sourceID=11","")</f>
        <v/>
      </c>
      <c r="L208" s="4" t="str">
        <f>HYPERLINK("http://141.218.60.56/~jnz1568/getInfo.php?workbook=02_01.xlsx&amp;sheet=A0&amp;row=208&amp;col=12&amp;number=&amp;sourceID=11","")</f>
        <v/>
      </c>
      <c r="M208" s="4" t="str">
        <f>HYPERLINK("http://141.218.60.56/~jnz1568/getInfo.php?workbook=02_01.xlsx&amp;sheet=A0&amp;row=208&amp;col=13&amp;number=6.8678e-09&amp;sourceID=11","6.8678e-09")</f>
        <v>6.8678e-09</v>
      </c>
      <c r="N208" s="4" t="str">
        <f>HYPERLINK("http://141.218.60.56/~jnz1568/getInfo.php?workbook=02_01.xlsx&amp;sheet=A0&amp;row=208&amp;col=14&amp;number=61.787&amp;sourceID=12","61.787")</f>
        <v>61.787</v>
      </c>
      <c r="O208" s="4" t="str">
        <f>HYPERLINK("http://141.218.60.56/~jnz1568/getInfo.php?workbook=02_01.xlsx&amp;sheet=A0&amp;row=208&amp;col=15&amp;number=&amp;sourceID=12","")</f>
        <v/>
      </c>
      <c r="P208" s="4" t="str">
        <f>HYPERLINK("http://141.218.60.56/~jnz1568/getInfo.php?workbook=02_01.xlsx&amp;sheet=A0&amp;row=208&amp;col=16&amp;number=61.787&amp;sourceID=12","61.787")</f>
        <v>61.787</v>
      </c>
      <c r="Q208" s="4" t="str">
        <f>HYPERLINK("http://141.218.60.56/~jnz1568/getInfo.php?workbook=02_01.xlsx&amp;sheet=A0&amp;row=208&amp;col=17&amp;number=&amp;sourceID=12","")</f>
        <v/>
      </c>
      <c r="R208" s="4" t="str">
        <f>HYPERLINK("http://141.218.60.56/~jnz1568/getInfo.php?workbook=02_01.xlsx&amp;sheet=A0&amp;row=208&amp;col=18&amp;number=&amp;sourceID=12","")</f>
        <v/>
      </c>
      <c r="S208" s="4" t="str">
        <f>HYPERLINK("http://141.218.60.56/~jnz1568/getInfo.php?workbook=02_01.xlsx&amp;sheet=A0&amp;row=208&amp;col=19&amp;number=&amp;sourceID=12","")</f>
        <v/>
      </c>
      <c r="T208" s="4" t="str">
        <f>HYPERLINK("http://141.218.60.56/~jnz1568/getInfo.php?workbook=02_01.xlsx&amp;sheet=A0&amp;row=208&amp;col=20&amp;number=6.8687e-09&amp;sourceID=12","6.8687e-09")</f>
        <v>6.8687e-09</v>
      </c>
      <c r="U208" s="4" t="str">
        <f>HYPERLINK("http://141.218.60.56/~jnz1568/getInfo.php?workbook=02_01.xlsx&amp;sheet=A0&amp;row=208&amp;col=21&amp;number=&amp;sourceID=13","")</f>
        <v/>
      </c>
      <c r="V208" s="4" t="str">
        <f>HYPERLINK("http://141.218.60.56/~jnz1568/getInfo.php?workbook=02_01.xlsx&amp;sheet=A0&amp;row=208&amp;col=22&amp;number=&amp;sourceID=13","")</f>
        <v/>
      </c>
      <c r="W208" s="4" t="str">
        <f>HYPERLINK("http://141.218.60.56/~jnz1568/getInfo.php?workbook=02_01.xlsx&amp;sheet=A0&amp;row=208&amp;col=23&amp;number=&amp;sourceID=13","")</f>
        <v/>
      </c>
      <c r="X208" s="4" t="str">
        <f>HYPERLINK("http://141.218.60.56/~jnz1568/getInfo.php?workbook=02_01.xlsx&amp;sheet=A0&amp;row=208&amp;col=24&amp;number=&amp;sourceID=13","")</f>
        <v/>
      </c>
      <c r="Y208" s="4" t="str">
        <f>HYPERLINK("http://141.218.60.56/~jnz1568/getInfo.php?workbook=02_01.xlsx&amp;sheet=A0&amp;row=208&amp;col=25&amp;number=&amp;sourceID=13","")</f>
        <v/>
      </c>
      <c r="Z208" s="4" t="str">
        <f>HYPERLINK("http://141.218.60.56/~jnz1568/getInfo.php?workbook=02_01.xlsx&amp;sheet=A0&amp;row=208&amp;col=26&amp;number=&amp;sourceID=13","")</f>
        <v/>
      </c>
      <c r="AA208" s="4" t="str">
        <f>HYPERLINK("http://141.218.60.56/~jnz1568/getInfo.php?workbook=02_01.xlsx&amp;sheet=A0&amp;row=208&amp;col=27&amp;number=&amp;sourceID=20","")</f>
        <v/>
      </c>
    </row>
    <row r="209" spans="1:27">
      <c r="A209" s="3">
        <v>2</v>
      </c>
      <c r="B209" s="3">
        <v>1</v>
      </c>
      <c r="C209" s="3">
        <v>22</v>
      </c>
      <c r="D209" s="3">
        <v>4</v>
      </c>
      <c r="E209" s="3">
        <f>((1/(INDEX(E0!J$4:J$28,C209,1)-INDEX(E0!J$4:J$28,D209,1))))*100000000</f>
        <v>0</v>
      </c>
      <c r="F209" s="4" t="str">
        <f>HYPERLINK("http://141.218.60.56/~jnz1568/getInfo.php?workbook=02_01.xlsx&amp;sheet=A0&amp;row=209&amp;col=6&amp;number=&amp;sourceID=18","")</f>
        <v/>
      </c>
      <c r="G209" s="4" t="str">
        <f>HYPERLINK("http://141.218.60.56/~jnz1568/getInfo.php?workbook=02_01.xlsx&amp;sheet=A0&amp;row=209&amp;col=7&amp;number==SUM(H209:M209)&amp;sourceID=11","=SUM(H209:M209)")</f>
        <v>=SUM(H209:M209)</v>
      </c>
      <c r="H209" s="4" t="str">
        <f>HYPERLINK("http://141.218.60.56/~jnz1568/getInfo.php?workbook=02_01.xlsx&amp;sheet=A0&amp;row=209&amp;col=8&amp;number=150870000&amp;sourceID=11","150870000")</f>
        <v>150870000</v>
      </c>
      <c r="I209" s="4" t="str">
        <f>HYPERLINK("http://141.218.60.56/~jnz1568/getInfo.php?workbook=02_01.xlsx&amp;sheet=A0&amp;row=209&amp;col=9&amp;number=&amp;sourceID=11","")</f>
        <v/>
      </c>
      <c r="J209" s="4" t="str">
        <f>HYPERLINK("http://141.218.60.56/~jnz1568/getInfo.php?workbook=02_01.xlsx&amp;sheet=A0&amp;row=209&amp;col=10&amp;number=8.0454e-05&amp;sourceID=11","8.0454e-05")</f>
        <v>8.0454e-05</v>
      </c>
      <c r="K209" s="4" t="str">
        <f>HYPERLINK("http://141.218.60.56/~jnz1568/getInfo.php?workbook=02_01.xlsx&amp;sheet=A0&amp;row=209&amp;col=11&amp;number=&amp;sourceID=11","")</f>
        <v/>
      </c>
      <c r="L209" s="4" t="str">
        <f>HYPERLINK("http://141.218.60.56/~jnz1568/getInfo.php?workbook=02_01.xlsx&amp;sheet=A0&amp;row=209&amp;col=12&amp;number=0.018342&amp;sourceID=11","0.018342")</f>
        <v>0.018342</v>
      </c>
      <c r="M209" s="4" t="str">
        <f>HYPERLINK("http://141.218.60.56/~jnz1568/getInfo.php?workbook=02_01.xlsx&amp;sheet=A0&amp;row=209&amp;col=13&amp;number=&amp;sourceID=11","")</f>
        <v/>
      </c>
      <c r="N209" s="4" t="str">
        <f>HYPERLINK("http://141.218.60.56/~jnz1568/getInfo.php?workbook=02_01.xlsx&amp;sheet=A0&amp;row=209&amp;col=14&amp;number=150890000&amp;sourceID=12","150890000")</f>
        <v>150890000</v>
      </c>
      <c r="O209" s="4" t="str">
        <f>HYPERLINK("http://141.218.60.56/~jnz1568/getInfo.php?workbook=02_01.xlsx&amp;sheet=A0&amp;row=209&amp;col=15&amp;number=150890000&amp;sourceID=12","150890000")</f>
        <v>150890000</v>
      </c>
      <c r="P209" s="4" t="str">
        <f>HYPERLINK("http://141.218.60.56/~jnz1568/getInfo.php?workbook=02_01.xlsx&amp;sheet=A0&amp;row=209&amp;col=16&amp;number=&amp;sourceID=12","")</f>
        <v/>
      </c>
      <c r="Q209" s="4" t="str">
        <f>HYPERLINK("http://141.218.60.56/~jnz1568/getInfo.php?workbook=02_01.xlsx&amp;sheet=A0&amp;row=209&amp;col=17&amp;number=8.0466e-05&amp;sourceID=12","8.0466e-05")</f>
        <v>8.0466e-05</v>
      </c>
      <c r="R209" s="4" t="str">
        <f>HYPERLINK("http://141.218.60.56/~jnz1568/getInfo.php?workbook=02_01.xlsx&amp;sheet=A0&amp;row=209&amp;col=18&amp;number=&amp;sourceID=12","")</f>
        <v/>
      </c>
      <c r="S209" s="4" t="str">
        <f>HYPERLINK("http://141.218.60.56/~jnz1568/getInfo.php?workbook=02_01.xlsx&amp;sheet=A0&amp;row=209&amp;col=19&amp;number=0.018345&amp;sourceID=12","0.018345")</f>
        <v>0.018345</v>
      </c>
      <c r="T209" s="4" t="str">
        <f>HYPERLINK("http://141.218.60.56/~jnz1568/getInfo.php?workbook=02_01.xlsx&amp;sheet=A0&amp;row=209&amp;col=20&amp;number=&amp;sourceID=12","")</f>
        <v/>
      </c>
      <c r="U209" s="4" t="str">
        <f>HYPERLINK("http://141.218.60.56/~jnz1568/getInfo.php?workbook=02_01.xlsx&amp;sheet=A0&amp;row=209&amp;col=21&amp;number=&amp;sourceID=13","")</f>
        <v/>
      </c>
      <c r="V209" s="4" t="str">
        <f>HYPERLINK("http://141.218.60.56/~jnz1568/getInfo.php?workbook=02_01.xlsx&amp;sheet=A0&amp;row=209&amp;col=22&amp;number=&amp;sourceID=13","")</f>
        <v/>
      </c>
      <c r="W209" s="4" t="str">
        <f>HYPERLINK("http://141.218.60.56/~jnz1568/getInfo.php?workbook=02_01.xlsx&amp;sheet=A0&amp;row=209&amp;col=23&amp;number=&amp;sourceID=13","")</f>
        <v/>
      </c>
      <c r="X209" s="4" t="str">
        <f>HYPERLINK("http://141.218.60.56/~jnz1568/getInfo.php?workbook=02_01.xlsx&amp;sheet=A0&amp;row=209&amp;col=24&amp;number=&amp;sourceID=13","")</f>
        <v/>
      </c>
      <c r="Y209" s="4" t="str">
        <f>HYPERLINK("http://141.218.60.56/~jnz1568/getInfo.php?workbook=02_01.xlsx&amp;sheet=A0&amp;row=209&amp;col=25&amp;number=&amp;sourceID=13","")</f>
        <v/>
      </c>
      <c r="Z209" s="4" t="str">
        <f>HYPERLINK("http://141.218.60.56/~jnz1568/getInfo.php?workbook=02_01.xlsx&amp;sheet=A0&amp;row=209&amp;col=26&amp;number=&amp;sourceID=13","")</f>
        <v/>
      </c>
      <c r="AA209" s="4" t="str">
        <f>HYPERLINK("http://141.218.60.56/~jnz1568/getInfo.php?workbook=02_01.xlsx&amp;sheet=A0&amp;row=209&amp;col=27&amp;number=&amp;sourceID=20","")</f>
        <v/>
      </c>
    </row>
    <row r="210" spans="1:27">
      <c r="A210" s="3">
        <v>2</v>
      </c>
      <c r="B210" s="3">
        <v>1</v>
      </c>
      <c r="C210" s="3">
        <v>22</v>
      </c>
      <c r="D210" s="3">
        <v>5</v>
      </c>
      <c r="E210" s="3">
        <f>((1/(INDEX(E0!J$4:J$28,C210,1)-INDEX(E0!J$4:J$28,D210,1))))*100000000</f>
        <v>0</v>
      </c>
      <c r="F210" s="4" t="str">
        <f>HYPERLINK("http://141.218.60.56/~jnz1568/getInfo.php?workbook=02_01.xlsx&amp;sheet=A0&amp;row=210&amp;col=6&amp;number=&amp;sourceID=18","")</f>
        <v/>
      </c>
      <c r="G210" s="4" t="str">
        <f>HYPERLINK("http://141.218.60.56/~jnz1568/getInfo.php?workbook=02_01.xlsx&amp;sheet=A0&amp;row=210&amp;col=7&amp;number==&amp;sourceID=11","=")</f>
        <v>=</v>
      </c>
      <c r="H210" s="4" t="str">
        <f>HYPERLINK("http://141.218.60.56/~jnz1568/getInfo.php?workbook=02_01.xlsx&amp;sheet=A0&amp;row=210&amp;col=8&amp;number=&amp;sourceID=11","")</f>
        <v/>
      </c>
      <c r="I210" s="4" t="str">
        <f>HYPERLINK("http://141.218.60.56/~jnz1568/getInfo.php?workbook=02_01.xlsx&amp;sheet=A0&amp;row=210&amp;col=9&amp;number=&amp;sourceID=11","")</f>
        <v/>
      </c>
      <c r="J210" s="4" t="str">
        <f>HYPERLINK("http://141.218.60.56/~jnz1568/getInfo.php?workbook=02_01.xlsx&amp;sheet=A0&amp;row=210&amp;col=10&amp;number=1.0697e-05&amp;sourceID=11","1.0697e-05")</f>
        <v>1.0697e-05</v>
      </c>
      <c r="K210" s="4" t="str">
        <f>HYPERLINK("http://141.218.60.56/~jnz1568/getInfo.php?workbook=02_01.xlsx&amp;sheet=A0&amp;row=210&amp;col=11&amp;number=&amp;sourceID=11","")</f>
        <v/>
      </c>
      <c r="L210" s="4" t="str">
        <f>HYPERLINK("http://141.218.60.56/~jnz1568/getInfo.php?workbook=02_01.xlsx&amp;sheet=A0&amp;row=210&amp;col=12&amp;number=0.00013842&amp;sourceID=11","0.00013842")</f>
        <v>0.00013842</v>
      </c>
      <c r="M210" s="4" t="str">
        <f>HYPERLINK("http://141.218.60.56/~jnz1568/getInfo.php?workbook=02_01.xlsx&amp;sheet=A0&amp;row=210&amp;col=13&amp;number=&amp;sourceID=11","")</f>
        <v/>
      </c>
      <c r="N210" s="4" t="str">
        <f>HYPERLINK("http://141.218.60.56/~jnz1568/getInfo.php?workbook=02_01.xlsx&amp;sheet=A0&amp;row=210&amp;col=14&amp;number=0.00014914&amp;sourceID=12","0.00014914")</f>
        <v>0.00014914</v>
      </c>
      <c r="O210" s="4" t="str">
        <f>HYPERLINK("http://141.218.60.56/~jnz1568/getInfo.php?workbook=02_01.xlsx&amp;sheet=A0&amp;row=210&amp;col=15&amp;number=&amp;sourceID=12","")</f>
        <v/>
      </c>
      <c r="P210" s="4" t="str">
        <f>HYPERLINK("http://141.218.60.56/~jnz1568/getInfo.php?workbook=02_01.xlsx&amp;sheet=A0&amp;row=210&amp;col=16&amp;number=&amp;sourceID=12","")</f>
        <v/>
      </c>
      <c r="Q210" s="4" t="str">
        <f>HYPERLINK("http://141.218.60.56/~jnz1568/getInfo.php?workbook=02_01.xlsx&amp;sheet=A0&amp;row=210&amp;col=17&amp;number=1.0698e-05&amp;sourceID=12","1.0698e-05")</f>
        <v>1.0698e-05</v>
      </c>
      <c r="R210" s="4" t="str">
        <f>HYPERLINK("http://141.218.60.56/~jnz1568/getInfo.php?workbook=02_01.xlsx&amp;sheet=A0&amp;row=210&amp;col=18&amp;number=&amp;sourceID=12","")</f>
        <v/>
      </c>
      <c r="S210" s="4" t="str">
        <f>HYPERLINK("http://141.218.60.56/~jnz1568/getInfo.php?workbook=02_01.xlsx&amp;sheet=A0&amp;row=210&amp;col=19&amp;number=0.00013844&amp;sourceID=12","0.00013844")</f>
        <v>0.00013844</v>
      </c>
      <c r="T210" s="4" t="str">
        <f>HYPERLINK("http://141.218.60.56/~jnz1568/getInfo.php?workbook=02_01.xlsx&amp;sheet=A0&amp;row=210&amp;col=20&amp;number=&amp;sourceID=12","")</f>
        <v/>
      </c>
      <c r="U210" s="4" t="str">
        <f>HYPERLINK("http://141.218.60.56/~jnz1568/getInfo.php?workbook=02_01.xlsx&amp;sheet=A0&amp;row=210&amp;col=21&amp;number=&amp;sourceID=13","")</f>
        <v/>
      </c>
      <c r="V210" s="4" t="str">
        <f>HYPERLINK("http://141.218.60.56/~jnz1568/getInfo.php?workbook=02_01.xlsx&amp;sheet=A0&amp;row=210&amp;col=22&amp;number=&amp;sourceID=13","")</f>
        <v/>
      </c>
      <c r="W210" s="4" t="str">
        <f>HYPERLINK("http://141.218.60.56/~jnz1568/getInfo.php?workbook=02_01.xlsx&amp;sheet=A0&amp;row=210&amp;col=23&amp;number=&amp;sourceID=13","")</f>
        <v/>
      </c>
      <c r="X210" s="4" t="str">
        <f>HYPERLINK("http://141.218.60.56/~jnz1568/getInfo.php?workbook=02_01.xlsx&amp;sheet=A0&amp;row=210&amp;col=24&amp;number=&amp;sourceID=13","")</f>
        <v/>
      </c>
      <c r="Y210" s="4" t="str">
        <f>HYPERLINK("http://141.218.60.56/~jnz1568/getInfo.php?workbook=02_01.xlsx&amp;sheet=A0&amp;row=210&amp;col=25&amp;number=&amp;sourceID=13","")</f>
        <v/>
      </c>
      <c r="Z210" s="4" t="str">
        <f>HYPERLINK("http://141.218.60.56/~jnz1568/getInfo.php?workbook=02_01.xlsx&amp;sheet=A0&amp;row=210&amp;col=26&amp;number=&amp;sourceID=13","")</f>
        <v/>
      </c>
      <c r="AA210" s="4" t="str">
        <f>HYPERLINK("http://141.218.60.56/~jnz1568/getInfo.php?workbook=02_01.xlsx&amp;sheet=A0&amp;row=210&amp;col=27&amp;number=&amp;sourceID=20","")</f>
        <v/>
      </c>
    </row>
    <row r="211" spans="1:27">
      <c r="A211" s="3">
        <v>2</v>
      </c>
      <c r="B211" s="3">
        <v>1</v>
      </c>
      <c r="C211" s="3">
        <v>22</v>
      </c>
      <c r="D211" s="3">
        <v>6</v>
      </c>
      <c r="E211" s="3">
        <f>((1/(INDEX(E0!J$4:J$28,C211,1)-INDEX(E0!J$4:J$28,D211,1))))*100000000</f>
        <v>0</v>
      </c>
      <c r="F211" s="4" t="str">
        <f>HYPERLINK("http://141.218.60.56/~jnz1568/getInfo.php?workbook=02_01.xlsx&amp;sheet=A0&amp;row=211&amp;col=6&amp;number=&amp;sourceID=18","")</f>
        <v/>
      </c>
      <c r="G211" s="4" t="str">
        <f>HYPERLINK("http://141.218.60.56/~jnz1568/getInfo.php?workbook=02_01.xlsx&amp;sheet=A0&amp;row=211&amp;col=7&amp;number==&amp;sourceID=11","=")</f>
        <v>=</v>
      </c>
      <c r="H211" s="4" t="str">
        <f>HYPERLINK("http://141.218.60.56/~jnz1568/getInfo.php?workbook=02_01.xlsx&amp;sheet=A0&amp;row=211&amp;col=8&amp;number=&amp;sourceID=11","")</f>
        <v/>
      </c>
      <c r="I211" s="4" t="str">
        <f>HYPERLINK("http://141.218.60.56/~jnz1568/getInfo.php?workbook=02_01.xlsx&amp;sheet=A0&amp;row=211&amp;col=9&amp;number=69.516&amp;sourceID=11","69.516")</f>
        <v>69.516</v>
      </c>
      <c r="J211" s="4" t="str">
        <f>HYPERLINK("http://141.218.60.56/~jnz1568/getInfo.php?workbook=02_01.xlsx&amp;sheet=A0&amp;row=211&amp;col=10&amp;number=&amp;sourceID=11","")</f>
        <v/>
      </c>
      <c r="K211" s="4" t="str">
        <f>HYPERLINK("http://141.218.60.56/~jnz1568/getInfo.php?workbook=02_01.xlsx&amp;sheet=A0&amp;row=211&amp;col=11&amp;number=&amp;sourceID=11","")</f>
        <v/>
      </c>
      <c r="L211" s="4" t="str">
        <f>HYPERLINK("http://141.218.60.56/~jnz1568/getInfo.php?workbook=02_01.xlsx&amp;sheet=A0&amp;row=211&amp;col=12&amp;number=&amp;sourceID=11","")</f>
        <v/>
      </c>
      <c r="M211" s="4" t="str">
        <f>HYPERLINK("http://141.218.60.56/~jnz1568/getInfo.php?workbook=02_01.xlsx&amp;sheet=A0&amp;row=211&amp;col=13&amp;number=8.862e-10&amp;sourceID=11","8.862e-10")</f>
        <v>8.862e-10</v>
      </c>
      <c r="N211" s="4" t="str">
        <f>HYPERLINK("http://141.218.60.56/~jnz1568/getInfo.php?workbook=02_01.xlsx&amp;sheet=A0&amp;row=211&amp;col=14&amp;number=69.525&amp;sourceID=12","69.525")</f>
        <v>69.525</v>
      </c>
      <c r="O211" s="4" t="str">
        <f>HYPERLINK("http://141.218.60.56/~jnz1568/getInfo.php?workbook=02_01.xlsx&amp;sheet=A0&amp;row=211&amp;col=15&amp;number=&amp;sourceID=12","")</f>
        <v/>
      </c>
      <c r="P211" s="4" t="str">
        <f>HYPERLINK("http://141.218.60.56/~jnz1568/getInfo.php?workbook=02_01.xlsx&amp;sheet=A0&amp;row=211&amp;col=16&amp;number=69.525&amp;sourceID=12","69.525")</f>
        <v>69.525</v>
      </c>
      <c r="Q211" s="4" t="str">
        <f>HYPERLINK("http://141.218.60.56/~jnz1568/getInfo.php?workbook=02_01.xlsx&amp;sheet=A0&amp;row=211&amp;col=17&amp;number=&amp;sourceID=12","")</f>
        <v/>
      </c>
      <c r="R211" s="4" t="str">
        <f>HYPERLINK("http://141.218.60.56/~jnz1568/getInfo.php?workbook=02_01.xlsx&amp;sheet=A0&amp;row=211&amp;col=18&amp;number=&amp;sourceID=12","")</f>
        <v/>
      </c>
      <c r="S211" s="4" t="str">
        <f>HYPERLINK("http://141.218.60.56/~jnz1568/getInfo.php?workbook=02_01.xlsx&amp;sheet=A0&amp;row=211&amp;col=19&amp;number=&amp;sourceID=12","")</f>
        <v/>
      </c>
      <c r="T211" s="4" t="str">
        <f>HYPERLINK("http://141.218.60.56/~jnz1568/getInfo.php?workbook=02_01.xlsx&amp;sheet=A0&amp;row=211&amp;col=20&amp;number=8.8632e-10&amp;sourceID=12","8.8632e-10")</f>
        <v>8.8632e-10</v>
      </c>
      <c r="U211" s="4" t="str">
        <f>HYPERLINK("http://141.218.60.56/~jnz1568/getInfo.php?workbook=02_01.xlsx&amp;sheet=A0&amp;row=211&amp;col=21&amp;number=&amp;sourceID=13","")</f>
        <v/>
      </c>
      <c r="V211" s="4" t="str">
        <f>HYPERLINK("http://141.218.60.56/~jnz1568/getInfo.php?workbook=02_01.xlsx&amp;sheet=A0&amp;row=211&amp;col=22&amp;number=&amp;sourceID=13","")</f>
        <v/>
      </c>
      <c r="W211" s="4" t="str">
        <f>HYPERLINK("http://141.218.60.56/~jnz1568/getInfo.php?workbook=02_01.xlsx&amp;sheet=A0&amp;row=211&amp;col=23&amp;number=&amp;sourceID=13","")</f>
        <v/>
      </c>
      <c r="X211" s="4" t="str">
        <f>HYPERLINK("http://141.218.60.56/~jnz1568/getInfo.php?workbook=02_01.xlsx&amp;sheet=A0&amp;row=211&amp;col=24&amp;number=&amp;sourceID=13","")</f>
        <v/>
      </c>
      <c r="Y211" s="4" t="str">
        <f>HYPERLINK("http://141.218.60.56/~jnz1568/getInfo.php?workbook=02_01.xlsx&amp;sheet=A0&amp;row=211&amp;col=25&amp;number=&amp;sourceID=13","")</f>
        <v/>
      </c>
      <c r="Z211" s="4" t="str">
        <f>HYPERLINK("http://141.218.60.56/~jnz1568/getInfo.php?workbook=02_01.xlsx&amp;sheet=A0&amp;row=211&amp;col=26&amp;number=&amp;sourceID=13","")</f>
        <v/>
      </c>
      <c r="AA211" s="4" t="str">
        <f>HYPERLINK("http://141.218.60.56/~jnz1568/getInfo.php?workbook=02_01.xlsx&amp;sheet=A0&amp;row=211&amp;col=27&amp;number=&amp;sourceID=20","")</f>
        <v/>
      </c>
    </row>
    <row r="212" spans="1:27">
      <c r="A212" s="3">
        <v>2</v>
      </c>
      <c r="B212" s="3">
        <v>1</v>
      </c>
      <c r="C212" s="3">
        <v>22</v>
      </c>
      <c r="D212" s="3">
        <v>7</v>
      </c>
      <c r="E212" s="3">
        <f>((1/(INDEX(E0!J$4:J$28,C212,1)-INDEX(E0!J$4:J$28,D212,1))))*100000000</f>
        <v>0</v>
      </c>
      <c r="F212" s="4" t="str">
        <f>HYPERLINK("http://141.218.60.56/~jnz1568/getInfo.php?workbook=02_01.xlsx&amp;sheet=A0&amp;row=212&amp;col=6&amp;number=&amp;sourceID=18","")</f>
        <v/>
      </c>
      <c r="G212" s="4" t="str">
        <f>HYPERLINK("http://141.218.60.56/~jnz1568/getInfo.php?workbook=02_01.xlsx&amp;sheet=A0&amp;row=212&amp;col=7&amp;number==&amp;sourceID=11","=")</f>
        <v>=</v>
      </c>
      <c r="H212" s="4" t="str">
        <f>HYPERLINK("http://141.218.60.56/~jnz1568/getInfo.php?workbook=02_01.xlsx&amp;sheet=A0&amp;row=212&amp;col=8&amp;number=&amp;sourceID=11","")</f>
        <v/>
      </c>
      <c r="I212" s="4" t="str">
        <f>HYPERLINK("http://141.218.60.56/~jnz1568/getInfo.php?workbook=02_01.xlsx&amp;sheet=A0&amp;row=212&amp;col=9&amp;number=7.3419&amp;sourceID=11","7.3419")</f>
        <v>7.3419</v>
      </c>
      <c r="J212" s="4" t="str">
        <f>HYPERLINK("http://141.218.60.56/~jnz1568/getInfo.php?workbook=02_01.xlsx&amp;sheet=A0&amp;row=212&amp;col=10&amp;number=&amp;sourceID=11","")</f>
        <v/>
      </c>
      <c r="K212" s="4" t="str">
        <f>HYPERLINK("http://141.218.60.56/~jnz1568/getInfo.php?workbook=02_01.xlsx&amp;sheet=A0&amp;row=212&amp;col=11&amp;number=8.772e-09&amp;sourceID=11","8.772e-09")</f>
        <v>8.772e-09</v>
      </c>
      <c r="L212" s="4" t="str">
        <f>HYPERLINK("http://141.218.60.56/~jnz1568/getInfo.php?workbook=02_01.xlsx&amp;sheet=A0&amp;row=212&amp;col=12&amp;number=&amp;sourceID=11","")</f>
        <v/>
      </c>
      <c r="M212" s="4" t="str">
        <f>HYPERLINK("http://141.218.60.56/~jnz1568/getInfo.php?workbook=02_01.xlsx&amp;sheet=A0&amp;row=212&amp;col=13&amp;number=5.348e-12&amp;sourceID=11","5.348e-12")</f>
        <v>5.348e-12</v>
      </c>
      <c r="N212" s="4" t="str">
        <f>HYPERLINK("http://141.218.60.56/~jnz1568/getInfo.php?workbook=02_01.xlsx&amp;sheet=A0&amp;row=212&amp;col=14&amp;number=7.3429&amp;sourceID=12","7.3429")</f>
        <v>7.3429</v>
      </c>
      <c r="O212" s="4" t="str">
        <f>HYPERLINK("http://141.218.60.56/~jnz1568/getInfo.php?workbook=02_01.xlsx&amp;sheet=A0&amp;row=212&amp;col=15&amp;number=&amp;sourceID=12","")</f>
        <v/>
      </c>
      <c r="P212" s="4" t="str">
        <f>HYPERLINK("http://141.218.60.56/~jnz1568/getInfo.php?workbook=02_01.xlsx&amp;sheet=A0&amp;row=212&amp;col=16&amp;number=7.3429&amp;sourceID=12","7.3429")</f>
        <v>7.3429</v>
      </c>
      <c r="Q212" s="4" t="str">
        <f>HYPERLINK("http://141.218.60.56/~jnz1568/getInfo.php?workbook=02_01.xlsx&amp;sheet=A0&amp;row=212&amp;col=17&amp;number=&amp;sourceID=12","")</f>
        <v/>
      </c>
      <c r="R212" s="4" t="str">
        <f>HYPERLINK("http://141.218.60.56/~jnz1568/getInfo.php?workbook=02_01.xlsx&amp;sheet=A0&amp;row=212&amp;col=18&amp;number=8.773e-09&amp;sourceID=12","8.773e-09")</f>
        <v>8.773e-09</v>
      </c>
      <c r="S212" s="4" t="str">
        <f>HYPERLINK("http://141.218.60.56/~jnz1568/getInfo.php?workbook=02_01.xlsx&amp;sheet=A0&amp;row=212&amp;col=19&amp;number=&amp;sourceID=12","")</f>
        <v/>
      </c>
      <c r="T212" s="4" t="str">
        <f>HYPERLINK("http://141.218.60.56/~jnz1568/getInfo.php?workbook=02_01.xlsx&amp;sheet=A0&amp;row=212&amp;col=20&amp;number=5.348e-12&amp;sourceID=12","5.348e-12")</f>
        <v>5.348e-12</v>
      </c>
      <c r="U212" s="4" t="str">
        <f>HYPERLINK("http://141.218.60.56/~jnz1568/getInfo.php?workbook=02_01.xlsx&amp;sheet=A0&amp;row=212&amp;col=21&amp;number=&amp;sourceID=13","")</f>
        <v/>
      </c>
      <c r="V212" s="4" t="str">
        <f>HYPERLINK("http://141.218.60.56/~jnz1568/getInfo.php?workbook=02_01.xlsx&amp;sheet=A0&amp;row=212&amp;col=22&amp;number=&amp;sourceID=13","")</f>
        <v/>
      </c>
      <c r="W212" s="4" t="str">
        <f>HYPERLINK("http://141.218.60.56/~jnz1568/getInfo.php?workbook=02_01.xlsx&amp;sheet=A0&amp;row=212&amp;col=23&amp;number=&amp;sourceID=13","")</f>
        <v/>
      </c>
      <c r="X212" s="4" t="str">
        <f>HYPERLINK("http://141.218.60.56/~jnz1568/getInfo.php?workbook=02_01.xlsx&amp;sheet=A0&amp;row=212&amp;col=24&amp;number=&amp;sourceID=13","")</f>
        <v/>
      </c>
      <c r="Y212" s="4" t="str">
        <f>HYPERLINK("http://141.218.60.56/~jnz1568/getInfo.php?workbook=02_01.xlsx&amp;sheet=A0&amp;row=212&amp;col=25&amp;number=&amp;sourceID=13","")</f>
        <v/>
      </c>
      <c r="Z212" s="4" t="str">
        <f>HYPERLINK("http://141.218.60.56/~jnz1568/getInfo.php?workbook=02_01.xlsx&amp;sheet=A0&amp;row=212&amp;col=26&amp;number=&amp;sourceID=13","")</f>
        <v/>
      </c>
      <c r="AA212" s="4" t="str">
        <f>HYPERLINK("http://141.218.60.56/~jnz1568/getInfo.php?workbook=02_01.xlsx&amp;sheet=A0&amp;row=212&amp;col=27&amp;number=&amp;sourceID=20","")</f>
        <v/>
      </c>
    </row>
    <row r="213" spans="1:27">
      <c r="A213" s="3">
        <v>2</v>
      </c>
      <c r="B213" s="3">
        <v>1</v>
      </c>
      <c r="C213" s="3">
        <v>22</v>
      </c>
      <c r="D213" s="3">
        <v>8</v>
      </c>
      <c r="E213" s="3">
        <f>((1/(INDEX(E0!J$4:J$28,C213,1)-INDEX(E0!J$4:J$28,D213,1))))*100000000</f>
        <v>0</v>
      </c>
      <c r="F213" s="4" t="str">
        <f>HYPERLINK("http://141.218.60.56/~jnz1568/getInfo.php?workbook=02_01.xlsx&amp;sheet=A0&amp;row=213&amp;col=6&amp;number=&amp;sourceID=18","")</f>
        <v/>
      </c>
      <c r="G213" s="4" t="str">
        <f>HYPERLINK("http://141.218.60.56/~jnz1568/getInfo.php?workbook=02_01.xlsx&amp;sheet=A0&amp;row=213&amp;col=7&amp;number==&amp;sourceID=11","=")</f>
        <v>=</v>
      </c>
      <c r="H213" s="4" t="str">
        <f>HYPERLINK("http://141.218.60.56/~jnz1568/getInfo.php?workbook=02_01.xlsx&amp;sheet=A0&amp;row=213&amp;col=8&amp;number=54286000&amp;sourceID=11","54286000")</f>
        <v>54286000</v>
      </c>
      <c r="I213" s="4" t="str">
        <f>HYPERLINK("http://141.218.60.56/~jnz1568/getInfo.php?workbook=02_01.xlsx&amp;sheet=A0&amp;row=213&amp;col=9&amp;number=&amp;sourceID=11","")</f>
        <v/>
      </c>
      <c r="J213" s="4" t="str">
        <f>HYPERLINK("http://141.218.60.56/~jnz1568/getInfo.php?workbook=02_01.xlsx&amp;sheet=A0&amp;row=213&amp;col=10&amp;number=8.5457e-06&amp;sourceID=11","8.5457e-06")</f>
        <v>8.5457e-06</v>
      </c>
      <c r="K213" s="4" t="str">
        <f>HYPERLINK("http://141.218.60.56/~jnz1568/getInfo.php?workbook=02_01.xlsx&amp;sheet=A0&amp;row=213&amp;col=11&amp;number=&amp;sourceID=11","")</f>
        <v/>
      </c>
      <c r="L213" s="4" t="str">
        <f>HYPERLINK("http://141.218.60.56/~jnz1568/getInfo.php?workbook=02_01.xlsx&amp;sheet=A0&amp;row=213&amp;col=12&amp;number=0.00075685&amp;sourceID=11","0.00075685")</f>
        <v>0.00075685</v>
      </c>
      <c r="M213" s="4" t="str">
        <f>HYPERLINK("http://141.218.60.56/~jnz1568/getInfo.php?workbook=02_01.xlsx&amp;sheet=A0&amp;row=213&amp;col=13&amp;number=&amp;sourceID=11","")</f>
        <v/>
      </c>
      <c r="N213" s="4" t="str">
        <f>HYPERLINK("http://141.218.60.56/~jnz1568/getInfo.php?workbook=02_01.xlsx&amp;sheet=A0&amp;row=213&amp;col=14&amp;number=54294000&amp;sourceID=12","54294000")</f>
        <v>54294000</v>
      </c>
      <c r="O213" s="4" t="str">
        <f>HYPERLINK("http://141.218.60.56/~jnz1568/getInfo.php?workbook=02_01.xlsx&amp;sheet=A0&amp;row=213&amp;col=15&amp;number=54294000&amp;sourceID=12","54294000")</f>
        <v>54294000</v>
      </c>
      <c r="P213" s="4" t="str">
        <f>HYPERLINK("http://141.218.60.56/~jnz1568/getInfo.php?workbook=02_01.xlsx&amp;sheet=A0&amp;row=213&amp;col=16&amp;number=&amp;sourceID=12","")</f>
        <v/>
      </c>
      <c r="Q213" s="4" t="str">
        <f>HYPERLINK("http://141.218.60.56/~jnz1568/getInfo.php?workbook=02_01.xlsx&amp;sheet=A0&amp;row=213&amp;col=17&amp;number=8.5469e-06&amp;sourceID=12","8.5469e-06")</f>
        <v>8.5469e-06</v>
      </c>
      <c r="R213" s="4" t="str">
        <f>HYPERLINK("http://141.218.60.56/~jnz1568/getInfo.php?workbook=02_01.xlsx&amp;sheet=A0&amp;row=213&amp;col=18&amp;number=&amp;sourceID=12","")</f>
        <v/>
      </c>
      <c r="S213" s="4" t="str">
        <f>HYPERLINK("http://141.218.60.56/~jnz1568/getInfo.php?workbook=02_01.xlsx&amp;sheet=A0&amp;row=213&amp;col=19&amp;number=0.00075695&amp;sourceID=12","0.00075695")</f>
        <v>0.00075695</v>
      </c>
      <c r="T213" s="4" t="str">
        <f>HYPERLINK("http://141.218.60.56/~jnz1568/getInfo.php?workbook=02_01.xlsx&amp;sheet=A0&amp;row=213&amp;col=20&amp;number=&amp;sourceID=12","")</f>
        <v/>
      </c>
      <c r="U213" s="4" t="str">
        <f>HYPERLINK("http://141.218.60.56/~jnz1568/getInfo.php?workbook=02_01.xlsx&amp;sheet=A0&amp;row=213&amp;col=21&amp;number=&amp;sourceID=13","")</f>
        <v/>
      </c>
      <c r="V213" s="4" t="str">
        <f>HYPERLINK("http://141.218.60.56/~jnz1568/getInfo.php?workbook=02_01.xlsx&amp;sheet=A0&amp;row=213&amp;col=22&amp;number=&amp;sourceID=13","")</f>
        <v/>
      </c>
      <c r="W213" s="4" t="str">
        <f>HYPERLINK("http://141.218.60.56/~jnz1568/getInfo.php?workbook=02_01.xlsx&amp;sheet=A0&amp;row=213&amp;col=23&amp;number=&amp;sourceID=13","")</f>
        <v/>
      </c>
      <c r="X213" s="4" t="str">
        <f>HYPERLINK("http://141.218.60.56/~jnz1568/getInfo.php?workbook=02_01.xlsx&amp;sheet=A0&amp;row=213&amp;col=24&amp;number=&amp;sourceID=13","")</f>
        <v/>
      </c>
      <c r="Y213" s="4" t="str">
        <f>HYPERLINK("http://141.218.60.56/~jnz1568/getInfo.php?workbook=02_01.xlsx&amp;sheet=A0&amp;row=213&amp;col=25&amp;number=&amp;sourceID=13","")</f>
        <v/>
      </c>
      <c r="Z213" s="4" t="str">
        <f>HYPERLINK("http://141.218.60.56/~jnz1568/getInfo.php?workbook=02_01.xlsx&amp;sheet=A0&amp;row=213&amp;col=26&amp;number=&amp;sourceID=13","")</f>
        <v/>
      </c>
      <c r="AA213" s="4" t="str">
        <f>HYPERLINK("http://141.218.60.56/~jnz1568/getInfo.php?workbook=02_01.xlsx&amp;sheet=A0&amp;row=213&amp;col=27&amp;number=&amp;sourceID=20","")</f>
        <v/>
      </c>
    </row>
    <row r="214" spans="1:27">
      <c r="A214" s="3">
        <v>2</v>
      </c>
      <c r="B214" s="3">
        <v>1</v>
      </c>
      <c r="C214" s="3">
        <v>22</v>
      </c>
      <c r="D214" s="3">
        <v>9</v>
      </c>
      <c r="E214" s="3">
        <f>((1/(INDEX(E0!J$4:J$28,C214,1)-INDEX(E0!J$4:J$28,D214,1))))*100000000</f>
        <v>0</v>
      </c>
      <c r="F214" s="4" t="str">
        <f>HYPERLINK("http://141.218.60.56/~jnz1568/getInfo.php?workbook=02_01.xlsx&amp;sheet=A0&amp;row=214&amp;col=6&amp;number=&amp;sourceID=18","")</f>
        <v/>
      </c>
      <c r="G214" s="4" t="str">
        <f>HYPERLINK("http://141.218.60.56/~jnz1568/getInfo.php?workbook=02_01.xlsx&amp;sheet=A0&amp;row=214&amp;col=7&amp;number==&amp;sourceID=11","=")</f>
        <v>=</v>
      </c>
      <c r="H214" s="4" t="str">
        <f>HYPERLINK("http://141.218.60.56/~jnz1568/getInfo.php?workbook=02_01.xlsx&amp;sheet=A0&amp;row=214&amp;col=8&amp;number=&amp;sourceID=11","")</f>
        <v/>
      </c>
      <c r="I214" s="4" t="str">
        <f>HYPERLINK("http://141.218.60.56/~jnz1568/getInfo.php?workbook=02_01.xlsx&amp;sheet=A0&amp;row=214&amp;col=9&amp;number=29.366&amp;sourceID=11","29.366")</f>
        <v>29.366</v>
      </c>
      <c r="J214" s="4" t="str">
        <f>HYPERLINK("http://141.218.60.56/~jnz1568/getInfo.php?workbook=02_01.xlsx&amp;sheet=A0&amp;row=214&amp;col=10&amp;number=&amp;sourceID=11","")</f>
        <v/>
      </c>
      <c r="K214" s="4" t="str">
        <f>HYPERLINK("http://141.218.60.56/~jnz1568/getInfo.php?workbook=02_01.xlsx&amp;sheet=A0&amp;row=214&amp;col=11&amp;number=6.4105e-08&amp;sourceID=11","6.4105e-08")</f>
        <v>6.4105e-08</v>
      </c>
      <c r="L214" s="4" t="str">
        <f>HYPERLINK("http://141.218.60.56/~jnz1568/getInfo.php?workbook=02_01.xlsx&amp;sheet=A0&amp;row=214&amp;col=12&amp;number=&amp;sourceID=11","")</f>
        <v/>
      </c>
      <c r="M214" s="4" t="str">
        <f>HYPERLINK("http://141.218.60.56/~jnz1568/getInfo.php?workbook=02_01.xlsx&amp;sheet=A0&amp;row=214&amp;col=13&amp;number=6.4969e-10&amp;sourceID=11","6.4969e-10")</f>
        <v>6.4969e-10</v>
      </c>
      <c r="N214" s="4" t="str">
        <f>HYPERLINK("http://141.218.60.56/~jnz1568/getInfo.php?workbook=02_01.xlsx&amp;sheet=A0&amp;row=214&amp;col=14&amp;number=29.37&amp;sourceID=12","29.37")</f>
        <v>29.37</v>
      </c>
      <c r="O214" s="4" t="str">
        <f>HYPERLINK("http://141.218.60.56/~jnz1568/getInfo.php?workbook=02_01.xlsx&amp;sheet=A0&amp;row=214&amp;col=15&amp;number=&amp;sourceID=12","")</f>
        <v/>
      </c>
      <c r="P214" s="4" t="str">
        <f>HYPERLINK("http://141.218.60.56/~jnz1568/getInfo.php?workbook=02_01.xlsx&amp;sheet=A0&amp;row=214&amp;col=16&amp;number=29.37&amp;sourceID=12","29.37")</f>
        <v>29.37</v>
      </c>
      <c r="Q214" s="4" t="str">
        <f>HYPERLINK("http://141.218.60.56/~jnz1568/getInfo.php?workbook=02_01.xlsx&amp;sheet=A0&amp;row=214&amp;col=17&amp;number=&amp;sourceID=12","")</f>
        <v/>
      </c>
      <c r="R214" s="4" t="str">
        <f>HYPERLINK("http://141.218.60.56/~jnz1568/getInfo.php?workbook=02_01.xlsx&amp;sheet=A0&amp;row=214&amp;col=18&amp;number=6.4071e-08&amp;sourceID=12","6.4071e-08")</f>
        <v>6.4071e-08</v>
      </c>
      <c r="S214" s="4" t="str">
        <f>HYPERLINK("http://141.218.60.56/~jnz1568/getInfo.php?workbook=02_01.xlsx&amp;sheet=A0&amp;row=214&amp;col=19&amp;number=&amp;sourceID=12","")</f>
        <v/>
      </c>
      <c r="T214" s="4" t="str">
        <f>HYPERLINK("http://141.218.60.56/~jnz1568/getInfo.php?workbook=02_01.xlsx&amp;sheet=A0&amp;row=214&amp;col=20&amp;number=6.4978e-10&amp;sourceID=12","6.4978e-10")</f>
        <v>6.4978e-10</v>
      </c>
      <c r="U214" s="4" t="str">
        <f>HYPERLINK("http://141.218.60.56/~jnz1568/getInfo.php?workbook=02_01.xlsx&amp;sheet=A0&amp;row=214&amp;col=21&amp;number=&amp;sourceID=13","")</f>
        <v/>
      </c>
      <c r="V214" s="4" t="str">
        <f>HYPERLINK("http://141.218.60.56/~jnz1568/getInfo.php?workbook=02_01.xlsx&amp;sheet=A0&amp;row=214&amp;col=22&amp;number=&amp;sourceID=13","")</f>
        <v/>
      </c>
      <c r="W214" s="4" t="str">
        <f>HYPERLINK("http://141.218.60.56/~jnz1568/getInfo.php?workbook=02_01.xlsx&amp;sheet=A0&amp;row=214&amp;col=23&amp;number=&amp;sourceID=13","")</f>
        <v/>
      </c>
      <c r="X214" s="4" t="str">
        <f>HYPERLINK("http://141.218.60.56/~jnz1568/getInfo.php?workbook=02_01.xlsx&amp;sheet=A0&amp;row=214&amp;col=24&amp;number=&amp;sourceID=13","")</f>
        <v/>
      </c>
      <c r="Y214" s="4" t="str">
        <f>HYPERLINK("http://141.218.60.56/~jnz1568/getInfo.php?workbook=02_01.xlsx&amp;sheet=A0&amp;row=214&amp;col=25&amp;number=&amp;sourceID=13","")</f>
        <v/>
      </c>
      <c r="Z214" s="4" t="str">
        <f>HYPERLINK("http://141.218.60.56/~jnz1568/getInfo.php?workbook=02_01.xlsx&amp;sheet=A0&amp;row=214&amp;col=26&amp;number=&amp;sourceID=13","")</f>
        <v/>
      </c>
      <c r="AA214" s="4" t="str">
        <f>HYPERLINK("http://141.218.60.56/~jnz1568/getInfo.php?workbook=02_01.xlsx&amp;sheet=A0&amp;row=214&amp;col=27&amp;number=&amp;sourceID=20","")</f>
        <v/>
      </c>
    </row>
    <row r="215" spans="1:27">
      <c r="A215" s="3">
        <v>2</v>
      </c>
      <c r="B215" s="3">
        <v>1</v>
      </c>
      <c r="C215" s="3">
        <v>22</v>
      </c>
      <c r="D215" s="3">
        <v>10</v>
      </c>
      <c r="E215" s="3">
        <f>((1/(INDEX(E0!J$4:J$28,C215,1)-INDEX(E0!J$4:J$28,D215,1))))*100000000</f>
        <v>0</v>
      </c>
      <c r="F215" s="4" t="str">
        <f>HYPERLINK("http://141.218.60.56/~jnz1568/getInfo.php?workbook=02_01.xlsx&amp;sheet=A0&amp;row=215&amp;col=6&amp;number=&amp;sourceID=18","")</f>
        <v/>
      </c>
      <c r="G215" s="4" t="str">
        <f>HYPERLINK("http://141.218.60.56/~jnz1568/getInfo.php?workbook=02_01.xlsx&amp;sheet=A0&amp;row=215&amp;col=7&amp;number==&amp;sourceID=11","=")</f>
        <v>=</v>
      </c>
      <c r="H215" s="4" t="str">
        <f>HYPERLINK("http://141.218.60.56/~jnz1568/getInfo.php?workbook=02_01.xlsx&amp;sheet=A0&amp;row=215&amp;col=8&amp;number=&amp;sourceID=11","")</f>
        <v/>
      </c>
      <c r="I215" s="4" t="str">
        <f>HYPERLINK("http://141.218.60.56/~jnz1568/getInfo.php?workbook=02_01.xlsx&amp;sheet=A0&amp;row=215&amp;col=9&amp;number=&amp;sourceID=11","")</f>
        <v/>
      </c>
      <c r="J215" s="4" t="str">
        <f>HYPERLINK("http://141.218.60.56/~jnz1568/getInfo.php?workbook=02_01.xlsx&amp;sheet=A0&amp;row=215&amp;col=10&amp;number=1.8615e-05&amp;sourceID=11","1.8615e-05")</f>
        <v>1.8615e-05</v>
      </c>
      <c r="K215" s="4" t="str">
        <f>HYPERLINK("http://141.218.60.56/~jnz1568/getInfo.php?workbook=02_01.xlsx&amp;sheet=A0&amp;row=215&amp;col=11&amp;number=&amp;sourceID=11","")</f>
        <v/>
      </c>
      <c r="L215" s="4" t="str">
        <f>HYPERLINK("http://141.218.60.56/~jnz1568/getInfo.php?workbook=02_01.xlsx&amp;sheet=A0&amp;row=215&amp;col=12&amp;number=6.0702e-06&amp;sourceID=11","6.0702e-06")</f>
        <v>6.0702e-06</v>
      </c>
      <c r="M215" s="4" t="str">
        <f>HYPERLINK("http://141.218.60.56/~jnz1568/getInfo.php?workbook=02_01.xlsx&amp;sheet=A0&amp;row=215&amp;col=13&amp;number=&amp;sourceID=11","")</f>
        <v/>
      </c>
      <c r="N215" s="4" t="str">
        <f>HYPERLINK("http://141.218.60.56/~jnz1568/getInfo.php?workbook=02_01.xlsx&amp;sheet=A0&amp;row=215&amp;col=14&amp;number=2.4688e-05&amp;sourceID=12","2.4688e-05")</f>
        <v>2.4688e-05</v>
      </c>
      <c r="O215" s="4" t="str">
        <f>HYPERLINK("http://141.218.60.56/~jnz1568/getInfo.php?workbook=02_01.xlsx&amp;sheet=A0&amp;row=215&amp;col=15&amp;number=&amp;sourceID=12","")</f>
        <v/>
      </c>
      <c r="P215" s="4" t="str">
        <f>HYPERLINK("http://141.218.60.56/~jnz1568/getInfo.php?workbook=02_01.xlsx&amp;sheet=A0&amp;row=215&amp;col=16&amp;number=&amp;sourceID=12","")</f>
        <v/>
      </c>
      <c r="Q215" s="4" t="str">
        <f>HYPERLINK("http://141.218.60.56/~jnz1568/getInfo.php?workbook=02_01.xlsx&amp;sheet=A0&amp;row=215&amp;col=17&amp;number=1.8617e-05&amp;sourceID=12","1.8617e-05")</f>
        <v>1.8617e-05</v>
      </c>
      <c r="R215" s="4" t="str">
        <f>HYPERLINK("http://141.218.60.56/~jnz1568/getInfo.php?workbook=02_01.xlsx&amp;sheet=A0&amp;row=215&amp;col=18&amp;number=&amp;sourceID=12","")</f>
        <v/>
      </c>
      <c r="S215" s="4" t="str">
        <f>HYPERLINK("http://141.218.60.56/~jnz1568/getInfo.php?workbook=02_01.xlsx&amp;sheet=A0&amp;row=215&amp;col=19&amp;number=6.071e-06&amp;sourceID=12","6.071e-06")</f>
        <v>6.071e-06</v>
      </c>
      <c r="T215" s="4" t="str">
        <f>HYPERLINK("http://141.218.60.56/~jnz1568/getInfo.php?workbook=02_01.xlsx&amp;sheet=A0&amp;row=215&amp;col=20&amp;number=&amp;sourceID=12","")</f>
        <v/>
      </c>
      <c r="U215" s="4" t="str">
        <f>HYPERLINK("http://141.218.60.56/~jnz1568/getInfo.php?workbook=02_01.xlsx&amp;sheet=A0&amp;row=215&amp;col=21&amp;number=&amp;sourceID=13","")</f>
        <v/>
      </c>
      <c r="V215" s="4" t="str">
        <f>HYPERLINK("http://141.218.60.56/~jnz1568/getInfo.php?workbook=02_01.xlsx&amp;sheet=A0&amp;row=215&amp;col=22&amp;number=&amp;sourceID=13","")</f>
        <v/>
      </c>
      <c r="W215" s="4" t="str">
        <f>HYPERLINK("http://141.218.60.56/~jnz1568/getInfo.php?workbook=02_01.xlsx&amp;sheet=A0&amp;row=215&amp;col=23&amp;number=&amp;sourceID=13","")</f>
        <v/>
      </c>
      <c r="X215" s="4" t="str">
        <f>HYPERLINK("http://141.218.60.56/~jnz1568/getInfo.php?workbook=02_01.xlsx&amp;sheet=A0&amp;row=215&amp;col=24&amp;number=&amp;sourceID=13","")</f>
        <v/>
      </c>
      <c r="Y215" s="4" t="str">
        <f>HYPERLINK("http://141.218.60.56/~jnz1568/getInfo.php?workbook=02_01.xlsx&amp;sheet=A0&amp;row=215&amp;col=25&amp;number=&amp;sourceID=13","")</f>
        <v/>
      </c>
      <c r="Z215" s="4" t="str">
        <f>HYPERLINK("http://141.218.60.56/~jnz1568/getInfo.php?workbook=02_01.xlsx&amp;sheet=A0&amp;row=215&amp;col=26&amp;number=&amp;sourceID=13","")</f>
        <v/>
      </c>
      <c r="AA215" s="4" t="str">
        <f>HYPERLINK("http://141.218.60.56/~jnz1568/getInfo.php?workbook=02_01.xlsx&amp;sheet=A0&amp;row=215&amp;col=27&amp;number=&amp;sourceID=20","")</f>
        <v/>
      </c>
    </row>
    <row r="216" spans="1:27">
      <c r="A216" s="3">
        <v>2</v>
      </c>
      <c r="B216" s="3">
        <v>1</v>
      </c>
      <c r="C216" s="3">
        <v>22</v>
      </c>
      <c r="D216" s="3">
        <v>11</v>
      </c>
      <c r="E216" s="3">
        <f>((1/(INDEX(E0!J$4:J$28,C216,1)-INDEX(E0!J$4:J$28,D216,1))))*100000000</f>
        <v>0</v>
      </c>
      <c r="F216" s="4" t="str">
        <f>HYPERLINK("http://141.218.60.56/~jnz1568/getInfo.php?workbook=02_01.xlsx&amp;sheet=A0&amp;row=216&amp;col=6&amp;number=&amp;sourceID=18","")</f>
        <v/>
      </c>
      <c r="G216" s="4" t="str">
        <f>HYPERLINK("http://141.218.60.56/~jnz1568/getInfo.php?workbook=02_01.xlsx&amp;sheet=A0&amp;row=216&amp;col=7&amp;number==&amp;sourceID=11","=")</f>
        <v>=</v>
      </c>
      <c r="H216" s="4" t="str">
        <f>HYPERLINK("http://141.218.60.56/~jnz1568/getInfo.php?workbook=02_01.xlsx&amp;sheet=A0&amp;row=216&amp;col=8&amp;number=&amp;sourceID=11","")</f>
        <v/>
      </c>
      <c r="I216" s="4" t="str">
        <f>HYPERLINK("http://141.218.60.56/~jnz1568/getInfo.php?workbook=02_01.xlsx&amp;sheet=A0&amp;row=216&amp;col=9&amp;number=34.528&amp;sourceID=11","34.528")</f>
        <v>34.528</v>
      </c>
      <c r="J216" s="4" t="str">
        <f>HYPERLINK("http://141.218.60.56/~jnz1568/getInfo.php?workbook=02_01.xlsx&amp;sheet=A0&amp;row=216&amp;col=10&amp;number=&amp;sourceID=11","")</f>
        <v/>
      </c>
      <c r="K216" s="4" t="str">
        <f>HYPERLINK("http://141.218.60.56/~jnz1568/getInfo.php?workbook=02_01.xlsx&amp;sheet=A0&amp;row=216&amp;col=11&amp;number=&amp;sourceID=11","")</f>
        <v/>
      </c>
      <c r="L216" s="4" t="str">
        <f>HYPERLINK("http://141.218.60.56/~jnz1568/getInfo.php?workbook=02_01.xlsx&amp;sheet=A0&amp;row=216&amp;col=12&amp;number=&amp;sourceID=11","")</f>
        <v/>
      </c>
      <c r="M216" s="4" t="str">
        <f>HYPERLINK("http://141.218.60.56/~jnz1568/getInfo.php?workbook=02_01.xlsx&amp;sheet=A0&amp;row=216&amp;col=13&amp;number=4.4069e-11&amp;sourceID=11","4.4069e-11")</f>
        <v>4.4069e-11</v>
      </c>
      <c r="N216" s="4" t="str">
        <f>HYPERLINK("http://141.218.60.56/~jnz1568/getInfo.php?workbook=02_01.xlsx&amp;sheet=A0&amp;row=216&amp;col=14&amp;number=34.533&amp;sourceID=12","34.533")</f>
        <v>34.533</v>
      </c>
      <c r="O216" s="4" t="str">
        <f>HYPERLINK("http://141.218.60.56/~jnz1568/getInfo.php?workbook=02_01.xlsx&amp;sheet=A0&amp;row=216&amp;col=15&amp;number=&amp;sourceID=12","")</f>
        <v/>
      </c>
      <c r="P216" s="4" t="str">
        <f>HYPERLINK("http://141.218.60.56/~jnz1568/getInfo.php?workbook=02_01.xlsx&amp;sheet=A0&amp;row=216&amp;col=16&amp;number=34.533&amp;sourceID=12","34.533")</f>
        <v>34.533</v>
      </c>
      <c r="Q216" s="4" t="str">
        <f>HYPERLINK("http://141.218.60.56/~jnz1568/getInfo.php?workbook=02_01.xlsx&amp;sheet=A0&amp;row=216&amp;col=17&amp;number=&amp;sourceID=12","")</f>
        <v/>
      </c>
      <c r="R216" s="4" t="str">
        <f>HYPERLINK("http://141.218.60.56/~jnz1568/getInfo.php?workbook=02_01.xlsx&amp;sheet=A0&amp;row=216&amp;col=18&amp;number=&amp;sourceID=12","")</f>
        <v/>
      </c>
      <c r="S216" s="4" t="str">
        <f>HYPERLINK("http://141.218.60.56/~jnz1568/getInfo.php?workbook=02_01.xlsx&amp;sheet=A0&amp;row=216&amp;col=19&amp;number=&amp;sourceID=12","")</f>
        <v/>
      </c>
      <c r="T216" s="4" t="str">
        <f>HYPERLINK("http://141.218.60.56/~jnz1568/getInfo.php?workbook=02_01.xlsx&amp;sheet=A0&amp;row=216&amp;col=20&amp;number=4.4075e-11&amp;sourceID=12","4.4075e-11")</f>
        <v>4.4075e-11</v>
      </c>
      <c r="U216" s="4" t="str">
        <f>HYPERLINK("http://141.218.60.56/~jnz1568/getInfo.php?workbook=02_01.xlsx&amp;sheet=A0&amp;row=216&amp;col=21&amp;number=&amp;sourceID=13","")</f>
        <v/>
      </c>
      <c r="V216" s="4" t="str">
        <f>HYPERLINK("http://141.218.60.56/~jnz1568/getInfo.php?workbook=02_01.xlsx&amp;sheet=A0&amp;row=216&amp;col=22&amp;number=&amp;sourceID=13","")</f>
        <v/>
      </c>
      <c r="W216" s="4" t="str">
        <f>HYPERLINK("http://141.218.60.56/~jnz1568/getInfo.php?workbook=02_01.xlsx&amp;sheet=A0&amp;row=216&amp;col=23&amp;number=&amp;sourceID=13","")</f>
        <v/>
      </c>
      <c r="X216" s="4" t="str">
        <f>HYPERLINK("http://141.218.60.56/~jnz1568/getInfo.php?workbook=02_01.xlsx&amp;sheet=A0&amp;row=216&amp;col=24&amp;number=&amp;sourceID=13","")</f>
        <v/>
      </c>
      <c r="Y216" s="4" t="str">
        <f>HYPERLINK("http://141.218.60.56/~jnz1568/getInfo.php?workbook=02_01.xlsx&amp;sheet=A0&amp;row=216&amp;col=25&amp;number=&amp;sourceID=13","")</f>
        <v/>
      </c>
      <c r="Z216" s="4" t="str">
        <f>HYPERLINK("http://141.218.60.56/~jnz1568/getInfo.php?workbook=02_01.xlsx&amp;sheet=A0&amp;row=216&amp;col=26&amp;number=&amp;sourceID=13","")</f>
        <v/>
      </c>
      <c r="AA216" s="4" t="str">
        <f>HYPERLINK("http://141.218.60.56/~jnz1568/getInfo.php?workbook=02_01.xlsx&amp;sheet=A0&amp;row=216&amp;col=27&amp;number=&amp;sourceID=20","")</f>
        <v/>
      </c>
    </row>
    <row r="217" spans="1:27">
      <c r="A217" s="3">
        <v>2</v>
      </c>
      <c r="B217" s="3">
        <v>1</v>
      </c>
      <c r="C217" s="3">
        <v>22</v>
      </c>
      <c r="D217" s="3">
        <v>12</v>
      </c>
      <c r="E217" s="3">
        <f>((1/(INDEX(E0!J$4:J$28,C217,1)-INDEX(E0!J$4:J$28,D217,1))))*100000000</f>
        <v>0</v>
      </c>
      <c r="F217" s="4" t="str">
        <f>HYPERLINK("http://141.218.60.56/~jnz1568/getInfo.php?workbook=02_01.xlsx&amp;sheet=A0&amp;row=217&amp;col=6&amp;number=&amp;sourceID=18","")</f>
        <v/>
      </c>
      <c r="G217" s="4" t="str">
        <f>HYPERLINK("http://141.218.60.56/~jnz1568/getInfo.php?workbook=02_01.xlsx&amp;sheet=A0&amp;row=217&amp;col=7&amp;number==&amp;sourceID=11","=")</f>
        <v>=</v>
      </c>
      <c r="H217" s="4" t="str">
        <f>HYPERLINK("http://141.218.60.56/~jnz1568/getInfo.php?workbook=02_01.xlsx&amp;sheet=A0&amp;row=217&amp;col=8&amp;number=&amp;sourceID=11","")</f>
        <v/>
      </c>
      <c r="I217" s="4" t="str">
        <f>HYPERLINK("http://141.218.60.56/~jnz1568/getInfo.php?workbook=02_01.xlsx&amp;sheet=A0&amp;row=217&amp;col=9&amp;number=3.4014&amp;sourceID=11","3.4014")</f>
        <v>3.4014</v>
      </c>
      <c r="J217" s="4" t="str">
        <f>HYPERLINK("http://141.218.60.56/~jnz1568/getInfo.php?workbook=02_01.xlsx&amp;sheet=A0&amp;row=217&amp;col=10&amp;number=&amp;sourceID=11","")</f>
        <v/>
      </c>
      <c r="K217" s="4" t="str">
        <f>HYPERLINK("http://141.218.60.56/~jnz1568/getInfo.php?workbook=02_01.xlsx&amp;sheet=A0&amp;row=217&amp;col=11&amp;number=2.1456e-09&amp;sourceID=11","2.1456e-09")</f>
        <v>2.1456e-09</v>
      </c>
      <c r="L217" s="4" t="str">
        <f>HYPERLINK("http://141.218.60.56/~jnz1568/getInfo.php?workbook=02_01.xlsx&amp;sheet=A0&amp;row=217&amp;col=12&amp;number=&amp;sourceID=11","")</f>
        <v/>
      </c>
      <c r="M217" s="4" t="str">
        <f>HYPERLINK("http://141.218.60.56/~jnz1568/getInfo.php?workbook=02_01.xlsx&amp;sheet=A0&amp;row=217&amp;col=13&amp;number=2.48e-13&amp;sourceID=11","2.48e-13")</f>
        <v>2.48e-13</v>
      </c>
      <c r="N217" s="4" t="str">
        <f>HYPERLINK("http://141.218.60.56/~jnz1568/getInfo.php?workbook=02_01.xlsx&amp;sheet=A0&amp;row=217&amp;col=14&amp;number=3.4018&amp;sourceID=12","3.4018")</f>
        <v>3.4018</v>
      </c>
      <c r="O217" s="4" t="str">
        <f>HYPERLINK("http://141.218.60.56/~jnz1568/getInfo.php?workbook=02_01.xlsx&amp;sheet=A0&amp;row=217&amp;col=15&amp;number=&amp;sourceID=12","")</f>
        <v/>
      </c>
      <c r="P217" s="4" t="str">
        <f>HYPERLINK("http://141.218.60.56/~jnz1568/getInfo.php?workbook=02_01.xlsx&amp;sheet=A0&amp;row=217&amp;col=16&amp;number=3.4018&amp;sourceID=12","3.4018")</f>
        <v>3.4018</v>
      </c>
      <c r="Q217" s="4" t="str">
        <f>HYPERLINK("http://141.218.60.56/~jnz1568/getInfo.php?workbook=02_01.xlsx&amp;sheet=A0&amp;row=217&amp;col=17&amp;number=&amp;sourceID=12","")</f>
        <v/>
      </c>
      <c r="R217" s="4" t="str">
        <f>HYPERLINK("http://141.218.60.56/~jnz1568/getInfo.php?workbook=02_01.xlsx&amp;sheet=A0&amp;row=217&amp;col=18&amp;number=2.1479e-09&amp;sourceID=12","2.1479e-09")</f>
        <v>2.1479e-09</v>
      </c>
      <c r="S217" s="4" t="str">
        <f>HYPERLINK("http://141.218.60.56/~jnz1568/getInfo.php?workbook=02_01.xlsx&amp;sheet=A0&amp;row=217&amp;col=19&amp;number=&amp;sourceID=12","")</f>
        <v/>
      </c>
      <c r="T217" s="4" t="str">
        <f>HYPERLINK("http://141.218.60.56/~jnz1568/getInfo.php?workbook=02_01.xlsx&amp;sheet=A0&amp;row=217&amp;col=20&amp;number=2.48e-13&amp;sourceID=12","2.48e-13")</f>
        <v>2.48e-13</v>
      </c>
      <c r="U217" s="4" t="str">
        <f>HYPERLINK("http://141.218.60.56/~jnz1568/getInfo.php?workbook=02_01.xlsx&amp;sheet=A0&amp;row=217&amp;col=21&amp;number=&amp;sourceID=13","")</f>
        <v/>
      </c>
      <c r="V217" s="4" t="str">
        <f>HYPERLINK("http://141.218.60.56/~jnz1568/getInfo.php?workbook=02_01.xlsx&amp;sheet=A0&amp;row=217&amp;col=22&amp;number=&amp;sourceID=13","")</f>
        <v/>
      </c>
      <c r="W217" s="4" t="str">
        <f>HYPERLINK("http://141.218.60.56/~jnz1568/getInfo.php?workbook=02_01.xlsx&amp;sheet=A0&amp;row=217&amp;col=23&amp;number=&amp;sourceID=13","")</f>
        <v/>
      </c>
      <c r="X217" s="4" t="str">
        <f>HYPERLINK("http://141.218.60.56/~jnz1568/getInfo.php?workbook=02_01.xlsx&amp;sheet=A0&amp;row=217&amp;col=24&amp;number=&amp;sourceID=13","")</f>
        <v/>
      </c>
      <c r="Y217" s="4" t="str">
        <f>HYPERLINK("http://141.218.60.56/~jnz1568/getInfo.php?workbook=02_01.xlsx&amp;sheet=A0&amp;row=217&amp;col=25&amp;number=&amp;sourceID=13","")</f>
        <v/>
      </c>
      <c r="Z217" s="4" t="str">
        <f>HYPERLINK("http://141.218.60.56/~jnz1568/getInfo.php?workbook=02_01.xlsx&amp;sheet=A0&amp;row=217&amp;col=26&amp;number=&amp;sourceID=13","")</f>
        <v/>
      </c>
      <c r="AA217" s="4" t="str">
        <f>HYPERLINK("http://141.218.60.56/~jnz1568/getInfo.php?workbook=02_01.xlsx&amp;sheet=A0&amp;row=217&amp;col=27&amp;number=&amp;sourceID=20","")</f>
        <v/>
      </c>
    </row>
    <row r="218" spans="1:27">
      <c r="A218" s="3">
        <v>2</v>
      </c>
      <c r="B218" s="3">
        <v>1</v>
      </c>
      <c r="C218" s="3">
        <v>22</v>
      </c>
      <c r="D218" s="3">
        <v>13</v>
      </c>
      <c r="E218" s="3">
        <f>((1/(INDEX(E0!J$4:J$28,C218,1)-INDEX(E0!J$4:J$28,D218,1))))*100000000</f>
        <v>0</v>
      </c>
      <c r="F218" s="4" t="str">
        <f>HYPERLINK("http://141.218.60.56/~jnz1568/getInfo.php?workbook=02_01.xlsx&amp;sheet=A0&amp;row=218&amp;col=6&amp;number=&amp;sourceID=18","")</f>
        <v/>
      </c>
      <c r="G218" s="4" t="str">
        <f>HYPERLINK("http://141.218.60.56/~jnz1568/getInfo.php?workbook=02_01.xlsx&amp;sheet=A0&amp;row=218&amp;col=7&amp;number==&amp;sourceID=11","=")</f>
        <v>=</v>
      </c>
      <c r="H218" s="4" t="str">
        <f>HYPERLINK("http://141.218.60.56/~jnz1568/getInfo.php?workbook=02_01.xlsx&amp;sheet=A0&amp;row=218&amp;col=8&amp;number=23782000&amp;sourceID=11","23782000")</f>
        <v>23782000</v>
      </c>
      <c r="I218" s="4" t="str">
        <f>HYPERLINK("http://141.218.60.56/~jnz1568/getInfo.php?workbook=02_01.xlsx&amp;sheet=A0&amp;row=218&amp;col=9&amp;number=&amp;sourceID=11","")</f>
        <v/>
      </c>
      <c r="J218" s="4" t="str">
        <f>HYPERLINK("http://141.218.60.56/~jnz1568/getInfo.php?workbook=02_01.xlsx&amp;sheet=A0&amp;row=218&amp;col=10&amp;number=1.4888e-05&amp;sourceID=11","1.4888e-05")</f>
        <v>1.4888e-05</v>
      </c>
      <c r="K218" s="4" t="str">
        <f>HYPERLINK("http://141.218.60.56/~jnz1568/getInfo.php?workbook=02_01.xlsx&amp;sheet=A0&amp;row=218&amp;col=11&amp;number=&amp;sourceID=11","")</f>
        <v/>
      </c>
      <c r="L218" s="4" t="str">
        <f>HYPERLINK("http://141.218.60.56/~jnz1568/getInfo.php?workbook=02_01.xlsx&amp;sheet=A0&amp;row=218&amp;col=12&amp;number=3.3194e-05&amp;sourceID=11","3.3194e-05")</f>
        <v>3.3194e-05</v>
      </c>
      <c r="M218" s="4" t="str">
        <f>HYPERLINK("http://141.218.60.56/~jnz1568/getInfo.php?workbook=02_01.xlsx&amp;sheet=A0&amp;row=218&amp;col=13&amp;number=&amp;sourceID=11","")</f>
        <v/>
      </c>
      <c r="N218" s="4" t="str">
        <f>HYPERLINK("http://141.218.60.56/~jnz1568/getInfo.php?workbook=02_01.xlsx&amp;sheet=A0&amp;row=218&amp;col=14&amp;number=23785000&amp;sourceID=12","23785000")</f>
        <v>23785000</v>
      </c>
      <c r="O218" s="4" t="str">
        <f>HYPERLINK("http://141.218.60.56/~jnz1568/getInfo.php?workbook=02_01.xlsx&amp;sheet=A0&amp;row=218&amp;col=15&amp;number=23785000&amp;sourceID=12","23785000")</f>
        <v>23785000</v>
      </c>
      <c r="P218" s="4" t="str">
        <f>HYPERLINK("http://141.218.60.56/~jnz1568/getInfo.php?workbook=02_01.xlsx&amp;sheet=A0&amp;row=218&amp;col=16&amp;number=&amp;sourceID=12","")</f>
        <v/>
      </c>
      <c r="Q218" s="4" t="str">
        <f>HYPERLINK("http://141.218.60.56/~jnz1568/getInfo.php?workbook=02_01.xlsx&amp;sheet=A0&amp;row=218&amp;col=17&amp;number=1.489e-05&amp;sourceID=12","1.489e-05")</f>
        <v>1.489e-05</v>
      </c>
      <c r="R218" s="4" t="str">
        <f>HYPERLINK("http://141.218.60.56/~jnz1568/getInfo.php?workbook=02_01.xlsx&amp;sheet=A0&amp;row=218&amp;col=18&amp;number=&amp;sourceID=12","")</f>
        <v/>
      </c>
      <c r="S218" s="4" t="str">
        <f>HYPERLINK("http://141.218.60.56/~jnz1568/getInfo.php?workbook=02_01.xlsx&amp;sheet=A0&amp;row=218&amp;col=19&amp;number=3.3199e-05&amp;sourceID=12","3.3199e-05")</f>
        <v>3.3199e-05</v>
      </c>
      <c r="T218" s="4" t="str">
        <f>HYPERLINK("http://141.218.60.56/~jnz1568/getInfo.php?workbook=02_01.xlsx&amp;sheet=A0&amp;row=218&amp;col=20&amp;number=&amp;sourceID=12","")</f>
        <v/>
      </c>
      <c r="U218" s="4" t="str">
        <f>HYPERLINK("http://141.218.60.56/~jnz1568/getInfo.php?workbook=02_01.xlsx&amp;sheet=A0&amp;row=218&amp;col=21&amp;number=&amp;sourceID=13","")</f>
        <v/>
      </c>
      <c r="V218" s="4" t="str">
        <f>HYPERLINK("http://141.218.60.56/~jnz1568/getInfo.php?workbook=02_01.xlsx&amp;sheet=A0&amp;row=218&amp;col=22&amp;number=&amp;sourceID=13","")</f>
        <v/>
      </c>
      <c r="W218" s="4" t="str">
        <f>HYPERLINK("http://141.218.60.56/~jnz1568/getInfo.php?workbook=02_01.xlsx&amp;sheet=A0&amp;row=218&amp;col=23&amp;number=&amp;sourceID=13","")</f>
        <v/>
      </c>
      <c r="X218" s="4" t="str">
        <f>HYPERLINK("http://141.218.60.56/~jnz1568/getInfo.php?workbook=02_01.xlsx&amp;sheet=A0&amp;row=218&amp;col=24&amp;number=&amp;sourceID=13","")</f>
        <v/>
      </c>
      <c r="Y218" s="4" t="str">
        <f>HYPERLINK("http://141.218.60.56/~jnz1568/getInfo.php?workbook=02_01.xlsx&amp;sheet=A0&amp;row=218&amp;col=25&amp;number=&amp;sourceID=13","")</f>
        <v/>
      </c>
      <c r="Z218" s="4" t="str">
        <f>HYPERLINK("http://141.218.60.56/~jnz1568/getInfo.php?workbook=02_01.xlsx&amp;sheet=A0&amp;row=218&amp;col=26&amp;number=&amp;sourceID=13","")</f>
        <v/>
      </c>
      <c r="AA218" s="4" t="str">
        <f>HYPERLINK("http://141.218.60.56/~jnz1568/getInfo.php?workbook=02_01.xlsx&amp;sheet=A0&amp;row=218&amp;col=27&amp;number=&amp;sourceID=20","")</f>
        <v/>
      </c>
    </row>
    <row r="219" spans="1:27">
      <c r="A219" s="3">
        <v>2</v>
      </c>
      <c r="B219" s="3">
        <v>1</v>
      </c>
      <c r="C219" s="3">
        <v>22</v>
      </c>
      <c r="D219" s="3">
        <v>14</v>
      </c>
      <c r="E219" s="3">
        <f>((1/(INDEX(E0!J$4:J$28,C219,1)-INDEX(E0!J$4:J$28,D219,1))))*100000000</f>
        <v>0</v>
      </c>
      <c r="F219" s="4" t="str">
        <f>HYPERLINK("http://141.218.60.56/~jnz1568/getInfo.php?workbook=02_01.xlsx&amp;sheet=A0&amp;row=219&amp;col=6&amp;number=&amp;sourceID=18","")</f>
        <v/>
      </c>
      <c r="G219" s="4" t="str">
        <f>HYPERLINK("http://141.218.60.56/~jnz1568/getInfo.php?workbook=02_01.xlsx&amp;sheet=A0&amp;row=219&amp;col=7&amp;number==&amp;sourceID=11","=")</f>
        <v>=</v>
      </c>
      <c r="H219" s="4" t="str">
        <f>HYPERLINK("http://141.218.60.56/~jnz1568/getInfo.php?workbook=02_01.xlsx&amp;sheet=A0&amp;row=219&amp;col=8&amp;number=38475&amp;sourceID=11","38475")</f>
        <v>38475</v>
      </c>
      <c r="I219" s="4" t="str">
        <f>HYPERLINK("http://141.218.60.56/~jnz1568/getInfo.php?workbook=02_01.xlsx&amp;sheet=A0&amp;row=219&amp;col=9&amp;number=&amp;sourceID=11","")</f>
        <v/>
      </c>
      <c r="J219" s="4" t="str">
        <f>HYPERLINK("http://141.218.60.56/~jnz1568/getInfo.php?workbook=02_01.xlsx&amp;sheet=A0&amp;row=219&amp;col=10&amp;number=1.3407e-06&amp;sourceID=11","1.3407e-06")</f>
        <v>1.3407e-06</v>
      </c>
      <c r="K219" s="4" t="str">
        <f>HYPERLINK("http://141.218.60.56/~jnz1568/getInfo.php?workbook=02_01.xlsx&amp;sheet=A0&amp;row=219&amp;col=11&amp;number=&amp;sourceID=11","")</f>
        <v/>
      </c>
      <c r="L219" s="4" t="str">
        <f>HYPERLINK("http://141.218.60.56/~jnz1568/getInfo.php?workbook=02_01.xlsx&amp;sheet=A0&amp;row=219&amp;col=12&amp;number=&amp;sourceID=11","")</f>
        <v/>
      </c>
      <c r="M219" s="4" t="str">
        <f>HYPERLINK("http://141.218.60.56/~jnz1568/getInfo.php?workbook=02_01.xlsx&amp;sheet=A0&amp;row=219&amp;col=13&amp;number=&amp;sourceID=11","")</f>
        <v/>
      </c>
      <c r="N219" s="4" t="str">
        <f>HYPERLINK("http://141.218.60.56/~jnz1568/getInfo.php?workbook=02_01.xlsx&amp;sheet=A0&amp;row=219&amp;col=14&amp;number=38480&amp;sourceID=12","38480")</f>
        <v>38480</v>
      </c>
      <c r="O219" s="4" t="str">
        <f>HYPERLINK("http://141.218.60.56/~jnz1568/getInfo.php?workbook=02_01.xlsx&amp;sheet=A0&amp;row=219&amp;col=15&amp;number=38480&amp;sourceID=12","38480")</f>
        <v>38480</v>
      </c>
      <c r="P219" s="4" t="str">
        <f>HYPERLINK("http://141.218.60.56/~jnz1568/getInfo.php?workbook=02_01.xlsx&amp;sheet=A0&amp;row=219&amp;col=16&amp;number=&amp;sourceID=12","")</f>
        <v/>
      </c>
      <c r="Q219" s="4" t="str">
        <f>HYPERLINK("http://141.218.60.56/~jnz1568/getInfo.php?workbook=02_01.xlsx&amp;sheet=A0&amp;row=219&amp;col=17&amp;number=1.3409e-06&amp;sourceID=12","1.3409e-06")</f>
        <v>1.3409e-06</v>
      </c>
      <c r="R219" s="4" t="str">
        <f>HYPERLINK("http://141.218.60.56/~jnz1568/getInfo.php?workbook=02_01.xlsx&amp;sheet=A0&amp;row=219&amp;col=18&amp;number=&amp;sourceID=12","")</f>
        <v/>
      </c>
      <c r="S219" s="4" t="str">
        <f>HYPERLINK("http://141.218.60.56/~jnz1568/getInfo.php?workbook=02_01.xlsx&amp;sheet=A0&amp;row=219&amp;col=19&amp;number=&amp;sourceID=12","")</f>
        <v/>
      </c>
      <c r="T219" s="4" t="str">
        <f>HYPERLINK("http://141.218.60.56/~jnz1568/getInfo.php?workbook=02_01.xlsx&amp;sheet=A0&amp;row=219&amp;col=20&amp;number=&amp;sourceID=12","")</f>
        <v/>
      </c>
      <c r="U219" s="4" t="str">
        <f>HYPERLINK("http://141.218.60.56/~jnz1568/getInfo.php?workbook=02_01.xlsx&amp;sheet=A0&amp;row=219&amp;col=21&amp;number=&amp;sourceID=13","")</f>
        <v/>
      </c>
      <c r="V219" s="4" t="str">
        <f>HYPERLINK("http://141.218.60.56/~jnz1568/getInfo.php?workbook=02_01.xlsx&amp;sheet=A0&amp;row=219&amp;col=22&amp;number=&amp;sourceID=13","")</f>
        <v/>
      </c>
      <c r="W219" s="4" t="str">
        <f>HYPERLINK("http://141.218.60.56/~jnz1568/getInfo.php?workbook=02_01.xlsx&amp;sheet=A0&amp;row=219&amp;col=23&amp;number=&amp;sourceID=13","")</f>
        <v/>
      </c>
      <c r="X219" s="4" t="str">
        <f>HYPERLINK("http://141.218.60.56/~jnz1568/getInfo.php?workbook=02_01.xlsx&amp;sheet=A0&amp;row=219&amp;col=24&amp;number=&amp;sourceID=13","")</f>
        <v/>
      </c>
      <c r="Y219" s="4" t="str">
        <f>HYPERLINK("http://141.218.60.56/~jnz1568/getInfo.php?workbook=02_01.xlsx&amp;sheet=A0&amp;row=219&amp;col=25&amp;number=&amp;sourceID=13","")</f>
        <v/>
      </c>
      <c r="Z219" s="4" t="str">
        <f>HYPERLINK("http://141.218.60.56/~jnz1568/getInfo.php?workbook=02_01.xlsx&amp;sheet=A0&amp;row=219&amp;col=26&amp;number=&amp;sourceID=13","")</f>
        <v/>
      </c>
      <c r="AA219" s="4" t="str">
        <f>HYPERLINK("http://141.218.60.56/~jnz1568/getInfo.php?workbook=02_01.xlsx&amp;sheet=A0&amp;row=219&amp;col=27&amp;number=&amp;sourceID=20","")</f>
        <v/>
      </c>
    </row>
    <row r="220" spans="1:27">
      <c r="A220" s="3">
        <v>2</v>
      </c>
      <c r="B220" s="3">
        <v>1</v>
      </c>
      <c r="C220" s="3">
        <v>22</v>
      </c>
      <c r="D220" s="3">
        <v>15</v>
      </c>
      <c r="E220" s="3">
        <f>((1/(INDEX(E0!J$4:J$28,C220,1)-INDEX(E0!J$4:J$28,D220,1))))*100000000</f>
        <v>0</v>
      </c>
      <c r="F220" s="4" t="str">
        <f>HYPERLINK("http://141.218.60.56/~jnz1568/getInfo.php?workbook=02_01.xlsx&amp;sheet=A0&amp;row=220&amp;col=6&amp;number=&amp;sourceID=18","")</f>
        <v/>
      </c>
      <c r="G220" s="4" t="str">
        <f>HYPERLINK("http://141.218.60.56/~jnz1568/getInfo.php?workbook=02_01.xlsx&amp;sheet=A0&amp;row=220&amp;col=7&amp;number==&amp;sourceID=11","=")</f>
        <v>=</v>
      </c>
      <c r="H220" s="4" t="str">
        <f>HYPERLINK("http://141.218.60.56/~jnz1568/getInfo.php?workbook=02_01.xlsx&amp;sheet=A0&amp;row=220&amp;col=8&amp;number=&amp;sourceID=11","")</f>
        <v/>
      </c>
      <c r="I220" s="4" t="str">
        <f>HYPERLINK("http://141.218.60.56/~jnz1568/getInfo.php?workbook=02_01.xlsx&amp;sheet=A0&amp;row=220&amp;col=9&amp;number=13.605&amp;sourceID=11","13.605")</f>
        <v>13.605</v>
      </c>
      <c r="J220" s="4" t="str">
        <f>HYPERLINK("http://141.218.60.56/~jnz1568/getInfo.php?workbook=02_01.xlsx&amp;sheet=A0&amp;row=220&amp;col=10&amp;number=&amp;sourceID=11","")</f>
        <v/>
      </c>
      <c r="K220" s="4" t="str">
        <f>HYPERLINK("http://141.218.60.56/~jnz1568/getInfo.php?workbook=02_01.xlsx&amp;sheet=A0&amp;row=220&amp;col=11&amp;number=2.9708e-09&amp;sourceID=11","2.9708e-09")</f>
        <v>2.9708e-09</v>
      </c>
      <c r="L220" s="4" t="str">
        <f>HYPERLINK("http://141.218.60.56/~jnz1568/getInfo.php?workbook=02_01.xlsx&amp;sheet=A0&amp;row=220&amp;col=12&amp;number=&amp;sourceID=11","")</f>
        <v/>
      </c>
      <c r="M220" s="4" t="str">
        <f>HYPERLINK("http://141.218.60.56/~jnz1568/getInfo.php?workbook=02_01.xlsx&amp;sheet=A0&amp;row=220&amp;col=13&amp;number=3.0134e-11&amp;sourceID=11","3.0134e-11")</f>
        <v>3.0134e-11</v>
      </c>
      <c r="N220" s="4" t="str">
        <f>HYPERLINK("http://141.218.60.56/~jnz1568/getInfo.php?workbook=02_01.xlsx&amp;sheet=A0&amp;row=220&amp;col=14&amp;number=13.607&amp;sourceID=12","13.607")</f>
        <v>13.607</v>
      </c>
      <c r="O220" s="4" t="str">
        <f>HYPERLINK("http://141.218.60.56/~jnz1568/getInfo.php?workbook=02_01.xlsx&amp;sheet=A0&amp;row=220&amp;col=15&amp;number=&amp;sourceID=12","")</f>
        <v/>
      </c>
      <c r="P220" s="4" t="str">
        <f>HYPERLINK("http://141.218.60.56/~jnz1568/getInfo.php?workbook=02_01.xlsx&amp;sheet=A0&amp;row=220&amp;col=16&amp;number=13.607&amp;sourceID=12","13.607")</f>
        <v>13.607</v>
      </c>
      <c r="Q220" s="4" t="str">
        <f>HYPERLINK("http://141.218.60.56/~jnz1568/getInfo.php?workbook=02_01.xlsx&amp;sheet=A0&amp;row=220&amp;col=17&amp;number=&amp;sourceID=12","")</f>
        <v/>
      </c>
      <c r="R220" s="4" t="str">
        <f>HYPERLINK("http://141.218.60.56/~jnz1568/getInfo.php?workbook=02_01.xlsx&amp;sheet=A0&amp;row=220&amp;col=18&amp;number=2.9712e-09&amp;sourceID=12","2.9712e-09")</f>
        <v>2.9712e-09</v>
      </c>
      <c r="S220" s="4" t="str">
        <f>HYPERLINK("http://141.218.60.56/~jnz1568/getInfo.php?workbook=02_01.xlsx&amp;sheet=A0&amp;row=220&amp;col=19&amp;number=&amp;sourceID=12","")</f>
        <v/>
      </c>
      <c r="T220" s="4" t="str">
        <f>HYPERLINK("http://141.218.60.56/~jnz1568/getInfo.php?workbook=02_01.xlsx&amp;sheet=A0&amp;row=220&amp;col=20&amp;number=3.0138e-11&amp;sourceID=12","3.0138e-11")</f>
        <v>3.0138e-11</v>
      </c>
      <c r="U220" s="4" t="str">
        <f>HYPERLINK("http://141.218.60.56/~jnz1568/getInfo.php?workbook=02_01.xlsx&amp;sheet=A0&amp;row=220&amp;col=21&amp;number=&amp;sourceID=13","")</f>
        <v/>
      </c>
      <c r="V220" s="4" t="str">
        <f>HYPERLINK("http://141.218.60.56/~jnz1568/getInfo.php?workbook=02_01.xlsx&amp;sheet=A0&amp;row=220&amp;col=22&amp;number=&amp;sourceID=13","")</f>
        <v/>
      </c>
      <c r="W220" s="4" t="str">
        <f>HYPERLINK("http://141.218.60.56/~jnz1568/getInfo.php?workbook=02_01.xlsx&amp;sheet=A0&amp;row=220&amp;col=23&amp;number=&amp;sourceID=13","")</f>
        <v/>
      </c>
      <c r="X220" s="4" t="str">
        <f>HYPERLINK("http://141.218.60.56/~jnz1568/getInfo.php?workbook=02_01.xlsx&amp;sheet=A0&amp;row=220&amp;col=24&amp;number=&amp;sourceID=13","")</f>
        <v/>
      </c>
      <c r="Y220" s="4" t="str">
        <f>HYPERLINK("http://141.218.60.56/~jnz1568/getInfo.php?workbook=02_01.xlsx&amp;sheet=A0&amp;row=220&amp;col=25&amp;number=&amp;sourceID=13","")</f>
        <v/>
      </c>
      <c r="Z220" s="4" t="str">
        <f>HYPERLINK("http://141.218.60.56/~jnz1568/getInfo.php?workbook=02_01.xlsx&amp;sheet=A0&amp;row=220&amp;col=26&amp;number=&amp;sourceID=13","")</f>
        <v/>
      </c>
      <c r="AA220" s="4" t="str">
        <f>HYPERLINK("http://141.218.60.56/~jnz1568/getInfo.php?workbook=02_01.xlsx&amp;sheet=A0&amp;row=220&amp;col=27&amp;number=&amp;sourceID=20","")</f>
        <v/>
      </c>
    </row>
    <row r="221" spans="1:27">
      <c r="A221" s="3">
        <v>2</v>
      </c>
      <c r="B221" s="3">
        <v>1</v>
      </c>
      <c r="C221" s="3">
        <v>22</v>
      </c>
      <c r="D221" s="3">
        <v>16</v>
      </c>
      <c r="E221" s="3">
        <f>((1/(INDEX(E0!J$4:J$28,C221,1)-INDEX(E0!J$4:J$28,D221,1))))*100000000</f>
        <v>0</v>
      </c>
      <c r="F221" s="4" t="str">
        <f>HYPERLINK("http://141.218.60.56/~jnz1568/getInfo.php?workbook=02_01.xlsx&amp;sheet=A0&amp;row=221&amp;col=6&amp;number=&amp;sourceID=18","")</f>
        <v/>
      </c>
      <c r="G221" s="4" t="str">
        <f>HYPERLINK("http://141.218.60.56/~jnz1568/getInfo.php?workbook=02_01.xlsx&amp;sheet=A0&amp;row=221&amp;col=7&amp;number==&amp;sourceID=11","=")</f>
        <v>=</v>
      </c>
      <c r="H221" s="4" t="str">
        <f>HYPERLINK("http://141.218.60.56/~jnz1568/getInfo.php?workbook=02_01.xlsx&amp;sheet=A0&amp;row=221&amp;col=8&amp;number=769580&amp;sourceID=11","769580")</f>
        <v>769580</v>
      </c>
      <c r="I221" s="4" t="str">
        <f>HYPERLINK("http://141.218.60.56/~jnz1568/getInfo.php?workbook=02_01.xlsx&amp;sheet=A0&amp;row=221&amp;col=9&amp;number=&amp;sourceID=11","")</f>
        <v/>
      </c>
      <c r="J221" s="4" t="str">
        <f>HYPERLINK("http://141.218.60.56/~jnz1568/getInfo.php?workbook=02_01.xlsx&amp;sheet=A0&amp;row=221&amp;col=10&amp;number=3.3517e-06&amp;sourceID=11","3.3517e-06")</f>
        <v>3.3517e-06</v>
      </c>
      <c r="K221" s="4" t="str">
        <f>HYPERLINK("http://141.218.60.56/~jnz1568/getInfo.php?workbook=02_01.xlsx&amp;sheet=A0&amp;row=221&amp;col=11&amp;number=&amp;sourceID=11","")</f>
        <v/>
      </c>
      <c r="L221" s="4" t="str">
        <f>HYPERLINK("http://141.218.60.56/~jnz1568/getInfo.php?workbook=02_01.xlsx&amp;sheet=A0&amp;row=221&amp;col=12&amp;number=1.624e-06&amp;sourceID=11","1.624e-06")</f>
        <v>1.624e-06</v>
      </c>
      <c r="M221" s="4" t="str">
        <f>HYPERLINK("http://141.218.60.56/~jnz1568/getInfo.php?workbook=02_01.xlsx&amp;sheet=A0&amp;row=221&amp;col=13&amp;number=&amp;sourceID=11","")</f>
        <v/>
      </c>
      <c r="N221" s="4" t="str">
        <f>HYPERLINK("http://141.218.60.56/~jnz1568/getInfo.php?workbook=02_01.xlsx&amp;sheet=A0&amp;row=221&amp;col=14&amp;number=769680&amp;sourceID=12","769680")</f>
        <v>769680</v>
      </c>
      <c r="O221" s="4" t="str">
        <f>HYPERLINK("http://141.218.60.56/~jnz1568/getInfo.php?workbook=02_01.xlsx&amp;sheet=A0&amp;row=221&amp;col=15&amp;number=769680&amp;sourceID=12","769680")</f>
        <v>769680</v>
      </c>
      <c r="P221" s="4" t="str">
        <f>HYPERLINK("http://141.218.60.56/~jnz1568/getInfo.php?workbook=02_01.xlsx&amp;sheet=A0&amp;row=221&amp;col=16&amp;number=&amp;sourceID=12","")</f>
        <v/>
      </c>
      <c r="Q221" s="4" t="str">
        <f>HYPERLINK("http://141.218.60.56/~jnz1568/getInfo.php?workbook=02_01.xlsx&amp;sheet=A0&amp;row=221&amp;col=17&amp;number=3.3522e-06&amp;sourceID=12","3.3522e-06")</f>
        <v>3.3522e-06</v>
      </c>
      <c r="R221" s="4" t="str">
        <f>HYPERLINK("http://141.218.60.56/~jnz1568/getInfo.php?workbook=02_01.xlsx&amp;sheet=A0&amp;row=221&amp;col=18&amp;number=&amp;sourceID=12","")</f>
        <v/>
      </c>
      <c r="S221" s="4" t="str">
        <f>HYPERLINK("http://141.218.60.56/~jnz1568/getInfo.php?workbook=02_01.xlsx&amp;sheet=A0&amp;row=221&amp;col=19&amp;number=1.6243e-06&amp;sourceID=12","1.6243e-06")</f>
        <v>1.6243e-06</v>
      </c>
      <c r="T221" s="4" t="str">
        <f>HYPERLINK("http://141.218.60.56/~jnz1568/getInfo.php?workbook=02_01.xlsx&amp;sheet=A0&amp;row=221&amp;col=20&amp;number=&amp;sourceID=12","")</f>
        <v/>
      </c>
      <c r="U221" s="4" t="str">
        <f>HYPERLINK("http://141.218.60.56/~jnz1568/getInfo.php?workbook=02_01.xlsx&amp;sheet=A0&amp;row=221&amp;col=21&amp;number=&amp;sourceID=13","")</f>
        <v/>
      </c>
      <c r="V221" s="4" t="str">
        <f>HYPERLINK("http://141.218.60.56/~jnz1568/getInfo.php?workbook=02_01.xlsx&amp;sheet=A0&amp;row=221&amp;col=22&amp;number=&amp;sourceID=13","")</f>
        <v/>
      </c>
      <c r="W221" s="4" t="str">
        <f>HYPERLINK("http://141.218.60.56/~jnz1568/getInfo.php?workbook=02_01.xlsx&amp;sheet=A0&amp;row=221&amp;col=23&amp;number=&amp;sourceID=13","")</f>
        <v/>
      </c>
      <c r="X221" s="4" t="str">
        <f>HYPERLINK("http://141.218.60.56/~jnz1568/getInfo.php?workbook=02_01.xlsx&amp;sheet=A0&amp;row=221&amp;col=24&amp;number=&amp;sourceID=13","")</f>
        <v/>
      </c>
      <c r="Y221" s="4" t="str">
        <f>HYPERLINK("http://141.218.60.56/~jnz1568/getInfo.php?workbook=02_01.xlsx&amp;sheet=A0&amp;row=221&amp;col=25&amp;number=&amp;sourceID=13","")</f>
        <v/>
      </c>
      <c r="Z221" s="4" t="str">
        <f>HYPERLINK("http://141.218.60.56/~jnz1568/getInfo.php?workbook=02_01.xlsx&amp;sheet=A0&amp;row=221&amp;col=26&amp;number=&amp;sourceID=13","")</f>
        <v/>
      </c>
      <c r="AA221" s="4" t="str">
        <f>HYPERLINK("http://141.218.60.56/~jnz1568/getInfo.php?workbook=02_01.xlsx&amp;sheet=A0&amp;row=221&amp;col=27&amp;number=&amp;sourceID=20","")</f>
        <v/>
      </c>
    </row>
    <row r="222" spans="1:27">
      <c r="A222" s="3">
        <v>2</v>
      </c>
      <c r="B222" s="3">
        <v>1</v>
      </c>
      <c r="C222" s="3">
        <v>22</v>
      </c>
      <c r="D222" s="3">
        <v>17</v>
      </c>
      <c r="E222" s="3">
        <f>((1/(INDEX(E0!J$4:J$28,C222,1)-INDEX(E0!J$4:J$28,D222,1))))*100000000</f>
        <v>0</v>
      </c>
      <c r="F222" s="4" t="str">
        <f>HYPERLINK("http://141.218.60.56/~jnz1568/getInfo.php?workbook=02_01.xlsx&amp;sheet=A0&amp;row=222&amp;col=6&amp;number=&amp;sourceID=18","")</f>
        <v/>
      </c>
      <c r="G222" s="4" t="str">
        <f>HYPERLINK("http://141.218.60.56/~jnz1568/getInfo.php?workbook=02_01.xlsx&amp;sheet=A0&amp;row=222&amp;col=7&amp;number==&amp;sourceID=11","=")</f>
        <v>=</v>
      </c>
      <c r="H222" s="4" t="str">
        <f>HYPERLINK("http://141.218.60.56/~jnz1568/getInfo.php?workbook=02_01.xlsx&amp;sheet=A0&amp;row=222&amp;col=8&amp;number=&amp;sourceID=11","")</f>
        <v/>
      </c>
      <c r="I222" s="4" t="str">
        <f>HYPERLINK("http://141.218.60.56/~jnz1568/getInfo.php?workbook=02_01.xlsx&amp;sheet=A0&amp;row=222&amp;col=9&amp;number=&amp;sourceID=11","")</f>
        <v/>
      </c>
      <c r="J222" s="4" t="str">
        <f>HYPERLINK("http://141.218.60.56/~jnz1568/getInfo.php?workbook=02_01.xlsx&amp;sheet=A0&amp;row=222&amp;col=10&amp;number=0&amp;sourceID=11","0")</f>
        <v>0</v>
      </c>
      <c r="K222" s="4" t="str">
        <f>HYPERLINK("http://141.218.60.56/~jnz1568/getInfo.php?workbook=02_01.xlsx&amp;sheet=A0&amp;row=222&amp;col=11&amp;number=&amp;sourceID=11","")</f>
        <v/>
      </c>
      <c r="L222" s="4" t="str">
        <f>HYPERLINK("http://141.218.60.56/~jnz1568/getInfo.php?workbook=02_01.xlsx&amp;sheet=A0&amp;row=222&amp;col=12&amp;number=0&amp;sourceID=11","0")</f>
        <v>0</v>
      </c>
      <c r="M222" s="4" t="str">
        <f>HYPERLINK("http://141.218.60.56/~jnz1568/getInfo.php?workbook=02_01.xlsx&amp;sheet=A0&amp;row=222&amp;col=13&amp;number=&amp;sourceID=11","")</f>
        <v/>
      </c>
      <c r="N222" s="4" t="str">
        <f>HYPERLINK("http://141.218.60.56/~jnz1568/getInfo.php?workbook=02_01.xlsx&amp;sheet=A0&amp;row=222&amp;col=14&amp;number=0&amp;sourceID=12","0")</f>
        <v>0</v>
      </c>
      <c r="O222" s="4" t="str">
        <f>HYPERLINK("http://141.218.60.56/~jnz1568/getInfo.php?workbook=02_01.xlsx&amp;sheet=A0&amp;row=222&amp;col=15&amp;number=&amp;sourceID=12","")</f>
        <v/>
      </c>
      <c r="P222" s="4" t="str">
        <f>HYPERLINK("http://141.218.60.56/~jnz1568/getInfo.php?workbook=02_01.xlsx&amp;sheet=A0&amp;row=222&amp;col=16&amp;number=&amp;sourceID=12","")</f>
        <v/>
      </c>
      <c r="Q222" s="4" t="str">
        <f>HYPERLINK("http://141.218.60.56/~jnz1568/getInfo.php?workbook=02_01.xlsx&amp;sheet=A0&amp;row=222&amp;col=17&amp;number=0&amp;sourceID=12","0")</f>
        <v>0</v>
      </c>
      <c r="R222" s="4" t="str">
        <f>HYPERLINK("http://141.218.60.56/~jnz1568/getInfo.php?workbook=02_01.xlsx&amp;sheet=A0&amp;row=222&amp;col=18&amp;number=&amp;sourceID=12","")</f>
        <v/>
      </c>
      <c r="S222" s="4" t="str">
        <f>HYPERLINK("http://141.218.60.56/~jnz1568/getInfo.php?workbook=02_01.xlsx&amp;sheet=A0&amp;row=222&amp;col=19&amp;number=0&amp;sourceID=12","0")</f>
        <v>0</v>
      </c>
      <c r="T222" s="4" t="str">
        <f>HYPERLINK("http://141.218.60.56/~jnz1568/getInfo.php?workbook=02_01.xlsx&amp;sheet=A0&amp;row=222&amp;col=20&amp;number=&amp;sourceID=12","")</f>
        <v/>
      </c>
      <c r="U222" s="4" t="str">
        <f>HYPERLINK("http://141.218.60.56/~jnz1568/getInfo.php?workbook=02_01.xlsx&amp;sheet=A0&amp;row=222&amp;col=21&amp;number=&amp;sourceID=13","")</f>
        <v/>
      </c>
      <c r="V222" s="4" t="str">
        <f>HYPERLINK("http://141.218.60.56/~jnz1568/getInfo.php?workbook=02_01.xlsx&amp;sheet=A0&amp;row=222&amp;col=22&amp;number=&amp;sourceID=13","")</f>
        <v/>
      </c>
      <c r="W222" s="4" t="str">
        <f>HYPERLINK("http://141.218.60.56/~jnz1568/getInfo.php?workbook=02_01.xlsx&amp;sheet=A0&amp;row=222&amp;col=23&amp;number=&amp;sourceID=13","")</f>
        <v/>
      </c>
      <c r="X222" s="4" t="str">
        <f>HYPERLINK("http://141.218.60.56/~jnz1568/getInfo.php?workbook=02_01.xlsx&amp;sheet=A0&amp;row=222&amp;col=24&amp;number=&amp;sourceID=13","")</f>
        <v/>
      </c>
      <c r="Y222" s="4" t="str">
        <f>HYPERLINK("http://141.218.60.56/~jnz1568/getInfo.php?workbook=02_01.xlsx&amp;sheet=A0&amp;row=222&amp;col=25&amp;number=&amp;sourceID=13","")</f>
        <v/>
      </c>
      <c r="Z222" s="4" t="str">
        <f>HYPERLINK("http://141.218.60.56/~jnz1568/getInfo.php?workbook=02_01.xlsx&amp;sheet=A0&amp;row=222&amp;col=26&amp;number=&amp;sourceID=13","")</f>
        <v/>
      </c>
      <c r="AA222" s="4" t="str">
        <f>HYPERLINK("http://141.218.60.56/~jnz1568/getInfo.php?workbook=02_01.xlsx&amp;sheet=A0&amp;row=222&amp;col=27&amp;number=&amp;sourceID=20","")</f>
        <v/>
      </c>
    </row>
    <row r="223" spans="1:27">
      <c r="A223" s="3">
        <v>2</v>
      </c>
      <c r="B223" s="3">
        <v>1</v>
      </c>
      <c r="C223" s="3">
        <v>22</v>
      </c>
      <c r="D223" s="3">
        <v>18</v>
      </c>
      <c r="E223" s="3">
        <f>((1/(INDEX(E0!J$4:J$28,C223,1)-INDEX(E0!J$4:J$28,D223,1))))*100000000</f>
        <v>0</v>
      </c>
      <c r="F223" s="4" t="str">
        <f>HYPERLINK("http://141.218.60.56/~jnz1568/getInfo.php?workbook=02_01.xlsx&amp;sheet=A0&amp;row=223&amp;col=6&amp;number=&amp;sourceID=18","")</f>
        <v/>
      </c>
      <c r="G223" s="4" t="str">
        <f>HYPERLINK("http://141.218.60.56/~jnz1568/getInfo.php?workbook=02_01.xlsx&amp;sheet=A0&amp;row=223&amp;col=7&amp;number==&amp;sourceID=11","=")</f>
        <v>=</v>
      </c>
      <c r="H223" s="4" t="str">
        <f>HYPERLINK("http://141.218.60.56/~jnz1568/getInfo.php?workbook=02_01.xlsx&amp;sheet=A0&amp;row=223&amp;col=8&amp;number=&amp;sourceID=11","")</f>
        <v/>
      </c>
      <c r="I223" s="4" t="str">
        <f>HYPERLINK("http://141.218.60.56/~jnz1568/getInfo.php?workbook=02_01.xlsx&amp;sheet=A0&amp;row=223&amp;col=9&amp;number=0&amp;sourceID=11","0")</f>
        <v>0</v>
      </c>
      <c r="J223" s="4" t="str">
        <f>HYPERLINK("http://141.218.60.56/~jnz1568/getInfo.php?workbook=02_01.xlsx&amp;sheet=A0&amp;row=223&amp;col=10&amp;number=&amp;sourceID=11","")</f>
        <v/>
      </c>
      <c r="K223" s="4" t="str">
        <f>HYPERLINK("http://141.218.60.56/~jnz1568/getInfo.php?workbook=02_01.xlsx&amp;sheet=A0&amp;row=223&amp;col=11&amp;number=&amp;sourceID=11","")</f>
        <v/>
      </c>
      <c r="L223" s="4" t="str">
        <f>HYPERLINK("http://141.218.60.56/~jnz1568/getInfo.php?workbook=02_01.xlsx&amp;sheet=A0&amp;row=223&amp;col=12&amp;number=&amp;sourceID=11","")</f>
        <v/>
      </c>
      <c r="M223" s="4" t="str">
        <f>HYPERLINK("http://141.218.60.56/~jnz1568/getInfo.php?workbook=02_01.xlsx&amp;sheet=A0&amp;row=223&amp;col=13&amp;number=0&amp;sourceID=11","0")</f>
        <v>0</v>
      </c>
      <c r="N223" s="4" t="str">
        <f>HYPERLINK("http://141.218.60.56/~jnz1568/getInfo.php?workbook=02_01.xlsx&amp;sheet=A0&amp;row=223&amp;col=14&amp;number=0&amp;sourceID=12","0")</f>
        <v>0</v>
      </c>
      <c r="O223" s="4" t="str">
        <f>HYPERLINK("http://141.218.60.56/~jnz1568/getInfo.php?workbook=02_01.xlsx&amp;sheet=A0&amp;row=223&amp;col=15&amp;number=&amp;sourceID=12","")</f>
        <v/>
      </c>
      <c r="P223" s="4" t="str">
        <f>HYPERLINK("http://141.218.60.56/~jnz1568/getInfo.php?workbook=02_01.xlsx&amp;sheet=A0&amp;row=223&amp;col=16&amp;number=0&amp;sourceID=12","0")</f>
        <v>0</v>
      </c>
      <c r="Q223" s="4" t="str">
        <f>HYPERLINK("http://141.218.60.56/~jnz1568/getInfo.php?workbook=02_01.xlsx&amp;sheet=A0&amp;row=223&amp;col=17&amp;number=&amp;sourceID=12","")</f>
        <v/>
      </c>
      <c r="R223" s="4" t="str">
        <f>HYPERLINK("http://141.218.60.56/~jnz1568/getInfo.php?workbook=02_01.xlsx&amp;sheet=A0&amp;row=223&amp;col=18&amp;number=&amp;sourceID=12","")</f>
        <v/>
      </c>
      <c r="S223" s="4" t="str">
        <f>HYPERLINK("http://141.218.60.56/~jnz1568/getInfo.php?workbook=02_01.xlsx&amp;sheet=A0&amp;row=223&amp;col=19&amp;number=&amp;sourceID=12","")</f>
        <v/>
      </c>
      <c r="T223" s="4" t="str">
        <f>HYPERLINK("http://141.218.60.56/~jnz1568/getInfo.php?workbook=02_01.xlsx&amp;sheet=A0&amp;row=223&amp;col=20&amp;number=0&amp;sourceID=12","0")</f>
        <v>0</v>
      </c>
      <c r="U223" s="4" t="str">
        <f>HYPERLINK("http://141.218.60.56/~jnz1568/getInfo.php?workbook=02_01.xlsx&amp;sheet=A0&amp;row=223&amp;col=21&amp;number=&amp;sourceID=13","")</f>
        <v/>
      </c>
      <c r="V223" s="4" t="str">
        <f>HYPERLINK("http://141.218.60.56/~jnz1568/getInfo.php?workbook=02_01.xlsx&amp;sheet=A0&amp;row=223&amp;col=22&amp;number=&amp;sourceID=13","")</f>
        <v/>
      </c>
      <c r="W223" s="4" t="str">
        <f>HYPERLINK("http://141.218.60.56/~jnz1568/getInfo.php?workbook=02_01.xlsx&amp;sheet=A0&amp;row=223&amp;col=23&amp;number=&amp;sourceID=13","")</f>
        <v/>
      </c>
      <c r="X223" s="4" t="str">
        <f>HYPERLINK("http://141.218.60.56/~jnz1568/getInfo.php?workbook=02_01.xlsx&amp;sheet=A0&amp;row=223&amp;col=24&amp;number=&amp;sourceID=13","")</f>
        <v/>
      </c>
      <c r="Y223" s="4" t="str">
        <f>HYPERLINK("http://141.218.60.56/~jnz1568/getInfo.php?workbook=02_01.xlsx&amp;sheet=A0&amp;row=223&amp;col=25&amp;number=&amp;sourceID=13","")</f>
        <v/>
      </c>
      <c r="Z223" s="4" t="str">
        <f>HYPERLINK("http://141.218.60.56/~jnz1568/getInfo.php?workbook=02_01.xlsx&amp;sheet=A0&amp;row=223&amp;col=26&amp;number=&amp;sourceID=13","")</f>
        <v/>
      </c>
      <c r="AA223" s="4" t="str">
        <f>HYPERLINK("http://141.218.60.56/~jnz1568/getInfo.php?workbook=02_01.xlsx&amp;sheet=A0&amp;row=223&amp;col=27&amp;number=&amp;sourceID=20","")</f>
        <v/>
      </c>
    </row>
    <row r="224" spans="1:27">
      <c r="A224" s="3">
        <v>2</v>
      </c>
      <c r="B224" s="3">
        <v>1</v>
      </c>
      <c r="C224" s="3">
        <v>22</v>
      </c>
      <c r="D224" s="3">
        <v>19</v>
      </c>
      <c r="E224" s="3">
        <f>((1/(INDEX(E0!J$4:J$28,C224,1)-INDEX(E0!J$4:J$28,D224,1))))*100000000</f>
        <v>0</v>
      </c>
      <c r="F224" s="4" t="str">
        <f>HYPERLINK("http://141.218.60.56/~jnz1568/getInfo.php?workbook=02_01.xlsx&amp;sheet=A0&amp;row=224&amp;col=6&amp;number=&amp;sourceID=18","")</f>
        <v/>
      </c>
      <c r="G224" s="4" t="str">
        <f>HYPERLINK("http://141.218.60.56/~jnz1568/getInfo.php?workbook=02_01.xlsx&amp;sheet=A0&amp;row=224&amp;col=7&amp;number==&amp;sourceID=11","=")</f>
        <v>=</v>
      </c>
      <c r="H224" s="4" t="str">
        <f>HYPERLINK("http://141.218.60.56/~jnz1568/getInfo.php?workbook=02_01.xlsx&amp;sheet=A0&amp;row=224&amp;col=8&amp;number=&amp;sourceID=11","")</f>
        <v/>
      </c>
      <c r="I224" s="4" t="str">
        <f>HYPERLINK("http://141.218.60.56/~jnz1568/getInfo.php?workbook=02_01.xlsx&amp;sheet=A0&amp;row=224&amp;col=9&amp;number=0&amp;sourceID=11","0")</f>
        <v>0</v>
      </c>
      <c r="J224" s="4" t="str">
        <f>HYPERLINK("http://141.218.60.56/~jnz1568/getInfo.php?workbook=02_01.xlsx&amp;sheet=A0&amp;row=224&amp;col=10&amp;number=&amp;sourceID=11","")</f>
        <v/>
      </c>
      <c r="K224" s="4" t="str">
        <f>HYPERLINK("http://141.218.60.56/~jnz1568/getInfo.php?workbook=02_01.xlsx&amp;sheet=A0&amp;row=224&amp;col=11&amp;number=2.1e-14&amp;sourceID=11","2.1e-14")</f>
        <v>2.1e-14</v>
      </c>
      <c r="L224" s="4" t="str">
        <f>HYPERLINK("http://141.218.60.56/~jnz1568/getInfo.php?workbook=02_01.xlsx&amp;sheet=A0&amp;row=224&amp;col=12&amp;number=&amp;sourceID=11","")</f>
        <v/>
      </c>
      <c r="M224" s="4" t="str">
        <f>HYPERLINK("http://141.218.60.56/~jnz1568/getInfo.php?workbook=02_01.xlsx&amp;sheet=A0&amp;row=224&amp;col=13&amp;number=0&amp;sourceID=11","0")</f>
        <v>0</v>
      </c>
      <c r="N224" s="4" t="str">
        <f>HYPERLINK("http://141.218.60.56/~jnz1568/getInfo.php?workbook=02_01.xlsx&amp;sheet=A0&amp;row=224&amp;col=14&amp;number=2.1e-14&amp;sourceID=12","2.1e-14")</f>
        <v>2.1e-14</v>
      </c>
      <c r="O224" s="4" t="str">
        <f>HYPERLINK("http://141.218.60.56/~jnz1568/getInfo.php?workbook=02_01.xlsx&amp;sheet=A0&amp;row=224&amp;col=15&amp;number=&amp;sourceID=12","")</f>
        <v/>
      </c>
      <c r="P224" s="4" t="str">
        <f>HYPERLINK("http://141.218.60.56/~jnz1568/getInfo.php?workbook=02_01.xlsx&amp;sheet=A0&amp;row=224&amp;col=16&amp;number=0&amp;sourceID=12","0")</f>
        <v>0</v>
      </c>
      <c r="Q224" s="4" t="str">
        <f>HYPERLINK("http://141.218.60.56/~jnz1568/getInfo.php?workbook=02_01.xlsx&amp;sheet=A0&amp;row=224&amp;col=17&amp;number=&amp;sourceID=12","")</f>
        <v/>
      </c>
      <c r="R224" s="4" t="str">
        <f>HYPERLINK("http://141.218.60.56/~jnz1568/getInfo.php?workbook=02_01.xlsx&amp;sheet=A0&amp;row=224&amp;col=18&amp;number=2.1e-14&amp;sourceID=12","2.1e-14")</f>
        <v>2.1e-14</v>
      </c>
      <c r="S224" s="4" t="str">
        <f>HYPERLINK("http://141.218.60.56/~jnz1568/getInfo.php?workbook=02_01.xlsx&amp;sheet=A0&amp;row=224&amp;col=19&amp;number=&amp;sourceID=12","")</f>
        <v/>
      </c>
      <c r="T224" s="4" t="str">
        <f>HYPERLINK("http://141.218.60.56/~jnz1568/getInfo.php?workbook=02_01.xlsx&amp;sheet=A0&amp;row=224&amp;col=20&amp;number=0&amp;sourceID=12","0")</f>
        <v>0</v>
      </c>
      <c r="U224" s="4" t="str">
        <f>HYPERLINK("http://141.218.60.56/~jnz1568/getInfo.php?workbook=02_01.xlsx&amp;sheet=A0&amp;row=224&amp;col=21&amp;number=&amp;sourceID=13","")</f>
        <v/>
      </c>
      <c r="V224" s="4" t="str">
        <f>HYPERLINK("http://141.218.60.56/~jnz1568/getInfo.php?workbook=02_01.xlsx&amp;sheet=A0&amp;row=224&amp;col=22&amp;number=&amp;sourceID=13","")</f>
        <v/>
      </c>
      <c r="W224" s="4" t="str">
        <f>HYPERLINK("http://141.218.60.56/~jnz1568/getInfo.php?workbook=02_01.xlsx&amp;sheet=A0&amp;row=224&amp;col=23&amp;number=&amp;sourceID=13","")</f>
        <v/>
      </c>
      <c r="X224" s="4" t="str">
        <f>HYPERLINK("http://141.218.60.56/~jnz1568/getInfo.php?workbook=02_01.xlsx&amp;sheet=A0&amp;row=224&amp;col=24&amp;number=&amp;sourceID=13","")</f>
        <v/>
      </c>
      <c r="Y224" s="4" t="str">
        <f>HYPERLINK("http://141.218.60.56/~jnz1568/getInfo.php?workbook=02_01.xlsx&amp;sheet=A0&amp;row=224&amp;col=25&amp;number=&amp;sourceID=13","")</f>
        <v/>
      </c>
      <c r="Z224" s="4" t="str">
        <f>HYPERLINK("http://141.218.60.56/~jnz1568/getInfo.php?workbook=02_01.xlsx&amp;sheet=A0&amp;row=224&amp;col=26&amp;number=&amp;sourceID=13","")</f>
        <v/>
      </c>
      <c r="AA224" s="4" t="str">
        <f>HYPERLINK("http://141.218.60.56/~jnz1568/getInfo.php?workbook=02_01.xlsx&amp;sheet=A0&amp;row=224&amp;col=27&amp;number=&amp;sourceID=20","")</f>
        <v/>
      </c>
    </row>
    <row r="225" spans="1:27">
      <c r="A225" s="3">
        <v>2</v>
      </c>
      <c r="B225" s="3">
        <v>1</v>
      </c>
      <c r="C225" s="3">
        <v>22</v>
      </c>
      <c r="D225" s="3">
        <v>20</v>
      </c>
      <c r="E225" s="3">
        <f>((1/(INDEX(E0!J$4:J$28,C225,1)-INDEX(E0!J$4:J$28,D225,1))))*100000000</f>
        <v>0</v>
      </c>
      <c r="F225" s="4" t="str">
        <f>HYPERLINK("http://141.218.60.56/~jnz1568/getInfo.php?workbook=02_01.xlsx&amp;sheet=A0&amp;row=225&amp;col=6&amp;number=&amp;sourceID=18","")</f>
        <v/>
      </c>
      <c r="G225" s="4" t="str">
        <f>HYPERLINK("http://141.218.60.56/~jnz1568/getInfo.php?workbook=02_01.xlsx&amp;sheet=A0&amp;row=225&amp;col=7&amp;number==&amp;sourceID=11","=")</f>
        <v>=</v>
      </c>
      <c r="H225" s="4" t="str">
        <f>HYPERLINK("http://141.218.60.56/~jnz1568/getInfo.php?workbook=02_01.xlsx&amp;sheet=A0&amp;row=225&amp;col=8&amp;number=4.6369e-07&amp;sourceID=11","4.6369e-07")</f>
        <v>4.6369e-07</v>
      </c>
      <c r="I225" s="4" t="str">
        <f>HYPERLINK("http://141.218.60.56/~jnz1568/getInfo.php?workbook=02_01.xlsx&amp;sheet=A0&amp;row=225&amp;col=9&amp;number=&amp;sourceID=11","")</f>
        <v/>
      </c>
      <c r="J225" s="4" t="str">
        <f>HYPERLINK("http://141.218.60.56/~jnz1568/getInfo.php?workbook=02_01.xlsx&amp;sheet=A0&amp;row=225&amp;col=10&amp;number=0&amp;sourceID=11","0")</f>
        <v>0</v>
      </c>
      <c r="K225" s="4" t="str">
        <f>HYPERLINK("http://141.218.60.56/~jnz1568/getInfo.php?workbook=02_01.xlsx&amp;sheet=A0&amp;row=225&amp;col=11&amp;number=&amp;sourceID=11","")</f>
        <v/>
      </c>
      <c r="L225" s="4" t="str">
        <f>HYPERLINK("http://141.218.60.56/~jnz1568/getInfo.php?workbook=02_01.xlsx&amp;sheet=A0&amp;row=225&amp;col=12&amp;number=0&amp;sourceID=11","0")</f>
        <v>0</v>
      </c>
      <c r="M225" s="4" t="str">
        <f>HYPERLINK("http://141.218.60.56/~jnz1568/getInfo.php?workbook=02_01.xlsx&amp;sheet=A0&amp;row=225&amp;col=13&amp;number=&amp;sourceID=11","")</f>
        <v/>
      </c>
      <c r="N225" s="4" t="str">
        <f>HYPERLINK("http://141.218.60.56/~jnz1568/getInfo.php?workbook=02_01.xlsx&amp;sheet=A0&amp;row=225&amp;col=14&amp;number=4.652e-07&amp;sourceID=12","4.652e-07")</f>
        <v>4.652e-07</v>
      </c>
      <c r="O225" s="4" t="str">
        <f>HYPERLINK("http://141.218.60.56/~jnz1568/getInfo.php?workbook=02_01.xlsx&amp;sheet=A0&amp;row=225&amp;col=15&amp;number=4.652e-07&amp;sourceID=12","4.652e-07")</f>
        <v>4.652e-07</v>
      </c>
      <c r="P225" s="4" t="str">
        <f>HYPERLINK("http://141.218.60.56/~jnz1568/getInfo.php?workbook=02_01.xlsx&amp;sheet=A0&amp;row=225&amp;col=16&amp;number=&amp;sourceID=12","")</f>
        <v/>
      </c>
      <c r="Q225" s="4" t="str">
        <f>HYPERLINK("http://141.218.60.56/~jnz1568/getInfo.php?workbook=02_01.xlsx&amp;sheet=A0&amp;row=225&amp;col=17&amp;number=0&amp;sourceID=12","0")</f>
        <v>0</v>
      </c>
      <c r="R225" s="4" t="str">
        <f>HYPERLINK("http://141.218.60.56/~jnz1568/getInfo.php?workbook=02_01.xlsx&amp;sheet=A0&amp;row=225&amp;col=18&amp;number=&amp;sourceID=12","")</f>
        <v/>
      </c>
      <c r="S225" s="4" t="str">
        <f>HYPERLINK("http://141.218.60.56/~jnz1568/getInfo.php?workbook=02_01.xlsx&amp;sheet=A0&amp;row=225&amp;col=19&amp;number=0&amp;sourceID=12","0")</f>
        <v>0</v>
      </c>
      <c r="T225" s="4" t="str">
        <f>HYPERLINK("http://141.218.60.56/~jnz1568/getInfo.php?workbook=02_01.xlsx&amp;sheet=A0&amp;row=225&amp;col=20&amp;number=&amp;sourceID=12","")</f>
        <v/>
      </c>
      <c r="U225" s="4" t="str">
        <f>HYPERLINK("http://141.218.60.56/~jnz1568/getInfo.php?workbook=02_01.xlsx&amp;sheet=A0&amp;row=225&amp;col=21&amp;number=&amp;sourceID=13","")</f>
        <v/>
      </c>
      <c r="V225" s="4" t="str">
        <f>HYPERLINK("http://141.218.60.56/~jnz1568/getInfo.php?workbook=02_01.xlsx&amp;sheet=A0&amp;row=225&amp;col=22&amp;number=&amp;sourceID=13","")</f>
        <v/>
      </c>
      <c r="W225" s="4" t="str">
        <f>HYPERLINK("http://141.218.60.56/~jnz1568/getInfo.php?workbook=02_01.xlsx&amp;sheet=A0&amp;row=225&amp;col=23&amp;number=&amp;sourceID=13","")</f>
        <v/>
      </c>
      <c r="X225" s="4" t="str">
        <f>HYPERLINK("http://141.218.60.56/~jnz1568/getInfo.php?workbook=02_01.xlsx&amp;sheet=A0&amp;row=225&amp;col=24&amp;number=&amp;sourceID=13","")</f>
        <v/>
      </c>
      <c r="Y225" s="4" t="str">
        <f>HYPERLINK("http://141.218.60.56/~jnz1568/getInfo.php?workbook=02_01.xlsx&amp;sheet=A0&amp;row=225&amp;col=25&amp;number=&amp;sourceID=13","")</f>
        <v/>
      </c>
      <c r="Z225" s="4" t="str">
        <f>HYPERLINK("http://141.218.60.56/~jnz1568/getInfo.php?workbook=02_01.xlsx&amp;sheet=A0&amp;row=225&amp;col=26&amp;number=&amp;sourceID=13","")</f>
        <v/>
      </c>
      <c r="AA225" s="4" t="str">
        <f>HYPERLINK("http://141.218.60.56/~jnz1568/getInfo.php?workbook=02_01.xlsx&amp;sheet=A0&amp;row=225&amp;col=27&amp;number=&amp;sourceID=20","")</f>
        <v/>
      </c>
    </row>
    <row r="226" spans="1:27">
      <c r="A226" s="3">
        <v>2</v>
      </c>
      <c r="B226" s="3">
        <v>1</v>
      </c>
      <c r="C226" s="3">
        <v>23</v>
      </c>
      <c r="D226" s="3">
        <v>1</v>
      </c>
      <c r="E226" s="3">
        <f>((1/(INDEX(E0!J$4:J$28,C226,1)-INDEX(E0!J$4:J$28,D226,1))))*100000000</f>
        <v>0</v>
      </c>
      <c r="F226" s="4" t="str">
        <f>HYPERLINK("http://141.218.60.56/~jnz1568/getInfo.php?workbook=02_01.xlsx&amp;sheet=A0&amp;row=226&amp;col=6&amp;number=&amp;sourceID=18","")</f>
        <v/>
      </c>
      <c r="G226" s="4" t="str">
        <f>HYPERLINK("http://141.218.60.56/~jnz1568/getInfo.php?workbook=02_01.xlsx&amp;sheet=A0&amp;row=226&amp;col=7&amp;number==&amp;sourceID=11","=")</f>
        <v>=</v>
      </c>
      <c r="H226" s="4" t="str">
        <f>HYPERLINK("http://141.218.60.56/~jnz1568/getInfo.php?workbook=02_01.xlsx&amp;sheet=A0&amp;row=226&amp;col=8&amp;number=&amp;sourceID=11","")</f>
        <v/>
      </c>
      <c r="I226" s="4" t="str">
        <f>HYPERLINK("http://141.218.60.56/~jnz1568/getInfo.php?workbook=02_01.xlsx&amp;sheet=A0&amp;row=226&amp;col=9&amp;number=&amp;sourceID=11","")</f>
        <v/>
      </c>
      <c r="J226" s="4" t="str">
        <f>HYPERLINK("http://141.218.60.56/~jnz1568/getInfo.php?workbook=02_01.xlsx&amp;sheet=A0&amp;row=226&amp;col=10&amp;number=&amp;sourceID=11","")</f>
        <v/>
      </c>
      <c r="K226" s="4" t="str">
        <f>HYPERLINK("http://141.218.60.56/~jnz1568/getInfo.php?workbook=02_01.xlsx&amp;sheet=A0&amp;row=226&amp;col=11&amp;number=&amp;sourceID=11","")</f>
        <v/>
      </c>
      <c r="L226" s="4" t="str">
        <f>HYPERLINK("http://141.218.60.56/~jnz1568/getInfo.php?workbook=02_01.xlsx&amp;sheet=A0&amp;row=226&amp;col=12&amp;number=&amp;sourceID=11","")</f>
        <v/>
      </c>
      <c r="M226" s="4" t="str">
        <f>HYPERLINK("http://141.218.60.56/~jnz1568/getInfo.php?workbook=02_01.xlsx&amp;sheet=A0&amp;row=226&amp;col=13&amp;number=0&amp;sourceID=11","0")</f>
        <v>0</v>
      </c>
      <c r="N226" s="4" t="str">
        <f>HYPERLINK("http://141.218.60.56/~jnz1568/getInfo.php?workbook=02_01.xlsx&amp;sheet=A0&amp;row=226&amp;col=14&amp;number=0&amp;sourceID=12","0")</f>
        <v>0</v>
      </c>
      <c r="O226" s="4" t="str">
        <f>HYPERLINK("http://141.218.60.56/~jnz1568/getInfo.php?workbook=02_01.xlsx&amp;sheet=A0&amp;row=226&amp;col=15&amp;number=&amp;sourceID=12","")</f>
        <v/>
      </c>
      <c r="P226" s="4" t="str">
        <f>HYPERLINK("http://141.218.60.56/~jnz1568/getInfo.php?workbook=02_01.xlsx&amp;sheet=A0&amp;row=226&amp;col=16&amp;number=&amp;sourceID=12","")</f>
        <v/>
      </c>
      <c r="Q226" s="4" t="str">
        <f>HYPERLINK("http://141.218.60.56/~jnz1568/getInfo.php?workbook=02_01.xlsx&amp;sheet=A0&amp;row=226&amp;col=17&amp;number=&amp;sourceID=12","")</f>
        <v/>
      </c>
      <c r="R226" s="4" t="str">
        <f>HYPERLINK("http://141.218.60.56/~jnz1568/getInfo.php?workbook=02_01.xlsx&amp;sheet=A0&amp;row=226&amp;col=18&amp;number=&amp;sourceID=12","")</f>
        <v/>
      </c>
      <c r="S226" s="4" t="str">
        <f>HYPERLINK("http://141.218.60.56/~jnz1568/getInfo.php?workbook=02_01.xlsx&amp;sheet=A0&amp;row=226&amp;col=19&amp;number=&amp;sourceID=12","")</f>
        <v/>
      </c>
      <c r="T226" s="4" t="str">
        <f>HYPERLINK("http://141.218.60.56/~jnz1568/getInfo.php?workbook=02_01.xlsx&amp;sheet=A0&amp;row=226&amp;col=20&amp;number=0&amp;sourceID=12","0")</f>
        <v>0</v>
      </c>
      <c r="U226" s="4" t="str">
        <f>HYPERLINK("http://141.218.60.56/~jnz1568/getInfo.php?workbook=02_01.xlsx&amp;sheet=A0&amp;row=226&amp;col=21&amp;number=&amp;sourceID=13","")</f>
        <v/>
      </c>
      <c r="V226" s="4" t="str">
        <f>HYPERLINK("http://141.218.60.56/~jnz1568/getInfo.php?workbook=02_01.xlsx&amp;sheet=A0&amp;row=226&amp;col=22&amp;number=&amp;sourceID=13","")</f>
        <v/>
      </c>
      <c r="W226" s="4" t="str">
        <f>HYPERLINK("http://141.218.60.56/~jnz1568/getInfo.php?workbook=02_01.xlsx&amp;sheet=A0&amp;row=226&amp;col=23&amp;number=&amp;sourceID=13","")</f>
        <v/>
      </c>
      <c r="X226" s="4" t="str">
        <f>HYPERLINK("http://141.218.60.56/~jnz1568/getInfo.php?workbook=02_01.xlsx&amp;sheet=A0&amp;row=226&amp;col=24&amp;number=&amp;sourceID=13","")</f>
        <v/>
      </c>
      <c r="Y226" s="4" t="str">
        <f>HYPERLINK("http://141.218.60.56/~jnz1568/getInfo.php?workbook=02_01.xlsx&amp;sheet=A0&amp;row=226&amp;col=25&amp;number=&amp;sourceID=13","")</f>
        <v/>
      </c>
      <c r="Z226" s="4" t="str">
        <f>HYPERLINK("http://141.218.60.56/~jnz1568/getInfo.php?workbook=02_01.xlsx&amp;sheet=A0&amp;row=226&amp;col=26&amp;number=&amp;sourceID=13","")</f>
        <v/>
      </c>
      <c r="AA226" s="4" t="str">
        <f>HYPERLINK("http://141.218.60.56/~jnz1568/getInfo.php?workbook=02_01.xlsx&amp;sheet=A0&amp;row=226&amp;col=27&amp;number=&amp;sourceID=20","")</f>
        <v/>
      </c>
    </row>
    <row r="227" spans="1:27">
      <c r="A227" s="3">
        <v>2</v>
      </c>
      <c r="B227" s="3">
        <v>1</v>
      </c>
      <c r="C227" s="3">
        <v>23</v>
      </c>
      <c r="D227" s="3">
        <v>2</v>
      </c>
      <c r="E227" s="3">
        <f>((1/(INDEX(E0!J$4:J$28,C227,1)-INDEX(E0!J$4:J$28,D227,1))))*100000000</f>
        <v>0</v>
      </c>
      <c r="F227" s="4" t="str">
        <f>HYPERLINK("http://141.218.60.56/~jnz1568/getInfo.php?workbook=02_01.xlsx&amp;sheet=A0&amp;row=227&amp;col=6&amp;number=&amp;sourceID=18","")</f>
        <v/>
      </c>
      <c r="G227" s="4" t="str">
        <f>HYPERLINK("http://141.218.60.56/~jnz1568/getInfo.php?workbook=02_01.xlsx&amp;sheet=A0&amp;row=227&amp;col=7&amp;number==&amp;sourceID=11","=")</f>
        <v>=</v>
      </c>
      <c r="H227" s="4" t="str">
        <f>HYPERLINK("http://141.218.60.56/~jnz1568/getInfo.php?workbook=02_01.xlsx&amp;sheet=A0&amp;row=227&amp;col=8&amp;number=&amp;sourceID=11","")</f>
        <v/>
      </c>
      <c r="I227" s="4" t="str">
        <f>HYPERLINK("http://141.218.60.56/~jnz1568/getInfo.php?workbook=02_01.xlsx&amp;sheet=A0&amp;row=227&amp;col=9&amp;number=&amp;sourceID=11","")</f>
        <v/>
      </c>
      <c r="J227" s="4" t="str">
        <f>HYPERLINK("http://141.218.60.56/~jnz1568/getInfo.php?workbook=02_01.xlsx&amp;sheet=A0&amp;row=227&amp;col=10&amp;number=0.0064366&amp;sourceID=11","0.0064366")</f>
        <v>0.0064366</v>
      </c>
      <c r="K227" s="4" t="str">
        <f>HYPERLINK("http://141.218.60.56/~jnz1568/getInfo.php?workbook=02_01.xlsx&amp;sheet=A0&amp;row=227&amp;col=11&amp;number=&amp;sourceID=11","")</f>
        <v/>
      </c>
      <c r="L227" s="4" t="str">
        <f>HYPERLINK("http://141.218.60.56/~jnz1568/getInfo.php?workbook=02_01.xlsx&amp;sheet=A0&amp;row=227&amp;col=12&amp;number=&amp;sourceID=11","")</f>
        <v/>
      </c>
      <c r="M227" s="4" t="str">
        <f>HYPERLINK("http://141.218.60.56/~jnz1568/getInfo.php?workbook=02_01.xlsx&amp;sheet=A0&amp;row=227&amp;col=13&amp;number=&amp;sourceID=11","")</f>
        <v/>
      </c>
      <c r="N227" s="4" t="str">
        <f>HYPERLINK("http://141.218.60.56/~jnz1568/getInfo.php?workbook=02_01.xlsx&amp;sheet=A0&amp;row=227&amp;col=14&amp;number=0.0064375&amp;sourceID=12","0.0064375")</f>
        <v>0.0064375</v>
      </c>
      <c r="O227" s="4" t="str">
        <f>HYPERLINK("http://141.218.60.56/~jnz1568/getInfo.php?workbook=02_01.xlsx&amp;sheet=A0&amp;row=227&amp;col=15&amp;number=&amp;sourceID=12","")</f>
        <v/>
      </c>
      <c r="P227" s="4" t="str">
        <f>HYPERLINK("http://141.218.60.56/~jnz1568/getInfo.php?workbook=02_01.xlsx&amp;sheet=A0&amp;row=227&amp;col=16&amp;number=&amp;sourceID=12","")</f>
        <v/>
      </c>
      <c r="Q227" s="4" t="str">
        <f>HYPERLINK("http://141.218.60.56/~jnz1568/getInfo.php?workbook=02_01.xlsx&amp;sheet=A0&amp;row=227&amp;col=17&amp;number=0.0064375&amp;sourceID=12","0.0064375")</f>
        <v>0.0064375</v>
      </c>
      <c r="R227" s="4" t="str">
        <f>HYPERLINK("http://141.218.60.56/~jnz1568/getInfo.php?workbook=02_01.xlsx&amp;sheet=A0&amp;row=227&amp;col=18&amp;number=&amp;sourceID=12","")</f>
        <v/>
      </c>
      <c r="S227" s="4" t="str">
        <f>HYPERLINK("http://141.218.60.56/~jnz1568/getInfo.php?workbook=02_01.xlsx&amp;sheet=A0&amp;row=227&amp;col=19&amp;number=&amp;sourceID=12","")</f>
        <v/>
      </c>
      <c r="T227" s="4" t="str">
        <f>HYPERLINK("http://141.218.60.56/~jnz1568/getInfo.php?workbook=02_01.xlsx&amp;sheet=A0&amp;row=227&amp;col=20&amp;number=&amp;sourceID=12","")</f>
        <v/>
      </c>
      <c r="U227" s="4" t="str">
        <f>HYPERLINK("http://141.218.60.56/~jnz1568/getInfo.php?workbook=02_01.xlsx&amp;sheet=A0&amp;row=227&amp;col=21&amp;number=&amp;sourceID=13","")</f>
        <v/>
      </c>
      <c r="V227" s="4" t="str">
        <f>HYPERLINK("http://141.218.60.56/~jnz1568/getInfo.php?workbook=02_01.xlsx&amp;sheet=A0&amp;row=227&amp;col=22&amp;number=&amp;sourceID=13","")</f>
        <v/>
      </c>
      <c r="W227" s="4" t="str">
        <f>HYPERLINK("http://141.218.60.56/~jnz1568/getInfo.php?workbook=02_01.xlsx&amp;sheet=A0&amp;row=227&amp;col=23&amp;number=&amp;sourceID=13","")</f>
        <v/>
      </c>
      <c r="X227" s="4" t="str">
        <f>HYPERLINK("http://141.218.60.56/~jnz1568/getInfo.php?workbook=02_01.xlsx&amp;sheet=A0&amp;row=227&amp;col=24&amp;number=&amp;sourceID=13","")</f>
        <v/>
      </c>
      <c r="Y227" s="4" t="str">
        <f>HYPERLINK("http://141.218.60.56/~jnz1568/getInfo.php?workbook=02_01.xlsx&amp;sheet=A0&amp;row=227&amp;col=25&amp;number=&amp;sourceID=13","")</f>
        <v/>
      </c>
      <c r="Z227" s="4" t="str">
        <f>HYPERLINK("http://141.218.60.56/~jnz1568/getInfo.php?workbook=02_01.xlsx&amp;sheet=A0&amp;row=227&amp;col=26&amp;number=&amp;sourceID=13","")</f>
        <v/>
      </c>
      <c r="AA227" s="4" t="str">
        <f>HYPERLINK("http://141.218.60.56/~jnz1568/getInfo.php?workbook=02_01.xlsx&amp;sheet=A0&amp;row=227&amp;col=27&amp;number=&amp;sourceID=20","")</f>
        <v/>
      </c>
    </row>
    <row r="228" spans="1:27">
      <c r="A228" s="3">
        <v>2</v>
      </c>
      <c r="B228" s="3">
        <v>1</v>
      </c>
      <c r="C228" s="3">
        <v>23</v>
      </c>
      <c r="D228" s="3">
        <v>3</v>
      </c>
      <c r="E228" s="3">
        <f>((1/(INDEX(E0!J$4:J$28,C228,1)-INDEX(E0!J$4:J$28,D228,1))))*100000000</f>
        <v>0</v>
      </c>
      <c r="F228" s="4" t="str">
        <f>HYPERLINK("http://141.218.60.56/~jnz1568/getInfo.php?workbook=02_01.xlsx&amp;sheet=A0&amp;row=228&amp;col=6&amp;number=&amp;sourceID=18","")</f>
        <v/>
      </c>
      <c r="G228" s="4" t="str">
        <f>HYPERLINK("http://141.218.60.56/~jnz1568/getInfo.php?workbook=02_01.xlsx&amp;sheet=A0&amp;row=228&amp;col=7&amp;number==&amp;sourceID=11","=")</f>
        <v>=</v>
      </c>
      <c r="H228" s="4" t="str">
        <f>HYPERLINK("http://141.218.60.56/~jnz1568/getInfo.php?workbook=02_01.xlsx&amp;sheet=A0&amp;row=228&amp;col=8&amp;number=&amp;sourceID=11","")</f>
        <v/>
      </c>
      <c r="I228" s="4" t="str">
        <f>HYPERLINK("http://141.218.60.56/~jnz1568/getInfo.php?workbook=02_01.xlsx&amp;sheet=A0&amp;row=228&amp;col=9&amp;number=&amp;sourceID=11","")</f>
        <v/>
      </c>
      <c r="J228" s="4" t="str">
        <f>HYPERLINK("http://141.218.60.56/~jnz1568/getInfo.php?workbook=02_01.xlsx&amp;sheet=A0&amp;row=228&amp;col=10&amp;number=&amp;sourceID=11","")</f>
        <v/>
      </c>
      <c r="K228" s="4" t="str">
        <f>HYPERLINK("http://141.218.60.56/~jnz1568/getInfo.php?workbook=02_01.xlsx&amp;sheet=A0&amp;row=228&amp;col=11&amp;number=&amp;sourceID=11","")</f>
        <v/>
      </c>
      <c r="L228" s="4" t="str">
        <f>HYPERLINK("http://141.218.60.56/~jnz1568/getInfo.php?workbook=02_01.xlsx&amp;sheet=A0&amp;row=228&amp;col=12&amp;number=&amp;sourceID=11","")</f>
        <v/>
      </c>
      <c r="M228" s="4" t="str">
        <f>HYPERLINK("http://141.218.60.56/~jnz1568/getInfo.php?workbook=02_01.xlsx&amp;sheet=A0&amp;row=228&amp;col=13&amp;number=0&amp;sourceID=11","0")</f>
        <v>0</v>
      </c>
      <c r="N228" s="4" t="str">
        <f>HYPERLINK("http://141.218.60.56/~jnz1568/getInfo.php?workbook=02_01.xlsx&amp;sheet=A0&amp;row=228&amp;col=14&amp;number=0&amp;sourceID=12","0")</f>
        <v>0</v>
      </c>
      <c r="O228" s="4" t="str">
        <f>HYPERLINK("http://141.218.60.56/~jnz1568/getInfo.php?workbook=02_01.xlsx&amp;sheet=A0&amp;row=228&amp;col=15&amp;number=&amp;sourceID=12","")</f>
        <v/>
      </c>
      <c r="P228" s="4" t="str">
        <f>HYPERLINK("http://141.218.60.56/~jnz1568/getInfo.php?workbook=02_01.xlsx&amp;sheet=A0&amp;row=228&amp;col=16&amp;number=&amp;sourceID=12","")</f>
        <v/>
      </c>
      <c r="Q228" s="4" t="str">
        <f>HYPERLINK("http://141.218.60.56/~jnz1568/getInfo.php?workbook=02_01.xlsx&amp;sheet=A0&amp;row=228&amp;col=17&amp;number=&amp;sourceID=12","")</f>
        <v/>
      </c>
      <c r="R228" s="4" t="str">
        <f>HYPERLINK("http://141.218.60.56/~jnz1568/getInfo.php?workbook=02_01.xlsx&amp;sheet=A0&amp;row=228&amp;col=18&amp;number=&amp;sourceID=12","")</f>
        <v/>
      </c>
      <c r="S228" s="4" t="str">
        <f>HYPERLINK("http://141.218.60.56/~jnz1568/getInfo.php?workbook=02_01.xlsx&amp;sheet=A0&amp;row=228&amp;col=19&amp;number=&amp;sourceID=12","")</f>
        <v/>
      </c>
      <c r="T228" s="4" t="str">
        <f>HYPERLINK("http://141.218.60.56/~jnz1568/getInfo.php?workbook=02_01.xlsx&amp;sheet=A0&amp;row=228&amp;col=20&amp;number=0&amp;sourceID=12","0")</f>
        <v>0</v>
      </c>
      <c r="U228" s="4" t="str">
        <f>HYPERLINK("http://141.218.60.56/~jnz1568/getInfo.php?workbook=02_01.xlsx&amp;sheet=A0&amp;row=228&amp;col=21&amp;number=&amp;sourceID=13","")</f>
        <v/>
      </c>
      <c r="V228" s="4" t="str">
        <f>HYPERLINK("http://141.218.60.56/~jnz1568/getInfo.php?workbook=02_01.xlsx&amp;sheet=A0&amp;row=228&amp;col=22&amp;number=&amp;sourceID=13","")</f>
        <v/>
      </c>
      <c r="W228" s="4" t="str">
        <f>HYPERLINK("http://141.218.60.56/~jnz1568/getInfo.php?workbook=02_01.xlsx&amp;sheet=A0&amp;row=228&amp;col=23&amp;number=&amp;sourceID=13","")</f>
        <v/>
      </c>
      <c r="X228" s="4" t="str">
        <f>HYPERLINK("http://141.218.60.56/~jnz1568/getInfo.php?workbook=02_01.xlsx&amp;sheet=A0&amp;row=228&amp;col=24&amp;number=&amp;sourceID=13","")</f>
        <v/>
      </c>
      <c r="Y228" s="4" t="str">
        <f>HYPERLINK("http://141.218.60.56/~jnz1568/getInfo.php?workbook=02_01.xlsx&amp;sheet=A0&amp;row=228&amp;col=25&amp;number=&amp;sourceID=13","")</f>
        <v/>
      </c>
      <c r="Z228" s="4" t="str">
        <f>HYPERLINK("http://141.218.60.56/~jnz1568/getInfo.php?workbook=02_01.xlsx&amp;sheet=A0&amp;row=228&amp;col=26&amp;number=&amp;sourceID=13","")</f>
        <v/>
      </c>
      <c r="AA228" s="4" t="str">
        <f>HYPERLINK("http://141.218.60.56/~jnz1568/getInfo.php?workbook=02_01.xlsx&amp;sheet=A0&amp;row=228&amp;col=27&amp;number=&amp;sourceID=20","")</f>
        <v/>
      </c>
    </row>
    <row r="229" spans="1:27">
      <c r="A229" s="3">
        <v>2</v>
      </c>
      <c r="B229" s="3">
        <v>1</v>
      </c>
      <c r="C229" s="3">
        <v>23</v>
      </c>
      <c r="D229" s="3">
        <v>4</v>
      </c>
      <c r="E229" s="3">
        <f>((1/(INDEX(E0!J$4:J$28,C229,1)-INDEX(E0!J$4:J$28,D229,1))))*100000000</f>
        <v>0</v>
      </c>
      <c r="F229" s="4" t="str">
        <f>HYPERLINK("http://141.218.60.56/~jnz1568/getInfo.php?workbook=02_01.xlsx&amp;sheet=A0&amp;row=229&amp;col=6&amp;number=&amp;sourceID=18","")</f>
        <v/>
      </c>
      <c r="G229" s="4" t="str">
        <f>HYPERLINK("http://141.218.60.56/~jnz1568/getInfo.php?workbook=02_01.xlsx&amp;sheet=A0&amp;row=229&amp;col=7&amp;number==&amp;sourceID=11","=")</f>
        <v>=</v>
      </c>
      <c r="H229" s="4" t="str">
        <f>HYPERLINK("http://141.218.60.56/~jnz1568/getInfo.php?workbook=02_01.xlsx&amp;sheet=A0&amp;row=229&amp;col=8&amp;number=&amp;sourceID=11","")</f>
        <v/>
      </c>
      <c r="I229" s="4" t="str">
        <f>HYPERLINK("http://141.218.60.56/~jnz1568/getInfo.php?workbook=02_01.xlsx&amp;sheet=A0&amp;row=229&amp;col=9&amp;number=&amp;sourceID=11","")</f>
        <v/>
      </c>
      <c r="J229" s="4" t="str">
        <f>HYPERLINK("http://141.218.60.56/~jnz1568/getInfo.php?workbook=02_01.xlsx&amp;sheet=A0&amp;row=229&amp;col=10&amp;number=0.0021456&amp;sourceID=11","0.0021456")</f>
        <v>0.0021456</v>
      </c>
      <c r="K229" s="4" t="str">
        <f>HYPERLINK("http://141.218.60.56/~jnz1568/getInfo.php?workbook=02_01.xlsx&amp;sheet=A0&amp;row=229&amp;col=11&amp;number=&amp;sourceID=11","")</f>
        <v/>
      </c>
      <c r="L229" s="4" t="str">
        <f>HYPERLINK("http://141.218.60.56/~jnz1568/getInfo.php?workbook=02_01.xlsx&amp;sheet=A0&amp;row=229&amp;col=12&amp;number=5.2e-14&amp;sourceID=11","5.2e-14")</f>
        <v>5.2e-14</v>
      </c>
      <c r="M229" s="4" t="str">
        <f>HYPERLINK("http://141.218.60.56/~jnz1568/getInfo.php?workbook=02_01.xlsx&amp;sheet=A0&amp;row=229&amp;col=13&amp;number=&amp;sourceID=11","")</f>
        <v/>
      </c>
      <c r="N229" s="4" t="str">
        <f>HYPERLINK("http://141.218.60.56/~jnz1568/getInfo.php?workbook=02_01.xlsx&amp;sheet=A0&amp;row=229&amp;col=14&amp;number=0.0021459&amp;sourceID=12","0.0021459")</f>
        <v>0.0021459</v>
      </c>
      <c r="O229" s="4" t="str">
        <f>HYPERLINK("http://141.218.60.56/~jnz1568/getInfo.php?workbook=02_01.xlsx&amp;sheet=A0&amp;row=229&amp;col=15&amp;number=&amp;sourceID=12","")</f>
        <v/>
      </c>
      <c r="P229" s="4" t="str">
        <f>HYPERLINK("http://141.218.60.56/~jnz1568/getInfo.php?workbook=02_01.xlsx&amp;sheet=A0&amp;row=229&amp;col=16&amp;number=&amp;sourceID=12","")</f>
        <v/>
      </c>
      <c r="Q229" s="4" t="str">
        <f>HYPERLINK("http://141.218.60.56/~jnz1568/getInfo.php?workbook=02_01.xlsx&amp;sheet=A0&amp;row=229&amp;col=17&amp;number=0.0021459&amp;sourceID=12","0.0021459")</f>
        <v>0.0021459</v>
      </c>
      <c r="R229" s="4" t="str">
        <f>HYPERLINK("http://141.218.60.56/~jnz1568/getInfo.php?workbook=02_01.xlsx&amp;sheet=A0&amp;row=229&amp;col=18&amp;number=&amp;sourceID=12","")</f>
        <v/>
      </c>
      <c r="S229" s="4" t="str">
        <f>HYPERLINK("http://141.218.60.56/~jnz1568/getInfo.php?workbook=02_01.xlsx&amp;sheet=A0&amp;row=229&amp;col=19&amp;number=3.8e-14&amp;sourceID=12","3.8e-14")</f>
        <v>3.8e-14</v>
      </c>
      <c r="T229" s="4" t="str">
        <f>HYPERLINK("http://141.218.60.56/~jnz1568/getInfo.php?workbook=02_01.xlsx&amp;sheet=A0&amp;row=229&amp;col=20&amp;number=&amp;sourceID=12","")</f>
        <v/>
      </c>
      <c r="U229" s="4" t="str">
        <f>HYPERLINK("http://141.218.60.56/~jnz1568/getInfo.php?workbook=02_01.xlsx&amp;sheet=A0&amp;row=229&amp;col=21&amp;number=&amp;sourceID=13","")</f>
        <v/>
      </c>
      <c r="V229" s="4" t="str">
        <f>HYPERLINK("http://141.218.60.56/~jnz1568/getInfo.php?workbook=02_01.xlsx&amp;sheet=A0&amp;row=229&amp;col=22&amp;number=&amp;sourceID=13","")</f>
        <v/>
      </c>
      <c r="W229" s="4" t="str">
        <f>HYPERLINK("http://141.218.60.56/~jnz1568/getInfo.php?workbook=02_01.xlsx&amp;sheet=A0&amp;row=229&amp;col=23&amp;number=&amp;sourceID=13","")</f>
        <v/>
      </c>
      <c r="X229" s="4" t="str">
        <f>HYPERLINK("http://141.218.60.56/~jnz1568/getInfo.php?workbook=02_01.xlsx&amp;sheet=A0&amp;row=229&amp;col=24&amp;number=&amp;sourceID=13","")</f>
        <v/>
      </c>
      <c r="Y229" s="4" t="str">
        <f>HYPERLINK("http://141.218.60.56/~jnz1568/getInfo.php?workbook=02_01.xlsx&amp;sheet=A0&amp;row=229&amp;col=25&amp;number=&amp;sourceID=13","")</f>
        <v/>
      </c>
      <c r="Z229" s="4" t="str">
        <f>HYPERLINK("http://141.218.60.56/~jnz1568/getInfo.php?workbook=02_01.xlsx&amp;sheet=A0&amp;row=229&amp;col=26&amp;number=&amp;sourceID=13","")</f>
        <v/>
      </c>
      <c r="AA229" s="4" t="str">
        <f>HYPERLINK("http://141.218.60.56/~jnz1568/getInfo.php?workbook=02_01.xlsx&amp;sheet=A0&amp;row=229&amp;col=27&amp;number=&amp;sourceID=20","")</f>
        <v/>
      </c>
    </row>
    <row r="230" spans="1:27">
      <c r="A230" s="3">
        <v>2</v>
      </c>
      <c r="B230" s="3">
        <v>1</v>
      </c>
      <c r="C230" s="3">
        <v>23</v>
      </c>
      <c r="D230" s="3">
        <v>5</v>
      </c>
      <c r="E230" s="3">
        <f>((1/(INDEX(E0!J$4:J$28,C230,1)-INDEX(E0!J$4:J$28,D230,1))))*100000000</f>
        <v>0</v>
      </c>
      <c r="F230" s="4" t="str">
        <f>HYPERLINK("http://141.218.60.56/~jnz1568/getInfo.php?workbook=02_01.xlsx&amp;sheet=A0&amp;row=230&amp;col=6&amp;number=&amp;sourceID=18","")</f>
        <v/>
      </c>
      <c r="G230" s="4" t="str">
        <f>HYPERLINK("http://141.218.60.56/~jnz1568/getInfo.php?workbook=02_01.xlsx&amp;sheet=A0&amp;row=230&amp;col=7&amp;number==&amp;sourceID=11","=")</f>
        <v>=</v>
      </c>
      <c r="H230" s="4" t="str">
        <f>HYPERLINK("http://141.218.60.56/~jnz1568/getInfo.php?workbook=02_01.xlsx&amp;sheet=A0&amp;row=230&amp;col=8&amp;number=&amp;sourceID=11","")</f>
        <v/>
      </c>
      <c r="I230" s="4" t="str">
        <f>HYPERLINK("http://141.218.60.56/~jnz1568/getInfo.php?workbook=02_01.xlsx&amp;sheet=A0&amp;row=230&amp;col=9&amp;number=&amp;sourceID=11","")</f>
        <v/>
      </c>
      <c r="J230" s="4" t="str">
        <f>HYPERLINK("http://141.218.60.56/~jnz1568/getInfo.php?workbook=02_01.xlsx&amp;sheet=A0&amp;row=230&amp;col=10&amp;number=0.0027188&amp;sourceID=11","0.0027188")</f>
        <v>0.0027188</v>
      </c>
      <c r="K230" s="4" t="str">
        <f>HYPERLINK("http://141.218.60.56/~jnz1568/getInfo.php?workbook=02_01.xlsx&amp;sheet=A0&amp;row=230&amp;col=11&amp;number=&amp;sourceID=11","")</f>
        <v/>
      </c>
      <c r="L230" s="4" t="str">
        <f>HYPERLINK("http://141.218.60.56/~jnz1568/getInfo.php?workbook=02_01.xlsx&amp;sheet=A0&amp;row=230&amp;col=12&amp;number=&amp;sourceID=11","")</f>
        <v/>
      </c>
      <c r="M230" s="4" t="str">
        <f>HYPERLINK("http://141.218.60.56/~jnz1568/getInfo.php?workbook=02_01.xlsx&amp;sheet=A0&amp;row=230&amp;col=13&amp;number=&amp;sourceID=11","")</f>
        <v/>
      </c>
      <c r="N230" s="4" t="str">
        <f>HYPERLINK("http://141.218.60.56/~jnz1568/getInfo.php?workbook=02_01.xlsx&amp;sheet=A0&amp;row=230&amp;col=14&amp;number=0.0027192&amp;sourceID=12","0.0027192")</f>
        <v>0.0027192</v>
      </c>
      <c r="O230" s="4" t="str">
        <f>HYPERLINK("http://141.218.60.56/~jnz1568/getInfo.php?workbook=02_01.xlsx&amp;sheet=A0&amp;row=230&amp;col=15&amp;number=&amp;sourceID=12","")</f>
        <v/>
      </c>
      <c r="P230" s="4" t="str">
        <f>HYPERLINK("http://141.218.60.56/~jnz1568/getInfo.php?workbook=02_01.xlsx&amp;sheet=A0&amp;row=230&amp;col=16&amp;number=&amp;sourceID=12","")</f>
        <v/>
      </c>
      <c r="Q230" s="4" t="str">
        <f>HYPERLINK("http://141.218.60.56/~jnz1568/getInfo.php?workbook=02_01.xlsx&amp;sheet=A0&amp;row=230&amp;col=17&amp;number=0.0027192&amp;sourceID=12","0.0027192")</f>
        <v>0.0027192</v>
      </c>
      <c r="R230" s="4" t="str">
        <f>HYPERLINK("http://141.218.60.56/~jnz1568/getInfo.php?workbook=02_01.xlsx&amp;sheet=A0&amp;row=230&amp;col=18&amp;number=&amp;sourceID=12","")</f>
        <v/>
      </c>
      <c r="S230" s="4" t="str">
        <f>HYPERLINK("http://141.218.60.56/~jnz1568/getInfo.php?workbook=02_01.xlsx&amp;sheet=A0&amp;row=230&amp;col=19&amp;number=&amp;sourceID=12","")</f>
        <v/>
      </c>
      <c r="T230" s="4" t="str">
        <f>HYPERLINK("http://141.218.60.56/~jnz1568/getInfo.php?workbook=02_01.xlsx&amp;sheet=A0&amp;row=230&amp;col=20&amp;number=&amp;sourceID=12","")</f>
        <v/>
      </c>
      <c r="U230" s="4" t="str">
        <f>HYPERLINK("http://141.218.60.56/~jnz1568/getInfo.php?workbook=02_01.xlsx&amp;sheet=A0&amp;row=230&amp;col=21&amp;number=&amp;sourceID=13","")</f>
        <v/>
      </c>
      <c r="V230" s="4" t="str">
        <f>HYPERLINK("http://141.218.60.56/~jnz1568/getInfo.php?workbook=02_01.xlsx&amp;sheet=A0&amp;row=230&amp;col=22&amp;number=&amp;sourceID=13","")</f>
        <v/>
      </c>
      <c r="W230" s="4" t="str">
        <f>HYPERLINK("http://141.218.60.56/~jnz1568/getInfo.php?workbook=02_01.xlsx&amp;sheet=A0&amp;row=230&amp;col=23&amp;number=&amp;sourceID=13","")</f>
        <v/>
      </c>
      <c r="X230" s="4" t="str">
        <f>HYPERLINK("http://141.218.60.56/~jnz1568/getInfo.php?workbook=02_01.xlsx&amp;sheet=A0&amp;row=230&amp;col=24&amp;number=&amp;sourceID=13","")</f>
        <v/>
      </c>
      <c r="Y230" s="4" t="str">
        <f>HYPERLINK("http://141.218.60.56/~jnz1568/getInfo.php?workbook=02_01.xlsx&amp;sheet=A0&amp;row=230&amp;col=25&amp;number=&amp;sourceID=13","")</f>
        <v/>
      </c>
      <c r="Z230" s="4" t="str">
        <f>HYPERLINK("http://141.218.60.56/~jnz1568/getInfo.php?workbook=02_01.xlsx&amp;sheet=A0&amp;row=230&amp;col=26&amp;number=&amp;sourceID=13","")</f>
        <v/>
      </c>
      <c r="AA230" s="4" t="str">
        <f>HYPERLINK("http://141.218.60.56/~jnz1568/getInfo.php?workbook=02_01.xlsx&amp;sheet=A0&amp;row=230&amp;col=27&amp;number=&amp;sourceID=20","")</f>
        <v/>
      </c>
    </row>
    <row r="231" spans="1:27">
      <c r="A231" s="3">
        <v>2</v>
      </c>
      <c r="B231" s="3">
        <v>1</v>
      </c>
      <c r="C231" s="3">
        <v>23</v>
      </c>
      <c r="D231" s="3">
        <v>6</v>
      </c>
      <c r="E231" s="3">
        <f>((1/(INDEX(E0!J$4:J$28,C231,1)-INDEX(E0!J$4:J$28,D231,1))))*100000000</f>
        <v>0</v>
      </c>
      <c r="F231" s="4" t="str">
        <f>HYPERLINK("http://141.218.60.56/~jnz1568/getInfo.php?workbook=02_01.xlsx&amp;sheet=A0&amp;row=231&amp;col=6&amp;number=&amp;sourceID=18","")</f>
        <v/>
      </c>
      <c r="G231" s="4" t="str">
        <f>HYPERLINK("http://141.218.60.56/~jnz1568/getInfo.php?workbook=02_01.xlsx&amp;sheet=A0&amp;row=231&amp;col=7&amp;number==&amp;sourceID=11","=")</f>
        <v>=</v>
      </c>
      <c r="H231" s="4" t="str">
        <f>HYPERLINK("http://141.218.60.56/~jnz1568/getInfo.php?workbook=02_01.xlsx&amp;sheet=A0&amp;row=231&amp;col=8&amp;number=&amp;sourceID=11","")</f>
        <v/>
      </c>
      <c r="I231" s="4" t="str">
        <f>HYPERLINK("http://141.218.60.56/~jnz1568/getInfo.php?workbook=02_01.xlsx&amp;sheet=A0&amp;row=231&amp;col=9&amp;number=&amp;sourceID=11","")</f>
        <v/>
      </c>
      <c r="J231" s="4" t="str">
        <f>HYPERLINK("http://141.218.60.56/~jnz1568/getInfo.php?workbook=02_01.xlsx&amp;sheet=A0&amp;row=231&amp;col=10&amp;number=&amp;sourceID=11","")</f>
        <v/>
      </c>
      <c r="K231" s="4" t="str">
        <f>HYPERLINK("http://141.218.60.56/~jnz1568/getInfo.php?workbook=02_01.xlsx&amp;sheet=A0&amp;row=231&amp;col=11&amp;number=&amp;sourceID=11","")</f>
        <v/>
      </c>
      <c r="L231" s="4" t="str">
        <f>HYPERLINK("http://141.218.60.56/~jnz1568/getInfo.php?workbook=02_01.xlsx&amp;sheet=A0&amp;row=231&amp;col=12&amp;number=&amp;sourceID=11","")</f>
        <v/>
      </c>
      <c r="M231" s="4" t="str">
        <f>HYPERLINK("http://141.218.60.56/~jnz1568/getInfo.php?workbook=02_01.xlsx&amp;sheet=A0&amp;row=231&amp;col=13&amp;number=0&amp;sourceID=11","0")</f>
        <v>0</v>
      </c>
      <c r="N231" s="4" t="str">
        <f>HYPERLINK("http://141.218.60.56/~jnz1568/getInfo.php?workbook=02_01.xlsx&amp;sheet=A0&amp;row=231&amp;col=14&amp;number=0&amp;sourceID=12","0")</f>
        <v>0</v>
      </c>
      <c r="O231" s="4" t="str">
        <f>HYPERLINK("http://141.218.60.56/~jnz1568/getInfo.php?workbook=02_01.xlsx&amp;sheet=A0&amp;row=231&amp;col=15&amp;number=&amp;sourceID=12","")</f>
        <v/>
      </c>
      <c r="P231" s="4" t="str">
        <f>HYPERLINK("http://141.218.60.56/~jnz1568/getInfo.php?workbook=02_01.xlsx&amp;sheet=A0&amp;row=231&amp;col=16&amp;number=&amp;sourceID=12","")</f>
        <v/>
      </c>
      <c r="Q231" s="4" t="str">
        <f>HYPERLINK("http://141.218.60.56/~jnz1568/getInfo.php?workbook=02_01.xlsx&amp;sheet=A0&amp;row=231&amp;col=17&amp;number=&amp;sourceID=12","")</f>
        <v/>
      </c>
      <c r="R231" s="4" t="str">
        <f>HYPERLINK("http://141.218.60.56/~jnz1568/getInfo.php?workbook=02_01.xlsx&amp;sheet=A0&amp;row=231&amp;col=18&amp;number=&amp;sourceID=12","")</f>
        <v/>
      </c>
      <c r="S231" s="4" t="str">
        <f>HYPERLINK("http://141.218.60.56/~jnz1568/getInfo.php?workbook=02_01.xlsx&amp;sheet=A0&amp;row=231&amp;col=19&amp;number=&amp;sourceID=12","")</f>
        <v/>
      </c>
      <c r="T231" s="4" t="str">
        <f>HYPERLINK("http://141.218.60.56/~jnz1568/getInfo.php?workbook=02_01.xlsx&amp;sheet=A0&amp;row=231&amp;col=20&amp;number=0&amp;sourceID=12","0")</f>
        <v>0</v>
      </c>
      <c r="U231" s="4" t="str">
        <f>HYPERLINK("http://141.218.60.56/~jnz1568/getInfo.php?workbook=02_01.xlsx&amp;sheet=A0&amp;row=231&amp;col=21&amp;number=&amp;sourceID=13","")</f>
        <v/>
      </c>
      <c r="V231" s="4" t="str">
        <f>HYPERLINK("http://141.218.60.56/~jnz1568/getInfo.php?workbook=02_01.xlsx&amp;sheet=A0&amp;row=231&amp;col=22&amp;number=&amp;sourceID=13","")</f>
        <v/>
      </c>
      <c r="W231" s="4" t="str">
        <f>HYPERLINK("http://141.218.60.56/~jnz1568/getInfo.php?workbook=02_01.xlsx&amp;sheet=A0&amp;row=231&amp;col=23&amp;number=&amp;sourceID=13","")</f>
        <v/>
      </c>
      <c r="X231" s="4" t="str">
        <f>HYPERLINK("http://141.218.60.56/~jnz1568/getInfo.php?workbook=02_01.xlsx&amp;sheet=A0&amp;row=231&amp;col=24&amp;number=&amp;sourceID=13","")</f>
        <v/>
      </c>
      <c r="Y231" s="4" t="str">
        <f>HYPERLINK("http://141.218.60.56/~jnz1568/getInfo.php?workbook=02_01.xlsx&amp;sheet=A0&amp;row=231&amp;col=25&amp;number=&amp;sourceID=13","")</f>
        <v/>
      </c>
      <c r="Z231" s="4" t="str">
        <f>HYPERLINK("http://141.218.60.56/~jnz1568/getInfo.php?workbook=02_01.xlsx&amp;sheet=A0&amp;row=231&amp;col=26&amp;number=&amp;sourceID=13","")</f>
        <v/>
      </c>
      <c r="AA231" s="4" t="str">
        <f>HYPERLINK("http://141.218.60.56/~jnz1568/getInfo.php?workbook=02_01.xlsx&amp;sheet=A0&amp;row=231&amp;col=27&amp;number=&amp;sourceID=20","")</f>
        <v/>
      </c>
    </row>
    <row r="232" spans="1:27">
      <c r="A232" s="3">
        <v>2</v>
      </c>
      <c r="B232" s="3">
        <v>1</v>
      </c>
      <c r="C232" s="3">
        <v>23</v>
      </c>
      <c r="D232" s="3">
        <v>7</v>
      </c>
      <c r="E232" s="3">
        <f>((1/(INDEX(E0!J$4:J$28,C232,1)-INDEX(E0!J$4:J$28,D232,1))))*100000000</f>
        <v>0</v>
      </c>
      <c r="F232" s="4" t="str">
        <f>HYPERLINK("http://141.218.60.56/~jnz1568/getInfo.php?workbook=02_01.xlsx&amp;sheet=A0&amp;row=232&amp;col=6&amp;number=&amp;sourceID=18","")</f>
        <v/>
      </c>
      <c r="G232" s="4" t="str">
        <f>HYPERLINK("http://141.218.60.56/~jnz1568/getInfo.php?workbook=02_01.xlsx&amp;sheet=A0&amp;row=232&amp;col=7&amp;number==&amp;sourceID=11","=")</f>
        <v>=</v>
      </c>
      <c r="H232" s="4" t="str">
        <f>HYPERLINK("http://141.218.60.56/~jnz1568/getInfo.php?workbook=02_01.xlsx&amp;sheet=A0&amp;row=232&amp;col=8&amp;number=&amp;sourceID=11","")</f>
        <v/>
      </c>
      <c r="I232" s="4" t="str">
        <f>HYPERLINK("http://141.218.60.56/~jnz1568/getInfo.php?workbook=02_01.xlsx&amp;sheet=A0&amp;row=232&amp;col=9&amp;number=669.01&amp;sourceID=11","669.01")</f>
        <v>669.01</v>
      </c>
      <c r="J232" s="4" t="str">
        <f>HYPERLINK("http://141.218.60.56/~jnz1568/getInfo.php?workbook=02_01.xlsx&amp;sheet=A0&amp;row=232&amp;col=10&amp;number=&amp;sourceID=11","")</f>
        <v/>
      </c>
      <c r="K232" s="4" t="str">
        <f>HYPERLINK("http://141.218.60.56/~jnz1568/getInfo.php?workbook=02_01.xlsx&amp;sheet=A0&amp;row=232&amp;col=11&amp;number=&amp;sourceID=11","")</f>
        <v/>
      </c>
      <c r="L232" s="4" t="str">
        <f>HYPERLINK("http://141.218.60.56/~jnz1568/getInfo.php?workbook=02_01.xlsx&amp;sheet=A0&amp;row=232&amp;col=12&amp;number=&amp;sourceID=11","")</f>
        <v/>
      </c>
      <c r="M232" s="4" t="str">
        <f>HYPERLINK("http://141.218.60.56/~jnz1568/getInfo.php?workbook=02_01.xlsx&amp;sheet=A0&amp;row=232&amp;col=13&amp;number=9.1369e-10&amp;sourceID=11","9.1369e-10")</f>
        <v>9.1369e-10</v>
      </c>
      <c r="N232" s="4" t="str">
        <f>HYPERLINK("http://141.218.60.56/~jnz1568/getInfo.php?workbook=02_01.xlsx&amp;sheet=A0&amp;row=232&amp;col=14&amp;number=669.1&amp;sourceID=12","669.1")</f>
        <v>669.1</v>
      </c>
      <c r="O232" s="4" t="str">
        <f>HYPERLINK("http://141.218.60.56/~jnz1568/getInfo.php?workbook=02_01.xlsx&amp;sheet=A0&amp;row=232&amp;col=15&amp;number=&amp;sourceID=12","")</f>
        <v/>
      </c>
      <c r="P232" s="4" t="str">
        <f>HYPERLINK("http://141.218.60.56/~jnz1568/getInfo.php?workbook=02_01.xlsx&amp;sheet=A0&amp;row=232&amp;col=16&amp;number=669.1&amp;sourceID=12","669.1")</f>
        <v>669.1</v>
      </c>
      <c r="Q232" s="4" t="str">
        <f>HYPERLINK("http://141.218.60.56/~jnz1568/getInfo.php?workbook=02_01.xlsx&amp;sheet=A0&amp;row=232&amp;col=17&amp;number=&amp;sourceID=12","")</f>
        <v/>
      </c>
      <c r="R232" s="4" t="str">
        <f>HYPERLINK("http://141.218.60.56/~jnz1568/getInfo.php?workbook=02_01.xlsx&amp;sheet=A0&amp;row=232&amp;col=18&amp;number=&amp;sourceID=12","")</f>
        <v/>
      </c>
      <c r="S232" s="4" t="str">
        <f>HYPERLINK("http://141.218.60.56/~jnz1568/getInfo.php?workbook=02_01.xlsx&amp;sheet=A0&amp;row=232&amp;col=19&amp;number=&amp;sourceID=12","")</f>
        <v/>
      </c>
      <c r="T232" s="4" t="str">
        <f>HYPERLINK("http://141.218.60.56/~jnz1568/getInfo.php?workbook=02_01.xlsx&amp;sheet=A0&amp;row=232&amp;col=20&amp;number=9.1381e-10&amp;sourceID=12","9.1381e-10")</f>
        <v>9.1381e-10</v>
      </c>
      <c r="U232" s="4" t="str">
        <f>HYPERLINK("http://141.218.60.56/~jnz1568/getInfo.php?workbook=02_01.xlsx&amp;sheet=A0&amp;row=232&amp;col=21&amp;number=&amp;sourceID=13","")</f>
        <v/>
      </c>
      <c r="V232" s="4" t="str">
        <f>HYPERLINK("http://141.218.60.56/~jnz1568/getInfo.php?workbook=02_01.xlsx&amp;sheet=A0&amp;row=232&amp;col=22&amp;number=&amp;sourceID=13","")</f>
        <v/>
      </c>
      <c r="W232" s="4" t="str">
        <f>HYPERLINK("http://141.218.60.56/~jnz1568/getInfo.php?workbook=02_01.xlsx&amp;sheet=A0&amp;row=232&amp;col=23&amp;number=&amp;sourceID=13","")</f>
        <v/>
      </c>
      <c r="X232" s="4" t="str">
        <f>HYPERLINK("http://141.218.60.56/~jnz1568/getInfo.php?workbook=02_01.xlsx&amp;sheet=A0&amp;row=232&amp;col=24&amp;number=&amp;sourceID=13","")</f>
        <v/>
      </c>
      <c r="Y232" s="4" t="str">
        <f>HYPERLINK("http://141.218.60.56/~jnz1568/getInfo.php?workbook=02_01.xlsx&amp;sheet=A0&amp;row=232&amp;col=25&amp;number=&amp;sourceID=13","")</f>
        <v/>
      </c>
      <c r="Z232" s="4" t="str">
        <f>HYPERLINK("http://141.218.60.56/~jnz1568/getInfo.php?workbook=02_01.xlsx&amp;sheet=A0&amp;row=232&amp;col=26&amp;number=&amp;sourceID=13","")</f>
        <v/>
      </c>
      <c r="AA232" s="4" t="str">
        <f>HYPERLINK("http://141.218.60.56/~jnz1568/getInfo.php?workbook=02_01.xlsx&amp;sheet=A0&amp;row=232&amp;col=27&amp;number=&amp;sourceID=20","")</f>
        <v/>
      </c>
    </row>
    <row r="233" spans="1:27">
      <c r="A233" s="3">
        <v>2</v>
      </c>
      <c r="B233" s="3">
        <v>1</v>
      </c>
      <c r="C233" s="3">
        <v>23</v>
      </c>
      <c r="D233" s="3">
        <v>8</v>
      </c>
      <c r="E233" s="3">
        <f>((1/(INDEX(E0!J$4:J$28,C233,1)-INDEX(E0!J$4:J$28,D233,1))))*100000000</f>
        <v>0</v>
      </c>
      <c r="F233" s="4" t="str">
        <f>HYPERLINK("http://141.218.60.56/~jnz1568/getInfo.php?workbook=02_01.xlsx&amp;sheet=A0&amp;row=233&amp;col=6&amp;number=&amp;sourceID=18","")</f>
        <v/>
      </c>
      <c r="G233" s="4" t="str">
        <f>HYPERLINK("http://141.218.60.56/~jnz1568/getInfo.php?workbook=02_01.xlsx&amp;sheet=A0&amp;row=233&amp;col=7&amp;number==&amp;sourceID=11","=")</f>
        <v>=</v>
      </c>
      <c r="H233" s="4" t="str">
        <f>HYPERLINK("http://141.218.60.56/~jnz1568/getInfo.php?workbook=02_01.xlsx&amp;sheet=A0&amp;row=233&amp;col=8&amp;number=&amp;sourceID=11","")</f>
        <v/>
      </c>
      <c r="I233" s="4" t="str">
        <f>HYPERLINK("http://141.218.60.56/~jnz1568/getInfo.php?workbook=02_01.xlsx&amp;sheet=A0&amp;row=233&amp;col=9&amp;number=&amp;sourceID=11","")</f>
        <v/>
      </c>
      <c r="J233" s="4" t="str">
        <f>HYPERLINK("http://141.218.60.56/~jnz1568/getInfo.php?workbook=02_01.xlsx&amp;sheet=A0&amp;row=233&amp;col=10&amp;number=0.00090615&amp;sourceID=11","0.00090615")</f>
        <v>0.00090615</v>
      </c>
      <c r="K233" s="4" t="str">
        <f>HYPERLINK("http://141.218.60.56/~jnz1568/getInfo.php?workbook=02_01.xlsx&amp;sheet=A0&amp;row=233&amp;col=11&amp;number=&amp;sourceID=11","")</f>
        <v/>
      </c>
      <c r="L233" s="4" t="str">
        <f>HYPERLINK("http://141.218.60.56/~jnz1568/getInfo.php?workbook=02_01.xlsx&amp;sheet=A0&amp;row=233&amp;col=12&amp;number=7e-15&amp;sourceID=11","7e-15")</f>
        <v>7e-15</v>
      </c>
      <c r="M233" s="4" t="str">
        <f>HYPERLINK("http://141.218.60.56/~jnz1568/getInfo.php?workbook=02_01.xlsx&amp;sheet=A0&amp;row=233&amp;col=13&amp;number=&amp;sourceID=11","")</f>
        <v/>
      </c>
      <c r="N233" s="4" t="str">
        <f>HYPERLINK("http://141.218.60.56/~jnz1568/getInfo.php?workbook=02_01.xlsx&amp;sheet=A0&amp;row=233&amp;col=14&amp;number=0.00090628&amp;sourceID=12","0.00090628")</f>
        <v>0.00090628</v>
      </c>
      <c r="O233" s="4" t="str">
        <f>HYPERLINK("http://141.218.60.56/~jnz1568/getInfo.php?workbook=02_01.xlsx&amp;sheet=A0&amp;row=233&amp;col=15&amp;number=&amp;sourceID=12","")</f>
        <v/>
      </c>
      <c r="P233" s="4" t="str">
        <f>HYPERLINK("http://141.218.60.56/~jnz1568/getInfo.php?workbook=02_01.xlsx&amp;sheet=A0&amp;row=233&amp;col=16&amp;number=&amp;sourceID=12","")</f>
        <v/>
      </c>
      <c r="Q233" s="4" t="str">
        <f>HYPERLINK("http://141.218.60.56/~jnz1568/getInfo.php?workbook=02_01.xlsx&amp;sheet=A0&amp;row=233&amp;col=17&amp;number=0.00090628&amp;sourceID=12","0.00090628")</f>
        <v>0.00090628</v>
      </c>
      <c r="R233" s="4" t="str">
        <f>HYPERLINK("http://141.218.60.56/~jnz1568/getInfo.php?workbook=02_01.xlsx&amp;sheet=A0&amp;row=233&amp;col=18&amp;number=&amp;sourceID=12","")</f>
        <v/>
      </c>
      <c r="S233" s="4" t="str">
        <f>HYPERLINK("http://141.218.60.56/~jnz1568/getInfo.php?workbook=02_01.xlsx&amp;sheet=A0&amp;row=233&amp;col=19&amp;number=7e-15&amp;sourceID=12","7e-15")</f>
        <v>7e-15</v>
      </c>
      <c r="T233" s="4" t="str">
        <f>HYPERLINK("http://141.218.60.56/~jnz1568/getInfo.php?workbook=02_01.xlsx&amp;sheet=A0&amp;row=233&amp;col=20&amp;number=&amp;sourceID=12","")</f>
        <v/>
      </c>
      <c r="U233" s="4" t="str">
        <f>HYPERLINK("http://141.218.60.56/~jnz1568/getInfo.php?workbook=02_01.xlsx&amp;sheet=A0&amp;row=233&amp;col=21&amp;number=&amp;sourceID=13","")</f>
        <v/>
      </c>
      <c r="V233" s="4" t="str">
        <f>HYPERLINK("http://141.218.60.56/~jnz1568/getInfo.php?workbook=02_01.xlsx&amp;sheet=A0&amp;row=233&amp;col=22&amp;number=&amp;sourceID=13","")</f>
        <v/>
      </c>
      <c r="W233" s="4" t="str">
        <f>HYPERLINK("http://141.218.60.56/~jnz1568/getInfo.php?workbook=02_01.xlsx&amp;sheet=A0&amp;row=233&amp;col=23&amp;number=&amp;sourceID=13","")</f>
        <v/>
      </c>
      <c r="X233" s="4" t="str">
        <f>HYPERLINK("http://141.218.60.56/~jnz1568/getInfo.php?workbook=02_01.xlsx&amp;sheet=A0&amp;row=233&amp;col=24&amp;number=&amp;sourceID=13","")</f>
        <v/>
      </c>
      <c r="Y233" s="4" t="str">
        <f>HYPERLINK("http://141.218.60.56/~jnz1568/getInfo.php?workbook=02_01.xlsx&amp;sheet=A0&amp;row=233&amp;col=25&amp;number=&amp;sourceID=13","")</f>
        <v/>
      </c>
      <c r="Z233" s="4" t="str">
        <f>HYPERLINK("http://141.218.60.56/~jnz1568/getInfo.php?workbook=02_01.xlsx&amp;sheet=A0&amp;row=233&amp;col=26&amp;number=&amp;sourceID=13","")</f>
        <v/>
      </c>
      <c r="AA233" s="4" t="str">
        <f>HYPERLINK("http://141.218.60.56/~jnz1568/getInfo.php?workbook=02_01.xlsx&amp;sheet=A0&amp;row=233&amp;col=27&amp;number=&amp;sourceID=20","")</f>
        <v/>
      </c>
    </row>
    <row r="234" spans="1:27">
      <c r="A234" s="3">
        <v>2</v>
      </c>
      <c r="B234" s="3">
        <v>1</v>
      </c>
      <c r="C234" s="3">
        <v>23</v>
      </c>
      <c r="D234" s="3">
        <v>9</v>
      </c>
      <c r="E234" s="3">
        <f>((1/(INDEX(E0!J$4:J$28,C234,1)-INDEX(E0!J$4:J$28,D234,1))))*100000000</f>
        <v>0</v>
      </c>
      <c r="F234" s="4" t="str">
        <f>HYPERLINK("http://141.218.60.56/~jnz1568/getInfo.php?workbook=02_01.xlsx&amp;sheet=A0&amp;row=234&amp;col=6&amp;number=&amp;sourceID=18","")</f>
        <v/>
      </c>
      <c r="G234" s="4" t="str">
        <f>HYPERLINK("http://141.218.60.56/~jnz1568/getInfo.php?workbook=02_01.xlsx&amp;sheet=A0&amp;row=234&amp;col=7&amp;number==&amp;sourceID=11","=")</f>
        <v>=</v>
      </c>
      <c r="H234" s="4" t="str">
        <f>HYPERLINK("http://141.218.60.56/~jnz1568/getInfo.php?workbook=02_01.xlsx&amp;sheet=A0&amp;row=234&amp;col=8&amp;number=&amp;sourceID=11","")</f>
        <v/>
      </c>
      <c r="I234" s="4" t="str">
        <f>HYPERLINK("http://141.218.60.56/~jnz1568/getInfo.php?workbook=02_01.xlsx&amp;sheet=A0&amp;row=234&amp;col=9&amp;number=74.333&amp;sourceID=11","74.333")</f>
        <v>74.333</v>
      </c>
      <c r="J234" s="4" t="str">
        <f>HYPERLINK("http://141.218.60.56/~jnz1568/getInfo.php?workbook=02_01.xlsx&amp;sheet=A0&amp;row=234&amp;col=10&amp;number=&amp;sourceID=11","")</f>
        <v/>
      </c>
      <c r="K234" s="4" t="str">
        <f>HYPERLINK("http://141.218.60.56/~jnz1568/getInfo.php?workbook=02_01.xlsx&amp;sheet=A0&amp;row=234&amp;col=11&amp;number=1.4409e-09&amp;sourceID=11","1.4409e-09")</f>
        <v>1.4409e-09</v>
      </c>
      <c r="L234" s="4" t="str">
        <f>HYPERLINK("http://141.218.60.56/~jnz1568/getInfo.php?workbook=02_01.xlsx&amp;sheet=A0&amp;row=234&amp;col=12&amp;number=&amp;sourceID=11","")</f>
        <v/>
      </c>
      <c r="M234" s="4" t="str">
        <f>HYPERLINK("http://141.218.60.56/~jnz1568/getInfo.php?workbook=02_01.xlsx&amp;sheet=A0&amp;row=234&amp;col=13&amp;number=3.3839e-11&amp;sourceID=11","3.3839e-11")</f>
        <v>3.3839e-11</v>
      </c>
      <c r="N234" s="4" t="str">
        <f>HYPERLINK("http://141.218.60.56/~jnz1568/getInfo.php?workbook=02_01.xlsx&amp;sheet=A0&amp;row=234&amp;col=14&amp;number=74.344&amp;sourceID=12","74.344")</f>
        <v>74.344</v>
      </c>
      <c r="O234" s="4" t="str">
        <f>HYPERLINK("http://141.218.60.56/~jnz1568/getInfo.php?workbook=02_01.xlsx&amp;sheet=A0&amp;row=234&amp;col=15&amp;number=&amp;sourceID=12","")</f>
        <v/>
      </c>
      <c r="P234" s="4" t="str">
        <f>HYPERLINK("http://141.218.60.56/~jnz1568/getInfo.php?workbook=02_01.xlsx&amp;sheet=A0&amp;row=234&amp;col=16&amp;number=74.344&amp;sourceID=12","74.344")</f>
        <v>74.344</v>
      </c>
      <c r="Q234" s="4" t="str">
        <f>HYPERLINK("http://141.218.60.56/~jnz1568/getInfo.php?workbook=02_01.xlsx&amp;sheet=A0&amp;row=234&amp;col=17&amp;number=&amp;sourceID=12","")</f>
        <v/>
      </c>
      <c r="R234" s="4" t="str">
        <f>HYPERLINK("http://141.218.60.56/~jnz1568/getInfo.php?workbook=02_01.xlsx&amp;sheet=A0&amp;row=234&amp;col=18&amp;number=1.4205e-09&amp;sourceID=12","1.4205e-09")</f>
        <v>1.4205e-09</v>
      </c>
      <c r="S234" s="4" t="str">
        <f>HYPERLINK("http://141.218.60.56/~jnz1568/getInfo.php?workbook=02_01.xlsx&amp;sheet=A0&amp;row=234&amp;col=19&amp;number=&amp;sourceID=12","")</f>
        <v/>
      </c>
      <c r="T234" s="4" t="str">
        <f>HYPERLINK("http://141.218.60.56/~jnz1568/getInfo.php?workbook=02_01.xlsx&amp;sheet=A0&amp;row=234&amp;col=20&amp;number=3.3844e-11&amp;sourceID=12","3.3844e-11")</f>
        <v>3.3844e-11</v>
      </c>
      <c r="U234" s="4" t="str">
        <f>HYPERLINK("http://141.218.60.56/~jnz1568/getInfo.php?workbook=02_01.xlsx&amp;sheet=A0&amp;row=234&amp;col=21&amp;number=&amp;sourceID=13","")</f>
        <v/>
      </c>
      <c r="V234" s="4" t="str">
        <f>HYPERLINK("http://141.218.60.56/~jnz1568/getInfo.php?workbook=02_01.xlsx&amp;sheet=A0&amp;row=234&amp;col=22&amp;number=&amp;sourceID=13","")</f>
        <v/>
      </c>
      <c r="W234" s="4" t="str">
        <f>HYPERLINK("http://141.218.60.56/~jnz1568/getInfo.php?workbook=02_01.xlsx&amp;sheet=A0&amp;row=234&amp;col=23&amp;number=&amp;sourceID=13","")</f>
        <v/>
      </c>
      <c r="X234" s="4" t="str">
        <f>HYPERLINK("http://141.218.60.56/~jnz1568/getInfo.php?workbook=02_01.xlsx&amp;sheet=A0&amp;row=234&amp;col=24&amp;number=&amp;sourceID=13","")</f>
        <v/>
      </c>
      <c r="Y234" s="4" t="str">
        <f>HYPERLINK("http://141.218.60.56/~jnz1568/getInfo.php?workbook=02_01.xlsx&amp;sheet=A0&amp;row=234&amp;col=25&amp;number=&amp;sourceID=13","")</f>
        <v/>
      </c>
      <c r="Z234" s="4" t="str">
        <f>HYPERLINK("http://141.218.60.56/~jnz1568/getInfo.php?workbook=02_01.xlsx&amp;sheet=A0&amp;row=234&amp;col=26&amp;number=&amp;sourceID=13","")</f>
        <v/>
      </c>
      <c r="AA234" s="4" t="str">
        <f>HYPERLINK("http://141.218.60.56/~jnz1568/getInfo.php?workbook=02_01.xlsx&amp;sheet=A0&amp;row=234&amp;col=27&amp;number=&amp;sourceID=20","")</f>
        <v/>
      </c>
    </row>
    <row r="235" spans="1:27">
      <c r="A235" s="3">
        <v>2</v>
      </c>
      <c r="B235" s="3">
        <v>1</v>
      </c>
      <c r="C235" s="3">
        <v>23</v>
      </c>
      <c r="D235" s="3">
        <v>10</v>
      </c>
      <c r="E235" s="3">
        <f>((1/(INDEX(E0!J$4:J$28,C235,1)-INDEX(E0!J$4:J$28,D235,1))))*100000000</f>
        <v>0</v>
      </c>
      <c r="F235" s="4" t="str">
        <f>HYPERLINK("http://141.218.60.56/~jnz1568/getInfo.php?workbook=02_01.xlsx&amp;sheet=A0&amp;row=235&amp;col=6&amp;number=&amp;sourceID=18","")</f>
        <v/>
      </c>
      <c r="G235" s="4" t="str">
        <f>HYPERLINK("http://141.218.60.56/~jnz1568/getInfo.php?workbook=02_01.xlsx&amp;sheet=A0&amp;row=235&amp;col=7&amp;number==&amp;sourceID=11","=")</f>
        <v>=</v>
      </c>
      <c r="H235" s="4" t="str">
        <f>HYPERLINK("http://141.218.60.56/~jnz1568/getInfo.php?workbook=02_01.xlsx&amp;sheet=A0&amp;row=235&amp;col=8&amp;number=&amp;sourceID=11","")</f>
        <v/>
      </c>
      <c r="I235" s="4" t="str">
        <f>HYPERLINK("http://141.218.60.56/~jnz1568/getInfo.php?workbook=02_01.xlsx&amp;sheet=A0&amp;row=235&amp;col=9&amp;number=&amp;sourceID=11","")</f>
        <v/>
      </c>
      <c r="J235" s="4" t="str">
        <f>HYPERLINK("http://141.218.60.56/~jnz1568/getInfo.php?workbook=02_01.xlsx&amp;sheet=A0&amp;row=235&amp;col=10&amp;number=2.5055e-05&amp;sourceID=11","2.5055e-05")</f>
        <v>2.5055e-05</v>
      </c>
      <c r="K235" s="4" t="str">
        <f>HYPERLINK("http://141.218.60.56/~jnz1568/getInfo.php?workbook=02_01.xlsx&amp;sheet=A0&amp;row=235&amp;col=11&amp;number=&amp;sourceID=11","")</f>
        <v/>
      </c>
      <c r="L235" s="4" t="str">
        <f>HYPERLINK("http://141.218.60.56/~jnz1568/getInfo.php?workbook=02_01.xlsx&amp;sheet=A0&amp;row=235&amp;col=12&amp;number=&amp;sourceID=11","")</f>
        <v/>
      </c>
      <c r="M235" s="4" t="str">
        <f>HYPERLINK("http://141.218.60.56/~jnz1568/getInfo.php?workbook=02_01.xlsx&amp;sheet=A0&amp;row=235&amp;col=13&amp;number=&amp;sourceID=11","")</f>
        <v/>
      </c>
      <c r="N235" s="4" t="str">
        <f>HYPERLINK("http://141.218.60.56/~jnz1568/getInfo.php?workbook=02_01.xlsx&amp;sheet=A0&amp;row=235&amp;col=14&amp;number=2.5058e-05&amp;sourceID=12","2.5058e-05")</f>
        <v>2.5058e-05</v>
      </c>
      <c r="O235" s="4" t="str">
        <f>HYPERLINK("http://141.218.60.56/~jnz1568/getInfo.php?workbook=02_01.xlsx&amp;sheet=A0&amp;row=235&amp;col=15&amp;number=&amp;sourceID=12","")</f>
        <v/>
      </c>
      <c r="P235" s="4" t="str">
        <f>HYPERLINK("http://141.218.60.56/~jnz1568/getInfo.php?workbook=02_01.xlsx&amp;sheet=A0&amp;row=235&amp;col=16&amp;number=&amp;sourceID=12","")</f>
        <v/>
      </c>
      <c r="Q235" s="4" t="str">
        <f>HYPERLINK("http://141.218.60.56/~jnz1568/getInfo.php?workbook=02_01.xlsx&amp;sheet=A0&amp;row=235&amp;col=17&amp;number=2.5058e-05&amp;sourceID=12","2.5058e-05")</f>
        <v>2.5058e-05</v>
      </c>
      <c r="R235" s="4" t="str">
        <f>HYPERLINK("http://141.218.60.56/~jnz1568/getInfo.php?workbook=02_01.xlsx&amp;sheet=A0&amp;row=235&amp;col=18&amp;number=&amp;sourceID=12","")</f>
        <v/>
      </c>
      <c r="S235" s="4" t="str">
        <f>HYPERLINK("http://141.218.60.56/~jnz1568/getInfo.php?workbook=02_01.xlsx&amp;sheet=A0&amp;row=235&amp;col=19&amp;number=&amp;sourceID=12","")</f>
        <v/>
      </c>
      <c r="T235" s="4" t="str">
        <f>HYPERLINK("http://141.218.60.56/~jnz1568/getInfo.php?workbook=02_01.xlsx&amp;sheet=A0&amp;row=235&amp;col=20&amp;number=&amp;sourceID=12","")</f>
        <v/>
      </c>
      <c r="U235" s="4" t="str">
        <f>HYPERLINK("http://141.218.60.56/~jnz1568/getInfo.php?workbook=02_01.xlsx&amp;sheet=A0&amp;row=235&amp;col=21&amp;number=&amp;sourceID=13","")</f>
        <v/>
      </c>
      <c r="V235" s="4" t="str">
        <f>HYPERLINK("http://141.218.60.56/~jnz1568/getInfo.php?workbook=02_01.xlsx&amp;sheet=A0&amp;row=235&amp;col=22&amp;number=&amp;sourceID=13","")</f>
        <v/>
      </c>
      <c r="W235" s="4" t="str">
        <f>HYPERLINK("http://141.218.60.56/~jnz1568/getInfo.php?workbook=02_01.xlsx&amp;sheet=A0&amp;row=235&amp;col=23&amp;number=&amp;sourceID=13","")</f>
        <v/>
      </c>
      <c r="X235" s="4" t="str">
        <f>HYPERLINK("http://141.218.60.56/~jnz1568/getInfo.php?workbook=02_01.xlsx&amp;sheet=A0&amp;row=235&amp;col=24&amp;number=&amp;sourceID=13","")</f>
        <v/>
      </c>
      <c r="Y235" s="4" t="str">
        <f>HYPERLINK("http://141.218.60.56/~jnz1568/getInfo.php?workbook=02_01.xlsx&amp;sheet=A0&amp;row=235&amp;col=25&amp;number=&amp;sourceID=13","")</f>
        <v/>
      </c>
      <c r="Z235" s="4" t="str">
        <f>HYPERLINK("http://141.218.60.56/~jnz1568/getInfo.php?workbook=02_01.xlsx&amp;sheet=A0&amp;row=235&amp;col=26&amp;number=&amp;sourceID=13","")</f>
        <v/>
      </c>
      <c r="AA235" s="4" t="str">
        <f>HYPERLINK("http://141.218.60.56/~jnz1568/getInfo.php?workbook=02_01.xlsx&amp;sheet=A0&amp;row=235&amp;col=27&amp;number=&amp;sourceID=20","")</f>
        <v/>
      </c>
    </row>
    <row r="236" spans="1:27">
      <c r="A236" s="3">
        <v>2</v>
      </c>
      <c r="B236" s="3">
        <v>1</v>
      </c>
      <c r="C236" s="3">
        <v>23</v>
      </c>
      <c r="D236" s="3">
        <v>11</v>
      </c>
      <c r="E236" s="3">
        <f>((1/(INDEX(E0!J$4:J$28,C236,1)-INDEX(E0!J$4:J$28,D236,1))))*100000000</f>
        <v>0</v>
      </c>
      <c r="F236" s="4" t="str">
        <f>HYPERLINK("http://141.218.60.56/~jnz1568/getInfo.php?workbook=02_01.xlsx&amp;sheet=A0&amp;row=236&amp;col=6&amp;number=&amp;sourceID=18","")</f>
        <v/>
      </c>
      <c r="G236" s="4" t="str">
        <f>HYPERLINK("http://141.218.60.56/~jnz1568/getInfo.php?workbook=02_01.xlsx&amp;sheet=A0&amp;row=236&amp;col=7&amp;number==&amp;sourceID=11","=")</f>
        <v>=</v>
      </c>
      <c r="H236" s="4" t="str">
        <f>HYPERLINK("http://141.218.60.56/~jnz1568/getInfo.php?workbook=02_01.xlsx&amp;sheet=A0&amp;row=236&amp;col=8&amp;number=&amp;sourceID=11","")</f>
        <v/>
      </c>
      <c r="I236" s="4" t="str">
        <f>HYPERLINK("http://141.218.60.56/~jnz1568/getInfo.php?workbook=02_01.xlsx&amp;sheet=A0&amp;row=236&amp;col=9&amp;number=&amp;sourceID=11","")</f>
        <v/>
      </c>
      <c r="J236" s="4" t="str">
        <f>HYPERLINK("http://141.218.60.56/~jnz1568/getInfo.php?workbook=02_01.xlsx&amp;sheet=A0&amp;row=236&amp;col=10&amp;number=&amp;sourceID=11","")</f>
        <v/>
      </c>
      <c r="K236" s="4" t="str">
        <f>HYPERLINK("http://141.218.60.56/~jnz1568/getInfo.php?workbook=02_01.xlsx&amp;sheet=A0&amp;row=236&amp;col=11&amp;number=&amp;sourceID=11","")</f>
        <v/>
      </c>
      <c r="L236" s="4" t="str">
        <f>HYPERLINK("http://141.218.60.56/~jnz1568/getInfo.php?workbook=02_01.xlsx&amp;sheet=A0&amp;row=236&amp;col=12&amp;number=&amp;sourceID=11","")</f>
        <v/>
      </c>
      <c r="M236" s="4" t="str">
        <f>HYPERLINK("http://141.218.60.56/~jnz1568/getInfo.php?workbook=02_01.xlsx&amp;sheet=A0&amp;row=236&amp;col=13&amp;number=0&amp;sourceID=11","0")</f>
        <v>0</v>
      </c>
      <c r="N236" s="4" t="str">
        <f>HYPERLINK("http://141.218.60.56/~jnz1568/getInfo.php?workbook=02_01.xlsx&amp;sheet=A0&amp;row=236&amp;col=14&amp;number=0&amp;sourceID=12","0")</f>
        <v>0</v>
      </c>
      <c r="O236" s="4" t="str">
        <f>HYPERLINK("http://141.218.60.56/~jnz1568/getInfo.php?workbook=02_01.xlsx&amp;sheet=A0&amp;row=236&amp;col=15&amp;number=&amp;sourceID=12","")</f>
        <v/>
      </c>
      <c r="P236" s="4" t="str">
        <f>HYPERLINK("http://141.218.60.56/~jnz1568/getInfo.php?workbook=02_01.xlsx&amp;sheet=A0&amp;row=236&amp;col=16&amp;number=&amp;sourceID=12","")</f>
        <v/>
      </c>
      <c r="Q236" s="4" t="str">
        <f>HYPERLINK("http://141.218.60.56/~jnz1568/getInfo.php?workbook=02_01.xlsx&amp;sheet=A0&amp;row=236&amp;col=17&amp;number=&amp;sourceID=12","")</f>
        <v/>
      </c>
      <c r="R236" s="4" t="str">
        <f>HYPERLINK("http://141.218.60.56/~jnz1568/getInfo.php?workbook=02_01.xlsx&amp;sheet=A0&amp;row=236&amp;col=18&amp;number=&amp;sourceID=12","")</f>
        <v/>
      </c>
      <c r="S236" s="4" t="str">
        <f>HYPERLINK("http://141.218.60.56/~jnz1568/getInfo.php?workbook=02_01.xlsx&amp;sheet=A0&amp;row=236&amp;col=19&amp;number=&amp;sourceID=12","")</f>
        <v/>
      </c>
      <c r="T236" s="4" t="str">
        <f>HYPERLINK("http://141.218.60.56/~jnz1568/getInfo.php?workbook=02_01.xlsx&amp;sheet=A0&amp;row=236&amp;col=20&amp;number=0&amp;sourceID=12","0")</f>
        <v>0</v>
      </c>
      <c r="U236" s="4" t="str">
        <f>HYPERLINK("http://141.218.60.56/~jnz1568/getInfo.php?workbook=02_01.xlsx&amp;sheet=A0&amp;row=236&amp;col=21&amp;number=&amp;sourceID=13","")</f>
        <v/>
      </c>
      <c r="V236" s="4" t="str">
        <f>HYPERLINK("http://141.218.60.56/~jnz1568/getInfo.php?workbook=02_01.xlsx&amp;sheet=A0&amp;row=236&amp;col=22&amp;number=&amp;sourceID=13","")</f>
        <v/>
      </c>
      <c r="W236" s="4" t="str">
        <f>HYPERLINK("http://141.218.60.56/~jnz1568/getInfo.php?workbook=02_01.xlsx&amp;sheet=A0&amp;row=236&amp;col=23&amp;number=&amp;sourceID=13","")</f>
        <v/>
      </c>
      <c r="X236" s="4" t="str">
        <f>HYPERLINK("http://141.218.60.56/~jnz1568/getInfo.php?workbook=02_01.xlsx&amp;sheet=A0&amp;row=236&amp;col=24&amp;number=&amp;sourceID=13","")</f>
        <v/>
      </c>
      <c r="Y236" s="4" t="str">
        <f>HYPERLINK("http://141.218.60.56/~jnz1568/getInfo.php?workbook=02_01.xlsx&amp;sheet=A0&amp;row=236&amp;col=25&amp;number=&amp;sourceID=13","")</f>
        <v/>
      </c>
      <c r="Z236" s="4" t="str">
        <f>HYPERLINK("http://141.218.60.56/~jnz1568/getInfo.php?workbook=02_01.xlsx&amp;sheet=A0&amp;row=236&amp;col=26&amp;number=&amp;sourceID=13","")</f>
        <v/>
      </c>
      <c r="AA236" s="4" t="str">
        <f>HYPERLINK("http://141.218.60.56/~jnz1568/getInfo.php?workbook=02_01.xlsx&amp;sheet=A0&amp;row=236&amp;col=27&amp;number=&amp;sourceID=20","")</f>
        <v/>
      </c>
    </row>
    <row r="237" spans="1:27">
      <c r="A237" s="3">
        <v>2</v>
      </c>
      <c r="B237" s="3">
        <v>1</v>
      </c>
      <c r="C237" s="3">
        <v>23</v>
      </c>
      <c r="D237" s="3">
        <v>12</v>
      </c>
      <c r="E237" s="3">
        <f>((1/(INDEX(E0!J$4:J$28,C237,1)-INDEX(E0!J$4:J$28,D237,1))))*100000000</f>
        <v>0</v>
      </c>
      <c r="F237" s="4" t="str">
        <f>HYPERLINK("http://141.218.60.56/~jnz1568/getInfo.php?workbook=02_01.xlsx&amp;sheet=A0&amp;row=237&amp;col=6&amp;number=&amp;sourceID=18","")</f>
        <v/>
      </c>
      <c r="G237" s="4" t="str">
        <f>HYPERLINK("http://141.218.60.56/~jnz1568/getInfo.php?workbook=02_01.xlsx&amp;sheet=A0&amp;row=237&amp;col=7&amp;number==&amp;sourceID=11","=")</f>
        <v>=</v>
      </c>
      <c r="H237" s="4" t="str">
        <f>HYPERLINK("http://141.218.60.56/~jnz1568/getInfo.php?workbook=02_01.xlsx&amp;sheet=A0&amp;row=237&amp;col=8&amp;number=&amp;sourceID=11","")</f>
        <v/>
      </c>
      <c r="I237" s="4" t="str">
        <f>HYPERLINK("http://141.218.60.56/~jnz1568/getInfo.php?workbook=02_01.xlsx&amp;sheet=A0&amp;row=237&amp;col=9&amp;number=57.575&amp;sourceID=11","57.575")</f>
        <v>57.575</v>
      </c>
      <c r="J237" s="4" t="str">
        <f>HYPERLINK("http://141.218.60.56/~jnz1568/getInfo.php?workbook=02_01.xlsx&amp;sheet=A0&amp;row=237&amp;col=10&amp;number=&amp;sourceID=11","")</f>
        <v/>
      </c>
      <c r="K237" s="4" t="str">
        <f>HYPERLINK("http://141.218.60.56/~jnz1568/getInfo.php?workbook=02_01.xlsx&amp;sheet=A0&amp;row=237&amp;col=11&amp;number=&amp;sourceID=11","")</f>
        <v/>
      </c>
      <c r="L237" s="4" t="str">
        <f>HYPERLINK("http://141.218.60.56/~jnz1568/getInfo.php?workbook=02_01.xlsx&amp;sheet=A0&amp;row=237&amp;col=12&amp;number=&amp;sourceID=11","")</f>
        <v/>
      </c>
      <c r="M237" s="4" t="str">
        <f>HYPERLINK("http://141.218.60.56/~jnz1568/getInfo.php?workbook=02_01.xlsx&amp;sheet=A0&amp;row=237&amp;col=13&amp;number=7.872e-12&amp;sourceID=11","7.872e-12")</f>
        <v>7.872e-12</v>
      </c>
      <c r="N237" s="4" t="str">
        <f>HYPERLINK("http://141.218.60.56/~jnz1568/getInfo.php?workbook=02_01.xlsx&amp;sheet=A0&amp;row=237&amp;col=14&amp;number=57.583&amp;sourceID=12","57.583")</f>
        <v>57.583</v>
      </c>
      <c r="O237" s="4" t="str">
        <f>HYPERLINK("http://141.218.60.56/~jnz1568/getInfo.php?workbook=02_01.xlsx&amp;sheet=A0&amp;row=237&amp;col=15&amp;number=&amp;sourceID=12","")</f>
        <v/>
      </c>
      <c r="P237" s="4" t="str">
        <f>HYPERLINK("http://141.218.60.56/~jnz1568/getInfo.php?workbook=02_01.xlsx&amp;sheet=A0&amp;row=237&amp;col=16&amp;number=57.583&amp;sourceID=12","57.583")</f>
        <v>57.583</v>
      </c>
      <c r="Q237" s="4" t="str">
        <f>HYPERLINK("http://141.218.60.56/~jnz1568/getInfo.php?workbook=02_01.xlsx&amp;sheet=A0&amp;row=237&amp;col=17&amp;number=&amp;sourceID=12","")</f>
        <v/>
      </c>
      <c r="R237" s="4" t="str">
        <f>HYPERLINK("http://141.218.60.56/~jnz1568/getInfo.php?workbook=02_01.xlsx&amp;sheet=A0&amp;row=237&amp;col=18&amp;number=&amp;sourceID=12","")</f>
        <v/>
      </c>
      <c r="S237" s="4" t="str">
        <f>HYPERLINK("http://141.218.60.56/~jnz1568/getInfo.php?workbook=02_01.xlsx&amp;sheet=A0&amp;row=237&amp;col=19&amp;number=&amp;sourceID=12","")</f>
        <v/>
      </c>
      <c r="T237" s="4" t="str">
        <f>HYPERLINK("http://141.218.60.56/~jnz1568/getInfo.php?workbook=02_01.xlsx&amp;sheet=A0&amp;row=237&amp;col=20&amp;number=7.873e-12&amp;sourceID=12","7.873e-12")</f>
        <v>7.873e-12</v>
      </c>
      <c r="U237" s="4" t="str">
        <f>HYPERLINK("http://141.218.60.56/~jnz1568/getInfo.php?workbook=02_01.xlsx&amp;sheet=A0&amp;row=237&amp;col=21&amp;number=&amp;sourceID=13","")</f>
        <v/>
      </c>
      <c r="V237" s="4" t="str">
        <f>HYPERLINK("http://141.218.60.56/~jnz1568/getInfo.php?workbook=02_01.xlsx&amp;sheet=A0&amp;row=237&amp;col=22&amp;number=&amp;sourceID=13","")</f>
        <v/>
      </c>
      <c r="W237" s="4" t="str">
        <f>HYPERLINK("http://141.218.60.56/~jnz1568/getInfo.php?workbook=02_01.xlsx&amp;sheet=A0&amp;row=237&amp;col=23&amp;number=&amp;sourceID=13","")</f>
        <v/>
      </c>
      <c r="X237" s="4" t="str">
        <f>HYPERLINK("http://141.218.60.56/~jnz1568/getInfo.php?workbook=02_01.xlsx&amp;sheet=A0&amp;row=237&amp;col=24&amp;number=&amp;sourceID=13","")</f>
        <v/>
      </c>
      <c r="Y237" s="4" t="str">
        <f>HYPERLINK("http://141.218.60.56/~jnz1568/getInfo.php?workbook=02_01.xlsx&amp;sheet=A0&amp;row=237&amp;col=25&amp;number=&amp;sourceID=13","")</f>
        <v/>
      </c>
      <c r="Z237" s="4" t="str">
        <f>HYPERLINK("http://141.218.60.56/~jnz1568/getInfo.php?workbook=02_01.xlsx&amp;sheet=A0&amp;row=237&amp;col=26&amp;number=&amp;sourceID=13","")</f>
        <v/>
      </c>
      <c r="AA237" s="4" t="str">
        <f>HYPERLINK("http://141.218.60.56/~jnz1568/getInfo.php?workbook=02_01.xlsx&amp;sheet=A0&amp;row=237&amp;col=27&amp;number=&amp;sourceID=20","")</f>
        <v/>
      </c>
    </row>
    <row r="238" spans="1:27">
      <c r="A238" s="3">
        <v>2</v>
      </c>
      <c r="B238" s="3">
        <v>1</v>
      </c>
      <c r="C238" s="3">
        <v>23</v>
      </c>
      <c r="D238" s="3">
        <v>13</v>
      </c>
      <c r="E238" s="3">
        <f>((1/(INDEX(E0!J$4:J$28,C238,1)-INDEX(E0!J$4:J$28,D238,1))))*100000000</f>
        <v>0</v>
      </c>
      <c r="F238" s="4" t="str">
        <f>HYPERLINK("http://141.218.60.56/~jnz1568/getInfo.php?workbook=02_01.xlsx&amp;sheet=A0&amp;row=238&amp;col=6&amp;number=&amp;sourceID=18","")</f>
        <v/>
      </c>
      <c r="G238" s="4" t="str">
        <f>HYPERLINK("http://141.218.60.56/~jnz1568/getInfo.php?workbook=02_01.xlsx&amp;sheet=A0&amp;row=238&amp;col=7&amp;number==&amp;sourceID=11","=")</f>
        <v>=</v>
      </c>
      <c r="H238" s="4" t="str">
        <f>HYPERLINK("http://141.218.60.56/~jnz1568/getInfo.php?workbook=02_01.xlsx&amp;sheet=A0&amp;row=238&amp;col=8&amp;number=&amp;sourceID=11","")</f>
        <v/>
      </c>
      <c r="I238" s="4" t="str">
        <f>HYPERLINK("http://141.218.60.56/~jnz1568/getInfo.php?workbook=02_01.xlsx&amp;sheet=A0&amp;row=238&amp;col=9&amp;number=&amp;sourceID=11","")</f>
        <v/>
      </c>
      <c r="J238" s="4" t="str">
        <f>HYPERLINK("http://141.218.60.56/~jnz1568/getInfo.php?workbook=02_01.xlsx&amp;sheet=A0&amp;row=238&amp;col=10&amp;number=8.3482e-06&amp;sourceID=11","8.3482e-06")</f>
        <v>8.3482e-06</v>
      </c>
      <c r="K238" s="4" t="str">
        <f>HYPERLINK("http://141.218.60.56/~jnz1568/getInfo.php?workbook=02_01.xlsx&amp;sheet=A0&amp;row=238&amp;col=11&amp;number=&amp;sourceID=11","")</f>
        <v/>
      </c>
      <c r="L238" s="4" t="str">
        <f>HYPERLINK("http://141.218.60.56/~jnz1568/getInfo.php?workbook=02_01.xlsx&amp;sheet=A0&amp;row=238&amp;col=12&amp;number=0&amp;sourceID=11","0")</f>
        <v>0</v>
      </c>
      <c r="M238" s="4" t="str">
        <f>HYPERLINK("http://141.218.60.56/~jnz1568/getInfo.php?workbook=02_01.xlsx&amp;sheet=A0&amp;row=238&amp;col=13&amp;number=&amp;sourceID=11","")</f>
        <v/>
      </c>
      <c r="N238" s="4" t="str">
        <f>HYPERLINK("http://141.218.60.56/~jnz1568/getInfo.php?workbook=02_01.xlsx&amp;sheet=A0&amp;row=238&amp;col=14&amp;number=8.3494e-06&amp;sourceID=12","8.3494e-06")</f>
        <v>8.3494e-06</v>
      </c>
      <c r="O238" s="4" t="str">
        <f>HYPERLINK("http://141.218.60.56/~jnz1568/getInfo.php?workbook=02_01.xlsx&amp;sheet=A0&amp;row=238&amp;col=15&amp;number=&amp;sourceID=12","")</f>
        <v/>
      </c>
      <c r="P238" s="4" t="str">
        <f>HYPERLINK("http://141.218.60.56/~jnz1568/getInfo.php?workbook=02_01.xlsx&amp;sheet=A0&amp;row=238&amp;col=16&amp;number=&amp;sourceID=12","")</f>
        <v/>
      </c>
      <c r="Q238" s="4" t="str">
        <f>HYPERLINK("http://141.218.60.56/~jnz1568/getInfo.php?workbook=02_01.xlsx&amp;sheet=A0&amp;row=238&amp;col=17&amp;number=8.3494e-06&amp;sourceID=12","8.3494e-06")</f>
        <v>8.3494e-06</v>
      </c>
      <c r="R238" s="4" t="str">
        <f>HYPERLINK("http://141.218.60.56/~jnz1568/getInfo.php?workbook=02_01.xlsx&amp;sheet=A0&amp;row=238&amp;col=18&amp;number=&amp;sourceID=12","")</f>
        <v/>
      </c>
      <c r="S238" s="4" t="str">
        <f>HYPERLINK("http://141.218.60.56/~jnz1568/getInfo.php?workbook=02_01.xlsx&amp;sheet=A0&amp;row=238&amp;col=19&amp;number=0&amp;sourceID=12","0")</f>
        <v>0</v>
      </c>
      <c r="T238" s="4" t="str">
        <f>HYPERLINK("http://141.218.60.56/~jnz1568/getInfo.php?workbook=02_01.xlsx&amp;sheet=A0&amp;row=238&amp;col=20&amp;number=&amp;sourceID=12","")</f>
        <v/>
      </c>
      <c r="U238" s="4" t="str">
        <f>HYPERLINK("http://141.218.60.56/~jnz1568/getInfo.php?workbook=02_01.xlsx&amp;sheet=A0&amp;row=238&amp;col=21&amp;number=&amp;sourceID=13","")</f>
        <v/>
      </c>
      <c r="V238" s="4" t="str">
        <f>HYPERLINK("http://141.218.60.56/~jnz1568/getInfo.php?workbook=02_01.xlsx&amp;sheet=A0&amp;row=238&amp;col=22&amp;number=&amp;sourceID=13","")</f>
        <v/>
      </c>
      <c r="W238" s="4" t="str">
        <f>HYPERLINK("http://141.218.60.56/~jnz1568/getInfo.php?workbook=02_01.xlsx&amp;sheet=A0&amp;row=238&amp;col=23&amp;number=&amp;sourceID=13","")</f>
        <v/>
      </c>
      <c r="X238" s="4" t="str">
        <f>HYPERLINK("http://141.218.60.56/~jnz1568/getInfo.php?workbook=02_01.xlsx&amp;sheet=A0&amp;row=238&amp;col=24&amp;number=&amp;sourceID=13","")</f>
        <v/>
      </c>
      <c r="Y238" s="4" t="str">
        <f>HYPERLINK("http://141.218.60.56/~jnz1568/getInfo.php?workbook=02_01.xlsx&amp;sheet=A0&amp;row=238&amp;col=25&amp;number=&amp;sourceID=13","")</f>
        <v/>
      </c>
      <c r="Z238" s="4" t="str">
        <f>HYPERLINK("http://141.218.60.56/~jnz1568/getInfo.php?workbook=02_01.xlsx&amp;sheet=A0&amp;row=238&amp;col=26&amp;number=&amp;sourceID=13","")</f>
        <v/>
      </c>
      <c r="AA238" s="4" t="str">
        <f>HYPERLINK("http://141.218.60.56/~jnz1568/getInfo.php?workbook=02_01.xlsx&amp;sheet=A0&amp;row=238&amp;col=27&amp;number=&amp;sourceID=20","")</f>
        <v/>
      </c>
    </row>
    <row r="239" spans="1:27">
      <c r="A239" s="3">
        <v>2</v>
      </c>
      <c r="B239" s="3">
        <v>1</v>
      </c>
      <c r="C239" s="3">
        <v>23</v>
      </c>
      <c r="D239" s="3">
        <v>14</v>
      </c>
      <c r="E239" s="3">
        <f>((1/(INDEX(E0!J$4:J$28,C239,1)-INDEX(E0!J$4:J$28,D239,1))))*100000000</f>
        <v>0</v>
      </c>
      <c r="F239" s="4" t="str">
        <f>HYPERLINK("http://141.218.60.56/~jnz1568/getInfo.php?workbook=02_01.xlsx&amp;sheet=A0&amp;row=239&amp;col=6&amp;number=&amp;sourceID=18","")</f>
        <v/>
      </c>
      <c r="G239" s="4" t="str">
        <f>HYPERLINK("http://141.218.60.56/~jnz1568/getInfo.php?workbook=02_01.xlsx&amp;sheet=A0&amp;row=239&amp;col=7&amp;number==&amp;sourceID=11","=")</f>
        <v>=</v>
      </c>
      <c r="H239" s="4" t="str">
        <f>HYPERLINK("http://141.218.60.56/~jnz1568/getInfo.php?workbook=02_01.xlsx&amp;sheet=A0&amp;row=239&amp;col=8&amp;number=65663000&amp;sourceID=11","65663000")</f>
        <v>65663000</v>
      </c>
      <c r="I239" s="4" t="str">
        <f>HYPERLINK("http://141.218.60.56/~jnz1568/getInfo.php?workbook=02_01.xlsx&amp;sheet=A0&amp;row=239&amp;col=9&amp;number=&amp;sourceID=11","")</f>
        <v/>
      </c>
      <c r="J239" s="4" t="str">
        <f>HYPERLINK("http://141.218.60.56/~jnz1568/getInfo.php?workbook=02_01.xlsx&amp;sheet=A0&amp;row=239&amp;col=10&amp;number=8.5832e-06&amp;sourceID=11","8.5832e-06")</f>
        <v>8.5832e-06</v>
      </c>
      <c r="K239" s="4" t="str">
        <f>HYPERLINK("http://141.218.60.56/~jnz1568/getInfo.php?workbook=02_01.xlsx&amp;sheet=A0&amp;row=239&amp;col=11&amp;number=&amp;sourceID=11","")</f>
        <v/>
      </c>
      <c r="L239" s="4" t="str">
        <f>HYPERLINK("http://141.218.60.56/~jnz1568/getInfo.php?workbook=02_01.xlsx&amp;sheet=A0&amp;row=239&amp;col=12&amp;number=4.2769e-05&amp;sourceID=11","4.2769e-05")</f>
        <v>4.2769e-05</v>
      </c>
      <c r="M239" s="4" t="str">
        <f>HYPERLINK("http://141.218.60.56/~jnz1568/getInfo.php?workbook=02_01.xlsx&amp;sheet=A0&amp;row=239&amp;col=13&amp;number=&amp;sourceID=11","")</f>
        <v/>
      </c>
      <c r="N239" s="4" t="str">
        <f>HYPERLINK("http://141.218.60.56/~jnz1568/getInfo.php?workbook=02_01.xlsx&amp;sheet=A0&amp;row=239&amp;col=14&amp;number=65672000&amp;sourceID=12","65672000")</f>
        <v>65672000</v>
      </c>
      <c r="O239" s="4" t="str">
        <f>HYPERLINK("http://141.218.60.56/~jnz1568/getInfo.php?workbook=02_01.xlsx&amp;sheet=A0&amp;row=239&amp;col=15&amp;number=65672000&amp;sourceID=12","65672000")</f>
        <v>65672000</v>
      </c>
      <c r="P239" s="4" t="str">
        <f>HYPERLINK("http://141.218.60.56/~jnz1568/getInfo.php?workbook=02_01.xlsx&amp;sheet=A0&amp;row=239&amp;col=16&amp;number=&amp;sourceID=12","")</f>
        <v/>
      </c>
      <c r="Q239" s="4" t="str">
        <f>HYPERLINK("http://141.218.60.56/~jnz1568/getInfo.php?workbook=02_01.xlsx&amp;sheet=A0&amp;row=239&amp;col=17&amp;number=8.5844e-06&amp;sourceID=12","8.5844e-06")</f>
        <v>8.5844e-06</v>
      </c>
      <c r="R239" s="4" t="str">
        <f>HYPERLINK("http://141.218.60.56/~jnz1568/getInfo.php?workbook=02_01.xlsx&amp;sheet=A0&amp;row=239&amp;col=18&amp;number=&amp;sourceID=12","")</f>
        <v/>
      </c>
      <c r="S239" s="4" t="str">
        <f>HYPERLINK("http://141.218.60.56/~jnz1568/getInfo.php?workbook=02_01.xlsx&amp;sheet=A0&amp;row=239&amp;col=19&amp;number=4.2775e-05&amp;sourceID=12","4.2775e-05")</f>
        <v>4.2775e-05</v>
      </c>
      <c r="T239" s="4" t="str">
        <f>HYPERLINK("http://141.218.60.56/~jnz1568/getInfo.php?workbook=02_01.xlsx&amp;sheet=A0&amp;row=239&amp;col=20&amp;number=&amp;sourceID=12","")</f>
        <v/>
      </c>
      <c r="U239" s="4" t="str">
        <f>HYPERLINK("http://141.218.60.56/~jnz1568/getInfo.php?workbook=02_01.xlsx&amp;sheet=A0&amp;row=239&amp;col=21&amp;number=&amp;sourceID=13","")</f>
        <v/>
      </c>
      <c r="V239" s="4" t="str">
        <f>HYPERLINK("http://141.218.60.56/~jnz1568/getInfo.php?workbook=02_01.xlsx&amp;sheet=A0&amp;row=239&amp;col=22&amp;number=&amp;sourceID=13","")</f>
        <v/>
      </c>
      <c r="W239" s="4" t="str">
        <f>HYPERLINK("http://141.218.60.56/~jnz1568/getInfo.php?workbook=02_01.xlsx&amp;sheet=A0&amp;row=239&amp;col=23&amp;number=&amp;sourceID=13","")</f>
        <v/>
      </c>
      <c r="X239" s="4" t="str">
        <f>HYPERLINK("http://141.218.60.56/~jnz1568/getInfo.php?workbook=02_01.xlsx&amp;sheet=A0&amp;row=239&amp;col=24&amp;number=&amp;sourceID=13","")</f>
        <v/>
      </c>
      <c r="Y239" s="4" t="str">
        <f>HYPERLINK("http://141.218.60.56/~jnz1568/getInfo.php?workbook=02_01.xlsx&amp;sheet=A0&amp;row=239&amp;col=25&amp;number=&amp;sourceID=13","")</f>
        <v/>
      </c>
      <c r="Z239" s="4" t="str">
        <f>HYPERLINK("http://141.218.60.56/~jnz1568/getInfo.php?workbook=02_01.xlsx&amp;sheet=A0&amp;row=239&amp;col=26&amp;number=&amp;sourceID=13","")</f>
        <v/>
      </c>
      <c r="AA239" s="4" t="str">
        <f>HYPERLINK("http://141.218.60.56/~jnz1568/getInfo.php?workbook=02_01.xlsx&amp;sheet=A0&amp;row=239&amp;col=27&amp;number=&amp;sourceID=20","")</f>
        <v/>
      </c>
    </row>
    <row r="240" spans="1:27">
      <c r="A240" s="3">
        <v>2</v>
      </c>
      <c r="B240" s="3">
        <v>1</v>
      </c>
      <c r="C240" s="3">
        <v>23</v>
      </c>
      <c r="D240" s="3">
        <v>15</v>
      </c>
      <c r="E240" s="3">
        <f>((1/(INDEX(E0!J$4:J$28,C240,1)-INDEX(E0!J$4:J$28,D240,1))))*100000000</f>
        <v>0</v>
      </c>
      <c r="F240" s="4" t="str">
        <f>HYPERLINK("http://141.218.60.56/~jnz1568/getInfo.php?workbook=02_01.xlsx&amp;sheet=A0&amp;row=240&amp;col=6&amp;number=&amp;sourceID=18","")</f>
        <v/>
      </c>
      <c r="G240" s="4" t="str">
        <f>HYPERLINK("http://141.218.60.56/~jnz1568/getInfo.php?workbook=02_01.xlsx&amp;sheet=A0&amp;row=240&amp;col=7&amp;number==&amp;sourceID=11","=")</f>
        <v>=</v>
      </c>
      <c r="H240" s="4" t="str">
        <f>HYPERLINK("http://141.218.60.56/~jnz1568/getInfo.php?workbook=02_01.xlsx&amp;sheet=A0&amp;row=240&amp;col=8&amp;number=&amp;sourceID=11","")</f>
        <v/>
      </c>
      <c r="I240" s="4" t="str">
        <f>HYPERLINK("http://141.218.60.56/~jnz1568/getInfo.php?workbook=02_01.xlsx&amp;sheet=A0&amp;row=240&amp;col=9&amp;number=6.3967&amp;sourceID=11","6.3967")</f>
        <v>6.3967</v>
      </c>
      <c r="J240" s="4" t="str">
        <f>HYPERLINK("http://141.218.60.56/~jnz1568/getInfo.php?workbook=02_01.xlsx&amp;sheet=A0&amp;row=240&amp;col=10&amp;number=&amp;sourceID=11","")</f>
        <v/>
      </c>
      <c r="K240" s="4" t="str">
        <f>HYPERLINK("http://141.218.60.56/~jnz1568/getInfo.php?workbook=02_01.xlsx&amp;sheet=A0&amp;row=240&amp;col=11&amp;number=5.4835e-11&amp;sourceID=11","5.4835e-11")</f>
        <v>5.4835e-11</v>
      </c>
      <c r="L240" s="4" t="str">
        <f>HYPERLINK("http://141.218.60.56/~jnz1568/getInfo.php?workbook=02_01.xlsx&amp;sheet=A0&amp;row=240&amp;col=12&amp;number=&amp;sourceID=11","")</f>
        <v/>
      </c>
      <c r="M240" s="4" t="str">
        <f>HYPERLINK("http://141.218.60.56/~jnz1568/getInfo.php?workbook=02_01.xlsx&amp;sheet=A0&amp;row=240&amp;col=13&amp;number=2.92e-13&amp;sourceID=11","2.92e-13")</f>
        <v>2.92e-13</v>
      </c>
      <c r="N240" s="4" t="str">
        <f>HYPERLINK("http://141.218.60.56/~jnz1568/getInfo.php?workbook=02_01.xlsx&amp;sheet=A0&amp;row=240&amp;col=14&amp;number=6.3975&amp;sourceID=12","6.3975")</f>
        <v>6.3975</v>
      </c>
      <c r="O240" s="4" t="str">
        <f>HYPERLINK("http://141.218.60.56/~jnz1568/getInfo.php?workbook=02_01.xlsx&amp;sheet=A0&amp;row=240&amp;col=15&amp;number=&amp;sourceID=12","")</f>
        <v/>
      </c>
      <c r="P240" s="4" t="str">
        <f>HYPERLINK("http://141.218.60.56/~jnz1568/getInfo.php?workbook=02_01.xlsx&amp;sheet=A0&amp;row=240&amp;col=16&amp;number=6.3975&amp;sourceID=12","6.3975")</f>
        <v>6.3975</v>
      </c>
      <c r="Q240" s="4" t="str">
        <f>HYPERLINK("http://141.218.60.56/~jnz1568/getInfo.php?workbook=02_01.xlsx&amp;sheet=A0&amp;row=240&amp;col=17&amp;number=&amp;sourceID=12","")</f>
        <v/>
      </c>
      <c r="R240" s="4" t="str">
        <f>HYPERLINK("http://141.218.60.56/~jnz1568/getInfo.php?workbook=02_01.xlsx&amp;sheet=A0&amp;row=240&amp;col=18&amp;number=5.4834e-11&amp;sourceID=12","5.4834e-11")</f>
        <v>5.4834e-11</v>
      </c>
      <c r="S240" s="4" t="str">
        <f>HYPERLINK("http://141.218.60.56/~jnz1568/getInfo.php?workbook=02_01.xlsx&amp;sheet=A0&amp;row=240&amp;col=19&amp;number=&amp;sourceID=12","")</f>
        <v/>
      </c>
      <c r="T240" s="4" t="str">
        <f>HYPERLINK("http://141.218.60.56/~jnz1568/getInfo.php?workbook=02_01.xlsx&amp;sheet=A0&amp;row=240&amp;col=20&amp;number=2.92e-13&amp;sourceID=12","2.92e-13")</f>
        <v>2.92e-13</v>
      </c>
      <c r="U240" s="4" t="str">
        <f>HYPERLINK("http://141.218.60.56/~jnz1568/getInfo.php?workbook=02_01.xlsx&amp;sheet=A0&amp;row=240&amp;col=21&amp;number=&amp;sourceID=13","")</f>
        <v/>
      </c>
      <c r="V240" s="4" t="str">
        <f>HYPERLINK("http://141.218.60.56/~jnz1568/getInfo.php?workbook=02_01.xlsx&amp;sheet=A0&amp;row=240&amp;col=22&amp;number=&amp;sourceID=13","")</f>
        <v/>
      </c>
      <c r="W240" s="4" t="str">
        <f>HYPERLINK("http://141.218.60.56/~jnz1568/getInfo.php?workbook=02_01.xlsx&amp;sheet=A0&amp;row=240&amp;col=23&amp;number=&amp;sourceID=13","")</f>
        <v/>
      </c>
      <c r="X240" s="4" t="str">
        <f>HYPERLINK("http://141.218.60.56/~jnz1568/getInfo.php?workbook=02_01.xlsx&amp;sheet=A0&amp;row=240&amp;col=24&amp;number=&amp;sourceID=13","")</f>
        <v/>
      </c>
      <c r="Y240" s="4" t="str">
        <f>HYPERLINK("http://141.218.60.56/~jnz1568/getInfo.php?workbook=02_01.xlsx&amp;sheet=A0&amp;row=240&amp;col=25&amp;number=&amp;sourceID=13","")</f>
        <v/>
      </c>
      <c r="Z240" s="4" t="str">
        <f>HYPERLINK("http://141.218.60.56/~jnz1568/getInfo.php?workbook=02_01.xlsx&amp;sheet=A0&amp;row=240&amp;col=26&amp;number=&amp;sourceID=13","")</f>
        <v/>
      </c>
      <c r="AA240" s="4" t="str">
        <f>HYPERLINK("http://141.218.60.56/~jnz1568/getInfo.php?workbook=02_01.xlsx&amp;sheet=A0&amp;row=240&amp;col=27&amp;number=&amp;sourceID=20","")</f>
        <v/>
      </c>
    </row>
    <row r="241" spans="1:27">
      <c r="A241" s="3">
        <v>2</v>
      </c>
      <c r="B241" s="3">
        <v>1</v>
      </c>
      <c r="C241" s="3">
        <v>23</v>
      </c>
      <c r="D241" s="3">
        <v>16</v>
      </c>
      <c r="E241" s="3">
        <f>((1/(INDEX(E0!J$4:J$28,C241,1)-INDEX(E0!J$4:J$28,D241,1))))*100000000</f>
        <v>0</v>
      </c>
      <c r="F241" s="4" t="str">
        <f>HYPERLINK("http://141.218.60.56/~jnz1568/getInfo.php?workbook=02_01.xlsx&amp;sheet=A0&amp;row=241&amp;col=6&amp;number=&amp;sourceID=18","")</f>
        <v/>
      </c>
      <c r="G241" s="4" t="str">
        <f>HYPERLINK("http://141.218.60.56/~jnz1568/getInfo.php?workbook=02_01.xlsx&amp;sheet=A0&amp;row=241&amp;col=7&amp;number==SUM(H241:M241)&amp;sourceID=11","=SUM(H241:M241)")</f>
        <v>=SUM(H241:M241)</v>
      </c>
      <c r="H241" s="4" t="str">
        <f>HYPERLINK("http://141.218.60.56/~jnz1568/getInfo.php?workbook=02_01.xlsx&amp;sheet=A0&amp;row=241&amp;col=8&amp;number=2431900&amp;sourceID=11","2431900")</f>
        <v>2431900</v>
      </c>
      <c r="I241" s="4" t="str">
        <f>HYPERLINK("http://141.218.60.56/~jnz1568/getInfo.php?workbook=02_01.xlsx&amp;sheet=A0&amp;row=241&amp;col=9&amp;number=&amp;sourceID=11","")</f>
        <v/>
      </c>
      <c r="J241" s="4" t="str">
        <f>HYPERLINK("http://141.218.60.56/~jnz1568/getInfo.php?workbook=02_01.xlsx&amp;sheet=A0&amp;row=241&amp;col=10&amp;number=2.3407e-06&amp;sourceID=11","2.3407e-06")</f>
        <v>2.3407e-06</v>
      </c>
      <c r="K241" s="4" t="str">
        <f>HYPERLINK("http://141.218.60.56/~jnz1568/getInfo.php?workbook=02_01.xlsx&amp;sheet=A0&amp;row=241&amp;col=11&amp;number=&amp;sourceID=11","")</f>
        <v/>
      </c>
      <c r="L241" s="4" t="str">
        <f>HYPERLINK("http://141.218.60.56/~jnz1568/getInfo.php?workbook=02_01.xlsx&amp;sheet=A0&amp;row=241&amp;col=12&amp;number=&amp;sourceID=11","")</f>
        <v/>
      </c>
      <c r="M241" s="4" t="str">
        <f>HYPERLINK("http://141.218.60.56/~jnz1568/getInfo.php?workbook=02_01.xlsx&amp;sheet=A0&amp;row=241&amp;col=13&amp;number=&amp;sourceID=11","")</f>
        <v/>
      </c>
      <c r="N241" s="4" t="str">
        <f>HYPERLINK("http://141.218.60.56/~jnz1568/getInfo.php?workbook=02_01.xlsx&amp;sheet=A0&amp;row=241&amp;col=14&amp;number=2432300&amp;sourceID=12","2432300")</f>
        <v>2432300</v>
      </c>
      <c r="O241" s="4" t="str">
        <f>HYPERLINK("http://141.218.60.56/~jnz1568/getInfo.php?workbook=02_01.xlsx&amp;sheet=A0&amp;row=241&amp;col=15&amp;number=2432300&amp;sourceID=12","2432300")</f>
        <v>2432300</v>
      </c>
      <c r="P241" s="4" t="str">
        <f>HYPERLINK("http://141.218.60.56/~jnz1568/getInfo.php?workbook=02_01.xlsx&amp;sheet=A0&amp;row=241&amp;col=16&amp;number=&amp;sourceID=12","")</f>
        <v/>
      </c>
      <c r="Q241" s="4" t="str">
        <f>HYPERLINK("http://141.218.60.56/~jnz1568/getInfo.php?workbook=02_01.xlsx&amp;sheet=A0&amp;row=241&amp;col=17&amp;number=2.3411e-06&amp;sourceID=12","2.3411e-06")</f>
        <v>2.3411e-06</v>
      </c>
      <c r="R241" s="4" t="str">
        <f>HYPERLINK("http://141.218.60.56/~jnz1568/getInfo.php?workbook=02_01.xlsx&amp;sheet=A0&amp;row=241&amp;col=18&amp;number=&amp;sourceID=12","")</f>
        <v/>
      </c>
      <c r="S241" s="4" t="str">
        <f>HYPERLINK("http://141.218.60.56/~jnz1568/getInfo.php?workbook=02_01.xlsx&amp;sheet=A0&amp;row=241&amp;col=19&amp;number=&amp;sourceID=12","")</f>
        <v/>
      </c>
      <c r="T241" s="4" t="str">
        <f>HYPERLINK("http://141.218.60.56/~jnz1568/getInfo.php?workbook=02_01.xlsx&amp;sheet=A0&amp;row=241&amp;col=20&amp;number=&amp;sourceID=12","")</f>
        <v/>
      </c>
      <c r="U241" s="4" t="str">
        <f>HYPERLINK("http://141.218.60.56/~jnz1568/getInfo.php?workbook=02_01.xlsx&amp;sheet=A0&amp;row=241&amp;col=21&amp;number=&amp;sourceID=13","")</f>
        <v/>
      </c>
      <c r="V241" s="4" t="str">
        <f>HYPERLINK("http://141.218.60.56/~jnz1568/getInfo.php?workbook=02_01.xlsx&amp;sheet=A0&amp;row=241&amp;col=22&amp;number=&amp;sourceID=13","")</f>
        <v/>
      </c>
      <c r="W241" s="4" t="str">
        <f>HYPERLINK("http://141.218.60.56/~jnz1568/getInfo.php?workbook=02_01.xlsx&amp;sheet=A0&amp;row=241&amp;col=23&amp;number=&amp;sourceID=13","")</f>
        <v/>
      </c>
      <c r="X241" s="4" t="str">
        <f>HYPERLINK("http://141.218.60.56/~jnz1568/getInfo.php?workbook=02_01.xlsx&amp;sheet=A0&amp;row=241&amp;col=24&amp;number=&amp;sourceID=13","")</f>
        <v/>
      </c>
      <c r="Y241" s="4" t="str">
        <f>HYPERLINK("http://141.218.60.56/~jnz1568/getInfo.php?workbook=02_01.xlsx&amp;sheet=A0&amp;row=241&amp;col=25&amp;number=&amp;sourceID=13","")</f>
        <v/>
      </c>
      <c r="Z241" s="4" t="str">
        <f>HYPERLINK("http://141.218.60.56/~jnz1568/getInfo.php?workbook=02_01.xlsx&amp;sheet=A0&amp;row=241&amp;col=26&amp;number=&amp;sourceID=13","")</f>
        <v/>
      </c>
      <c r="AA241" s="4" t="str">
        <f>HYPERLINK("http://141.218.60.56/~jnz1568/getInfo.php?workbook=02_01.xlsx&amp;sheet=A0&amp;row=241&amp;col=27&amp;number=&amp;sourceID=20","")</f>
        <v/>
      </c>
    </row>
    <row r="242" spans="1:27">
      <c r="A242" s="3">
        <v>2</v>
      </c>
      <c r="B242" s="3">
        <v>1</v>
      </c>
      <c r="C242" s="3">
        <v>23</v>
      </c>
      <c r="D242" s="3">
        <v>17</v>
      </c>
      <c r="E242" s="3">
        <f>((1/(INDEX(E0!J$4:J$28,C242,1)-INDEX(E0!J$4:J$28,D242,1))))*100000000</f>
        <v>0</v>
      </c>
      <c r="F242" s="4" t="str">
        <f>HYPERLINK("http://141.218.60.56/~jnz1568/getInfo.php?workbook=02_01.xlsx&amp;sheet=A0&amp;row=242&amp;col=6&amp;number=&amp;sourceID=18","")</f>
        <v/>
      </c>
      <c r="G242" s="4" t="str">
        <f>HYPERLINK("http://141.218.60.56/~jnz1568/getInfo.php?workbook=02_01.xlsx&amp;sheet=A0&amp;row=242&amp;col=7&amp;number==SUM(H242:M242)&amp;sourceID=11","=SUM(H242:M242)")</f>
        <v>=SUM(H242:M242)</v>
      </c>
      <c r="H242" s="4" t="str">
        <f>HYPERLINK("http://141.218.60.56/~jnz1568/getInfo.php?workbook=02_01.xlsx&amp;sheet=A0&amp;row=242&amp;col=8&amp;number=&amp;sourceID=11","")</f>
        <v/>
      </c>
      <c r="I242" s="4" t="str">
        <f>HYPERLINK("http://141.218.60.56/~jnz1568/getInfo.php?workbook=02_01.xlsx&amp;sheet=A0&amp;row=242&amp;col=9&amp;number=&amp;sourceID=11","")</f>
        <v/>
      </c>
      <c r="J242" s="4" t="str">
        <f>HYPERLINK("http://141.218.60.56/~jnz1568/getInfo.php?workbook=02_01.xlsx&amp;sheet=A0&amp;row=242&amp;col=10&amp;number=0&amp;sourceID=11","0")</f>
        <v>0</v>
      </c>
      <c r="K242" s="4" t="str">
        <f>HYPERLINK("http://141.218.60.56/~jnz1568/getInfo.php?workbook=02_01.xlsx&amp;sheet=A0&amp;row=242&amp;col=11&amp;number=&amp;sourceID=11","")</f>
        <v/>
      </c>
      <c r="L242" s="4" t="str">
        <f>HYPERLINK("http://141.218.60.56/~jnz1568/getInfo.php?workbook=02_01.xlsx&amp;sheet=A0&amp;row=242&amp;col=12&amp;number=&amp;sourceID=11","")</f>
        <v/>
      </c>
      <c r="M242" s="4" t="str">
        <f>HYPERLINK("http://141.218.60.56/~jnz1568/getInfo.php?workbook=02_01.xlsx&amp;sheet=A0&amp;row=242&amp;col=13&amp;number=&amp;sourceID=11","")</f>
        <v/>
      </c>
      <c r="N242" s="4" t="str">
        <f>HYPERLINK("http://141.218.60.56/~jnz1568/getInfo.php?workbook=02_01.xlsx&amp;sheet=A0&amp;row=242&amp;col=14&amp;number=0&amp;sourceID=12","0")</f>
        <v>0</v>
      </c>
      <c r="O242" s="4" t="str">
        <f>HYPERLINK("http://141.218.60.56/~jnz1568/getInfo.php?workbook=02_01.xlsx&amp;sheet=A0&amp;row=242&amp;col=15&amp;number=&amp;sourceID=12","")</f>
        <v/>
      </c>
      <c r="P242" s="4" t="str">
        <f>HYPERLINK("http://141.218.60.56/~jnz1568/getInfo.php?workbook=02_01.xlsx&amp;sheet=A0&amp;row=242&amp;col=16&amp;number=&amp;sourceID=12","")</f>
        <v/>
      </c>
      <c r="Q242" s="4" t="str">
        <f>HYPERLINK("http://141.218.60.56/~jnz1568/getInfo.php?workbook=02_01.xlsx&amp;sheet=A0&amp;row=242&amp;col=17&amp;number=0&amp;sourceID=12","0")</f>
        <v>0</v>
      </c>
      <c r="R242" s="4" t="str">
        <f>HYPERLINK("http://141.218.60.56/~jnz1568/getInfo.php?workbook=02_01.xlsx&amp;sheet=A0&amp;row=242&amp;col=18&amp;number=&amp;sourceID=12","")</f>
        <v/>
      </c>
      <c r="S242" s="4" t="str">
        <f>HYPERLINK("http://141.218.60.56/~jnz1568/getInfo.php?workbook=02_01.xlsx&amp;sheet=A0&amp;row=242&amp;col=19&amp;number=&amp;sourceID=12","")</f>
        <v/>
      </c>
      <c r="T242" s="4" t="str">
        <f>HYPERLINK("http://141.218.60.56/~jnz1568/getInfo.php?workbook=02_01.xlsx&amp;sheet=A0&amp;row=242&amp;col=20&amp;number=&amp;sourceID=12","")</f>
        <v/>
      </c>
      <c r="U242" s="4" t="str">
        <f>HYPERLINK("http://141.218.60.56/~jnz1568/getInfo.php?workbook=02_01.xlsx&amp;sheet=A0&amp;row=242&amp;col=21&amp;number=&amp;sourceID=13","")</f>
        <v/>
      </c>
      <c r="V242" s="4" t="str">
        <f>HYPERLINK("http://141.218.60.56/~jnz1568/getInfo.php?workbook=02_01.xlsx&amp;sheet=A0&amp;row=242&amp;col=22&amp;number=&amp;sourceID=13","")</f>
        <v/>
      </c>
      <c r="W242" s="4" t="str">
        <f>HYPERLINK("http://141.218.60.56/~jnz1568/getInfo.php?workbook=02_01.xlsx&amp;sheet=A0&amp;row=242&amp;col=23&amp;number=&amp;sourceID=13","")</f>
        <v/>
      </c>
      <c r="X242" s="4" t="str">
        <f>HYPERLINK("http://141.218.60.56/~jnz1568/getInfo.php?workbook=02_01.xlsx&amp;sheet=A0&amp;row=242&amp;col=24&amp;number=&amp;sourceID=13","")</f>
        <v/>
      </c>
      <c r="Y242" s="4" t="str">
        <f>HYPERLINK("http://141.218.60.56/~jnz1568/getInfo.php?workbook=02_01.xlsx&amp;sheet=A0&amp;row=242&amp;col=25&amp;number=&amp;sourceID=13","")</f>
        <v/>
      </c>
      <c r="Z242" s="4" t="str">
        <f>HYPERLINK("http://141.218.60.56/~jnz1568/getInfo.php?workbook=02_01.xlsx&amp;sheet=A0&amp;row=242&amp;col=26&amp;number=&amp;sourceID=13","")</f>
        <v/>
      </c>
      <c r="AA242" s="4" t="str">
        <f>HYPERLINK("http://141.218.60.56/~jnz1568/getInfo.php?workbook=02_01.xlsx&amp;sheet=A0&amp;row=242&amp;col=27&amp;number=&amp;sourceID=20","")</f>
        <v/>
      </c>
    </row>
    <row r="243" spans="1:27">
      <c r="A243" s="3">
        <v>2</v>
      </c>
      <c r="B243" s="3">
        <v>1</v>
      </c>
      <c r="C243" s="3">
        <v>23</v>
      </c>
      <c r="D243" s="3">
        <v>18</v>
      </c>
      <c r="E243" s="3">
        <f>((1/(INDEX(E0!J$4:J$28,C243,1)-INDEX(E0!J$4:J$28,D243,1))))*100000000</f>
        <v>0</v>
      </c>
      <c r="F243" s="4" t="str">
        <f>HYPERLINK("http://141.218.60.56/~jnz1568/getInfo.php?workbook=02_01.xlsx&amp;sheet=A0&amp;row=243&amp;col=6&amp;number=&amp;sourceID=18","")</f>
        <v/>
      </c>
      <c r="G243" s="4" t="str">
        <f>HYPERLINK("http://141.218.60.56/~jnz1568/getInfo.php?workbook=02_01.xlsx&amp;sheet=A0&amp;row=243&amp;col=7&amp;number=&amp;sourceID=11","")</f>
        <v/>
      </c>
      <c r="H243" s="4" t="str">
        <f>HYPERLINK("http://141.218.60.56/~jnz1568/getInfo.php?workbook=02_01.xlsx&amp;sheet=A0&amp;row=243&amp;col=8&amp;number=&amp;sourceID=11","")</f>
        <v/>
      </c>
      <c r="I243" s="4" t="str">
        <f>HYPERLINK("http://141.218.60.56/~jnz1568/getInfo.php?workbook=02_01.xlsx&amp;sheet=A0&amp;row=243&amp;col=9&amp;number=&amp;sourceID=11","")</f>
        <v/>
      </c>
      <c r="J243" s="4" t="str">
        <f>HYPERLINK("http://141.218.60.56/~jnz1568/getInfo.php?workbook=02_01.xlsx&amp;sheet=A0&amp;row=243&amp;col=10&amp;number=&amp;sourceID=11","")</f>
        <v/>
      </c>
      <c r="K243" s="4" t="str">
        <f>HYPERLINK("http://141.218.60.56/~jnz1568/getInfo.php?workbook=02_01.xlsx&amp;sheet=A0&amp;row=243&amp;col=11&amp;number=&amp;sourceID=11","")</f>
        <v/>
      </c>
      <c r="L243" s="4" t="str">
        <f>HYPERLINK("http://141.218.60.56/~jnz1568/getInfo.php?workbook=02_01.xlsx&amp;sheet=A0&amp;row=243&amp;col=12&amp;number=&amp;sourceID=11","")</f>
        <v/>
      </c>
      <c r="M243" s="4" t="str">
        <f>HYPERLINK("http://141.218.60.56/~jnz1568/getInfo.php?workbook=02_01.xlsx&amp;sheet=A0&amp;row=243&amp;col=13&amp;number=0&amp;sourceID=11","0")</f>
        <v>0</v>
      </c>
      <c r="N243" s="4" t="str">
        <f>HYPERLINK("http://141.218.60.56/~jnz1568/getInfo.php?workbook=02_01.xlsx&amp;sheet=A0&amp;row=243&amp;col=14&amp;number=0&amp;sourceID=12","0")</f>
        <v>0</v>
      </c>
      <c r="O243" s="4" t="str">
        <f>HYPERLINK("http://141.218.60.56/~jnz1568/getInfo.php?workbook=02_01.xlsx&amp;sheet=A0&amp;row=243&amp;col=15&amp;number=&amp;sourceID=12","")</f>
        <v/>
      </c>
      <c r="P243" s="4" t="str">
        <f>HYPERLINK("http://141.218.60.56/~jnz1568/getInfo.php?workbook=02_01.xlsx&amp;sheet=A0&amp;row=243&amp;col=16&amp;number=&amp;sourceID=12","")</f>
        <v/>
      </c>
      <c r="Q243" s="4" t="str">
        <f>HYPERLINK("http://141.218.60.56/~jnz1568/getInfo.php?workbook=02_01.xlsx&amp;sheet=A0&amp;row=243&amp;col=17&amp;number=&amp;sourceID=12","")</f>
        <v/>
      </c>
      <c r="R243" s="4" t="str">
        <f>HYPERLINK("http://141.218.60.56/~jnz1568/getInfo.php?workbook=02_01.xlsx&amp;sheet=A0&amp;row=243&amp;col=18&amp;number=&amp;sourceID=12","")</f>
        <v/>
      </c>
      <c r="S243" s="4" t="str">
        <f>HYPERLINK("http://141.218.60.56/~jnz1568/getInfo.php?workbook=02_01.xlsx&amp;sheet=A0&amp;row=243&amp;col=19&amp;number=&amp;sourceID=12","")</f>
        <v/>
      </c>
      <c r="T243" s="4" t="str">
        <f>HYPERLINK("http://141.218.60.56/~jnz1568/getInfo.php?workbook=02_01.xlsx&amp;sheet=A0&amp;row=243&amp;col=20&amp;number=0&amp;sourceID=12","0")</f>
        <v>0</v>
      </c>
      <c r="U243" s="4" t="str">
        <f>HYPERLINK("http://141.218.60.56/~jnz1568/getInfo.php?workbook=02_01.xlsx&amp;sheet=A0&amp;row=243&amp;col=21&amp;number=&amp;sourceID=13","")</f>
        <v/>
      </c>
      <c r="V243" s="4" t="str">
        <f>HYPERLINK("http://141.218.60.56/~jnz1568/getInfo.php?workbook=02_01.xlsx&amp;sheet=A0&amp;row=243&amp;col=22&amp;number=&amp;sourceID=13","")</f>
        <v/>
      </c>
      <c r="W243" s="4" t="str">
        <f>HYPERLINK("http://141.218.60.56/~jnz1568/getInfo.php?workbook=02_01.xlsx&amp;sheet=A0&amp;row=243&amp;col=23&amp;number=&amp;sourceID=13","")</f>
        <v/>
      </c>
      <c r="X243" s="4" t="str">
        <f>HYPERLINK("http://141.218.60.56/~jnz1568/getInfo.php?workbook=02_01.xlsx&amp;sheet=A0&amp;row=243&amp;col=24&amp;number=&amp;sourceID=13","")</f>
        <v/>
      </c>
      <c r="Y243" s="4" t="str">
        <f>HYPERLINK("http://141.218.60.56/~jnz1568/getInfo.php?workbook=02_01.xlsx&amp;sheet=A0&amp;row=243&amp;col=25&amp;number=&amp;sourceID=13","")</f>
        <v/>
      </c>
      <c r="Z243" s="4" t="str">
        <f>HYPERLINK("http://141.218.60.56/~jnz1568/getInfo.php?workbook=02_01.xlsx&amp;sheet=A0&amp;row=243&amp;col=26&amp;number=&amp;sourceID=13","")</f>
        <v/>
      </c>
      <c r="AA243" s="4" t="str">
        <f>HYPERLINK("http://141.218.60.56/~jnz1568/getInfo.php?workbook=02_01.xlsx&amp;sheet=A0&amp;row=243&amp;col=27&amp;number=&amp;sourceID=20","")</f>
        <v/>
      </c>
    </row>
    <row r="244" spans="1:27">
      <c r="A244" s="3">
        <v>2</v>
      </c>
      <c r="B244" s="3">
        <v>1</v>
      </c>
      <c r="C244" s="3">
        <v>23</v>
      </c>
      <c r="D244" s="3">
        <v>19</v>
      </c>
      <c r="E244" s="3">
        <f>((1/(INDEX(E0!J$4:J$28,C244,1)-INDEX(E0!J$4:J$28,D244,1))))*100000000</f>
        <v>0</v>
      </c>
      <c r="F244" s="4" t="str">
        <f>HYPERLINK("http://141.218.60.56/~jnz1568/getInfo.php?workbook=02_01.xlsx&amp;sheet=A0&amp;row=244&amp;col=6&amp;number=&amp;sourceID=18","")</f>
        <v/>
      </c>
      <c r="G244" s="4" t="str">
        <f>HYPERLINK("http://141.218.60.56/~jnz1568/getInfo.php?workbook=02_01.xlsx&amp;sheet=A0&amp;row=244&amp;col=7&amp;number==SUM(H244:M244)&amp;sourceID=11","=SUM(H244:M244)")</f>
        <v>=SUM(H244:M244)</v>
      </c>
      <c r="H244" s="4" t="str">
        <f>HYPERLINK("http://141.218.60.56/~jnz1568/getInfo.php?workbook=02_01.xlsx&amp;sheet=A0&amp;row=244&amp;col=8&amp;number=&amp;sourceID=11","")</f>
        <v/>
      </c>
      <c r="I244" s="4" t="str">
        <f>HYPERLINK("http://141.218.60.56/~jnz1568/getInfo.php?workbook=02_01.xlsx&amp;sheet=A0&amp;row=244&amp;col=9&amp;number=0&amp;sourceID=11","0")</f>
        <v>0</v>
      </c>
      <c r="J244" s="4" t="str">
        <f>HYPERLINK("http://141.218.60.56/~jnz1568/getInfo.php?workbook=02_01.xlsx&amp;sheet=A0&amp;row=244&amp;col=10&amp;number=&amp;sourceID=11","")</f>
        <v/>
      </c>
      <c r="K244" s="4" t="str">
        <f>HYPERLINK("http://141.218.60.56/~jnz1568/getInfo.php?workbook=02_01.xlsx&amp;sheet=A0&amp;row=244&amp;col=11&amp;number=&amp;sourceID=11","")</f>
        <v/>
      </c>
      <c r="L244" s="4" t="str">
        <f>HYPERLINK("http://141.218.60.56/~jnz1568/getInfo.php?workbook=02_01.xlsx&amp;sheet=A0&amp;row=244&amp;col=12&amp;number=&amp;sourceID=11","")</f>
        <v/>
      </c>
      <c r="M244" s="4" t="str">
        <f>HYPERLINK("http://141.218.60.56/~jnz1568/getInfo.php?workbook=02_01.xlsx&amp;sheet=A0&amp;row=244&amp;col=13&amp;number=0&amp;sourceID=11","0")</f>
        <v>0</v>
      </c>
      <c r="N244" s="4" t="str">
        <f>HYPERLINK("http://141.218.60.56/~jnz1568/getInfo.php?workbook=02_01.xlsx&amp;sheet=A0&amp;row=244&amp;col=14&amp;number=0&amp;sourceID=12","0")</f>
        <v>0</v>
      </c>
      <c r="O244" s="4" t="str">
        <f>HYPERLINK("http://141.218.60.56/~jnz1568/getInfo.php?workbook=02_01.xlsx&amp;sheet=A0&amp;row=244&amp;col=15&amp;number=&amp;sourceID=12","")</f>
        <v/>
      </c>
      <c r="P244" s="4" t="str">
        <f>HYPERLINK("http://141.218.60.56/~jnz1568/getInfo.php?workbook=02_01.xlsx&amp;sheet=A0&amp;row=244&amp;col=16&amp;number=0&amp;sourceID=12","0")</f>
        <v>0</v>
      </c>
      <c r="Q244" s="4" t="str">
        <f>HYPERLINK("http://141.218.60.56/~jnz1568/getInfo.php?workbook=02_01.xlsx&amp;sheet=A0&amp;row=244&amp;col=17&amp;number=&amp;sourceID=12","")</f>
        <v/>
      </c>
      <c r="R244" s="4" t="str">
        <f>HYPERLINK("http://141.218.60.56/~jnz1568/getInfo.php?workbook=02_01.xlsx&amp;sheet=A0&amp;row=244&amp;col=18&amp;number=&amp;sourceID=12","")</f>
        <v/>
      </c>
      <c r="S244" s="4" t="str">
        <f>HYPERLINK("http://141.218.60.56/~jnz1568/getInfo.php?workbook=02_01.xlsx&amp;sheet=A0&amp;row=244&amp;col=19&amp;number=&amp;sourceID=12","")</f>
        <v/>
      </c>
      <c r="T244" s="4" t="str">
        <f>HYPERLINK("http://141.218.60.56/~jnz1568/getInfo.php?workbook=02_01.xlsx&amp;sheet=A0&amp;row=244&amp;col=20&amp;number=0&amp;sourceID=12","0")</f>
        <v>0</v>
      </c>
      <c r="U244" s="4" t="str">
        <f>HYPERLINK("http://141.218.60.56/~jnz1568/getInfo.php?workbook=02_01.xlsx&amp;sheet=A0&amp;row=244&amp;col=21&amp;number=&amp;sourceID=13","")</f>
        <v/>
      </c>
      <c r="V244" s="4" t="str">
        <f>HYPERLINK("http://141.218.60.56/~jnz1568/getInfo.php?workbook=02_01.xlsx&amp;sheet=A0&amp;row=244&amp;col=22&amp;number=&amp;sourceID=13","")</f>
        <v/>
      </c>
      <c r="W244" s="4" t="str">
        <f>HYPERLINK("http://141.218.60.56/~jnz1568/getInfo.php?workbook=02_01.xlsx&amp;sheet=A0&amp;row=244&amp;col=23&amp;number=&amp;sourceID=13","")</f>
        <v/>
      </c>
      <c r="X244" s="4" t="str">
        <f>HYPERLINK("http://141.218.60.56/~jnz1568/getInfo.php?workbook=02_01.xlsx&amp;sheet=A0&amp;row=244&amp;col=24&amp;number=&amp;sourceID=13","")</f>
        <v/>
      </c>
      <c r="Y244" s="4" t="str">
        <f>HYPERLINK("http://141.218.60.56/~jnz1568/getInfo.php?workbook=02_01.xlsx&amp;sheet=A0&amp;row=244&amp;col=25&amp;number=&amp;sourceID=13","")</f>
        <v/>
      </c>
      <c r="Z244" s="4" t="str">
        <f>HYPERLINK("http://141.218.60.56/~jnz1568/getInfo.php?workbook=02_01.xlsx&amp;sheet=A0&amp;row=244&amp;col=26&amp;number=&amp;sourceID=13","")</f>
        <v/>
      </c>
      <c r="AA244" s="4" t="str">
        <f>HYPERLINK("http://141.218.60.56/~jnz1568/getInfo.php?workbook=02_01.xlsx&amp;sheet=A0&amp;row=244&amp;col=27&amp;number=&amp;sourceID=20","")</f>
        <v/>
      </c>
    </row>
    <row r="245" spans="1:27">
      <c r="A245" s="3">
        <v>2</v>
      </c>
      <c r="B245" s="3">
        <v>1</v>
      </c>
      <c r="C245" s="3">
        <v>23</v>
      </c>
      <c r="D245" s="3">
        <v>20</v>
      </c>
      <c r="E245" s="3">
        <f>((1/(INDEX(E0!J$4:J$28,C245,1)-INDEX(E0!J$4:J$28,D245,1))))*100000000</f>
        <v>0</v>
      </c>
      <c r="F245" s="4" t="str">
        <f>HYPERLINK("http://141.218.60.56/~jnz1568/getInfo.php?workbook=02_01.xlsx&amp;sheet=A0&amp;row=245&amp;col=6&amp;number=&amp;sourceID=18","")</f>
        <v/>
      </c>
      <c r="G245" s="4" t="str">
        <f>HYPERLINK("http://141.218.60.56/~jnz1568/getInfo.php?workbook=02_01.xlsx&amp;sheet=A0&amp;row=245&amp;col=7&amp;number==&amp;sourceID=11","=")</f>
        <v>=</v>
      </c>
      <c r="H245" s="4" t="str">
        <f>HYPERLINK("http://141.218.60.56/~jnz1568/getInfo.php?workbook=02_01.xlsx&amp;sheet=A0&amp;row=245&amp;col=8&amp;number=&amp;sourceID=11","")</f>
        <v/>
      </c>
      <c r="I245" s="4" t="str">
        <f>HYPERLINK("http://141.218.60.56/~jnz1568/getInfo.php?workbook=02_01.xlsx&amp;sheet=A0&amp;row=245&amp;col=9&amp;number=&amp;sourceID=11","")</f>
        <v/>
      </c>
      <c r="J245" s="4" t="str">
        <f>HYPERLINK("http://141.218.60.56/~jnz1568/getInfo.php?workbook=02_01.xlsx&amp;sheet=A0&amp;row=245&amp;col=10&amp;number=0&amp;sourceID=11","0")</f>
        <v>0</v>
      </c>
      <c r="K245" s="4" t="str">
        <f>HYPERLINK("http://141.218.60.56/~jnz1568/getInfo.php?workbook=02_01.xlsx&amp;sheet=A0&amp;row=245&amp;col=11&amp;number=&amp;sourceID=11","")</f>
        <v/>
      </c>
      <c r="L245" s="4" t="str">
        <f>HYPERLINK("http://141.218.60.56/~jnz1568/getInfo.php?workbook=02_01.xlsx&amp;sheet=A0&amp;row=245&amp;col=12&amp;number=0&amp;sourceID=11","0")</f>
        <v>0</v>
      </c>
      <c r="M245" s="4" t="str">
        <f>HYPERLINK("http://141.218.60.56/~jnz1568/getInfo.php?workbook=02_01.xlsx&amp;sheet=A0&amp;row=245&amp;col=13&amp;number=&amp;sourceID=11","")</f>
        <v/>
      </c>
      <c r="N245" s="4" t="str">
        <f>HYPERLINK("http://141.218.60.56/~jnz1568/getInfo.php?workbook=02_01.xlsx&amp;sheet=A0&amp;row=245&amp;col=14&amp;number=0&amp;sourceID=12","0")</f>
        <v>0</v>
      </c>
      <c r="O245" s="4" t="str">
        <f>HYPERLINK("http://141.218.60.56/~jnz1568/getInfo.php?workbook=02_01.xlsx&amp;sheet=A0&amp;row=245&amp;col=15&amp;number=&amp;sourceID=12","")</f>
        <v/>
      </c>
      <c r="P245" s="4" t="str">
        <f>HYPERLINK("http://141.218.60.56/~jnz1568/getInfo.php?workbook=02_01.xlsx&amp;sheet=A0&amp;row=245&amp;col=16&amp;number=&amp;sourceID=12","")</f>
        <v/>
      </c>
      <c r="Q245" s="4" t="str">
        <f>HYPERLINK("http://141.218.60.56/~jnz1568/getInfo.php?workbook=02_01.xlsx&amp;sheet=A0&amp;row=245&amp;col=17&amp;number=0&amp;sourceID=12","0")</f>
        <v>0</v>
      </c>
      <c r="R245" s="4" t="str">
        <f>HYPERLINK("http://141.218.60.56/~jnz1568/getInfo.php?workbook=02_01.xlsx&amp;sheet=A0&amp;row=245&amp;col=18&amp;number=&amp;sourceID=12","")</f>
        <v/>
      </c>
      <c r="S245" s="4" t="str">
        <f>HYPERLINK("http://141.218.60.56/~jnz1568/getInfo.php?workbook=02_01.xlsx&amp;sheet=A0&amp;row=245&amp;col=19&amp;number=0&amp;sourceID=12","0")</f>
        <v>0</v>
      </c>
      <c r="T245" s="4" t="str">
        <f>HYPERLINK("http://141.218.60.56/~jnz1568/getInfo.php?workbook=02_01.xlsx&amp;sheet=A0&amp;row=245&amp;col=20&amp;number=&amp;sourceID=12","")</f>
        <v/>
      </c>
      <c r="U245" s="4" t="str">
        <f>HYPERLINK("http://141.218.60.56/~jnz1568/getInfo.php?workbook=02_01.xlsx&amp;sheet=A0&amp;row=245&amp;col=21&amp;number=&amp;sourceID=13","")</f>
        <v/>
      </c>
      <c r="V245" s="4" t="str">
        <f>HYPERLINK("http://141.218.60.56/~jnz1568/getInfo.php?workbook=02_01.xlsx&amp;sheet=A0&amp;row=245&amp;col=22&amp;number=&amp;sourceID=13","")</f>
        <v/>
      </c>
      <c r="W245" s="4" t="str">
        <f>HYPERLINK("http://141.218.60.56/~jnz1568/getInfo.php?workbook=02_01.xlsx&amp;sheet=A0&amp;row=245&amp;col=23&amp;number=&amp;sourceID=13","")</f>
        <v/>
      </c>
      <c r="X245" s="4" t="str">
        <f>HYPERLINK("http://141.218.60.56/~jnz1568/getInfo.php?workbook=02_01.xlsx&amp;sheet=A0&amp;row=245&amp;col=24&amp;number=&amp;sourceID=13","")</f>
        <v/>
      </c>
      <c r="Y245" s="4" t="str">
        <f>HYPERLINK("http://141.218.60.56/~jnz1568/getInfo.php?workbook=02_01.xlsx&amp;sheet=A0&amp;row=245&amp;col=25&amp;number=&amp;sourceID=13","")</f>
        <v/>
      </c>
      <c r="Z245" s="4" t="str">
        <f>HYPERLINK("http://141.218.60.56/~jnz1568/getInfo.php?workbook=02_01.xlsx&amp;sheet=A0&amp;row=245&amp;col=26&amp;number=&amp;sourceID=13","")</f>
        <v/>
      </c>
      <c r="AA245" s="4" t="str">
        <f>HYPERLINK("http://141.218.60.56/~jnz1568/getInfo.php?workbook=02_01.xlsx&amp;sheet=A0&amp;row=245&amp;col=27&amp;number=&amp;sourceID=20","")</f>
        <v/>
      </c>
    </row>
    <row r="246" spans="1:27">
      <c r="A246" s="3">
        <v>2</v>
      </c>
      <c r="B246" s="3">
        <v>1</v>
      </c>
      <c r="C246" s="3">
        <v>23</v>
      </c>
      <c r="D246" s="3">
        <v>21</v>
      </c>
      <c r="E246" s="3">
        <f>((1/(INDEX(E0!J$4:J$28,C246,1)-INDEX(E0!J$4:J$28,D246,1))))*100000000</f>
        <v>0</v>
      </c>
      <c r="F246" s="4" t="str">
        <f>HYPERLINK("http://141.218.60.56/~jnz1568/getInfo.php?workbook=02_01.xlsx&amp;sheet=A0&amp;row=246&amp;col=6&amp;number=&amp;sourceID=18","")</f>
        <v/>
      </c>
      <c r="G246" s="4" t="str">
        <f>HYPERLINK("http://141.218.60.56/~jnz1568/getInfo.php?workbook=02_01.xlsx&amp;sheet=A0&amp;row=246&amp;col=7&amp;number==&amp;sourceID=11","=")</f>
        <v>=</v>
      </c>
      <c r="H246" s="4" t="str">
        <f>HYPERLINK("http://141.218.60.56/~jnz1568/getInfo.php?workbook=02_01.xlsx&amp;sheet=A0&amp;row=246&amp;col=8&amp;number=2.6613e-08&amp;sourceID=11","2.6613e-08")</f>
        <v>2.6613e-08</v>
      </c>
      <c r="I246" s="4" t="str">
        <f>HYPERLINK("http://141.218.60.56/~jnz1568/getInfo.php?workbook=02_01.xlsx&amp;sheet=A0&amp;row=246&amp;col=9&amp;number=&amp;sourceID=11","")</f>
        <v/>
      </c>
      <c r="J246" s="4" t="str">
        <f>HYPERLINK("http://141.218.60.56/~jnz1568/getInfo.php?workbook=02_01.xlsx&amp;sheet=A0&amp;row=246&amp;col=10&amp;number=0&amp;sourceID=11","0")</f>
        <v>0</v>
      </c>
      <c r="K246" s="4" t="str">
        <f>HYPERLINK("http://141.218.60.56/~jnz1568/getInfo.php?workbook=02_01.xlsx&amp;sheet=A0&amp;row=246&amp;col=11&amp;number=&amp;sourceID=11","")</f>
        <v/>
      </c>
      <c r="L246" s="4" t="str">
        <f>HYPERLINK("http://141.218.60.56/~jnz1568/getInfo.php?workbook=02_01.xlsx&amp;sheet=A0&amp;row=246&amp;col=12&amp;number=0&amp;sourceID=11","0")</f>
        <v>0</v>
      </c>
      <c r="M246" s="4" t="str">
        <f>HYPERLINK("http://141.218.60.56/~jnz1568/getInfo.php?workbook=02_01.xlsx&amp;sheet=A0&amp;row=246&amp;col=13&amp;number=&amp;sourceID=11","")</f>
        <v/>
      </c>
      <c r="N246" s="4" t="str">
        <f>HYPERLINK("http://141.218.60.56/~jnz1568/getInfo.php?workbook=02_01.xlsx&amp;sheet=A0&amp;row=246&amp;col=14&amp;number=2.6699e-08&amp;sourceID=12","2.6699e-08")</f>
        <v>2.6699e-08</v>
      </c>
      <c r="O246" s="4" t="str">
        <f>HYPERLINK("http://141.218.60.56/~jnz1568/getInfo.php?workbook=02_01.xlsx&amp;sheet=A0&amp;row=246&amp;col=15&amp;number=2.6699e-08&amp;sourceID=12","2.6699e-08")</f>
        <v>2.6699e-08</v>
      </c>
      <c r="P246" s="4" t="str">
        <f>HYPERLINK("http://141.218.60.56/~jnz1568/getInfo.php?workbook=02_01.xlsx&amp;sheet=A0&amp;row=246&amp;col=16&amp;number=&amp;sourceID=12","")</f>
        <v/>
      </c>
      <c r="Q246" s="4" t="str">
        <f>HYPERLINK("http://141.218.60.56/~jnz1568/getInfo.php?workbook=02_01.xlsx&amp;sheet=A0&amp;row=246&amp;col=17&amp;number=0&amp;sourceID=12","0")</f>
        <v>0</v>
      </c>
      <c r="R246" s="4" t="str">
        <f>HYPERLINK("http://141.218.60.56/~jnz1568/getInfo.php?workbook=02_01.xlsx&amp;sheet=A0&amp;row=246&amp;col=18&amp;number=&amp;sourceID=12","")</f>
        <v/>
      </c>
      <c r="S246" s="4" t="str">
        <f>HYPERLINK("http://141.218.60.56/~jnz1568/getInfo.php?workbook=02_01.xlsx&amp;sheet=A0&amp;row=246&amp;col=19&amp;number=0&amp;sourceID=12","0")</f>
        <v>0</v>
      </c>
      <c r="T246" s="4" t="str">
        <f>HYPERLINK("http://141.218.60.56/~jnz1568/getInfo.php?workbook=02_01.xlsx&amp;sheet=A0&amp;row=246&amp;col=20&amp;number=&amp;sourceID=12","")</f>
        <v/>
      </c>
      <c r="U246" s="4" t="str">
        <f>HYPERLINK("http://141.218.60.56/~jnz1568/getInfo.php?workbook=02_01.xlsx&amp;sheet=A0&amp;row=246&amp;col=21&amp;number=&amp;sourceID=13","")</f>
        <v/>
      </c>
      <c r="V246" s="4" t="str">
        <f>HYPERLINK("http://141.218.60.56/~jnz1568/getInfo.php?workbook=02_01.xlsx&amp;sheet=A0&amp;row=246&amp;col=22&amp;number=&amp;sourceID=13","")</f>
        <v/>
      </c>
      <c r="W246" s="4" t="str">
        <f>HYPERLINK("http://141.218.60.56/~jnz1568/getInfo.php?workbook=02_01.xlsx&amp;sheet=A0&amp;row=246&amp;col=23&amp;number=&amp;sourceID=13","")</f>
        <v/>
      </c>
      <c r="X246" s="4" t="str">
        <f>HYPERLINK("http://141.218.60.56/~jnz1568/getInfo.php?workbook=02_01.xlsx&amp;sheet=A0&amp;row=246&amp;col=24&amp;number=&amp;sourceID=13","")</f>
        <v/>
      </c>
      <c r="Y246" s="4" t="str">
        <f>HYPERLINK("http://141.218.60.56/~jnz1568/getInfo.php?workbook=02_01.xlsx&amp;sheet=A0&amp;row=246&amp;col=25&amp;number=&amp;sourceID=13","")</f>
        <v/>
      </c>
      <c r="Z246" s="4" t="str">
        <f>HYPERLINK("http://141.218.60.56/~jnz1568/getInfo.php?workbook=02_01.xlsx&amp;sheet=A0&amp;row=246&amp;col=26&amp;number=&amp;sourceID=13","")</f>
        <v/>
      </c>
      <c r="AA246" s="4" t="str">
        <f>HYPERLINK("http://141.218.60.56/~jnz1568/getInfo.php?workbook=02_01.xlsx&amp;sheet=A0&amp;row=246&amp;col=27&amp;number=&amp;sourceID=20","")</f>
        <v/>
      </c>
    </row>
    <row r="247" spans="1:27">
      <c r="A247" s="3">
        <v>2</v>
      </c>
      <c r="B247" s="3">
        <v>1</v>
      </c>
      <c r="C247" s="3">
        <v>23</v>
      </c>
      <c r="D247" s="3">
        <v>22</v>
      </c>
      <c r="E247" s="3">
        <f>((1/(INDEX(E0!J$4:J$28,C247,1)-INDEX(E0!J$4:J$28,D247,1))))*100000000</f>
        <v>0</v>
      </c>
      <c r="F247" s="4" t="str">
        <f>HYPERLINK("http://141.218.60.56/~jnz1568/getInfo.php?workbook=02_01.xlsx&amp;sheet=A0&amp;row=247&amp;col=6&amp;number=&amp;sourceID=18","")</f>
        <v/>
      </c>
      <c r="G247" s="4" t="str">
        <f>HYPERLINK("http://141.218.60.56/~jnz1568/getInfo.php?workbook=02_01.xlsx&amp;sheet=A0&amp;row=247&amp;col=7&amp;number==&amp;sourceID=11","=")</f>
        <v>=</v>
      </c>
      <c r="H247" s="4" t="str">
        <f>HYPERLINK("http://141.218.60.56/~jnz1568/getInfo.php?workbook=02_01.xlsx&amp;sheet=A0&amp;row=247&amp;col=8&amp;number=&amp;sourceID=11","")</f>
        <v/>
      </c>
      <c r="I247" s="4" t="str">
        <f>HYPERLINK("http://141.218.60.56/~jnz1568/getInfo.php?workbook=02_01.xlsx&amp;sheet=A0&amp;row=247&amp;col=9&amp;number=0&amp;sourceID=11","0")</f>
        <v>0</v>
      </c>
      <c r="J247" s="4" t="str">
        <f>HYPERLINK("http://141.218.60.56/~jnz1568/getInfo.php?workbook=02_01.xlsx&amp;sheet=A0&amp;row=247&amp;col=10&amp;number=&amp;sourceID=11","")</f>
        <v/>
      </c>
      <c r="K247" s="4" t="str">
        <f>HYPERLINK("http://141.218.60.56/~jnz1568/getInfo.php?workbook=02_01.xlsx&amp;sheet=A0&amp;row=247&amp;col=11&amp;number=0&amp;sourceID=11","0")</f>
        <v>0</v>
      </c>
      <c r="L247" s="4" t="str">
        <f>HYPERLINK("http://141.218.60.56/~jnz1568/getInfo.php?workbook=02_01.xlsx&amp;sheet=A0&amp;row=247&amp;col=12&amp;number=&amp;sourceID=11","")</f>
        <v/>
      </c>
      <c r="M247" s="4" t="str">
        <f>HYPERLINK("http://141.218.60.56/~jnz1568/getInfo.php?workbook=02_01.xlsx&amp;sheet=A0&amp;row=247&amp;col=13&amp;number=0&amp;sourceID=11","0")</f>
        <v>0</v>
      </c>
      <c r="N247" s="4" t="str">
        <f>HYPERLINK("http://141.218.60.56/~jnz1568/getInfo.php?workbook=02_01.xlsx&amp;sheet=A0&amp;row=247&amp;col=14&amp;number=0&amp;sourceID=12","0")</f>
        <v>0</v>
      </c>
      <c r="O247" s="4" t="str">
        <f>HYPERLINK("http://141.218.60.56/~jnz1568/getInfo.php?workbook=02_01.xlsx&amp;sheet=A0&amp;row=247&amp;col=15&amp;number=&amp;sourceID=12","")</f>
        <v/>
      </c>
      <c r="P247" s="4" t="str">
        <f>HYPERLINK("http://141.218.60.56/~jnz1568/getInfo.php?workbook=02_01.xlsx&amp;sheet=A0&amp;row=247&amp;col=16&amp;number=0&amp;sourceID=12","0")</f>
        <v>0</v>
      </c>
      <c r="Q247" s="4" t="str">
        <f>HYPERLINK("http://141.218.60.56/~jnz1568/getInfo.php?workbook=02_01.xlsx&amp;sheet=A0&amp;row=247&amp;col=17&amp;number=&amp;sourceID=12","")</f>
        <v/>
      </c>
      <c r="R247" s="4" t="str">
        <f>HYPERLINK("http://141.218.60.56/~jnz1568/getInfo.php?workbook=02_01.xlsx&amp;sheet=A0&amp;row=247&amp;col=18&amp;number=0&amp;sourceID=12","0")</f>
        <v>0</v>
      </c>
      <c r="S247" s="4" t="str">
        <f>HYPERLINK("http://141.218.60.56/~jnz1568/getInfo.php?workbook=02_01.xlsx&amp;sheet=A0&amp;row=247&amp;col=19&amp;number=&amp;sourceID=12","")</f>
        <v/>
      </c>
      <c r="T247" s="4" t="str">
        <f>HYPERLINK("http://141.218.60.56/~jnz1568/getInfo.php?workbook=02_01.xlsx&amp;sheet=A0&amp;row=247&amp;col=20&amp;number=0&amp;sourceID=12","0")</f>
        <v>0</v>
      </c>
      <c r="U247" s="4" t="str">
        <f>HYPERLINK("http://141.218.60.56/~jnz1568/getInfo.php?workbook=02_01.xlsx&amp;sheet=A0&amp;row=247&amp;col=21&amp;number=&amp;sourceID=13","")</f>
        <v/>
      </c>
      <c r="V247" s="4" t="str">
        <f>HYPERLINK("http://141.218.60.56/~jnz1568/getInfo.php?workbook=02_01.xlsx&amp;sheet=A0&amp;row=247&amp;col=22&amp;number=&amp;sourceID=13","")</f>
        <v/>
      </c>
      <c r="W247" s="4" t="str">
        <f>HYPERLINK("http://141.218.60.56/~jnz1568/getInfo.php?workbook=02_01.xlsx&amp;sheet=A0&amp;row=247&amp;col=23&amp;number=&amp;sourceID=13","")</f>
        <v/>
      </c>
      <c r="X247" s="4" t="str">
        <f>HYPERLINK("http://141.218.60.56/~jnz1568/getInfo.php?workbook=02_01.xlsx&amp;sheet=A0&amp;row=247&amp;col=24&amp;number=&amp;sourceID=13","")</f>
        <v/>
      </c>
      <c r="Y247" s="4" t="str">
        <f>HYPERLINK("http://141.218.60.56/~jnz1568/getInfo.php?workbook=02_01.xlsx&amp;sheet=A0&amp;row=247&amp;col=25&amp;number=&amp;sourceID=13","")</f>
        <v/>
      </c>
      <c r="Z247" s="4" t="str">
        <f>HYPERLINK("http://141.218.60.56/~jnz1568/getInfo.php?workbook=02_01.xlsx&amp;sheet=A0&amp;row=247&amp;col=26&amp;number=&amp;sourceID=13","")</f>
        <v/>
      </c>
      <c r="AA247" s="4" t="str">
        <f>HYPERLINK("http://141.218.60.56/~jnz1568/getInfo.php?workbook=02_01.xlsx&amp;sheet=A0&amp;row=247&amp;col=27&amp;number=&amp;sourceID=20","")</f>
        <v/>
      </c>
    </row>
    <row r="248" spans="1:27">
      <c r="A248" s="3">
        <v>2</v>
      </c>
      <c r="B248" s="3">
        <v>1</v>
      </c>
      <c r="C248" s="3">
        <v>24</v>
      </c>
      <c r="D248" s="3">
        <v>1</v>
      </c>
      <c r="E248" s="3">
        <f>((1/(INDEX(E0!J$4:J$28,C248,1)-INDEX(E0!J$4:J$28,D248,1))))*100000000</f>
        <v>0</v>
      </c>
      <c r="F248" s="4" t="str">
        <f>HYPERLINK("http://141.218.60.56/~jnz1568/getInfo.php?workbook=02_01.xlsx&amp;sheet=A0&amp;row=248&amp;col=6&amp;number=&amp;sourceID=18","")</f>
        <v/>
      </c>
      <c r="G248" s="4" t="str">
        <f>HYPERLINK("http://141.218.60.56/~jnz1568/getInfo.php?workbook=02_01.xlsx&amp;sheet=A0&amp;row=248&amp;col=7&amp;number==&amp;sourceID=11","=")</f>
        <v>=</v>
      </c>
      <c r="H248" s="4" t="str">
        <f>HYPERLINK("http://141.218.60.56/~jnz1568/getInfo.php?workbook=02_01.xlsx&amp;sheet=A0&amp;row=248&amp;col=8&amp;number=&amp;sourceID=11","")</f>
        <v/>
      </c>
      <c r="I248" s="4" t="str">
        <f>HYPERLINK("http://141.218.60.56/~jnz1568/getInfo.php?workbook=02_01.xlsx&amp;sheet=A0&amp;row=248&amp;col=9&amp;number=&amp;sourceID=11","")</f>
        <v/>
      </c>
      <c r="J248" s="4" t="str">
        <f>HYPERLINK("http://141.218.60.56/~jnz1568/getInfo.php?workbook=02_01.xlsx&amp;sheet=A0&amp;row=248&amp;col=10&amp;number=0.065719&amp;sourceID=11","0.065719")</f>
        <v>0.065719</v>
      </c>
      <c r="K248" s="4" t="str">
        <f>HYPERLINK("http://141.218.60.56/~jnz1568/getInfo.php?workbook=02_01.xlsx&amp;sheet=A0&amp;row=248&amp;col=11&amp;number=&amp;sourceID=11","")</f>
        <v/>
      </c>
      <c r="L248" s="4" t="str">
        <f>HYPERLINK("http://141.218.60.56/~jnz1568/getInfo.php?workbook=02_01.xlsx&amp;sheet=A0&amp;row=248&amp;col=12&amp;number=&amp;sourceID=11","")</f>
        <v/>
      </c>
      <c r="M248" s="4" t="str">
        <f>HYPERLINK("http://141.218.60.56/~jnz1568/getInfo.php?workbook=02_01.xlsx&amp;sheet=A0&amp;row=248&amp;col=13&amp;number=&amp;sourceID=11","")</f>
        <v/>
      </c>
      <c r="N248" s="4" t="str">
        <f>HYPERLINK("http://141.218.60.56/~jnz1568/getInfo.php?workbook=02_01.xlsx&amp;sheet=A0&amp;row=248&amp;col=14&amp;number=0.065729&amp;sourceID=12","0.065729")</f>
        <v>0.065729</v>
      </c>
      <c r="O248" s="4" t="str">
        <f>HYPERLINK("http://141.218.60.56/~jnz1568/getInfo.php?workbook=02_01.xlsx&amp;sheet=A0&amp;row=248&amp;col=15&amp;number=&amp;sourceID=12","")</f>
        <v/>
      </c>
      <c r="P248" s="4" t="str">
        <f>HYPERLINK("http://141.218.60.56/~jnz1568/getInfo.php?workbook=02_01.xlsx&amp;sheet=A0&amp;row=248&amp;col=16&amp;number=&amp;sourceID=12","")</f>
        <v/>
      </c>
      <c r="Q248" s="4" t="str">
        <f>HYPERLINK("http://141.218.60.56/~jnz1568/getInfo.php?workbook=02_01.xlsx&amp;sheet=A0&amp;row=248&amp;col=17&amp;number=0.065729&amp;sourceID=12","0.065729")</f>
        <v>0.065729</v>
      </c>
      <c r="R248" s="4" t="str">
        <f>HYPERLINK("http://141.218.60.56/~jnz1568/getInfo.php?workbook=02_01.xlsx&amp;sheet=A0&amp;row=248&amp;col=18&amp;number=&amp;sourceID=12","")</f>
        <v/>
      </c>
      <c r="S248" s="4" t="str">
        <f>HYPERLINK("http://141.218.60.56/~jnz1568/getInfo.php?workbook=02_01.xlsx&amp;sheet=A0&amp;row=248&amp;col=19&amp;number=&amp;sourceID=12","")</f>
        <v/>
      </c>
      <c r="T248" s="4" t="str">
        <f>HYPERLINK("http://141.218.60.56/~jnz1568/getInfo.php?workbook=02_01.xlsx&amp;sheet=A0&amp;row=248&amp;col=20&amp;number=&amp;sourceID=12","")</f>
        <v/>
      </c>
      <c r="U248" s="4" t="str">
        <f>HYPERLINK("http://141.218.60.56/~jnz1568/getInfo.php?workbook=02_01.xlsx&amp;sheet=A0&amp;row=248&amp;col=21&amp;number=&amp;sourceID=13","")</f>
        <v/>
      </c>
      <c r="V248" s="4" t="str">
        <f>HYPERLINK("http://141.218.60.56/~jnz1568/getInfo.php?workbook=02_01.xlsx&amp;sheet=A0&amp;row=248&amp;col=22&amp;number=&amp;sourceID=13","")</f>
        <v/>
      </c>
      <c r="W248" s="4" t="str">
        <f>HYPERLINK("http://141.218.60.56/~jnz1568/getInfo.php?workbook=02_01.xlsx&amp;sheet=A0&amp;row=248&amp;col=23&amp;number=&amp;sourceID=13","")</f>
        <v/>
      </c>
      <c r="X248" s="4" t="str">
        <f>HYPERLINK("http://141.218.60.56/~jnz1568/getInfo.php?workbook=02_01.xlsx&amp;sheet=A0&amp;row=248&amp;col=24&amp;number=&amp;sourceID=13","")</f>
        <v/>
      </c>
      <c r="Y248" s="4" t="str">
        <f>HYPERLINK("http://141.218.60.56/~jnz1568/getInfo.php?workbook=02_01.xlsx&amp;sheet=A0&amp;row=248&amp;col=25&amp;number=&amp;sourceID=13","")</f>
        <v/>
      </c>
      <c r="Z248" s="4" t="str">
        <f>HYPERLINK("http://141.218.60.56/~jnz1568/getInfo.php?workbook=02_01.xlsx&amp;sheet=A0&amp;row=248&amp;col=26&amp;number=&amp;sourceID=13","")</f>
        <v/>
      </c>
      <c r="AA248" s="4" t="str">
        <f>HYPERLINK("http://141.218.60.56/~jnz1568/getInfo.php?workbook=02_01.xlsx&amp;sheet=A0&amp;row=248&amp;col=27&amp;number=&amp;sourceID=20","")</f>
        <v/>
      </c>
    </row>
    <row r="249" spans="1:27">
      <c r="A249" s="3">
        <v>2</v>
      </c>
      <c r="B249" s="3">
        <v>1</v>
      </c>
      <c r="C249" s="3">
        <v>24</v>
      </c>
      <c r="D249" s="3">
        <v>2</v>
      </c>
      <c r="E249" s="3">
        <f>((1/(INDEX(E0!J$4:J$28,C249,1)-INDEX(E0!J$4:J$28,D249,1))))*100000000</f>
        <v>0</v>
      </c>
      <c r="F249" s="4" t="str">
        <f>HYPERLINK("http://141.218.60.56/~jnz1568/getInfo.php?workbook=02_01.xlsx&amp;sheet=A0&amp;row=249&amp;col=6&amp;number=&amp;sourceID=18","")</f>
        <v/>
      </c>
      <c r="G249" s="4" t="str">
        <f>HYPERLINK("http://141.218.60.56/~jnz1568/getInfo.php?workbook=02_01.xlsx&amp;sheet=A0&amp;row=249&amp;col=7&amp;number==&amp;sourceID=11","=")</f>
        <v>=</v>
      </c>
      <c r="H249" s="4" t="str">
        <f>HYPERLINK("http://141.218.60.56/~jnz1568/getInfo.php?workbook=02_01.xlsx&amp;sheet=A0&amp;row=249&amp;col=8&amp;number=&amp;sourceID=11","")</f>
        <v/>
      </c>
      <c r="I249" s="4" t="str">
        <f>HYPERLINK("http://141.218.60.56/~jnz1568/getInfo.php?workbook=02_01.xlsx&amp;sheet=A0&amp;row=249&amp;col=9&amp;number=&amp;sourceID=11","")</f>
        <v/>
      </c>
      <c r="J249" s="4" t="str">
        <f>HYPERLINK("http://141.218.60.56/~jnz1568/getInfo.php?workbook=02_01.xlsx&amp;sheet=A0&amp;row=249&amp;col=10&amp;number=&amp;sourceID=11","")</f>
        <v/>
      </c>
      <c r="K249" s="4" t="str">
        <f>HYPERLINK("http://141.218.60.56/~jnz1568/getInfo.php?workbook=02_01.xlsx&amp;sheet=A0&amp;row=249&amp;col=11&amp;number=&amp;sourceID=11","")</f>
        <v/>
      </c>
      <c r="L249" s="4" t="str">
        <f>HYPERLINK("http://141.218.60.56/~jnz1568/getInfo.php?workbook=02_01.xlsx&amp;sheet=A0&amp;row=249&amp;col=12&amp;number=&amp;sourceID=11","")</f>
        <v/>
      </c>
      <c r="M249" s="4" t="str">
        <f>HYPERLINK("http://141.218.60.56/~jnz1568/getInfo.php?workbook=02_01.xlsx&amp;sheet=A0&amp;row=249&amp;col=13&amp;number=9.4494e-08&amp;sourceID=11","9.4494e-08")</f>
        <v>9.4494e-08</v>
      </c>
      <c r="N249" s="4" t="str">
        <f>HYPERLINK("http://141.218.60.56/~jnz1568/getInfo.php?workbook=02_01.xlsx&amp;sheet=A0&amp;row=249&amp;col=14&amp;number=9.4508e-08&amp;sourceID=12","9.4508e-08")</f>
        <v>9.4508e-08</v>
      </c>
      <c r="O249" s="4" t="str">
        <f>HYPERLINK("http://141.218.60.56/~jnz1568/getInfo.php?workbook=02_01.xlsx&amp;sheet=A0&amp;row=249&amp;col=15&amp;number=&amp;sourceID=12","")</f>
        <v/>
      </c>
      <c r="P249" s="4" t="str">
        <f>HYPERLINK("http://141.218.60.56/~jnz1568/getInfo.php?workbook=02_01.xlsx&amp;sheet=A0&amp;row=249&amp;col=16&amp;number=&amp;sourceID=12","")</f>
        <v/>
      </c>
      <c r="Q249" s="4" t="str">
        <f>HYPERLINK("http://141.218.60.56/~jnz1568/getInfo.php?workbook=02_01.xlsx&amp;sheet=A0&amp;row=249&amp;col=17&amp;number=&amp;sourceID=12","")</f>
        <v/>
      </c>
      <c r="R249" s="4" t="str">
        <f>HYPERLINK("http://141.218.60.56/~jnz1568/getInfo.php?workbook=02_01.xlsx&amp;sheet=A0&amp;row=249&amp;col=18&amp;number=&amp;sourceID=12","")</f>
        <v/>
      </c>
      <c r="S249" s="4" t="str">
        <f>HYPERLINK("http://141.218.60.56/~jnz1568/getInfo.php?workbook=02_01.xlsx&amp;sheet=A0&amp;row=249&amp;col=19&amp;number=&amp;sourceID=12","")</f>
        <v/>
      </c>
      <c r="T249" s="4" t="str">
        <f>HYPERLINK("http://141.218.60.56/~jnz1568/getInfo.php?workbook=02_01.xlsx&amp;sheet=A0&amp;row=249&amp;col=20&amp;number=9.4508e-08&amp;sourceID=12","9.4508e-08")</f>
        <v>9.4508e-08</v>
      </c>
      <c r="U249" s="4" t="str">
        <f>HYPERLINK("http://141.218.60.56/~jnz1568/getInfo.php?workbook=02_01.xlsx&amp;sheet=A0&amp;row=249&amp;col=21&amp;number=&amp;sourceID=13","")</f>
        <v/>
      </c>
      <c r="V249" s="4" t="str">
        <f>HYPERLINK("http://141.218.60.56/~jnz1568/getInfo.php?workbook=02_01.xlsx&amp;sheet=A0&amp;row=249&amp;col=22&amp;number=&amp;sourceID=13","")</f>
        <v/>
      </c>
      <c r="W249" s="4" t="str">
        <f>HYPERLINK("http://141.218.60.56/~jnz1568/getInfo.php?workbook=02_01.xlsx&amp;sheet=A0&amp;row=249&amp;col=23&amp;number=&amp;sourceID=13","")</f>
        <v/>
      </c>
      <c r="X249" s="4" t="str">
        <f>HYPERLINK("http://141.218.60.56/~jnz1568/getInfo.php?workbook=02_01.xlsx&amp;sheet=A0&amp;row=249&amp;col=24&amp;number=&amp;sourceID=13","")</f>
        <v/>
      </c>
      <c r="Y249" s="4" t="str">
        <f>HYPERLINK("http://141.218.60.56/~jnz1568/getInfo.php?workbook=02_01.xlsx&amp;sheet=A0&amp;row=249&amp;col=25&amp;number=&amp;sourceID=13","")</f>
        <v/>
      </c>
      <c r="Z249" s="4" t="str">
        <f>HYPERLINK("http://141.218.60.56/~jnz1568/getInfo.php?workbook=02_01.xlsx&amp;sheet=A0&amp;row=249&amp;col=26&amp;number=&amp;sourceID=13","")</f>
        <v/>
      </c>
      <c r="AA249" s="4" t="str">
        <f>HYPERLINK("http://141.218.60.56/~jnz1568/getInfo.php?workbook=02_01.xlsx&amp;sheet=A0&amp;row=249&amp;col=27&amp;number=&amp;sourceID=20","")</f>
        <v/>
      </c>
    </row>
    <row r="250" spans="1:27">
      <c r="A250" s="3">
        <v>2</v>
      </c>
      <c r="B250" s="3">
        <v>1</v>
      </c>
      <c r="C250" s="3">
        <v>24</v>
      </c>
      <c r="D250" s="3">
        <v>3</v>
      </c>
      <c r="E250" s="3">
        <f>((1/(INDEX(E0!J$4:J$28,C250,1)-INDEX(E0!J$4:J$28,D250,1))))*100000000</f>
        <v>0</v>
      </c>
      <c r="F250" s="4" t="str">
        <f>HYPERLINK("http://141.218.60.56/~jnz1568/getInfo.php?workbook=02_01.xlsx&amp;sheet=A0&amp;row=250&amp;col=6&amp;number=&amp;sourceID=18","")</f>
        <v/>
      </c>
      <c r="G250" s="4" t="str">
        <f>HYPERLINK("http://141.218.60.56/~jnz1568/getInfo.php?workbook=02_01.xlsx&amp;sheet=A0&amp;row=250&amp;col=7&amp;number==&amp;sourceID=11","=")</f>
        <v>=</v>
      </c>
      <c r="H250" s="4" t="str">
        <f>HYPERLINK("http://141.218.60.56/~jnz1568/getInfo.php?workbook=02_01.xlsx&amp;sheet=A0&amp;row=250&amp;col=8&amp;number=&amp;sourceID=11","")</f>
        <v/>
      </c>
      <c r="I250" s="4" t="str">
        <f>HYPERLINK("http://141.218.60.56/~jnz1568/getInfo.php?workbook=02_01.xlsx&amp;sheet=A0&amp;row=250&amp;col=9&amp;number=&amp;sourceID=11","")</f>
        <v/>
      </c>
      <c r="J250" s="4" t="str">
        <f>HYPERLINK("http://141.218.60.56/~jnz1568/getInfo.php?workbook=02_01.xlsx&amp;sheet=A0&amp;row=250&amp;col=10&amp;number=0.018048&amp;sourceID=11","0.018048")</f>
        <v>0.018048</v>
      </c>
      <c r="K250" s="4" t="str">
        <f>HYPERLINK("http://141.218.60.56/~jnz1568/getInfo.php?workbook=02_01.xlsx&amp;sheet=A0&amp;row=250&amp;col=11&amp;number=&amp;sourceID=11","")</f>
        <v/>
      </c>
      <c r="L250" s="4" t="str">
        <f>HYPERLINK("http://141.218.60.56/~jnz1568/getInfo.php?workbook=02_01.xlsx&amp;sheet=A0&amp;row=250&amp;col=12&amp;number=&amp;sourceID=11","")</f>
        <v/>
      </c>
      <c r="M250" s="4" t="str">
        <f>HYPERLINK("http://141.218.60.56/~jnz1568/getInfo.php?workbook=02_01.xlsx&amp;sheet=A0&amp;row=250&amp;col=13&amp;number=&amp;sourceID=11","")</f>
        <v/>
      </c>
      <c r="N250" s="4" t="str">
        <f>HYPERLINK("http://141.218.60.56/~jnz1568/getInfo.php?workbook=02_01.xlsx&amp;sheet=A0&amp;row=250&amp;col=14&amp;number=0.018051&amp;sourceID=12","0.018051")</f>
        <v>0.018051</v>
      </c>
      <c r="O250" s="4" t="str">
        <f>HYPERLINK("http://141.218.60.56/~jnz1568/getInfo.php?workbook=02_01.xlsx&amp;sheet=A0&amp;row=250&amp;col=15&amp;number=&amp;sourceID=12","")</f>
        <v/>
      </c>
      <c r="P250" s="4" t="str">
        <f>HYPERLINK("http://141.218.60.56/~jnz1568/getInfo.php?workbook=02_01.xlsx&amp;sheet=A0&amp;row=250&amp;col=16&amp;number=&amp;sourceID=12","")</f>
        <v/>
      </c>
      <c r="Q250" s="4" t="str">
        <f>HYPERLINK("http://141.218.60.56/~jnz1568/getInfo.php?workbook=02_01.xlsx&amp;sheet=A0&amp;row=250&amp;col=17&amp;number=0.018051&amp;sourceID=12","0.018051")</f>
        <v>0.018051</v>
      </c>
      <c r="R250" s="4" t="str">
        <f>HYPERLINK("http://141.218.60.56/~jnz1568/getInfo.php?workbook=02_01.xlsx&amp;sheet=A0&amp;row=250&amp;col=18&amp;number=&amp;sourceID=12","")</f>
        <v/>
      </c>
      <c r="S250" s="4" t="str">
        <f>HYPERLINK("http://141.218.60.56/~jnz1568/getInfo.php?workbook=02_01.xlsx&amp;sheet=A0&amp;row=250&amp;col=19&amp;number=&amp;sourceID=12","")</f>
        <v/>
      </c>
      <c r="T250" s="4" t="str">
        <f>HYPERLINK("http://141.218.60.56/~jnz1568/getInfo.php?workbook=02_01.xlsx&amp;sheet=A0&amp;row=250&amp;col=20&amp;number=&amp;sourceID=12","")</f>
        <v/>
      </c>
      <c r="U250" s="4" t="str">
        <f>HYPERLINK("http://141.218.60.56/~jnz1568/getInfo.php?workbook=02_01.xlsx&amp;sheet=A0&amp;row=250&amp;col=21&amp;number=&amp;sourceID=13","")</f>
        <v/>
      </c>
      <c r="V250" s="4" t="str">
        <f>HYPERLINK("http://141.218.60.56/~jnz1568/getInfo.php?workbook=02_01.xlsx&amp;sheet=A0&amp;row=250&amp;col=22&amp;number=&amp;sourceID=13","")</f>
        <v/>
      </c>
      <c r="W250" s="4" t="str">
        <f>HYPERLINK("http://141.218.60.56/~jnz1568/getInfo.php?workbook=02_01.xlsx&amp;sheet=A0&amp;row=250&amp;col=23&amp;number=&amp;sourceID=13","")</f>
        <v/>
      </c>
      <c r="X250" s="4" t="str">
        <f>HYPERLINK("http://141.218.60.56/~jnz1568/getInfo.php?workbook=02_01.xlsx&amp;sheet=A0&amp;row=250&amp;col=24&amp;number=&amp;sourceID=13","")</f>
        <v/>
      </c>
      <c r="Y250" s="4" t="str">
        <f>HYPERLINK("http://141.218.60.56/~jnz1568/getInfo.php?workbook=02_01.xlsx&amp;sheet=A0&amp;row=250&amp;col=25&amp;number=&amp;sourceID=13","")</f>
        <v/>
      </c>
      <c r="Z250" s="4" t="str">
        <f>HYPERLINK("http://141.218.60.56/~jnz1568/getInfo.php?workbook=02_01.xlsx&amp;sheet=A0&amp;row=250&amp;col=26&amp;number=&amp;sourceID=13","")</f>
        <v/>
      </c>
      <c r="AA250" s="4" t="str">
        <f>HYPERLINK("http://141.218.60.56/~jnz1568/getInfo.php?workbook=02_01.xlsx&amp;sheet=A0&amp;row=250&amp;col=27&amp;number=&amp;sourceID=20","")</f>
        <v/>
      </c>
    </row>
    <row r="251" spans="1:27">
      <c r="A251" s="3">
        <v>2</v>
      </c>
      <c r="B251" s="3">
        <v>1</v>
      </c>
      <c r="C251" s="3">
        <v>24</v>
      </c>
      <c r="D251" s="3">
        <v>4</v>
      </c>
      <c r="E251" s="3">
        <f>((1/(INDEX(E0!J$4:J$28,C251,1)-INDEX(E0!J$4:J$28,D251,1))))*100000000</f>
        <v>0</v>
      </c>
      <c r="F251" s="4" t="str">
        <f>HYPERLINK("http://141.218.60.56/~jnz1568/getInfo.php?workbook=02_01.xlsx&amp;sheet=A0&amp;row=251&amp;col=6&amp;number=&amp;sourceID=18","")</f>
        <v/>
      </c>
      <c r="G251" s="4" t="str">
        <f>HYPERLINK("http://141.218.60.56/~jnz1568/getInfo.php?workbook=02_01.xlsx&amp;sheet=A0&amp;row=251&amp;col=7&amp;number==&amp;sourceID=11","=")</f>
        <v>=</v>
      </c>
      <c r="H251" s="4" t="str">
        <f>HYPERLINK("http://141.218.60.56/~jnz1568/getInfo.php?workbook=02_01.xlsx&amp;sheet=A0&amp;row=251&amp;col=8&amp;number=&amp;sourceID=11","")</f>
        <v/>
      </c>
      <c r="I251" s="4" t="str">
        <f>HYPERLINK("http://141.218.60.56/~jnz1568/getInfo.php?workbook=02_01.xlsx&amp;sheet=A0&amp;row=251&amp;col=9&amp;number=2644.2&amp;sourceID=11","2644.2")</f>
        <v>2644.2</v>
      </c>
      <c r="J251" s="4" t="str">
        <f>HYPERLINK("http://141.218.60.56/~jnz1568/getInfo.php?workbook=02_01.xlsx&amp;sheet=A0&amp;row=251&amp;col=10&amp;number=&amp;sourceID=11","")</f>
        <v/>
      </c>
      <c r="K251" s="4" t="str">
        <f>HYPERLINK("http://141.218.60.56/~jnz1568/getInfo.php?workbook=02_01.xlsx&amp;sheet=A0&amp;row=251&amp;col=11&amp;number=&amp;sourceID=11","")</f>
        <v/>
      </c>
      <c r="L251" s="4" t="str">
        <f>HYPERLINK("http://141.218.60.56/~jnz1568/getInfo.php?workbook=02_01.xlsx&amp;sheet=A0&amp;row=251&amp;col=12&amp;number=&amp;sourceID=11","")</f>
        <v/>
      </c>
      <c r="M251" s="4" t="str">
        <f>HYPERLINK("http://141.218.60.56/~jnz1568/getInfo.php?workbook=02_01.xlsx&amp;sheet=A0&amp;row=251&amp;col=13&amp;number=2.8344e-07&amp;sourceID=11","2.8344e-07")</f>
        <v>2.8344e-07</v>
      </c>
      <c r="N251" s="4" t="str">
        <f>HYPERLINK("http://141.218.60.56/~jnz1568/getInfo.php?workbook=02_01.xlsx&amp;sheet=A0&amp;row=251&amp;col=14&amp;number=2644.5&amp;sourceID=12","2644.5")</f>
        <v>2644.5</v>
      </c>
      <c r="O251" s="4" t="str">
        <f>HYPERLINK("http://141.218.60.56/~jnz1568/getInfo.php?workbook=02_01.xlsx&amp;sheet=A0&amp;row=251&amp;col=15&amp;number=&amp;sourceID=12","")</f>
        <v/>
      </c>
      <c r="P251" s="4" t="str">
        <f>HYPERLINK("http://141.218.60.56/~jnz1568/getInfo.php?workbook=02_01.xlsx&amp;sheet=A0&amp;row=251&amp;col=16&amp;number=2644.5&amp;sourceID=12","2644.5")</f>
        <v>2644.5</v>
      </c>
      <c r="Q251" s="4" t="str">
        <f>HYPERLINK("http://141.218.60.56/~jnz1568/getInfo.php?workbook=02_01.xlsx&amp;sheet=A0&amp;row=251&amp;col=17&amp;number=&amp;sourceID=12","")</f>
        <v/>
      </c>
      <c r="R251" s="4" t="str">
        <f>HYPERLINK("http://141.218.60.56/~jnz1568/getInfo.php?workbook=02_01.xlsx&amp;sheet=A0&amp;row=251&amp;col=18&amp;number=&amp;sourceID=12","")</f>
        <v/>
      </c>
      <c r="S251" s="4" t="str">
        <f>HYPERLINK("http://141.218.60.56/~jnz1568/getInfo.php?workbook=02_01.xlsx&amp;sheet=A0&amp;row=251&amp;col=19&amp;number=&amp;sourceID=12","")</f>
        <v/>
      </c>
      <c r="T251" s="4" t="str">
        <f>HYPERLINK("http://141.218.60.56/~jnz1568/getInfo.php?workbook=02_01.xlsx&amp;sheet=A0&amp;row=251&amp;col=20&amp;number=2.8348e-07&amp;sourceID=12","2.8348e-07")</f>
        <v>2.8348e-07</v>
      </c>
      <c r="U251" s="4" t="str">
        <f>HYPERLINK("http://141.218.60.56/~jnz1568/getInfo.php?workbook=02_01.xlsx&amp;sheet=A0&amp;row=251&amp;col=21&amp;number=&amp;sourceID=13","")</f>
        <v/>
      </c>
      <c r="V251" s="4" t="str">
        <f>HYPERLINK("http://141.218.60.56/~jnz1568/getInfo.php?workbook=02_01.xlsx&amp;sheet=A0&amp;row=251&amp;col=22&amp;number=&amp;sourceID=13","")</f>
        <v/>
      </c>
      <c r="W251" s="4" t="str">
        <f>HYPERLINK("http://141.218.60.56/~jnz1568/getInfo.php?workbook=02_01.xlsx&amp;sheet=A0&amp;row=251&amp;col=23&amp;number=&amp;sourceID=13","")</f>
        <v/>
      </c>
      <c r="X251" s="4" t="str">
        <f>HYPERLINK("http://141.218.60.56/~jnz1568/getInfo.php?workbook=02_01.xlsx&amp;sheet=A0&amp;row=251&amp;col=24&amp;number=&amp;sourceID=13","")</f>
        <v/>
      </c>
      <c r="Y251" s="4" t="str">
        <f>HYPERLINK("http://141.218.60.56/~jnz1568/getInfo.php?workbook=02_01.xlsx&amp;sheet=A0&amp;row=251&amp;col=25&amp;number=&amp;sourceID=13","")</f>
        <v/>
      </c>
      <c r="Z251" s="4" t="str">
        <f>HYPERLINK("http://141.218.60.56/~jnz1568/getInfo.php?workbook=02_01.xlsx&amp;sheet=A0&amp;row=251&amp;col=26&amp;number=&amp;sourceID=13","")</f>
        <v/>
      </c>
      <c r="AA251" s="4" t="str">
        <f>HYPERLINK("http://141.218.60.56/~jnz1568/getInfo.php?workbook=02_01.xlsx&amp;sheet=A0&amp;row=251&amp;col=27&amp;number=&amp;sourceID=20","")</f>
        <v/>
      </c>
    </row>
    <row r="252" spans="1:27">
      <c r="A252" s="3">
        <v>2</v>
      </c>
      <c r="B252" s="3">
        <v>1</v>
      </c>
      <c r="C252" s="3">
        <v>24</v>
      </c>
      <c r="D252" s="3">
        <v>5</v>
      </c>
      <c r="E252" s="3">
        <f>((1/(INDEX(E0!J$4:J$28,C252,1)-INDEX(E0!J$4:J$28,D252,1))))*100000000</f>
        <v>0</v>
      </c>
      <c r="F252" s="4" t="str">
        <f>HYPERLINK("http://141.218.60.56/~jnz1568/getInfo.php?workbook=02_01.xlsx&amp;sheet=A0&amp;row=252&amp;col=6&amp;number=&amp;sourceID=18","")</f>
        <v/>
      </c>
      <c r="G252" s="4" t="str">
        <f>HYPERLINK("http://141.218.60.56/~jnz1568/getInfo.php?workbook=02_01.xlsx&amp;sheet=A0&amp;row=252&amp;col=7&amp;number==&amp;sourceID=11","=")</f>
        <v>=</v>
      </c>
      <c r="H252" s="4" t="str">
        <f>HYPERLINK("http://141.218.60.56/~jnz1568/getInfo.php?workbook=02_01.xlsx&amp;sheet=A0&amp;row=252&amp;col=8&amp;number=&amp;sourceID=11","")</f>
        <v/>
      </c>
      <c r="I252" s="4" t="str">
        <f>HYPERLINK("http://141.218.60.56/~jnz1568/getInfo.php?workbook=02_01.xlsx&amp;sheet=A0&amp;row=252&amp;col=9&amp;number=&amp;sourceID=11","")</f>
        <v/>
      </c>
      <c r="J252" s="4" t="str">
        <f>HYPERLINK("http://141.218.60.56/~jnz1568/getInfo.php?workbook=02_01.xlsx&amp;sheet=A0&amp;row=252&amp;col=10&amp;number=&amp;sourceID=11","")</f>
        <v/>
      </c>
      <c r="K252" s="4" t="str">
        <f>HYPERLINK("http://141.218.60.56/~jnz1568/getInfo.php?workbook=02_01.xlsx&amp;sheet=A0&amp;row=252&amp;col=11&amp;number=&amp;sourceID=11","")</f>
        <v/>
      </c>
      <c r="L252" s="4" t="str">
        <f>HYPERLINK("http://141.218.60.56/~jnz1568/getInfo.php?workbook=02_01.xlsx&amp;sheet=A0&amp;row=252&amp;col=12&amp;number=&amp;sourceID=11","")</f>
        <v/>
      </c>
      <c r="M252" s="4" t="str">
        <f>HYPERLINK("http://141.218.60.56/~jnz1568/getInfo.php?workbook=02_01.xlsx&amp;sheet=A0&amp;row=252&amp;col=13&amp;number=6.803e-12&amp;sourceID=11","6.803e-12")</f>
        <v>6.803e-12</v>
      </c>
      <c r="N252" s="4" t="str">
        <f>HYPERLINK("http://141.218.60.56/~jnz1568/getInfo.php?workbook=02_01.xlsx&amp;sheet=A0&amp;row=252&amp;col=14&amp;number=6.804e-12&amp;sourceID=12","6.804e-12")</f>
        <v>6.804e-12</v>
      </c>
      <c r="O252" s="4" t="str">
        <f>HYPERLINK("http://141.218.60.56/~jnz1568/getInfo.php?workbook=02_01.xlsx&amp;sheet=A0&amp;row=252&amp;col=15&amp;number=&amp;sourceID=12","")</f>
        <v/>
      </c>
      <c r="P252" s="4" t="str">
        <f>HYPERLINK("http://141.218.60.56/~jnz1568/getInfo.php?workbook=02_01.xlsx&amp;sheet=A0&amp;row=252&amp;col=16&amp;number=&amp;sourceID=12","")</f>
        <v/>
      </c>
      <c r="Q252" s="4" t="str">
        <f>HYPERLINK("http://141.218.60.56/~jnz1568/getInfo.php?workbook=02_01.xlsx&amp;sheet=A0&amp;row=252&amp;col=17&amp;number=&amp;sourceID=12","")</f>
        <v/>
      </c>
      <c r="R252" s="4" t="str">
        <f>HYPERLINK("http://141.218.60.56/~jnz1568/getInfo.php?workbook=02_01.xlsx&amp;sheet=A0&amp;row=252&amp;col=18&amp;number=&amp;sourceID=12","")</f>
        <v/>
      </c>
      <c r="S252" s="4" t="str">
        <f>HYPERLINK("http://141.218.60.56/~jnz1568/getInfo.php?workbook=02_01.xlsx&amp;sheet=A0&amp;row=252&amp;col=19&amp;number=&amp;sourceID=12","")</f>
        <v/>
      </c>
      <c r="T252" s="4" t="str">
        <f>HYPERLINK("http://141.218.60.56/~jnz1568/getInfo.php?workbook=02_01.xlsx&amp;sheet=A0&amp;row=252&amp;col=20&amp;number=6.804e-12&amp;sourceID=12","6.804e-12")</f>
        <v>6.804e-12</v>
      </c>
      <c r="U252" s="4" t="str">
        <f>HYPERLINK("http://141.218.60.56/~jnz1568/getInfo.php?workbook=02_01.xlsx&amp;sheet=A0&amp;row=252&amp;col=21&amp;number=&amp;sourceID=13","")</f>
        <v/>
      </c>
      <c r="V252" s="4" t="str">
        <f>HYPERLINK("http://141.218.60.56/~jnz1568/getInfo.php?workbook=02_01.xlsx&amp;sheet=A0&amp;row=252&amp;col=22&amp;number=&amp;sourceID=13","")</f>
        <v/>
      </c>
      <c r="W252" s="4" t="str">
        <f>HYPERLINK("http://141.218.60.56/~jnz1568/getInfo.php?workbook=02_01.xlsx&amp;sheet=A0&amp;row=252&amp;col=23&amp;number=&amp;sourceID=13","")</f>
        <v/>
      </c>
      <c r="X252" s="4" t="str">
        <f>HYPERLINK("http://141.218.60.56/~jnz1568/getInfo.php?workbook=02_01.xlsx&amp;sheet=A0&amp;row=252&amp;col=24&amp;number=&amp;sourceID=13","")</f>
        <v/>
      </c>
      <c r="Y252" s="4" t="str">
        <f>HYPERLINK("http://141.218.60.56/~jnz1568/getInfo.php?workbook=02_01.xlsx&amp;sheet=A0&amp;row=252&amp;col=25&amp;number=&amp;sourceID=13","")</f>
        <v/>
      </c>
      <c r="Z252" s="4" t="str">
        <f>HYPERLINK("http://141.218.60.56/~jnz1568/getInfo.php?workbook=02_01.xlsx&amp;sheet=A0&amp;row=252&amp;col=26&amp;number=&amp;sourceID=13","")</f>
        <v/>
      </c>
      <c r="AA252" s="4" t="str">
        <f>HYPERLINK("http://141.218.60.56/~jnz1568/getInfo.php?workbook=02_01.xlsx&amp;sheet=A0&amp;row=252&amp;col=27&amp;number=&amp;sourceID=20","")</f>
        <v/>
      </c>
    </row>
    <row r="253" spans="1:27">
      <c r="A253" s="3">
        <v>2</v>
      </c>
      <c r="B253" s="3">
        <v>1</v>
      </c>
      <c r="C253" s="3">
        <v>24</v>
      </c>
      <c r="D253" s="3">
        <v>6</v>
      </c>
      <c r="E253" s="3">
        <f>((1/(INDEX(E0!J$4:J$28,C253,1)-INDEX(E0!J$4:J$28,D253,1))))*100000000</f>
        <v>0</v>
      </c>
      <c r="F253" s="4" t="str">
        <f>HYPERLINK("http://141.218.60.56/~jnz1568/getInfo.php?workbook=02_01.xlsx&amp;sheet=A0&amp;row=253&amp;col=6&amp;number=&amp;sourceID=18","")</f>
        <v/>
      </c>
      <c r="G253" s="4" t="str">
        <f>HYPERLINK("http://141.218.60.56/~jnz1568/getInfo.php?workbook=02_01.xlsx&amp;sheet=A0&amp;row=253&amp;col=7&amp;number==&amp;sourceID=11","=")</f>
        <v>=</v>
      </c>
      <c r="H253" s="4" t="str">
        <f>HYPERLINK("http://141.218.60.56/~jnz1568/getInfo.php?workbook=02_01.xlsx&amp;sheet=A0&amp;row=253&amp;col=8&amp;number=&amp;sourceID=11","")</f>
        <v/>
      </c>
      <c r="I253" s="4" t="str">
        <f>HYPERLINK("http://141.218.60.56/~jnz1568/getInfo.php?workbook=02_01.xlsx&amp;sheet=A0&amp;row=253&amp;col=9&amp;number=&amp;sourceID=11","")</f>
        <v/>
      </c>
      <c r="J253" s="4" t="str">
        <f>HYPERLINK("http://141.218.60.56/~jnz1568/getInfo.php?workbook=02_01.xlsx&amp;sheet=A0&amp;row=253&amp;col=10&amp;number=0.00027254&amp;sourceID=11","0.00027254")</f>
        <v>0.00027254</v>
      </c>
      <c r="K253" s="4" t="str">
        <f>HYPERLINK("http://141.218.60.56/~jnz1568/getInfo.php?workbook=02_01.xlsx&amp;sheet=A0&amp;row=253&amp;col=11&amp;number=&amp;sourceID=11","")</f>
        <v/>
      </c>
      <c r="L253" s="4" t="str">
        <f>HYPERLINK("http://141.218.60.56/~jnz1568/getInfo.php?workbook=02_01.xlsx&amp;sheet=A0&amp;row=253&amp;col=12&amp;number=&amp;sourceID=11","")</f>
        <v/>
      </c>
      <c r="M253" s="4" t="str">
        <f>HYPERLINK("http://141.218.60.56/~jnz1568/getInfo.php?workbook=02_01.xlsx&amp;sheet=A0&amp;row=253&amp;col=13&amp;number=&amp;sourceID=11","")</f>
        <v/>
      </c>
      <c r="N253" s="4" t="str">
        <f>HYPERLINK("http://141.218.60.56/~jnz1568/getInfo.php?workbook=02_01.xlsx&amp;sheet=A0&amp;row=253&amp;col=14&amp;number=0.00027257&amp;sourceID=12","0.00027257")</f>
        <v>0.00027257</v>
      </c>
      <c r="O253" s="4" t="str">
        <f>HYPERLINK("http://141.218.60.56/~jnz1568/getInfo.php?workbook=02_01.xlsx&amp;sheet=A0&amp;row=253&amp;col=15&amp;number=&amp;sourceID=12","")</f>
        <v/>
      </c>
      <c r="P253" s="4" t="str">
        <f>HYPERLINK("http://141.218.60.56/~jnz1568/getInfo.php?workbook=02_01.xlsx&amp;sheet=A0&amp;row=253&amp;col=16&amp;number=&amp;sourceID=12","")</f>
        <v/>
      </c>
      <c r="Q253" s="4" t="str">
        <f>HYPERLINK("http://141.218.60.56/~jnz1568/getInfo.php?workbook=02_01.xlsx&amp;sheet=A0&amp;row=253&amp;col=17&amp;number=0.00027257&amp;sourceID=12","0.00027257")</f>
        <v>0.00027257</v>
      </c>
      <c r="R253" s="4" t="str">
        <f>HYPERLINK("http://141.218.60.56/~jnz1568/getInfo.php?workbook=02_01.xlsx&amp;sheet=A0&amp;row=253&amp;col=18&amp;number=&amp;sourceID=12","")</f>
        <v/>
      </c>
      <c r="S253" s="4" t="str">
        <f>HYPERLINK("http://141.218.60.56/~jnz1568/getInfo.php?workbook=02_01.xlsx&amp;sheet=A0&amp;row=253&amp;col=19&amp;number=&amp;sourceID=12","")</f>
        <v/>
      </c>
      <c r="T253" s="4" t="str">
        <f>HYPERLINK("http://141.218.60.56/~jnz1568/getInfo.php?workbook=02_01.xlsx&amp;sheet=A0&amp;row=253&amp;col=20&amp;number=&amp;sourceID=12","")</f>
        <v/>
      </c>
      <c r="U253" s="4" t="str">
        <f>HYPERLINK("http://141.218.60.56/~jnz1568/getInfo.php?workbook=02_01.xlsx&amp;sheet=A0&amp;row=253&amp;col=21&amp;number=&amp;sourceID=13","")</f>
        <v/>
      </c>
      <c r="V253" s="4" t="str">
        <f>HYPERLINK("http://141.218.60.56/~jnz1568/getInfo.php?workbook=02_01.xlsx&amp;sheet=A0&amp;row=253&amp;col=22&amp;number=&amp;sourceID=13","")</f>
        <v/>
      </c>
      <c r="W253" s="4" t="str">
        <f>HYPERLINK("http://141.218.60.56/~jnz1568/getInfo.php?workbook=02_01.xlsx&amp;sheet=A0&amp;row=253&amp;col=23&amp;number=&amp;sourceID=13","")</f>
        <v/>
      </c>
      <c r="X253" s="4" t="str">
        <f>HYPERLINK("http://141.218.60.56/~jnz1568/getInfo.php?workbook=02_01.xlsx&amp;sheet=A0&amp;row=253&amp;col=24&amp;number=&amp;sourceID=13","")</f>
        <v/>
      </c>
      <c r="Y253" s="4" t="str">
        <f>HYPERLINK("http://141.218.60.56/~jnz1568/getInfo.php?workbook=02_01.xlsx&amp;sheet=A0&amp;row=253&amp;col=25&amp;number=&amp;sourceID=13","")</f>
        <v/>
      </c>
      <c r="Z253" s="4" t="str">
        <f>HYPERLINK("http://141.218.60.56/~jnz1568/getInfo.php?workbook=02_01.xlsx&amp;sheet=A0&amp;row=253&amp;col=26&amp;number=&amp;sourceID=13","")</f>
        <v/>
      </c>
      <c r="AA253" s="4" t="str">
        <f>HYPERLINK("http://141.218.60.56/~jnz1568/getInfo.php?workbook=02_01.xlsx&amp;sheet=A0&amp;row=253&amp;col=27&amp;number=&amp;sourceID=20","")</f>
        <v/>
      </c>
    </row>
    <row r="254" spans="1:27">
      <c r="A254" s="3">
        <v>2</v>
      </c>
      <c r="B254" s="3">
        <v>1</v>
      </c>
      <c r="C254" s="3">
        <v>24</v>
      </c>
      <c r="D254" s="3">
        <v>7</v>
      </c>
      <c r="E254" s="3">
        <f>((1/(INDEX(E0!J$4:J$28,C254,1)-INDEX(E0!J$4:J$28,D254,1))))*100000000</f>
        <v>0</v>
      </c>
      <c r="F254" s="4" t="str">
        <f>HYPERLINK("http://141.218.60.56/~jnz1568/getInfo.php?workbook=02_01.xlsx&amp;sheet=A0&amp;row=254&amp;col=6&amp;number=&amp;sourceID=18","")</f>
        <v/>
      </c>
      <c r="G254" s="4" t="str">
        <f>HYPERLINK("http://141.218.60.56/~jnz1568/getInfo.php?workbook=02_01.xlsx&amp;sheet=A0&amp;row=254&amp;col=7&amp;number==&amp;sourceID=11","=")</f>
        <v>=</v>
      </c>
      <c r="H254" s="4" t="str">
        <f>HYPERLINK("http://141.218.60.56/~jnz1568/getInfo.php?workbook=02_01.xlsx&amp;sheet=A0&amp;row=254&amp;col=8&amp;number=&amp;sourceID=11","")</f>
        <v/>
      </c>
      <c r="I254" s="4" t="str">
        <f>HYPERLINK("http://141.218.60.56/~jnz1568/getInfo.php?workbook=02_01.xlsx&amp;sheet=A0&amp;row=254&amp;col=9&amp;number=&amp;sourceID=11","")</f>
        <v/>
      </c>
      <c r="J254" s="4" t="str">
        <f>HYPERLINK("http://141.218.60.56/~jnz1568/getInfo.php?workbook=02_01.xlsx&amp;sheet=A0&amp;row=254&amp;col=10&amp;number=2.9776e-06&amp;sourceID=11","2.9776e-06")</f>
        <v>2.9776e-06</v>
      </c>
      <c r="K254" s="4" t="str">
        <f>HYPERLINK("http://141.218.60.56/~jnz1568/getInfo.php?workbook=02_01.xlsx&amp;sheet=A0&amp;row=254&amp;col=11&amp;number=&amp;sourceID=11","")</f>
        <v/>
      </c>
      <c r="L254" s="4" t="str">
        <f>HYPERLINK("http://141.218.60.56/~jnz1568/getInfo.php?workbook=02_01.xlsx&amp;sheet=A0&amp;row=254&amp;col=12&amp;number=0.00022243&amp;sourceID=11","0.00022243")</f>
        <v>0.00022243</v>
      </c>
      <c r="M254" s="4" t="str">
        <f>HYPERLINK("http://141.218.60.56/~jnz1568/getInfo.php?workbook=02_01.xlsx&amp;sheet=A0&amp;row=254&amp;col=13&amp;number=&amp;sourceID=11","")</f>
        <v/>
      </c>
      <c r="N254" s="4" t="str">
        <f>HYPERLINK("http://141.218.60.56/~jnz1568/getInfo.php?workbook=02_01.xlsx&amp;sheet=A0&amp;row=254&amp;col=14&amp;number=0.00022544&amp;sourceID=12","0.00022544")</f>
        <v>0.00022544</v>
      </c>
      <c r="O254" s="4" t="str">
        <f>HYPERLINK("http://141.218.60.56/~jnz1568/getInfo.php?workbook=02_01.xlsx&amp;sheet=A0&amp;row=254&amp;col=15&amp;number=&amp;sourceID=12","")</f>
        <v/>
      </c>
      <c r="P254" s="4" t="str">
        <f>HYPERLINK("http://141.218.60.56/~jnz1568/getInfo.php?workbook=02_01.xlsx&amp;sheet=A0&amp;row=254&amp;col=16&amp;number=&amp;sourceID=12","")</f>
        <v/>
      </c>
      <c r="Q254" s="4" t="str">
        <f>HYPERLINK("http://141.218.60.56/~jnz1568/getInfo.php?workbook=02_01.xlsx&amp;sheet=A0&amp;row=254&amp;col=17&amp;number=2.9781e-06&amp;sourceID=12","2.9781e-06")</f>
        <v>2.9781e-06</v>
      </c>
      <c r="R254" s="4" t="str">
        <f>HYPERLINK("http://141.218.60.56/~jnz1568/getInfo.php?workbook=02_01.xlsx&amp;sheet=A0&amp;row=254&amp;col=18&amp;number=&amp;sourceID=12","")</f>
        <v/>
      </c>
      <c r="S254" s="4" t="str">
        <f>HYPERLINK("http://141.218.60.56/~jnz1568/getInfo.php?workbook=02_01.xlsx&amp;sheet=A0&amp;row=254&amp;col=19&amp;number=0.00022246&amp;sourceID=12","0.00022246")</f>
        <v>0.00022246</v>
      </c>
      <c r="T254" s="4" t="str">
        <f>HYPERLINK("http://141.218.60.56/~jnz1568/getInfo.php?workbook=02_01.xlsx&amp;sheet=A0&amp;row=254&amp;col=20&amp;number=&amp;sourceID=12","")</f>
        <v/>
      </c>
      <c r="U254" s="4" t="str">
        <f>HYPERLINK("http://141.218.60.56/~jnz1568/getInfo.php?workbook=02_01.xlsx&amp;sheet=A0&amp;row=254&amp;col=21&amp;number=&amp;sourceID=13","")</f>
        <v/>
      </c>
      <c r="V254" s="4" t="str">
        <f>HYPERLINK("http://141.218.60.56/~jnz1568/getInfo.php?workbook=02_01.xlsx&amp;sheet=A0&amp;row=254&amp;col=22&amp;number=&amp;sourceID=13","")</f>
        <v/>
      </c>
      <c r="W254" s="4" t="str">
        <f>HYPERLINK("http://141.218.60.56/~jnz1568/getInfo.php?workbook=02_01.xlsx&amp;sheet=A0&amp;row=254&amp;col=23&amp;number=&amp;sourceID=13","")</f>
        <v/>
      </c>
      <c r="X254" s="4" t="str">
        <f>HYPERLINK("http://141.218.60.56/~jnz1568/getInfo.php?workbook=02_01.xlsx&amp;sheet=A0&amp;row=254&amp;col=24&amp;number=&amp;sourceID=13","")</f>
        <v/>
      </c>
      <c r="Y254" s="4" t="str">
        <f>HYPERLINK("http://141.218.60.56/~jnz1568/getInfo.php?workbook=02_01.xlsx&amp;sheet=A0&amp;row=254&amp;col=25&amp;number=&amp;sourceID=13","")</f>
        <v/>
      </c>
      <c r="Z254" s="4" t="str">
        <f>HYPERLINK("http://141.218.60.56/~jnz1568/getInfo.php?workbook=02_01.xlsx&amp;sheet=A0&amp;row=254&amp;col=26&amp;number=&amp;sourceID=13","")</f>
        <v/>
      </c>
      <c r="AA254" s="4" t="str">
        <f>HYPERLINK("http://141.218.60.56/~jnz1568/getInfo.php?workbook=02_01.xlsx&amp;sheet=A0&amp;row=254&amp;col=27&amp;number=&amp;sourceID=20","")</f>
        <v/>
      </c>
    </row>
    <row r="255" spans="1:27">
      <c r="A255" s="3">
        <v>2</v>
      </c>
      <c r="B255" s="3">
        <v>1</v>
      </c>
      <c r="C255" s="3">
        <v>24</v>
      </c>
      <c r="D255" s="3">
        <v>8</v>
      </c>
      <c r="E255" s="3">
        <f>((1/(INDEX(E0!J$4:J$28,C255,1)-INDEX(E0!J$4:J$28,D255,1))))*100000000</f>
        <v>0</v>
      </c>
      <c r="F255" s="4" t="str">
        <f>HYPERLINK("http://141.218.60.56/~jnz1568/getInfo.php?workbook=02_01.xlsx&amp;sheet=A0&amp;row=255&amp;col=6&amp;number=&amp;sourceID=18","")</f>
        <v/>
      </c>
      <c r="G255" s="4" t="str">
        <f>HYPERLINK("http://141.218.60.56/~jnz1568/getInfo.php?workbook=02_01.xlsx&amp;sheet=A0&amp;row=255&amp;col=7&amp;number==&amp;sourceID=11","=")</f>
        <v>=</v>
      </c>
      <c r="H255" s="4" t="str">
        <f>HYPERLINK("http://141.218.60.56/~jnz1568/getInfo.php?workbook=02_01.xlsx&amp;sheet=A0&amp;row=255&amp;col=8&amp;number=&amp;sourceID=11","")</f>
        <v/>
      </c>
      <c r="I255" s="4" t="str">
        <f>HYPERLINK("http://141.218.60.56/~jnz1568/getInfo.php?workbook=02_01.xlsx&amp;sheet=A0&amp;row=255&amp;col=9&amp;number=1.654&amp;sourceID=11","1.654")</f>
        <v>1.654</v>
      </c>
      <c r="J255" s="4" t="str">
        <f>HYPERLINK("http://141.218.60.56/~jnz1568/getInfo.php?workbook=02_01.xlsx&amp;sheet=A0&amp;row=255&amp;col=10&amp;number=&amp;sourceID=11","")</f>
        <v/>
      </c>
      <c r="K255" s="4" t="str">
        <f>HYPERLINK("http://141.218.60.56/~jnz1568/getInfo.php?workbook=02_01.xlsx&amp;sheet=A0&amp;row=255&amp;col=11&amp;number=&amp;sourceID=11","")</f>
        <v/>
      </c>
      <c r="L255" s="4" t="str">
        <f>HYPERLINK("http://141.218.60.56/~jnz1568/getInfo.php?workbook=02_01.xlsx&amp;sheet=A0&amp;row=255&amp;col=12&amp;number=&amp;sourceID=11","")</f>
        <v/>
      </c>
      <c r="M255" s="4" t="str">
        <f>HYPERLINK("http://141.218.60.56/~jnz1568/getInfo.php?workbook=02_01.xlsx&amp;sheet=A0&amp;row=255&amp;col=13&amp;number=2.0329e-11&amp;sourceID=11","2.0329e-11")</f>
        <v>2.0329e-11</v>
      </c>
      <c r="N255" s="4" t="str">
        <f>HYPERLINK("http://141.218.60.56/~jnz1568/getInfo.php?workbook=02_01.xlsx&amp;sheet=A0&amp;row=255&amp;col=14&amp;number=1.6543&amp;sourceID=12","1.6543")</f>
        <v>1.6543</v>
      </c>
      <c r="O255" s="4" t="str">
        <f>HYPERLINK("http://141.218.60.56/~jnz1568/getInfo.php?workbook=02_01.xlsx&amp;sheet=A0&amp;row=255&amp;col=15&amp;number=&amp;sourceID=12","")</f>
        <v/>
      </c>
      <c r="P255" s="4" t="str">
        <f>HYPERLINK("http://141.218.60.56/~jnz1568/getInfo.php?workbook=02_01.xlsx&amp;sheet=A0&amp;row=255&amp;col=16&amp;number=1.6543&amp;sourceID=12","1.6543")</f>
        <v>1.6543</v>
      </c>
      <c r="Q255" s="4" t="str">
        <f>HYPERLINK("http://141.218.60.56/~jnz1568/getInfo.php?workbook=02_01.xlsx&amp;sheet=A0&amp;row=255&amp;col=17&amp;number=&amp;sourceID=12","")</f>
        <v/>
      </c>
      <c r="R255" s="4" t="str">
        <f>HYPERLINK("http://141.218.60.56/~jnz1568/getInfo.php?workbook=02_01.xlsx&amp;sheet=A0&amp;row=255&amp;col=18&amp;number=&amp;sourceID=12","")</f>
        <v/>
      </c>
      <c r="S255" s="4" t="str">
        <f>HYPERLINK("http://141.218.60.56/~jnz1568/getInfo.php?workbook=02_01.xlsx&amp;sheet=A0&amp;row=255&amp;col=19&amp;number=&amp;sourceID=12","")</f>
        <v/>
      </c>
      <c r="T255" s="4" t="str">
        <f>HYPERLINK("http://141.218.60.56/~jnz1568/getInfo.php?workbook=02_01.xlsx&amp;sheet=A0&amp;row=255&amp;col=20&amp;number=2.0332e-11&amp;sourceID=12","2.0332e-11")</f>
        <v>2.0332e-11</v>
      </c>
      <c r="U255" s="4" t="str">
        <f>HYPERLINK("http://141.218.60.56/~jnz1568/getInfo.php?workbook=02_01.xlsx&amp;sheet=A0&amp;row=255&amp;col=21&amp;number=&amp;sourceID=13","")</f>
        <v/>
      </c>
      <c r="V255" s="4" t="str">
        <f>HYPERLINK("http://141.218.60.56/~jnz1568/getInfo.php?workbook=02_01.xlsx&amp;sheet=A0&amp;row=255&amp;col=22&amp;number=&amp;sourceID=13","")</f>
        <v/>
      </c>
      <c r="W255" s="4" t="str">
        <f>HYPERLINK("http://141.218.60.56/~jnz1568/getInfo.php?workbook=02_01.xlsx&amp;sheet=A0&amp;row=255&amp;col=23&amp;number=&amp;sourceID=13","")</f>
        <v/>
      </c>
      <c r="X255" s="4" t="str">
        <f>HYPERLINK("http://141.218.60.56/~jnz1568/getInfo.php?workbook=02_01.xlsx&amp;sheet=A0&amp;row=255&amp;col=24&amp;number=&amp;sourceID=13","")</f>
        <v/>
      </c>
      <c r="Y255" s="4" t="str">
        <f>HYPERLINK("http://141.218.60.56/~jnz1568/getInfo.php?workbook=02_01.xlsx&amp;sheet=A0&amp;row=255&amp;col=25&amp;number=&amp;sourceID=13","")</f>
        <v/>
      </c>
      <c r="Z255" s="4" t="str">
        <f>HYPERLINK("http://141.218.60.56/~jnz1568/getInfo.php?workbook=02_01.xlsx&amp;sheet=A0&amp;row=255&amp;col=26&amp;number=&amp;sourceID=13","")</f>
        <v/>
      </c>
      <c r="AA255" s="4" t="str">
        <f>HYPERLINK("http://141.218.60.56/~jnz1568/getInfo.php?workbook=02_01.xlsx&amp;sheet=A0&amp;row=255&amp;col=27&amp;number=&amp;sourceID=20","")</f>
        <v/>
      </c>
    </row>
    <row r="256" spans="1:27">
      <c r="A256" s="3">
        <v>2</v>
      </c>
      <c r="B256" s="3">
        <v>1</v>
      </c>
      <c r="C256" s="3">
        <v>24</v>
      </c>
      <c r="D256" s="3">
        <v>9</v>
      </c>
      <c r="E256" s="3">
        <f>((1/(INDEX(E0!J$4:J$28,C256,1)-INDEX(E0!J$4:J$28,D256,1))))*100000000</f>
        <v>0</v>
      </c>
      <c r="F256" s="4" t="str">
        <f>HYPERLINK("http://141.218.60.56/~jnz1568/getInfo.php?workbook=02_01.xlsx&amp;sheet=A0&amp;row=256&amp;col=6&amp;number=&amp;sourceID=18","")</f>
        <v/>
      </c>
      <c r="G256" s="4" t="str">
        <f>HYPERLINK("http://141.218.60.56/~jnz1568/getInfo.php?workbook=02_01.xlsx&amp;sheet=A0&amp;row=256&amp;col=7&amp;number==&amp;sourceID=11","=")</f>
        <v>=</v>
      </c>
      <c r="H256" s="4" t="str">
        <f>HYPERLINK("http://141.218.60.56/~jnz1568/getInfo.php?workbook=02_01.xlsx&amp;sheet=A0&amp;row=256&amp;col=8&amp;number=72704000&amp;sourceID=11","72704000")</f>
        <v>72704000</v>
      </c>
      <c r="I256" s="4" t="str">
        <f>HYPERLINK("http://141.218.60.56/~jnz1568/getInfo.php?workbook=02_01.xlsx&amp;sheet=A0&amp;row=256&amp;col=9&amp;number=&amp;sourceID=11","")</f>
        <v/>
      </c>
      <c r="J256" s="4" t="str">
        <f>HYPERLINK("http://141.218.60.56/~jnz1568/getInfo.php?workbook=02_01.xlsx&amp;sheet=A0&amp;row=256&amp;col=10&amp;number=8.9356e-06&amp;sourceID=11","8.9356e-06")</f>
        <v>8.9356e-06</v>
      </c>
      <c r="K256" s="4" t="str">
        <f>HYPERLINK("http://141.218.60.56/~jnz1568/getInfo.php?workbook=02_01.xlsx&amp;sheet=A0&amp;row=256&amp;col=11&amp;number=&amp;sourceID=11","")</f>
        <v/>
      </c>
      <c r="L256" s="4" t="str">
        <f>HYPERLINK("http://141.218.60.56/~jnz1568/getInfo.php?workbook=02_01.xlsx&amp;sheet=A0&amp;row=256&amp;col=12&amp;number=0.0015325&amp;sourceID=11","0.0015325")</f>
        <v>0.0015325</v>
      </c>
      <c r="M256" s="4" t="str">
        <f>HYPERLINK("http://141.218.60.56/~jnz1568/getInfo.php?workbook=02_01.xlsx&amp;sheet=A0&amp;row=256&amp;col=13&amp;number=&amp;sourceID=11","")</f>
        <v/>
      </c>
      <c r="N256" s="4" t="str">
        <f>HYPERLINK("http://141.218.60.56/~jnz1568/getInfo.php?workbook=02_01.xlsx&amp;sheet=A0&amp;row=256&amp;col=14&amp;number=72714000&amp;sourceID=12","72714000")</f>
        <v>72714000</v>
      </c>
      <c r="O256" s="4" t="str">
        <f>HYPERLINK("http://141.218.60.56/~jnz1568/getInfo.php?workbook=02_01.xlsx&amp;sheet=A0&amp;row=256&amp;col=15&amp;number=72714000&amp;sourceID=12","72714000")</f>
        <v>72714000</v>
      </c>
      <c r="P256" s="4" t="str">
        <f>HYPERLINK("http://141.218.60.56/~jnz1568/getInfo.php?workbook=02_01.xlsx&amp;sheet=A0&amp;row=256&amp;col=16&amp;number=&amp;sourceID=12","")</f>
        <v/>
      </c>
      <c r="Q256" s="4" t="str">
        <f>HYPERLINK("http://141.218.60.56/~jnz1568/getInfo.php?workbook=02_01.xlsx&amp;sheet=A0&amp;row=256&amp;col=17&amp;number=8.9368e-06&amp;sourceID=12","8.9368e-06")</f>
        <v>8.9368e-06</v>
      </c>
      <c r="R256" s="4" t="str">
        <f>HYPERLINK("http://141.218.60.56/~jnz1568/getInfo.php?workbook=02_01.xlsx&amp;sheet=A0&amp;row=256&amp;col=18&amp;number=&amp;sourceID=12","")</f>
        <v/>
      </c>
      <c r="S256" s="4" t="str">
        <f>HYPERLINK("http://141.218.60.56/~jnz1568/getInfo.php?workbook=02_01.xlsx&amp;sheet=A0&amp;row=256&amp;col=19&amp;number=0.0015327&amp;sourceID=12","0.0015327")</f>
        <v>0.0015327</v>
      </c>
      <c r="T256" s="4" t="str">
        <f>HYPERLINK("http://141.218.60.56/~jnz1568/getInfo.php?workbook=02_01.xlsx&amp;sheet=A0&amp;row=256&amp;col=20&amp;number=&amp;sourceID=12","")</f>
        <v/>
      </c>
      <c r="U256" s="4" t="str">
        <f>HYPERLINK("http://141.218.60.56/~jnz1568/getInfo.php?workbook=02_01.xlsx&amp;sheet=A0&amp;row=256&amp;col=21&amp;number=&amp;sourceID=13","")</f>
        <v/>
      </c>
      <c r="V256" s="4" t="str">
        <f>HYPERLINK("http://141.218.60.56/~jnz1568/getInfo.php?workbook=02_01.xlsx&amp;sheet=A0&amp;row=256&amp;col=22&amp;number=&amp;sourceID=13","")</f>
        <v/>
      </c>
      <c r="W256" s="4" t="str">
        <f>HYPERLINK("http://141.218.60.56/~jnz1568/getInfo.php?workbook=02_01.xlsx&amp;sheet=A0&amp;row=256&amp;col=23&amp;number=&amp;sourceID=13","")</f>
        <v/>
      </c>
      <c r="X256" s="4" t="str">
        <f>HYPERLINK("http://141.218.60.56/~jnz1568/getInfo.php?workbook=02_01.xlsx&amp;sheet=A0&amp;row=256&amp;col=24&amp;number=&amp;sourceID=13","")</f>
        <v/>
      </c>
      <c r="Y256" s="4" t="str">
        <f>HYPERLINK("http://141.218.60.56/~jnz1568/getInfo.php?workbook=02_01.xlsx&amp;sheet=A0&amp;row=256&amp;col=25&amp;number=&amp;sourceID=13","")</f>
        <v/>
      </c>
      <c r="Z256" s="4" t="str">
        <f>HYPERLINK("http://141.218.60.56/~jnz1568/getInfo.php?workbook=02_01.xlsx&amp;sheet=A0&amp;row=256&amp;col=26&amp;number=&amp;sourceID=13","")</f>
        <v/>
      </c>
      <c r="AA256" s="4" t="str">
        <f>HYPERLINK("http://141.218.60.56/~jnz1568/getInfo.php?workbook=02_01.xlsx&amp;sheet=A0&amp;row=256&amp;col=27&amp;number=&amp;sourceID=20","")</f>
        <v/>
      </c>
    </row>
    <row r="257" spans="1:27">
      <c r="A257" s="3">
        <v>2</v>
      </c>
      <c r="B257" s="3">
        <v>1</v>
      </c>
      <c r="C257" s="3">
        <v>24</v>
      </c>
      <c r="D257" s="3">
        <v>10</v>
      </c>
      <c r="E257" s="3">
        <f>((1/(INDEX(E0!J$4:J$28,C257,1)-INDEX(E0!J$4:J$28,D257,1))))*100000000</f>
        <v>0</v>
      </c>
      <c r="F257" s="4" t="str">
        <f>HYPERLINK("http://141.218.60.56/~jnz1568/getInfo.php?workbook=02_01.xlsx&amp;sheet=A0&amp;row=257&amp;col=6&amp;number=&amp;sourceID=18","")</f>
        <v/>
      </c>
      <c r="G257" s="4" t="str">
        <f>HYPERLINK("http://141.218.60.56/~jnz1568/getInfo.php?workbook=02_01.xlsx&amp;sheet=A0&amp;row=257&amp;col=7&amp;number==&amp;sourceID=11","=")</f>
        <v>=</v>
      </c>
      <c r="H257" s="4" t="str">
        <f>HYPERLINK("http://141.218.60.56/~jnz1568/getInfo.php?workbook=02_01.xlsx&amp;sheet=A0&amp;row=257&amp;col=8&amp;number=&amp;sourceID=11","")</f>
        <v/>
      </c>
      <c r="I257" s="4" t="str">
        <f>HYPERLINK("http://141.218.60.56/~jnz1568/getInfo.php?workbook=02_01.xlsx&amp;sheet=A0&amp;row=257&amp;col=9&amp;number=&amp;sourceID=11","")</f>
        <v/>
      </c>
      <c r="J257" s="4" t="str">
        <f>HYPERLINK("http://141.218.60.56/~jnz1568/getInfo.php?workbook=02_01.xlsx&amp;sheet=A0&amp;row=257&amp;col=10&amp;number=&amp;sourceID=11","")</f>
        <v/>
      </c>
      <c r="K257" s="4" t="str">
        <f>HYPERLINK("http://141.218.60.56/~jnz1568/getInfo.php?workbook=02_01.xlsx&amp;sheet=A0&amp;row=257&amp;col=11&amp;number=&amp;sourceID=11","")</f>
        <v/>
      </c>
      <c r="L257" s="4" t="str">
        <f>HYPERLINK("http://141.218.60.56/~jnz1568/getInfo.php?workbook=02_01.xlsx&amp;sheet=A0&amp;row=257&amp;col=12&amp;number=&amp;sourceID=11","")</f>
        <v/>
      </c>
      <c r="M257" s="4" t="str">
        <f>HYPERLINK("http://141.218.60.56/~jnz1568/getInfo.php?workbook=02_01.xlsx&amp;sheet=A0&amp;row=257&amp;col=13&amp;number=2.4612e-11&amp;sourceID=11","2.4612e-11")</f>
        <v>2.4612e-11</v>
      </c>
      <c r="N257" s="4" t="str">
        <f>HYPERLINK("http://141.218.60.56/~jnz1568/getInfo.php?workbook=02_01.xlsx&amp;sheet=A0&amp;row=257&amp;col=14&amp;number=2.4615e-11&amp;sourceID=12","2.4615e-11")</f>
        <v>2.4615e-11</v>
      </c>
      <c r="O257" s="4" t="str">
        <f>HYPERLINK("http://141.218.60.56/~jnz1568/getInfo.php?workbook=02_01.xlsx&amp;sheet=A0&amp;row=257&amp;col=15&amp;number=&amp;sourceID=12","")</f>
        <v/>
      </c>
      <c r="P257" s="4" t="str">
        <f>HYPERLINK("http://141.218.60.56/~jnz1568/getInfo.php?workbook=02_01.xlsx&amp;sheet=A0&amp;row=257&amp;col=16&amp;number=&amp;sourceID=12","")</f>
        <v/>
      </c>
      <c r="Q257" s="4" t="str">
        <f>HYPERLINK("http://141.218.60.56/~jnz1568/getInfo.php?workbook=02_01.xlsx&amp;sheet=A0&amp;row=257&amp;col=17&amp;number=&amp;sourceID=12","")</f>
        <v/>
      </c>
      <c r="R257" s="4" t="str">
        <f>HYPERLINK("http://141.218.60.56/~jnz1568/getInfo.php?workbook=02_01.xlsx&amp;sheet=A0&amp;row=257&amp;col=18&amp;number=&amp;sourceID=12","")</f>
        <v/>
      </c>
      <c r="S257" s="4" t="str">
        <f>HYPERLINK("http://141.218.60.56/~jnz1568/getInfo.php?workbook=02_01.xlsx&amp;sheet=A0&amp;row=257&amp;col=19&amp;number=&amp;sourceID=12","")</f>
        <v/>
      </c>
      <c r="T257" s="4" t="str">
        <f>HYPERLINK("http://141.218.60.56/~jnz1568/getInfo.php?workbook=02_01.xlsx&amp;sheet=A0&amp;row=257&amp;col=20&amp;number=2.4615e-11&amp;sourceID=12","2.4615e-11")</f>
        <v>2.4615e-11</v>
      </c>
      <c r="U257" s="4" t="str">
        <f>HYPERLINK("http://141.218.60.56/~jnz1568/getInfo.php?workbook=02_01.xlsx&amp;sheet=A0&amp;row=257&amp;col=21&amp;number=&amp;sourceID=13","")</f>
        <v/>
      </c>
      <c r="V257" s="4" t="str">
        <f>HYPERLINK("http://141.218.60.56/~jnz1568/getInfo.php?workbook=02_01.xlsx&amp;sheet=A0&amp;row=257&amp;col=22&amp;number=&amp;sourceID=13","")</f>
        <v/>
      </c>
      <c r="W257" s="4" t="str">
        <f>HYPERLINK("http://141.218.60.56/~jnz1568/getInfo.php?workbook=02_01.xlsx&amp;sheet=A0&amp;row=257&amp;col=23&amp;number=&amp;sourceID=13","")</f>
        <v/>
      </c>
      <c r="X257" s="4" t="str">
        <f>HYPERLINK("http://141.218.60.56/~jnz1568/getInfo.php?workbook=02_01.xlsx&amp;sheet=A0&amp;row=257&amp;col=24&amp;number=&amp;sourceID=13","")</f>
        <v/>
      </c>
      <c r="Y257" s="4" t="str">
        <f>HYPERLINK("http://141.218.60.56/~jnz1568/getInfo.php?workbook=02_01.xlsx&amp;sheet=A0&amp;row=257&amp;col=25&amp;number=&amp;sourceID=13","")</f>
        <v/>
      </c>
      <c r="Z257" s="4" t="str">
        <f>HYPERLINK("http://141.218.60.56/~jnz1568/getInfo.php?workbook=02_01.xlsx&amp;sheet=A0&amp;row=257&amp;col=26&amp;number=&amp;sourceID=13","")</f>
        <v/>
      </c>
      <c r="AA257" s="4" t="str">
        <f>HYPERLINK("http://141.218.60.56/~jnz1568/getInfo.php?workbook=02_01.xlsx&amp;sheet=A0&amp;row=257&amp;col=27&amp;number=&amp;sourceID=20","")</f>
        <v/>
      </c>
    </row>
    <row r="258" spans="1:27">
      <c r="A258" s="3">
        <v>2</v>
      </c>
      <c r="B258" s="3">
        <v>1</v>
      </c>
      <c r="C258" s="3">
        <v>24</v>
      </c>
      <c r="D258" s="3">
        <v>11</v>
      </c>
      <c r="E258" s="3">
        <f>((1/(INDEX(E0!J$4:J$28,C258,1)-INDEX(E0!J$4:J$28,D258,1))))*100000000</f>
        <v>0</v>
      </c>
      <c r="F258" s="4" t="str">
        <f>HYPERLINK("http://141.218.60.56/~jnz1568/getInfo.php?workbook=02_01.xlsx&amp;sheet=A0&amp;row=258&amp;col=6&amp;number=&amp;sourceID=18","")</f>
        <v/>
      </c>
      <c r="G258" s="4" t="str">
        <f>HYPERLINK("http://141.218.60.56/~jnz1568/getInfo.php?workbook=02_01.xlsx&amp;sheet=A0&amp;row=258&amp;col=7&amp;number==&amp;sourceID=11","=")</f>
        <v>=</v>
      </c>
      <c r="H258" s="4" t="str">
        <f>HYPERLINK("http://141.218.60.56/~jnz1568/getInfo.php?workbook=02_01.xlsx&amp;sheet=A0&amp;row=258&amp;col=8&amp;number=&amp;sourceID=11","")</f>
        <v/>
      </c>
      <c r="I258" s="4" t="str">
        <f>HYPERLINK("http://141.218.60.56/~jnz1568/getInfo.php?workbook=02_01.xlsx&amp;sheet=A0&amp;row=258&amp;col=9&amp;number=&amp;sourceID=11","")</f>
        <v/>
      </c>
      <c r="J258" s="4" t="str">
        <f>HYPERLINK("http://141.218.60.56/~jnz1568/getInfo.php?workbook=02_01.xlsx&amp;sheet=A0&amp;row=258&amp;col=10&amp;number=3.1817e-05&amp;sourceID=11","3.1817e-05")</f>
        <v>3.1817e-05</v>
      </c>
      <c r="K258" s="4" t="str">
        <f>HYPERLINK("http://141.218.60.56/~jnz1568/getInfo.php?workbook=02_01.xlsx&amp;sheet=A0&amp;row=258&amp;col=11&amp;number=&amp;sourceID=11","")</f>
        <v/>
      </c>
      <c r="L258" s="4" t="str">
        <f>HYPERLINK("http://141.218.60.56/~jnz1568/getInfo.php?workbook=02_01.xlsx&amp;sheet=A0&amp;row=258&amp;col=12&amp;number=&amp;sourceID=11","")</f>
        <v/>
      </c>
      <c r="M258" s="4" t="str">
        <f>HYPERLINK("http://141.218.60.56/~jnz1568/getInfo.php?workbook=02_01.xlsx&amp;sheet=A0&amp;row=258&amp;col=13&amp;number=&amp;sourceID=11","")</f>
        <v/>
      </c>
      <c r="N258" s="4" t="str">
        <f>HYPERLINK("http://141.218.60.56/~jnz1568/getInfo.php?workbook=02_01.xlsx&amp;sheet=A0&amp;row=258&amp;col=14&amp;number=3.1822e-05&amp;sourceID=12","3.1822e-05")</f>
        <v>3.1822e-05</v>
      </c>
      <c r="O258" s="4" t="str">
        <f>HYPERLINK("http://141.218.60.56/~jnz1568/getInfo.php?workbook=02_01.xlsx&amp;sheet=A0&amp;row=258&amp;col=15&amp;number=&amp;sourceID=12","")</f>
        <v/>
      </c>
      <c r="P258" s="4" t="str">
        <f>HYPERLINK("http://141.218.60.56/~jnz1568/getInfo.php?workbook=02_01.xlsx&amp;sheet=A0&amp;row=258&amp;col=16&amp;number=&amp;sourceID=12","")</f>
        <v/>
      </c>
      <c r="Q258" s="4" t="str">
        <f>HYPERLINK("http://141.218.60.56/~jnz1568/getInfo.php?workbook=02_01.xlsx&amp;sheet=A0&amp;row=258&amp;col=17&amp;number=3.1822e-05&amp;sourceID=12","3.1822e-05")</f>
        <v>3.1822e-05</v>
      </c>
      <c r="R258" s="4" t="str">
        <f>HYPERLINK("http://141.218.60.56/~jnz1568/getInfo.php?workbook=02_01.xlsx&amp;sheet=A0&amp;row=258&amp;col=18&amp;number=&amp;sourceID=12","")</f>
        <v/>
      </c>
      <c r="S258" s="4" t="str">
        <f>HYPERLINK("http://141.218.60.56/~jnz1568/getInfo.php?workbook=02_01.xlsx&amp;sheet=A0&amp;row=258&amp;col=19&amp;number=&amp;sourceID=12","")</f>
        <v/>
      </c>
      <c r="T258" s="4" t="str">
        <f>HYPERLINK("http://141.218.60.56/~jnz1568/getInfo.php?workbook=02_01.xlsx&amp;sheet=A0&amp;row=258&amp;col=20&amp;number=&amp;sourceID=12","")</f>
        <v/>
      </c>
      <c r="U258" s="4" t="str">
        <f>HYPERLINK("http://141.218.60.56/~jnz1568/getInfo.php?workbook=02_01.xlsx&amp;sheet=A0&amp;row=258&amp;col=21&amp;number=&amp;sourceID=13","")</f>
        <v/>
      </c>
      <c r="V258" s="4" t="str">
        <f>HYPERLINK("http://141.218.60.56/~jnz1568/getInfo.php?workbook=02_01.xlsx&amp;sheet=A0&amp;row=258&amp;col=22&amp;number=&amp;sourceID=13","")</f>
        <v/>
      </c>
      <c r="W258" s="4" t="str">
        <f>HYPERLINK("http://141.218.60.56/~jnz1568/getInfo.php?workbook=02_01.xlsx&amp;sheet=A0&amp;row=258&amp;col=23&amp;number=&amp;sourceID=13","")</f>
        <v/>
      </c>
      <c r="X258" s="4" t="str">
        <f>HYPERLINK("http://141.218.60.56/~jnz1568/getInfo.php?workbook=02_01.xlsx&amp;sheet=A0&amp;row=258&amp;col=24&amp;number=&amp;sourceID=13","")</f>
        <v/>
      </c>
      <c r="Y258" s="4" t="str">
        <f>HYPERLINK("http://141.218.60.56/~jnz1568/getInfo.php?workbook=02_01.xlsx&amp;sheet=A0&amp;row=258&amp;col=25&amp;number=&amp;sourceID=13","")</f>
        <v/>
      </c>
      <c r="Z258" s="4" t="str">
        <f>HYPERLINK("http://141.218.60.56/~jnz1568/getInfo.php?workbook=02_01.xlsx&amp;sheet=A0&amp;row=258&amp;col=26&amp;number=&amp;sourceID=13","")</f>
        <v/>
      </c>
      <c r="AA258" s="4" t="str">
        <f>HYPERLINK("http://141.218.60.56/~jnz1568/getInfo.php?workbook=02_01.xlsx&amp;sheet=A0&amp;row=258&amp;col=27&amp;number=&amp;sourceID=20","")</f>
        <v/>
      </c>
    </row>
    <row r="259" spans="1:27">
      <c r="A259" s="3">
        <v>2</v>
      </c>
      <c r="B259" s="3">
        <v>1</v>
      </c>
      <c r="C259" s="3">
        <v>24</v>
      </c>
      <c r="D259" s="3">
        <v>12</v>
      </c>
      <c r="E259" s="3">
        <f>((1/(INDEX(E0!J$4:J$28,C259,1)-INDEX(E0!J$4:J$28,D259,1))))*100000000</f>
        <v>0</v>
      </c>
      <c r="F259" s="4" t="str">
        <f>HYPERLINK("http://141.218.60.56/~jnz1568/getInfo.php?workbook=02_01.xlsx&amp;sheet=A0&amp;row=259&amp;col=6&amp;number=&amp;sourceID=18","")</f>
        <v/>
      </c>
      <c r="G259" s="4" t="str">
        <f>HYPERLINK("http://141.218.60.56/~jnz1568/getInfo.php?workbook=02_01.xlsx&amp;sheet=A0&amp;row=259&amp;col=7&amp;number==&amp;sourceID=11","=")</f>
        <v>=</v>
      </c>
      <c r="H259" s="4" t="str">
        <f>HYPERLINK("http://141.218.60.56/~jnz1568/getInfo.php?workbook=02_01.xlsx&amp;sheet=A0&amp;row=259&amp;col=8&amp;number=&amp;sourceID=11","")</f>
        <v/>
      </c>
      <c r="I259" s="4" t="str">
        <f>HYPERLINK("http://141.218.60.56/~jnz1568/getInfo.php?workbook=02_01.xlsx&amp;sheet=A0&amp;row=259&amp;col=9&amp;number=&amp;sourceID=11","")</f>
        <v/>
      </c>
      <c r="J259" s="4" t="str">
        <f>HYPERLINK("http://141.218.60.56/~jnz1568/getInfo.php?workbook=02_01.xlsx&amp;sheet=A0&amp;row=259&amp;col=10&amp;number=5.0988e-06&amp;sourceID=11","5.0988e-06")</f>
        <v>5.0988e-06</v>
      </c>
      <c r="K259" s="4" t="str">
        <f>HYPERLINK("http://141.218.60.56/~jnz1568/getInfo.php?workbook=02_01.xlsx&amp;sheet=A0&amp;row=259&amp;col=11&amp;number=&amp;sourceID=11","")</f>
        <v/>
      </c>
      <c r="L259" s="4" t="str">
        <f>HYPERLINK("http://141.218.60.56/~jnz1568/getInfo.php?workbook=02_01.xlsx&amp;sheet=A0&amp;row=259&amp;col=12&amp;number=1.267e-05&amp;sourceID=11","1.267e-05")</f>
        <v>1.267e-05</v>
      </c>
      <c r="M259" s="4" t="str">
        <f>HYPERLINK("http://141.218.60.56/~jnz1568/getInfo.php?workbook=02_01.xlsx&amp;sheet=A0&amp;row=259&amp;col=13&amp;number=&amp;sourceID=11","")</f>
        <v/>
      </c>
      <c r="N259" s="4" t="str">
        <f>HYPERLINK("http://141.218.60.56/~jnz1568/getInfo.php?workbook=02_01.xlsx&amp;sheet=A0&amp;row=259&amp;col=14&amp;number=1.7772e-05&amp;sourceID=12","1.7772e-05")</f>
        <v>1.7772e-05</v>
      </c>
      <c r="O259" s="4" t="str">
        <f>HYPERLINK("http://141.218.60.56/~jnz1568/getInfo.php?workbook=02_01.xlsx&amp;sheet=A0&amp;row=259&amp;col=15&amp;number=&amp;sourceID=12","")</f>
        <v/>
      </c>
      <c r="P259" s="4" t="str">
        <f>HYPERLINK("http://141.218.60.56/~jnz1568/getInfo.php?workbook=02_01.xlsx&amp;sheet=A0&amp;row=259&amp;col=16&amp;number=&amp;sourceID=12","")</f>
        <v/>
      </c>
      <c r="Q259" s="4" t="str">
        <f>HYPERLINK("http://141.218.60.56/~jnz1568/getInfo.php?workbook=02_01.xlsx&amp;sheet=A0&amp;row=259&amp;col=17&amp;number=5.0995e-06&amp;sourceID=12","5.0995e-06")</f>
        <v>5.0995e-06</v>
      </c>
      <c r="R259" s="4" t="str">
        <f>HYPERLINK("http://141.218.60.56/~jnz1568/getInfo.php?workbook=02_01.xlsx&amp;sheet=A0&amp;row=259&amp;col=18&amp;number=&amp;sourceID=12","")</f>
        <v/>
      </c>
      <c r="S259" s="4" t="str">
        <f>HYPERLINK("http://141.218.60.56/~jnz1568/getInfo.php?workbook=02_01.xlsx&amp;sheet=A0&amp;row=259&amp;col=19&amp;number=1.2672e-05&amp;sourceID=12","1.2672e-05")</f>
        <v>1.2672e-05</v>
      </c>
      <c r="T259" s="4" t="str">
        <f>HYPERLINK("http://141.218.60.56/~jnz1568/getInfo.php?workbook=02_01.xlsx&amp;sheet=A0&amp;row=259&amp;col=20&amp;number=&amp;sourceID=12","")</f>
        <v/>
      </c>
      <c r="U259" s="4" t="str">
        <f>HYPERLINK("http://141.218.60.56/~jnz1568/getInfo.php?workbook=02_01.xlsx&amp;sheet=A0&amp;row=259&amp;col=21&amp;number=&amp;sourceID=13","")</f>
        <v/>
      </c>
      <c r="V259" s="4" t="str">
        <f>HYPERLINK("http://141.218.60.56/~jnz1568/getInfo.php?workbook=02_01.xlsx&amp;sheet=A0&amp;row=259&amp;col=22&amp;number=&amp;sourceID=13","")</f>
        <v/>
      </c>
      <c r="W259" s="4" t="str">
        <f>HYPERLINK("http://141.218.60.56/~jnz1568/getInfo.php?workbook=02_01.xlsx&amp;sheet=A0&amp;row=259&amp;col=23&amp;number=&amp;sourceID=13","")</f>
        <v/>
      </c>
      <c r="X259" s="4" t="str">
        <f>HYPERLINK("http://141.218.60.56/~jnz1568/getInfo.php?workbook=02_01.xlsx&amp;sheet=A0&amp;row=259&amp;col=24&amp;number=&amp;sourceID=13","")</f>
        <v/>
      </c>
      <c r="Y259" s="4" t="str">
        <f>HYPERLINK("http://141.218.60.56/~jnz1568/getInfo.php?workbook=02_01.xlsx&amp;sheet=A0&amp;row=259&amp;col=25&amp;number=&amp;sourceID=13","")</f>
        <v/>
      </c>
      <c r="Z259" s="4" t="str">
        <f>HYPERLINK("http://141.218.60.56/~jnz1568/getInfo.php?workbook=02_01.xlsx&amp;sheet=A0&amp;row=259&amp;col=26&amp;number=&amp;sourceID=13","")</f>
        <v/>
      </c>
      <c r="AA259" s="4" t="str">
        <f>HYPERLINK("http://141.218.60.56/~jnz1568/getInfo.php?workbook=02_01.xlsx&amp;sheet=A0&amp;row=259&amp;col=27&amp;number=&amp;sourceID=20","")</f>
        <v/>
      </c>
    </row>
    <row r="260" spans="1:27">
      <c r="A260" s="3">
        <v>2</v>
      </c>
      <c r="B260" s="3">
        <v>1</v>
      </c>
      <c r="C260" s="3">
        <v>24</v>
      </c>
      <c r="D260" s="3">
        <v>13</v>
      </c>
      <c r="E260" s="3">
        <f>((1/(INDEX(E0!J$4:J$28,C260,1)-INDEX(E0!J$4:J$28,D260,1))))*100000000</f>
        <v>0</v>
      </c>
      <c r="F260" s="4" t="str">
        <f>HYPERLINK("http://141.218.60.56/~jnz1568/getInfo.php?workbook=02_01.xlsx&amp;sheet=A0&amp;row=260&amp;col=6&amp;number=&amp;sourceID=18","")</f>
        <v/>
      </c>
      <c r="G260" s="4" t="str">
        <f>HYPERLINK("http://141.218.60.56/~jnz1568/getInfo.php?workbook=02_01.xlsx&amp;sheet=A0&amp;row=260&amp;col=7&amp;number==&amp;sourceID=11","=")</f>
        <v>=</v>
      </c>
      <c r="H260" s="4" t="str">
        <f>HYPERLINK("http://141.218.60.56/~jnz1568/getInfo.php?workbook=02_01.xlsx&amp;sheet=A0&amp;row=260&amp;col=8&amp;number=&amp;sourceID=11","")</f>
        <v/>
      </c>
      <c r="I260" s="4" t="str">
        <f>HYPERLINK("http://141.218.60.56/~jnz1568/getInfo.php?workbook=02_01.xlsx&amp;sheet=A0&amp;row=260&amp;col=9&amp;number=59.979&amp;sourceID=11","59.979")</f>
        <v>59.979</v>
      </c>
      <c r="J260" s="4" t="str">
        <f>HYPERLINK("http://141.218.60.56/~jnz1568/getInfo.php?workbook=02_01.xlsx&amp;sheet=A0&amp;row=260&amp;col=10&amp;number=&amp;sourceID=11","")</f>
        <v/>
      </c>
      <c r="K260" s="4" t="str">
        <f>HYPERLINK("http://141.218.60.56/~jnz1568/getInfo.php?workbook=02_01.xlsx&amp;sheet=A0&amp;row=260&amp;col=11&amp;number=&amp;sourceID=11","")</f>
        <v/>
      </c>
      <c r="L260" s="4" t="str">
        <f>HYPERLINK("http://141.218.60.56/~jnz1568/getInfo.php?workbook=02_01.xlsx&amp;sheet=A0&amp;row=260&amp;col=12&amp;number=&amp;sourceID=11","")</f>
        <v/>
      </c>
      <c r="M260" s="4" t="str">
        <f>HYPERLINK("http://141.218.60.56/~jnz1568/getInfo.php?workbook=02_01.xlsx&amp;sheet=A0&amp;row=260&amp;col=13&amp;number=7.3809e-11&amp;sourceID=11","7.3809e-11")</f>
        <v>7.3809e-11</v>
      </c>
      <c r="N260" s="4" t="str">
        <f>HYPERLINK("http://141.218.60.56/~jnz1568/getInfo.php?workbook=02_01.xlsx&amp;sheet=A0&amp;row=260&amp;col=14&amp;number=59.987&amp;sourceID=12","59.987")</f>
        <v>59.987</v>
      </c>
      <c r="O260" s="4" t="str">
        <f>HYPERLINK("http://141.218.60.56/~jnz1568/getInfo.php?workbook=02_01.xlsx&amp;sheet=A0&amp;row=260&amp;col=15&amp;number=&amp;sourceID=12","")</f>
        <v/>
      </c>
      <c r="P260" s="4" t="str">
        <f>HYPERLINK("http://141.218.60.56/~jnz1568/getInfo.php?workbook=02_01.xlsx&amp;sheet=A0&amp;row=260&amp;col=16&amp;number=59.987&amp;sourceID=12","59.987")</f>
        <v>59.987</v>
      </c>
      <c r="Q260" s="4" t="str">
        <f>HYPERLINK("http://141.218.60.56/~jnz1568/getInfo.php?workbook=02_01.xlsx&amp;sheet=A0&amp;row=260&amp;col=17&amp;number=&amp;sourceID=12","")</f>
        <v/>
      </c>
      <c r="R260" s="4" t="str">
        <f>HYPERLINK("http://141.218.60.56/~jnz1568/getInfo.php?workbook=02_01.xlsx&amp;sheet=A0&amp;row=260&amp;col=18&amp;number=&amp;sourceID=12","")</f>
        <v/>
      </c>
      <c r="S260" s="4" t="str">
        <f>HYPERLINK("http://141.218.60.56/~jnz1568/getInfo.php?workbook=02_01.xlsx&amp;sheet=A0&amp;row=260&amp;col=19&amp;number=&amp;sourceID=12","")</f>
        <v/>
      </c>
      <c r="T260" s="4" t="str">
        <f>HYPERLINK("http://141.218.60.56/~jnz1568/getInfo.php?workbook=02_01.xlsx&amp;sheet=A0&amp;row=260&amp;col=20&amp;number=7.3819e-11&amp;sourceID=12","7.3819e-11")</f>
        <v>7.3819e-11</v>
      </c>
      <c r="U260" s="4" t="str">
        <f>HYPERLINK("http://141.218.60.56/~jnz1568/getInfo.php?workbook=02_01.xlsx&amp;sheet=A0&amp;row=260&amp;col=21&amp;number=&amp;sourceID=13","")</f>
        <v/>
      </c>
      <c r="V260" s="4" t="str">
        <f>HYPERLINK("http://141.218.60.56/~jnz1568/getInfo.php?workbook=02_01.xlsx&amp;sheet=A0&amp;row=260&amp;col=22&amp;number=&amp;sourceID=13","")</f>
        <v/>
      </c>
      <c r="W260" s="4" t="str">
        <f>HYPERLINK("http://141.218.60.56/~jnz1568/getInfo.php?workbook=02_01.xlsx&amp;sheet=A0&amp;row=260&amp;col=23&amp;number=&amp;sourceID=13","")</f>
        <v/>
      </c>
      <c r="X260" s="4" t="str">
        <f>HYPERLINK("http://141.218.60.56/~jnz1568/getInfo.php?workbook=02_01.xlsx&amp;sheet=A0&amp;row=260&amp;col=24&amp;number=&amp;sourceID=13","")</f>
        <v/>
      </c>
      <c r="Y260" s="4" t="str">
        <f>HYPERLINK("http://141.218.60.56/~jnz1568/getInfo.php?workbook=02_01.xlsx&amp;sheet=A0&amp;row=260&amp;col=25&amp;number=&amp;sourceID=13","")</f>
        <v/>
      </c>
      <c r="Z260" s="4" t="str">
        <f>HYPERLINK("http://141.218.60.56/~jnz1568/getInfo.php?workbook=02_01.xlsx&amp;sheet=A0&amp;row=260&amp;col=26&amp;number=&amp;sourceID=13","")</f>
        <v/>
      </c>
      <c r="AA260" s="4" t="str">
        <f>HYPERLINK("http://141.218.60.56/~jnz1568/getInfo.php?workbook=02_01.xlsx&amp;sheet=A0&amp;row=260&amp;col=27&amp;number=&amp;sourceID=20","")</f>
        <v/>
      </c>
    </row>
    <row r="261" spans="1:27">
      <c r="A261" s="3">
        <v>2</v>
      </c>
      <c r="B261" s="3">
        <v>1</v>
      </c>
      <c r="C261" s="3">
        <v>24</v>
      </c>
      <c r="D261" s="3">
        <v>14</v>
      </c>
      <c r="E261" s="3">
        <f>((1/(INDEX(E0!J$4:J$28,C261,1)-INDEX(E0!J$4:J$28,D261,1))))*100000000</f>
        <v>0</v>
      </c>
      <c r="F261" s="4" t="str">
        <f>HYPERLINK("http://141.218.60.56/~jnz1568/getInfo.php?workbook=02_01.xlsx&amp;sheet=A0&amp;row=261&amp;col=6&amp;number=&amp;sourceID=18","")</f>
        <v/>
      </c>
      <c r="G261" s="4" t="str">
        <f>HYPERLINK("http://141.218.60.56/~jnz1568/getInfo.php?workbook=02_01.xlsx&amp;sheet=A0&amp;row=261&amp;col=7&amp;number==&amp;sourceID=11","=")</f>
        <v>=</v>
      </c>
      <c r="H261" s="4" t="str">
        <f>HYPERLINK("http://141.218.60.56/~jnz1568/getInfo.php?workbook=02_01.xlsx&amp;sheet=A0&amp;row=261&amp;col=8&amp;number=&amp;sourceID=11","")</f>
        <v/>
      </c>
      <c r="I261" s="4" t="str">
        <f>HYPERLINK("http://141.218.60.56/~jnz1568/getInfo.php?workbook=02_01.xlsx&amp;sheet=A0&amp;row=261&amp;col=9&amp;number=1.049&amp;sourceID=11","1.049")</f>
        <v>1.049</v>
      </c>
      <c r="J261" s="4" t="str">
        <f>HYPERLINK("http://141.218.60.56/~jnz1568/getInfo.php?workbook=02_01.xlsx&amp;sheet=A0&amp;row=261&amp;col=10&amp;number=&amp;sourceID=11","")</f>
        <v/>
      </c>
      <c r="K261" s="4" t="str">
        <f>HYPERLINK("http://141.218.60.56/~jnz1568/getInfo.php?workbook=02_01.xlsx&amp;sheet=A0&amp;row=261&amp;col=11&amp;number=3.096e-10&amp;sourceID=11","3.096e-10")</f>
        <v>3.096e-10</v>
      </c>
      <c r="L261" s="4" t="str">
        <f>HYPERLINK("http://141.218.60.56/~jnz1568/getInfo.php?workbook=02_01.xlsx&amp;sheet=A0&amp;row=261&amp;col=12&amp;number=&amp;sourceID=11","")</f>
        <v/>
      </c>
      <c r="M261" s="4" t="str">
        <f>HYPERLINK("http://141.218.60.56/~jnz1568/getInfo.php?workbook=02_01.xlsx&amp;sheet=A0&amp;row=261&amp;col=13&amp;number=1.91e-13&amp;sourceID=11","1.91e-13")</f>
        <v>1.91e-13</v>
      </c>
      <c r="N261" s="4" t="str">
        <f>HYPERLINK("http://141.218.60.56/~jnz1568/getInfo.php?workbook=02_01.xlsx&amp;sheet=A0&amp;row=261&amp;col=14&amp;number=1.0491&amp;sourceID=12","1.0491")</f>
        <v>1.0491</v>
      </c>
      <c r="O261" s="4" t="str">
        <f>HYPERLINK("http://141.218.60.56/~jnz1568/getInfo.php?workbook=02_01.xlsx&amp;sheet=A0&amp;row=261&amp;col=15&amp;number=&amp;sourceID=12","")</f>
        <v/>
      </c>
      <c r="P261" s="4" t="str">
        <f>HYPERLINK("http://141.218.60.56/~jnz1568/getInfo.php?workbook=02_01.xlsx&amp;sheet=A0&amp;row=261&amp;col=16&amp;number=1.0491&amp;sourceID=12","1.0491")</f>
        <v>1.0491</v>
      </c>
      <c r="Q261" s="4" t="str">
        <f>HYPERLINK("http://141.218.60.56/~jnz1568/getInfo.php?workbook=02_01.xlsx&amp;sheet=A0&amp;row=261&amp;col=17&amp;number=&amp;sourceID=12","")</f>
        <v/>
      </c>
      <c r="R261" s="4" t="str">
        <f>HYPERLINK("http://141.218.60.56/~jnz1568/getInfo.php?workbook=02_01.xlsx&amp;sheet=A0&amp;row=261&amp;col=18&amp;number=3.0782e-10&amp;sourceID=12","3.0782e-10")</f>
        <v>3.0782e-10</v>
      </c>
      <c r="S261" s="4" t="str">
        <f>HYPERLINK("http://141.218.60.56/~jnz1568/getInfo.php?workbook=02_01.xlsx&amp;sheet=A0&amp;row=261&amp;col=19&amp;number=&amp;sourceID=12","")</f>
        <v/>
      </c>
      <c r="T261" s="4" t="str">
        <f>HYPERLINK("http://141.218.60.56/~jnz1568/getInfo.php?workbook=02_01.xlsx&amp;sheet=A0&amp;row=261&amp;col=20&amp;number=1.91e-13&amp;sourceID=12","1.91e-13")</f>
        <v>1.91e-13</v>
      </c>
      <c r="U261" s="4" t="str">
        <f>HYPERLINK("http://141.218.60.56/~jnz1568/getInfo.php?workbook=02_01.xlsx&amp;sheet=A0&amp;row=261&amp;col=21&amp;number=&amp;sourceID=13","")</f>
        <v/>
      </c>
      <c r="V261" s="4" t="str">
        <f>HYPERLINK("http://141.218.60.56/~jnz1568/getInfo.php?workbook=02_01.xlsx&amp;sheet=A0&amp;row=261&amp;col=22&amp;number=&amp;sourceID=13","")</f>
        <v/>
      </c>
      <c r="W261" s="4" t="str">
        <f>HYPERLINK("http://141.218.60.56/~jnz1568/getInfo.php?workbook=02_01.xlsx&amp;sheet=A0&amp;row=261&amp;col=23&amp;number=&amp;sourceID=13","")</f>
        <v/>
      </c>
      <c r="X261" s="4" t="str">
        <f>HYPERLINK("http://141.218.60.56/~jnz1568/getInfo.php?workbook=02_01.xlsx&amp;sheet=A0&amp;row=261&amp;col=24&amp;number=&amp;sourceID=13","")</f>
        <v/>
      </c>
      <c r="Y261" s="4" t="str">
        <f>HYPERLINK("http://141.218.60.56/~jnz1568/getInfo.php?workbook=02_01.xlsx&amp;sheet=A0&amp;row=261&amp;col=25&amp;number=&amp;sourceID=13","")</f>
        <v/>
      </c>
      <c r="Z261" s="4" t="str">
        <f>HYPERLINK("http://141.218.60.56/~jnz1568/getInfo.php?workbook=02_01.xlsx&amp;sheet=A0&amp;row=261&amp;col=26&amp;number=&amp;sourceID=13","")</f>
        <v/>
      </c>
      <c r="AA261" s="4" t="str">
        <f>HYPERLINK("http://141.218.60.56/~jnz1568/getInfo.php?workbook=02_01.xlsx&amp;sheet=A0&amp;row=261&amp;col=27&amp;number=&amp;sourceID=20","")</f>
        <v/>
      </c>
    </row>
    <row r="262" spans="1:27">
      <c r="A262" s="3">
        <v>2</v>
      </c>
      <c r="B262" s="3">
        <v>1</v>
      </c>
      <c r="C262" s="3">
        <v>24</v>
      </c>
      <c r="D262" s="3">
        <v>15</v>
      </c>
      <c r="E262" s="3">
        <f>((1/(INDEX(E0!J$4:J$28,C262,1)-INDEX(E0!J$4:J$28,D262,1))))*100000000</f>
        <v>0</v>
      </c>
      <c r="F262" s="4" t="str">
        <f>HYPERLINK("http://141.218.60.56/~jnz1568/getInfo.php?workbook=02_01.xlsx&amp;sheet=A0&amp;row=262&amp;col=6&amp;number=&amp;sourceID=18","")</f>
        <v/>
      </c>
      <c r="G262" s="4" t="str">
        <f>HYPERLINK("http://141.218.60.56/~jnz1568/getInfo.php?workbook=02_01.xlsx&amp;sheet=A0&amp;row=262&amp;col=7&amp;number==&amp;sourceID=11","=")</f>
        <v>=</v>
      </c>
      <c r="H262" s="4" t="str">
        <f>HYPERLINK("http://141.218.60.56/~jnz1568/getInfo.php?workbook=02_01.xlsx&amp;sheet=A0&amp;row=262&amp;col=8&amp;number=41367000&amp;sourceID=11","41367000")</f>
        <v>41367000</v>
      </c>
      <c r="I262" s="4" t="str">
        <f>HYPERLINK("http://141.218.60.56/~jnz1568/getInfo.php?workbook=02_01.xlsx&amp;sheet=A0&amp;row=262&amp;col=9&amp;number=&amp;sourceID=11","")</f>
        <v/>
      </c>
      <c r="J262" s="4" t="str">
        <f>HYPERLINK("http://141.218.60.56/~jnz1568/getInfo.php?workbook=02_01.xlsx&amp;sheet=A0&amp;row=262&amp;col=10&amp;number=1.5295e-05&amp;sourceID=11","1.5295e-05")</f>
        <v>1.5295e-05</v>
      </c>
      <c r="K262" s="4" t="str">
        <f>HYPERLINK("http://141.218.60.56/~jnz1568/getInfo.php?workbook=02_01.xlsx&amp;sheet=A0&amp;row=262&amp;col=11&amp;number=&amp;sourceID=11","")</f>
        <v/>
      </c>
      <c r="L262" s="4" t="str">
        <f>HYPERLINK("http://141.218.60.56/~jnz1568/getInfo.php?workbook=02_01.xlsx&amp;sheet=A0&amp;row=262&amp;col=12&amp;number=8.73e-05&amp;sourceID=11","8.73e-05")</f>
        <v>8.73e-05</v>
      </c>
      <c r="M262" s="4" t="str">
        <f>HYPERLINK("http://141.218.60.56/~jnz1568/getInfo.php?workbook=02_01.xlsx&amp;sheet=A0&amp;row=262&amp;col=13&amp;number=&amp;sourceID=11","")</f>
        <v/>
      </c>
      <c r="N262" s="4" t="str">
        <f>HYPERLINK("http://141.218.60.56/~jnz1568/getInfo.php?workbook=02_01.xlsx&amp;sheet=A0&amp;row=262&amp;col=14&amp;number=41373000&amp;sourceID=12","41373000")</f>
        <v>41373000</v>
      </c>
      <c r="O262" s="4" t="str">
        <f>HYPERLINK("http://141.218.60.56/~jnz1568/getInfo.php?workbook=02_01.xlsx&amp;sheet=A0&amp;row=262&amp;col=15&amp;number=41373000&amp;sourceID=12","41373000")</f>
        <v>41373000</v>
      </c>
      <c r="P262" s="4" t="str">
        <f>HYPERLINK("http://141.218.60.56/~jnz1568/getInfo.php?workbook=02_01.xlsx&amp;sheet=A0&amp;row=262&amp;col=16&amp;number=&amp;sourceID=12","")</f>
        <v/>
      </c>
      <c r="Q262" s="4" t="str">
        <f>HYPERLINK("http://141.218.60.56/~jnz1568/getInfo.php?workbook=02_01.xlsx&amp;sheet=A0&amp;row=262&amp;col=17&amp;number=1.5297e-05&amp;sourceID=12","1.5297e-05")</f>
        <v>1.5297e-05</v>
      </c>
      <c r="R262" s="4" t="str">
        <f>HYPERLINK("http://141.218.60.56/~jnz1568/getInfo.php?workbook=02_01.xlsx&amp;sheet=A0&amp;row=262&amp;col=18&amp;number=&amp;sourceID=12","")</f>
        <v/>
      </c>
      <c r="S262" s="4" t="str">
        <f>HYPERLINK("http://141.218.60.56/~jnz1568/getInfo.php?workbook=02_01.xlsx&amp;sheet=A0&amp;row=262&amp;col=19&amp;number=8.7312e-05&amp;sourceID=12","8.7312e-05")</f>
        <v>8.7312e-05</v>
      </c>
      <c r="T262" s="4" t="str">
        <f>HYPERLINK("http://141.218.60.56/~jnz1568/getInfo.php?workbook=02_01.xlsx&amp;sheet=A0&amp;row=262&amp;col=20&amp;number=&amp;sourceID=12","")</f>
        <v/>
      </c>
      <c r="U262" s="4" t="str">
        <f>HYPERLINK("http://141.218.60.56/~jnz1568/getInfo.php?workbook=02_01.xlsx&amp;sheet=A0&amp;row=262&amp;col=21&amp;number=&amp;sourceID=13","")</f>
        <v/>
      </c>
      <c r="V262" s="4" t="str">
        <f>HYPERLINK("http://141.218.60.56/~jnz1568/getInfo.php?workbook=02_01.xlsx&amp;sheet=A0&amp;row=262&amp;col=22&amp;number=&amp;sourceID=13","")</f>
        <v/>
      </c>
      <c r="W262" s="4" t="str">
        <f>HYPERLINK("http://141.218.60.56/~jnz1568/getInfo.php?workbook=02_01.xlsx&amp;sheet=A0&amp;row=262&amp;col=23&amp;number=&amp;sourceID=13","")</f>
        <v/>
      </c>
      <c r="X262" s="4" t="str">
        <f>HYPERLINK("http://141.218.60.56/~jnz1568/getInfo.php?workbook=02_01.xlsx&amp;sheet=A0&amp;row=262&amp;col=24&amp;number=&amp;sourceID=13","")</f>
        <v/>
      </c>
      <c r="Y262" s="4" t="str">
        <f>HYPERLINK("http://141.218.60.56/~jnz1568/getInfo.php?workbook=02_01.xlsx&amp;sheet=A0&amp;row=262&amp;col=25&amp;number=&amp;sourceID=13","")</f>
        <v/>
      </c>
      <c r="Z262" s="4" t="str">
        <f>HYPERLINK("http://141.218.60.56/~jnz1568/getInfo.php?workbook=02_01.xlsx&amp;sheet=A0&amp;row=262&amp;col=26&amp;number=&amp;sourceID=13","")</f>
        <v/>
      </c>
      <c r="AA262" s="4" t="str">
        <f>HYPERLINK("http://141.218.60.56/~jnz1568/getInfo.php?workbook=02_01.xlsx&amp;sheet=A0&amp;row=262&amp;col=27&amp;number=&amp;sourceID=20","")</f>
        <v/>
      </c>
    </row>
    <row r="263" spans="1:27">
      <c r="A263" s="3">
        <v>2</v>
      </c>
      <c r="B263" s="3">
        <v>1</v>
      </c>
      <c r="C263" s="3">
        <v>24</v>
      </c>
      <c r="D263" s="3">
        <v>16</v>
      </c>
      <c r="E263" s="3">
        <f>((1/(INDEX(E0!J$4:J$28,C263,1)-INDEX(E0!J$4:J$28,D263,1))))*100000000</f>
        <v>0</v>
      </c>
      <c r="F263" s="4" t="str">
        <f>HYPERLINK("http://141.218.60.56/~jnz1568/getInfo.php?workbook=02_01.xlsx&amp;sheet=A0&amp;row=263&amp;col=6&amp;number=&amp;sourceID=18","")</f>
        <v/>
      </c>
      <c r="G263" s="4" t="str">
        <f>HYPERLINK("http://141.218.60.56/~jnz1568/getInfo.php?workbook=02_01.xlsx&amp;sheet=A0&amp;row=263&amp;col=7&amp;number==&amp;sourceID=11","=")</f>
        <v>=</v>
      </c>
      <c r="H263" s="4" t="str">
        <f>HYPERLINK("http://141.218.60.56/~jnz1568/getInfo.php?workbook=02_01.xlsx&amp;sheet=A0&amp;row=263&amp;col=8&amp;number=&amp;sourceID=11","")</f>
        <v/>
      </c>
      <c r="I263" s="4" t="str">
        <f>HYPERLINK("http://141.218.60.56/~jnz1568/getInfo.php?workbook=02_01.xlsx&amp;sheet=A0&amp;row=263&amp;col=9&amp;number=8.7415&amp;sourceID=11","8.7415")</f>
        <v>8.7415</v>
      </c>
      <c r="J263" s="4" t="str">
        <f>HYPERLINK("http://141.218.60.56/~jnz1568/getInfo.php?workbook=02_01.xlsx&amp;sheet=A0&amp;row=263&amp;col=10&amp;number=&amp;sourceID=11","")</f>
        <v/>
      </c>
      <c r="K263" s="4" t="str">
        <f>HYPERLINK("http://141.218.60.56/~jnz1568/getInfo.php?workbook=02_01.xlsx&amp;sheet=A0&amp;row=263&amp;col=11&amp;number=3.1e-09&amp;sourceID=11","3.1e-09")</f>
        <v>3.1e-09</v>
      </c>
      <c r="L263" s="4" t="str">
        <f>HYPERLINK("http://141.218.60.56/~jnz1568/getInfo.php?workbook=02_01.xlsx&amp;sheet=A0&amp;row=263&amp;col=12&amp;number=&amp;sourceID=11","")</f>
        <v/>
      </c>
      <c r="M263" s="4" t="str">
        <f>HYPERLINK("http://141.218.60.56/~jnz1568/getInfo.php?workbook=02_01.xlsx&amp;sheet=A0&amp;row=263&amp;col=13&amp;number=2.5242e-11&amp;sourceID=11","2.5242e-11")</f>
        <v>2.5242e-11</v>
      </c>
      <c r="N263" s="4" t="str">
        <f>HYPERLINK("http://141.218.60.56/~jnz1568/getInfo.php?workbook=02_01.xlsx&amp;sheet=A0&amp;row=263&amp;col=14&amp;number=8.7427&amp;sourceID=12","8.7427")</f>
        <v>8.7427</v>
      </c>
      <c r="O263" s="4" t="str">
        <f>HYPERLINK("http://141.218.60.56/~jnz1568/getInfo.php?workbook=02_01.xlsx&amp;sheet=A0&amp;row=263&amp;col=15&amp;number=&amp;sourceID=12","")</f>
        <v/>
      </c>
      <c r="P263" s="4" t="str">
        <f>HYPERLINK("http://141.218.60.56/~jnz1568/getInfo.php?workbook=02_01.xlsx&amp;sheet=A0&amp;row=263&amp;col=16&amp;number=8.7427&amp;sourceID=12","8.7427")</f>
        <v>8.7427</v>
      </c>
      <c r="Q263" s="4" t="str">
        <f>HYPERLINK("http://141.218.60.56/~jnz1568/getInfo.php?workbook=02_01.xlsx&amp;sheet=A0&amp;row=263&amp;col=17&amp;number=&amp;sourceID=12","")</f>
        <v/>
      </c>
      <c r="R263" s="4" t="str">
        <f>HYPERLINK("http://141.218.60.56/~jnz1568/getInfo.php?workbook=02_01.xlsx&amp;sheet=A0&amp;row=263&amp;col=18&amp;number=3.0952e-09&amp;sourceID=12","3.0952e-09")</f>
        <v>3.0952e-09</v>
      </c>
      <c r="S263" s="4" t="str">
        <f>HYPERLINK("http://141.218.60.56/~jnz1568/getInfo.php?workbook=02_01.xlsx&amp;sheet=A0&amp;row=263&amp;col=19&amp;number=&amp;sourceID=12","")</f>
        <v/>
      </c>
      <c r="T263" s="4" t="str">
        <f>HYPERLINK("http://141.218.60.56/~jnz1568/getInfo.php?workbook=02_01.xlsx&amp;sheet=A0&amp;row=263&amp;col=20&amp;number=2.5245e-11&amp;sourceID=12","2.5245e-11")</f>
        <v>2.5245e-11</v>
      </c>
      <c r="U263" s="4" t="str">
        <f>HYPERLINK("http://141.218.60.56/~jnz1568/getInfo.php?workbook=02_01.xlsx&amp;sheet=A0&amp;row=263&amp;col=21&amp;number=&amp;sourceID=13","")</f>
        <v/>
      </c>
      <c r="V263" s="4" t="str">
        <f>HYPERLINK("http://141.218.60.56/~jnz1568/getInfo.php?workbook=02_01.xlsx&amp;sheet=A0&amp;row=263&amp;col=22&amp;number=&amp;sourceID=13","")</f>
        <v/>
      </c>
      <c r="W263" s="4" t="str">
        <f>HYPERLINK("http://141.218.60.56/~jnz1568/getInfo.php?workbook=02_01.xlsx&amp;sheet=A0&amp;row=263&amp;col=23&amp;number=&amp;sourceID=13","")</f>
        <v/>
      </c>
      <c r="X263" s="4" t="str">
        <f>HYPERLINK("http://141.218.60.56/~jnz1568/getInfo.php?workbook=02_01.xlsx&amp;sheet=A0&amp;row=263&amp;col=24&amp;number=&amp;sourceID=13","")</f>
        <v/>
      </c>
      <c r="Y263" s="4" t="str">
        <f>HYPERLINK("http://141.218.60.56/~jnz1568/getInfo.php?workbook=02_01.xlsx&amp;sheet=A0&amp;row=263&amp;col=25&amp;number=&amp;sourceID=13","")</f>
        <v/>
      </c>
      <c r="Z263" s="4" t="str">
        <f>HYPERLINK("http://141.218.60.56/~jnz1568/getInfo.php?workbook=02_01.xlsx&amp;sheet=A0&amp;row=263&amp;col=26&amp;number=&amp;sourceID=13","")</f>
        <v/>
      </c>
      <c r="AA263" s="4" t="str">
        <f>HYPERLINK("http://141.218.60.56/~jnz1568/getInfo.php?workbook=02_01.xlsx&amp;sheet=A0&amp;row=263&amp;col=27&amp;number=&amp;sourceID=20","")</f>
        <v/>
      </c>
    </row>
    <row r="264" spans="1:27">
      <c r="A264" s="3">
        <v>2</v>
      </c>
      <c r="B264" s="3">
        <v>1</v>
      </c>
      <c r="C264" s="3">
        <v>24</v>
      </c>
      <c r="D264" s="3">
        <v>17</v>
      </c>
      <c r="E264" s="3">
        <f>((1/(INDEX(E0!J$4:J$28,C264,1)-INDEX(E0!J$4:J$28,D264,1))))*100000000</f>
        <v>0</v>
      </c>
      <c r="F264" s="4" t="str">
        <f>HYPERLINK("http://141.218.60.56/~jnz1568/getInfo.php?workbook=02_01.xlsx&amp;sheet=A0&amp;row=264&amp;col=6&amp;number=&amp;sourceID=18","")</f>
        <v/>
      </c>
      <c r="G264" s="4" t="str">
        <f>HYPERLINK("http://141.218.60.56/~jnz1568/getInfo.php?workbook=02_01.xlsx&amp;sheet=A0&amp;row=264&amp;col=7&amp;number=&amp;sourceID=11","")</f>
        <v/>
      </c>
      <c r="H264" s="4" t="str">
        <f>HYPERLINK("http://141.218.60.56/~jnz1568/getInfo.php?workbook=02_01.xlsx&amp;sheet=A0&amp;row=264&amp;col=8&amp;number=&amp;sourceID=11","")</f>
        <v/>
      </c>
      <c r="I264" s="4" t="str">
        <f>HYPERLINK("http://141.218.60.56/~jnz1568/getInfo.php?workbook=02_01.xlsx&amp;sheet=A0&amp;row=264&amp;col=9&amp;number=&amp;sourceID=11","")</f>
        <v/>
      </c>
      <c r="J264" s="4" t="str">
        <f>HYPERLINK("http://141.218.60.56/~jnz1568/getInfo.php?workbook=02_01.xlsx&amp;sheet=A0&amp;row=264&amp;col=10&amp;number=&amp;sourceID=11","")</f>
        <v/>
      </c>
      <c r="K264" s="4" t="str">
        <f>HYPERLINK("http://141.218.60.56/~jnz1568/getInfo.php?workbook=02_01.xlsx&amp;sheet=A0&amp;row=264&amp;col=11&amp;number=&amp;sourceID=11","")</f>
        <v/>
      </c>
      <c r="L264" s="4" t="str">
        <f>HYPERLINK("http://141.218.60.56/~jnz1568/getInfo.php?workbook=02_01.xlsx&amp;sheet=A0&amp;row=264&amp;col=12&amp;number=&amp;sourceID=11","")</f>
        <v/>
      </c>
      <c r="M264" s="4" t="str">
        <f>HYPERLINK("http://141.218.60.56/~jnz1568/getInfo.php?workbook=02_01.xlsx&amp;sheet=A0&amp;row=264&amp;col=13&amp;number=0&amp;sourceID=11","0")</f>
        <v>0</v>
      </c>
      <c r="N264" s="4" t="str">
        <f>HYPERLINK("http://141.218.60.56/~jnz1568/getInfo.php?workbook=02_01.xlsx&amp;sheet=A0&amp;row=264&amp;col=14&amp;number=0&amp;sourceID=12","0")</f>
        <v>0</v>
      </c>
      <c r="O264" s="4" t="str">
        <f>HYPERLINK("http://141.218.60.56/~jnz1568/getInfo.php?workbook=02_01.xlsx&amp;sheet=A0&amp;row=264&amp;col=15&amp;number=&amp;sourceID=12","")</f>
        <v/>
      </c>
      <c r="P264" s="4" t="str">
        <f>HYPERLINK("http://141.218.60.56/~jnz1568/getInfo.php?workbook=02_01.xlsx&amp;sheet=A0&amp;row=264&amp;col=16&amp;number=&amp;sourceID=12","")</f>
        <v/>
      </c>
      <c r="Q264" s="4" t="str">
        <f>HYPERLINK("http://141.218.60.56/~jnz1568/getInfo.php?workbook=02_01.xlsx&amp;sheet=A0&amp;row=264&amp;col=17&amp;number=&amp;sourceID=12","")</f>
        <v/>
      </c>
      <c r="R264" s="4" t="str">
        <f>HYPERLINK("http://141.218.60.56/~jnz1568/getInfo.php?workbook=02_01.xlsx&amp;sheet=A0&amp;row=264&amp;col=18&amp;number=&amp;sourceID=12","")</f>
        <v/>
      </c>
      <c r="S264" s="4" t="str">
        <f>HYPERLINK("http://141.218.60.56/~jnz1568/getInfo.php?workbook=02_01.xlsx&amp;sheet=A0&amp;row=264&amp;col=19&amp;number=&amp;sourceID=12","")</f>
        <v/>
      </c>
      <c r="T264" s="4" t="str">
        <f>HYPERLINK("http://141.218.60.56/~jnz1568/getInfo.php?workbook=02_01.xlsx&amp;sheet=A0&amp;row=264&amp;col=20&amp;number=0&amp;sourceID=12","0")</f>
        <v>0</v>
      </c>
      <c r="U264" s="4" t="str">
        <f>HYPERLINK("http://141.218.60.56/~jnz1568/getInfo.php?workbook=02_01.xlsx&amp;sheet=A0&amp;row=264&amp;col=21&amp;number=&amp;sourceID=13","")</f>
        <v/>
      </c>
      <c r="V264" s="4" t="str">
        <f>HYPERLINK("http://141.218.60.56/~jnz1568/getInfo.php?workbook=02_01.xlsx&amp;sheet=A0&amp;row=264&amp;col=22&amp;number=&amp;sourceID=13","")</f>
        <v/>
      </c>
      <c r="W264" s="4" t="str">
        <f>HYPERLINK("http://141.218.60.56/~jnz1568/getInfo.php?workbook=02_01.xlsx&amp;sheet=A0&amp;row=264&amp;col=23&amp;number=&amp;sourceID=13","")</f>
        <v/>
      </c>
      <c r="X264" s="4" t="str">
        <f>HYPERLINK("http://141.218.60.56/~jnz1568/getInfo.php?workbook=02_01.xlsx&amp;sheet=A0&amp;row=264&amp;col=24&amp;number=&amp;sourceID=13","")</f>
        <v/>
      </c>
      <c r="Y264" s="4" t="str">
        <f>HYPERLINK("http://141.218.60.56/~jnz1568/getInfo.php?workbook=02_01.xlsx&amp;sheet=A0&amp;row=264&amp;col=25&amp;number=&amp;sourceID=13","")</f>
        <v/>
      </c>
      <c r="Z264" s="4" t="str">
        <f>HYPERLINK("http://141.218.60.56/~jnz1568/getInfo.php?workbook=02_01.xlsx&amp;sheet=A0&amp;row=264&amp;col=26&amp;number=&amp;sourceID=13","")</f>
        <v/>
      </c>
      <c r="AA264" s="4" t="str">
        <f>HYPERLINK("http://141.218.60.56/~jnz1568/getInfo.php?workbook=02_01.xlsx&amp;sheet=A0&amp;row=264&amp;col=27&amp;number=&amp;sourceID=20","")</f>
        <v/>
      </c>
    </row>
    <row r="265" spans="1:27">
      <c r="A265" s="3">
        <v>2</v>
      </c>
      <c r="B265" s="3">
        <v>1</v>
      </c>
      <c r="C265" s="3">
        <v>24</v>
      </c>
      <c r="D265" s="3">
        <v>18</v>
      </c>
      <c r="E265" s="3">
        <f>((1/(INDEX(E0!J$4:J$28,C265,1)-INDEX(E0!J$4:J$28,D265,1))))*100000000</f>
        <v>0</v>
      </c>
      <c r="F265" s="4" t="str">
        <f>HYPERLINK("http://141.218.60.56/~jnz1568/getInfo.php?workbook=02_01.xlsx&amp;sheet=A0&amp;row=265&amp;col=6&amp;number=&amp;sourceID=18","")</f>
        <v/>
      </c>
      <c r="G265" s="4" t="str">
        <f>HYPERLINK("http://141.218.60.56/~jnz1568/getInfo.php?workbook=02_01.xlsx&amp;sheet=A0&amp;row=265&amp;col=7&amp;number==SUM(H265:M265)&amp;sourceID=11","=SUM(H265:M265)")</f>
        <v>=SUM(H265:M265)</v>
      </c>
      <c r="H265" s="4" t="str">
        <f>HYPERLINK("http://141.218.60.56/~jnz1568/getInfo.php?workbook=02_01.xlsx&amp;sheet=A0&amp;row=265&amp;col=8&amp;number=&amp;sourceID=11","")</f>
        <v/>
      </c>
      <c r="I265" s="4" t="str">
        <f>HYPERLINK("http://141.218.60.56/~jnz1568/getInfo.php?workbook=02_01.xlsx&amp;sheet=A0&amp;row=265&amp;col=9&amp;number=&amp;sourceID=11","")</f>
        <v/>
      </c>
      <c r="J265" s="4" t="str">
        <f>HYPERLINK("http://141.218.60.56/~jnz1568/getInfo.php?workbook=02_01.xlsx&amp;sheet=A0&amp;row=265&amp;col=10&amp;number=0&amp;sourceID=11","0")</f>
        <v>0</v>
      </c>
      <c r="K265" s="4" t="str">
        <f>HYPERLINK("http://141.218.60.56/~jnz1568/getInfo.php?workbook=02_01.xlsx&amp;sheet=A0&amp;row=265&amp;col=11&amp;number=&amp;sourceID=11","")</f>
        <v/>
      </c>
      <c r="L265" s="4" t="str">
        <f>HYPERLINK("http://141.218.60.56/~jnz1568/getInfo.php?workbook=02_01.xlsx&amp;sheet=A0&amp;row=265&amp;col=12&amp;number=&amp;sourceID=11","")</f>
        <v/>
      </c>
      <c r="M265" s="4" t="str">
        <f>HYPERLINK("http://141.218.60.56/~jnz1568/getInfo.php?workbook=02_01.xlsx&amp;sheet=A0&amp;row=265&amp;col=13&amp;number=&amp;sourceID=11","")</f>
        <v/>
      </c>
      <c r="N265" s="4" t="str">
        <f>HYPERLINK("http://141.218.60.56/~jnz1568/getInfo.php?workbook=02_01.xlsx&amp;sheet=A0&amp;row=265&amp;col=14&amp;number=0&amp;sourceID=12","0")</f>
        <v>0</v>
      </c>
      <c r="O265" s="4" t="str">
        <f>HYPERLINK("http://141.218.60.56/~jnz1568/getInfo.php?workbook=02_01.xlsx&amp;sheet=A0&amp;row=265&amp;col=15&amp;number=&amp;sourceID=12","")</f>
        <v/>
      </c>
      <c r="P265" s="4" t="str">
        <f>HYPERLINK("http://141.218.60.56/~jnz1568/getInfo.php?workbook=02_01.xlsx&amp;sheet=A0&amp;row=265&amp;col=16&amp;number=&amp;sourceID=12","")</f>
        <v/>
      </c>
      <c r="Q265" s="4" t="str">
        <f>HYPERLINK("http://141.218.60.56/~jnz1568/getInfo.php?workbook=02_01.xlsx&amp;sheet=A0&amp;row=265&amp;col=17&amp;number=0&amp;sourceID=12","0")</f>
        <v>0</v>
      </c>
      <c r="R265" s="4" t="str">
        <f>HYPERLINK("http://141.218.60.56/~jnz1568/getInfo.php?workbook=02_01.xlsx&amp;sheet=A0&amp;row=265&amp;col=18&amp;number=&amp;sourceID=12","")</f>
        <v/>
      </c>
      <c r="S265" s="4" t="str">
        <f>HYPERLINK("http://141.218.60.56/~jnz1568/getInfo.php?workbook=02_01.xlsx&amp;sheet=A0&amp;row=265&amp;col=19&amp;number=&amp;sourceID=12","")</f>
        <v/>
      </c>
      <c r="T265" s="4" t="str">
        <f>HYPERLINK("http://141.218.60.56/~jnz1568/getInfo.php?workbook=02_01.xlsx&amp;sheet=A0&amp;row=265&amp;col=20&amp;number=&amp;sourceID=12","")</f>
        <v/>
      </c>
      <c r="U265" s="4" t="str">
        <f>HYPERLINK("http://141.218.60.56/~jnz1568/getInfo.php?workbook=02_01.xlsx&amp;sheet=A0&amp;row=265&amp;col=21&amp;number=&amp;sourceID=13","")</f>
        <v/>
      </c>
      <c r="V265" s="4" t="str">
        <f>HYPERLINK("http://141.218.60.56/~jnz1568/getInfo.php?workbook=02_01.xlsx&amp;sheet=A0&amp;row=265&amp;col=22&amp;number=&amp;sourceID=13","")</f>
        <v/>
      </c>
      <c r="W265" s="4" t="str">
        <f>HYPERLINK("http://141.218.60.56/~jnz1568/getInfo.php?workbook=02_01.xlsx&amp;sheet=A0&amp;row=265&amp;col=23&amp;number=&amp;sourceID=13","")</f>
        <v/>
      </c>
      <c r="X265" s="4" t="str">
        <f>HYPERLINK("http://141.218.60.56/~jnz1568/getInfo.php?workbook=02_01.xlsx&amp;sheet=A0&amp;row=265&amp;col=24&amp;number=&amp;sourceID=13","")</f>
        <v/>
      </c>
      <c r="Y265" s="4" t="str">
        <f>HYPERLINK("http://141.218.60.56/~jnz1568/getInfo.php?workbook=02_01.xlsx&amp;sheet=A0&amp;row=265&amp;col=25&amp;number=&amp;sourceID=13","")</f>
        <v/>
      </c>
      <c r="Z265" s="4" t="str">
        <f>HYPERLINK("http://141.218.60.56/~jnz1568/getInfo.php?workbook=02_01.xlsx&amp;sheet=A0&amp;row=265&amp;col=26&amp;number=&amp;sourceID=13","")</f>
        <v/>
      </c>
      <c r="AA265" s="4" t="str">
        <f>HYPERLINK("http://141.218.60.56/~jnz1568/getInfo.php?workbook=02_01.xlsx&amp;sheet=A0&amp;row=265&amp;col=27&amp;number=&amp;sourceID=20","")</f>
        <v/>
      </c>
    </row>
    <row r="266" spans="1:27">
      <c r="A266" s="3">
        <v>2</v>
      </c>
      <c r="B266" s="3">
        <v>1</v>
      </c>
      <c r="C266" s="3">
        <v>24</v>
      </c>
      <c r="D266" s="3">
        <v>19</v>
      </c>
      <c r="E266" s="3">
        <f>((1/(INDEX(E0!J$4:J$28,C266,1)-INDEX(E0!J$4:J$28,D266,1))))*100000000</f>
        <v>0</v>
      </c>
      <c r="F266" s="4" t="str">
        <f>HYPERLINK("http://141.218.60.56/~jnz1568/getInfo.php?workbook=02_01.xlsx&amp;sheet=A0&amp;row=266&amp;col=6&amp;number=&amp;sourceID=18","")</f>
        <v/>
      </c>
      <c r="G266" s="4" t="str">
        <f>HYPERLINK("http://141.218.60.56/~jnz1568/getInfo.php?workbook=02_01.xlsx&amp;sheet=A0&amp;row=266&amp;col=7&amp;number==&amp;sourceID=11","=")</f>
        <v>=</v>
      </c>
      <c r="H266" s="4" t="str">
        <f>HYPERLINK("http://141.218.60.56/~jnz1568/getInfo.php?workbook=02_01.xlsx&amp;sheet=A0&amp;row=266&amp;col=8&amp;number=&amp;sourceID=11","")</f>
        <v/>
      </c>
      <c r="I266" s="4" t="str">
        <f>HYPERLINK("http://141.218.60.56/~jnz1568/getInfo.php?workbook=02_01.xlsx&amp;sheet=A0&amp;row=266&amp;col=9&amp;number=&amp;sourceID=11","")</f>
        <v/>
      </c>
      <c r="J266" s="4" t="str">
        <f>HYPERLINK("http://141.218.60.56/~jnz1568/getInfo.php?workbook=02_01.xlsx&amp;sheet=A0&amp;row=266&amp;col=10&amp;number=0&amp;sourceID=11","0")</f>
        <v>0</v>
      </c>
      <c r="K266" s="4" t="str">
        <f>HYPERLINK("http://141.218.60.56/~jnz1568/getInfo.php?workbook=02_01.xlsx&amp;sheet=A0&amp;row=266&amp;col=11&amp;number=&amp;sourceID=11","")</f>
        <v/>
      </c>
      <c r="L266" s="4" t="str">
        <f>HYPERLINK("http://141.218.60.56/~jnz1568/getInfo.php?workbook=02_01.xlsx&amp;sheet=A0&amp;row=266&amp;col=12&amp;number=0&amp;sourceID=11","0")</f>
        <v>0</v>
      </c>
      <c r="M266" s="4" t="str">
        <f>HYPERLINK("http://141.218.60.56/~jnz1568/getInfo.php?workbook=02_01.xlsx&amp;sheet=A0&amp;row=266&amp;col=13&amp;number=&amp;sourceID=11","")</f>
        <v/>
      </c>
      <c r="N266" s="4" t="str">
        <f>HYPERLINK("http://141.218.60.56/~jnz1568/getInfo.php?workbook=02_01.xlsx&amp;sheet=A0&amp;row=266&amp;col=14&amp;number=0&amp;sourceID=12","0")</f>
        <v>0</v>
      </c>
      <c r="O266" s="4" t="str">
        <f>HYPERLINK("http://141.218.60.56/~jnz1568/getInfo.php?workbook=02_01.xlsx&amp;sheet=A0&amp;row=266&amp;col=15&amp;number=&amp;sourceID=12","")</f>
        <v/>
      </c>
      <c r="P266" s="4" t="str">
        <f>HYPERLINK("http://141.218.60.56/~jnz1568/getInfo.php?workbook=02_01.xlsx&amp;sheet=A0&amp;row=266&amp;col=16&amp;number=&amp;sourceID=12","")</f>
        <v/>
      </c>
      <c r="Q266" s="4" t="str">
        <f>HYPERLINK("http://141.218.60.56/~jnz1568/getInfo.php?workbook=02_01.xlsx&amp;sheet=A0&amp;row=266&amp;col=17&amp;number=0&amp;sourceID=12","0")</f>
        <v>0</v>
      </c>
      <c r="R266" s="4" t="str">
        <f>HYPERLINK("http://141.218.60.56/~jnz1568/getInfo.php?workbook=02_01.xlsx&amp;sheet=A0&amp;row=266&amp;col=18&amp;number=&amp;sourceID=12","")</f>
        <v/>
      </c>
      <c r="S266" s="4" t="str">
        <f>HYPERLINK("http://141.218.60.56/~jnz1568/getInfo.php?workbook=02_01.xlsx&amp;sheet=A0&amp;row=266&amp;col=19&amp;number=0&amp;sourceID=12","0")</f>
        <v>0</v>
      </c>
      <c r="T266" s="4" t="str">
        <f>HYPERLINK("http://141.218.60.56/~jnz1568/getInfo.php?workbook=02_01.xlsx&amp;sheet=A0&amp;row=266&amp;col=20&amp;number=&amp;sourceID=12","")</f>
        <v/>
      </c>
      <c r="U266" s="4" t="str">
        <f>HYPERLINK("http://141.218.60.56/~jnz1568/getInfo.php?workbook=02_01.xlsx&amp;sheet=A0&amp;row=266&amp;col=21&amp;number=&amp;sourceID=13","")</f>
        <v/>
      </c>
      <c r="V266" s="4" t="str">
        <f>HYPERLINK("http://141.218.60.56/~jnz1568/getInfo.php?workbook=02_01.xlsx&amp;sheet=A0&amp;row=266&amp;col=22&amp;number=&amp;sourceID=13","")</f>
        <v/>
      </c>
      <c r="W266" s="4" t="str">
        <f>HYPERLINK("http://141.218.60.56/~jnz1568/getInfo.php?workbook=02_01.xlsx&amp;sheet=A0&amp;row=266&amp;col=23&amp;number=&amp;sourceID=13","")</f>
        <v/>
      </c>
      <c r="X266" s="4" t="str">
        <f>HYPERLINK("http://141.218.60.56/~jnz1568/getInfo.php?workbook=02_01.xlsx&amp;sheet=A0&amp;row=266&amp;col=24&amp;number=&amp;sourceID=13","")</f>
        <v/>
      </c>
      <c r="Y266" s="4" t="str">
        <f>HYPERLINK("http://141.218.60.56/~jnz1568/getInfo.php?workbook=02_01.xlsx&amp;sheet=A0&amp;row=266&amp;col=25&amp;number=&amp;sourceID=13","")</f>
        <v/>
      </c>
      <c r="Z266" s="4" t="str">
        <f>HYPERLINK("http://141.218.60.56/~jnz1568/getInfo.php?workbook=02_01.xlsx&amp;sheet=A0&amp;row=266&amp;col=26&amp;number=&amp;sourceID=13","")</f>
        <v/>
      </c>
      <c r="AA266" s="4" t="str">
        <f>HYPERLINK("http://141.218.60.56/~jnz1568/getInfo.php?workbook=02_01.xlsx&amp;sheet=A0&amp;row=266&amp;col=27&amp;number=&amp;sourceID=20","")</f>
        <v/>
      </c>
    </row>
    <row r="267" spans="1:27">
      <c r="A267" s="3">
        <v>2</v>
      </c>
      <c r="B267" s="3">
        <v>1</v>
      </c>
      <c r="C267" s="3">
        <v>24</v>
      </c>
      <c r="D267" s="3">
        <v>20</v>
      </c>
      <c r="E267" s="3">
        <f>((1/(INDEX(E0!J$4:J$28,C267,1)-INDEX(E0!J$4:J$28,D267,1))))*100000000</f>
        <v>0</v>
      </c>
      <c r="F267" s="4" t="str">
        <f>HYPERLINK("http://141.218.60.56/~jnz1568/getInfo.php?workbook=02_01.xlsx&amp;sheet=A0&amp;row=267&amp;col=6&amp;number=&amp;sourceID=18","")</f>
        <v/>
      </c>
      <c r="G267" s="4" t="str">
        <f>HYPERLINK("http://141.218.60.56/~jnz1568/getInfo.php?workbook=02_01.xlsx&amp;sheet=A0&amp;row=267&amp;col=7&amp;number==&amp;sourceID=11","=")</f>
        <v>=</v>
      </c>
      <c r="H267" s="4" t="str">
        <f>HYPERLINK("http://141.218.60.56/~jnz1568/getInfo.php?workbook=02_01.xlsx&amp;sheet=A0&amp;row=267&amp;col=8&amp;number=&amp;sourceID=11","")</f>
        <v/>
      </c>
      <c r="I267" s="4" t="str">
        <f>HYPERLINK("http://141.218.60.56/~jnz1568/getInfo.php?workbook=02_01.xlsx&amp;sheet=A0&amp;row=267&amp;col=9&amp;number=0&amp;sourceID=11","0")</f>
        <v>0</v>
      </c>
      <c r="J267" s="4" t="str">
        <f>HYPERLINK("http://141.218.60.56/~jnz1568/getInfo.php?workbook=02_01.xlsx&amp;sheet=A0&amp;row=267&amp;col=10&amp;number=&amp;sourceID=11","")</f>
        <v/>
      </c>
      <c r="K267" s="4" t="str">
        <f>HYPERLINK("http://141.218.60.56/~jnz1568/getInfo.php?workbook=02_01.xlsx&amp;sheet=A0&amp;row=267&amp;col=11&amp;number=&amp;sourceID=11","")</f>
        <v/>
      </c>
      <c r="L267" s="4" t="str">
        <f>HYPERLINK("http://141.218.60.56/~jnz1568/getInfo.php?workbook=02_01.xlsx&amp;sheet=A0&amp;row=267&amp;col=12&amp;number=&amp;sourceID=11","")</f>
        <v/>
      </c>
      <c r="M267" s="4" t="str">
        <f>HYPERLINK("http://141.218.60.56/~jnz1568/getInfo.php?workbook=02_01.xlsx&amp;sheet=A0&amp;row=267&amp;col=13&amp;number=0&amp;sourceID=11","0")</f>
        <v>0</v>
      </c>
      <c r="N267" s="4" t="str">
        <f>HYPERLINK("http://141.218.60.56/~jnz1568/getInfo.php?workbook=02_01.xlsx&amp;sheet=A0&amp;row=267&amp;col=14&amp;number=0&amp;sourceID=12","0")</f>
        <v>0</v>
      </c>
      <c r="O267" s="4" t="str">
        <f>HYPERLINK("http://141.218.60.56/~jnz1568/getInfo.php?workbook=02_01.xlsx&amp;sheet=A0&amp;row=267&amp;col=15&amp;number=&amp;sourceID=12","")</f>
        <v/>
      </c>
      <c r="P267" s="4" t="str">
        <f>HYPERLINK("http://141.218.60.56/~jnz1568/getInfo.php?workbook=02_01.xlsx&amp;sheet=A0&amp;row=267&amp;col=16&amp;number=0&amp;sourceID=12","0")</f>
        <v>0</v>
      </c>
      <c r="Q267" s="4" t="str">
        <f>HYPERLINK("http://141.218.60.56/~jnz1568/getInfo.php?workbook=02_01.xlsx&amp;sheet=A0&amp;row=267&amp;col=17&amp;number=&amp;sourceID=12","")</f>
        <v/>
      </c>
      <c r="R267" s="4" t="str">
        <f>HYPERLINK("http://141.218.60.56/~jnz1568/getInfo.php?workbook=02_01.xlsx&amp;sheet=A0&amp;row=267&amp;col=18&amp;number=&amp;sourceID=12","")</f>
        <v/>
      </c>
      <c r="S267" s="4" t="str">
        <f>HYPERLINK("http://141.218.60.56/~jnz1568/getInfo.php?workbook=02_01.xlsx&amp;sheet=A0&amp;row=267&amp;col=19&amp;number=&amp;sourceID=12","")</f>
        <v/>
      </c>
      <c r="T267" s="4" t="str">
        <f>HYPERLINK("http://141.218.60.56/~jnz1568/getInfo.php?workbook=02_01.xlsx&amp;sheet=A0&amp;row=267&amp;col=20&amp;number=0&amp;sourceID=12","0")</f>
        <v>0</v>
      </c>
      <c r="U267" s="4" t="str">
        <f>HYPERLINK("http://141.218.60.56/~jnz1568/getInfo.php?workbook=02_01.xlsx&amp;sheet=A0&amp;row=267&amp;col=21&amp;number=&amp;sourceID=13","")</f>
        <v/>
      </c>
      <c r="V267" s="4" t="str">
        <f>HYPERLINK("http://141.218.60.56/~jnz1568/getInfo.php?workbook=02_01.xlsx&amp;sheet=A0&amp;row=267&amp;col=22&amp;number=&amp;sourceID=13","")</f>
        <v/>
      </c>
      <c r="W267" s="4" t="str">
        <f>HYPERLINK("http://141.218.60.56/~jnz1568/getInfo.php?workbook=02_01.xlsx&amp;sheet=A0&amp;row=267&amp;col=23&amp;number=&amp;sourceID=13","")</f>
        <v/>
      </c>
      <c r="X267" s="4" t="str">
        <f>HYPERLINK("http://141.218.60.56/~jnz1568/getInfo.php?workbook=02_01.xlsx&amp;sheet=A0&amp;row=267&amp;col=24&amp;number=&amp;sourceID=13","")</f>
        <v/>
      </c>
      <c r="Y267" s="4" t="str">
        <f>HYPERLINK("http://141.218.60.56/~jnz1568/getInfo.php?workbook=02_01.xlsx&amp;sheet=A0&amp;row=267&amp;col=25&amp;number=&amp;sourceID=13","")</f>
        <v/>
      </c>
      <c r="Z267" s="4" t="str">
        <f>HYPERLINK("http://141.218.60.56/~jnz1568/getInfo.php?workbook=02_01.xlsx&amp;sheet=A0&amp;row=267&amp;col=26&amp;number=&amp;sourceID=13","")</f>
        <v/>
      </c>
      <c r="AA267" s="4" t="str">
        <f>HYPERLINK("http://141.218.60.56/~jnz1568/getInfo.php?workbook=02_01.xlsx&amp;sheet=A0&amp;row=267&amp;col=27&amp;number=&amp;sourceID=20","")</f>
        <v/>
      </c>
    </row>
    <row r="268" spans="1:27">
      <c r="A268" s="3">
        <v>2</v>
      </c>
      <c r="B268" s="3">
        <v>1</v>
      </c>
      <c r="C268" s="3">
        <v>24</v>
      </c>
      <c r="D268" s="3">
        <v>21</v>
      </c>
      <c r="E268" s="3">
        <f>((1/(INDEX(E0!J$4:J$28,C268,1)-INDEX(E0!J$4:J$28,D268,1))))*100000000</f>
        <v>0</v>
      </c>
      <c r="F268" s="4" t="str">
        <f>HYPERLINK("http://141.218.60.56/~jnz1568/getInfo.php?workbook=02_01.xlsx&amp;sheet=A0&amp;row=268&amp;col=6&amp;number=&amp;sourceID=18","")</f>
        <v/>
      </c>
      <c r="G268" s="4" t="str">
        <f>HYPERLINK("http://141.218.60.56/~jnz1568/getInfo.php?workbook=02_01.xlsx&amp;sheet=A0&amp;row=268&amp;col=7&amp;number==&amp;sourceID=11","=")</f>
        <v>=</v>
      </c>
      <c r="H268" s="4" t="str">
        <f>HYPERLINK("http://141.218.60.56/~jnz1568/getInfo.php?workbook=02_01.xlsx&amp;sheet=A0&amp;row=268&amp;col=8&amp;number=&amp;sourceID=11","")</f>
        <v/>
      </c>
      <c r="I268" s="4" t="str">
        <f>HYPERLINK("http://141.218.60.56/~jnz1568/getInfo.php?workbook=02_01.xlsx&amp;sheet=A0&amp;row=268&amp;col=9&amp;number=0&amp;sourceID=11","0")</f>
        <v>0</v>
      </c>
      <c r="J268" s="4" t="str">
        <f>HYPERLINK("http://141.218.60.56/~jnz1568/getInfo.php?workbook=02_01.xlsx&amp;sheet=A0&amp;row=268&amp;col=10&amp;number=&amp;sourceID=11","")</f>
        <v/>
      </c>
      <c r="K268" s="4" t="str">
        <f>HYPERLINK("http://141.218.60.56/~jnz1568/getInfo.php?workbook=02_01.xlsx&amp;sheet=A0&amp;row=268&amp;col=11&amp;number=3e-15&amp;sourceID=11","3e-15")</f>
        <v>3e-15</v>
      </c>
      <c r="L268" s="4" t="str">
        <f>HYPERLINK("http://141.218.60.56/~jnz1568/getInfo.php?workbook=02_01.xlsx&amp;sheet=A0&amp;row=268&amp;col=12&amp;number=&amp;sourceID=11","")</f>
        <v/>
      </c>
      <c r="M268" s="4" t="str">
        <f>HYPERLINK("http://141.218.60.56/~jnz1568/getInfo.php?workbook=02_01.xlsx&amp;sheet=A0&amp;row=268&amp;col=13&amp;number=0&amp;sourceID=11","0")</f>
        <v>0</v>
      </c>
      <c r="N268" s="4" t="str">
        <f>HYPERLINK("http://141.218.60.56/~jnz1568/getInfo.php?workbook=02_01.xlsx&amp;sheet=A0&amp;row=268&amp;col=14&amp;number=3e-15&amp;sourceID=12","3e-15")</f>
        <v>3e-15</v>
      </c>
      <c r="O268" s="4" t="str">
        <f>HYPERLINK("http://141.218.60.56/~jnz1568/getInfo.php?workbook=02_01.xlsx&amp;sheet=A0&amp;row=268&amp;col=15&amp;number=&amp;sourceID=12","")</f>
        <v/>
      </c>
      <c r="P268" s="4" t="str">
        <f>HYPERLINK("http://141.218.60.56/~jnz1568/getInfo.php?workbook=02_01.xlsx&amp;sheet=A0&amp;row=268&amp;col=16&amp;number=0&amp;sourceID=12","0")</f>
        <v>0</v>
      </c>
      <c r="Q268" s="4" t="str">
        <f>HYPERLINK("http://141.218.60.56/~jnz1568/getInfo.php?workbook=02_01.xlsx&amp;sheet=A0&amp;row=268&amp;col=17&amp;number=&amp;sourceID=12","")</f>
        <v/>
      </c>
      <c r="R268" s="4" t="str">
        <f>HYPERLINK("http://141.218.60.56/~jnz1568/getInfo.php?workbook=02_01.xlsx&amp;sheet=A0&amp;row=268&amp;col=18&amp;number=3e-15&amp;sourceID=12","3e-15")</f>
        <v>3e-15</v>
      </c>
      <c r="S268" s="4" t="str">
        <f>HYPERLINK("http://141.218.60.56/~jnz1568/getInfo.php?workbook=02_01.xlsx&amp;sheet=A0&amp;row=268&amp;col=19&amp;number=&amp;sourceID=12","")</f>
        <v/>
      </c>
      <c r="T268" s="4" t="str">
        <f>HYPERLINK("http://141.218.60.56/~jnz1568/getInfo.php?workbook=02_01.xlsx&amp;sheet=A0&amp;row=268&amp;col=20&amp;number=0&amp;sourceID=12","0")</f>
        <v>0</v>
      </c>
      <c r="U268" s="4" t="str">
        <f>HYPERLINK("http://141.218.60.56/~jnz1568/getInfo.php?workbook=02_01.xlsx&amp;sheet=A0&amp;row=268&amp;col=21&amp;number=&amp;sourceID=13","")</f>
        <v/>
      </c>
      <c r="V268" s="4" t="str">
        <f>HYPERLINK("http://141.218.60.56/~jnz1568/getInfo.php?workbook=02_01.xlsx&amp;sheet=A0&amp;row=268&amp;col=22&amp;number=&amp;sourceID=13","")</f>
        <v/>
      </c>
      <c r="W268" s="4" t="str">
        <f>HYPERLINK("http://141.218.60.56/~jnz1568/getInfo.php?workbook=02_01.xlsx&amp;sheet=A0&amp;row=268&amp;col=23&amp;number=&amp;sourceID=13","")</f>
        <v/>
      </c>
      <c r="X268" s="4" t="str">
        <f>HYPERLINK("http://141.218.60.56/~jnz1568/getInfo.php?workbook=02_01.xlsx&amp;sheet=A0&amp;row=268&amp;col=24&amp;number=&amp;sourceID=13","")</f>
        <v/>
      </c>
      <c r="Y268" s="4" t="str">
        <f>HYPERLINK("http://141.218.60.56/~jnz1568/getInfo.php?workbook=02_01.xlsx&amp;sheet=A0&amp;row=268&amp;col=25&amp;number=&amp;sourceID=13","")</f>
        <v/>
      </c>
      <c r="Z268" s="4" t="str">
        <f>HYPERLINK("http://141.218.60.56/~jnz1568/getInfo.php?workbook=02_01.xlsx&amp;sheet=A0&amp;row=268&amp;col=26&amp;number=&amp;sourceID=13","")</f>
        <v/>
      </c>
      <c r="AA268" s="4" t="str">
        <f>HYPERLINK("http://141.218.60.56/~jnz1568/getInfo.php?workbook=02_01.xlsx&amp;sheet=A0&amp;row=268&amp;col=27&amp;number=&amp;sourceID=20","")</f>
        <v/>
      </c>
    </row>
    <row r="269" spans="1:27">
      <c r="A269" s="3">
        <v>2</v>
      </c>
      <c r="B269" s="3">
        <v>1</v>
      </c>
      <c r="C269" s="3">
        <v>24</v>
      </c>
      <c r="D269" s="3">
        <v>22</v>
      </c>
      <c r="E269" s="3">
        <f>((1/(INDEX(E0!J$4:J$28,C269,1)-INDEX(E0!J$4:J$28,D269,1))))*100000000</f>
        <v>0</v>
      </c>
      <c r="F269" s="4" t="str">
        <f>HYPERLINK("http://141.218.60.56/~jnz1568/getInfo.php?workbook=02_01.xlsx&amp;sheet=A0&amp;row=269&amp;col=6&amp;number=&amp;sourceID=18","")</f>
        <v/>
      </c>
      <c r="G269" s="4" t="str">
        <f>HYPERLINK("http://141.218.60.56/~jnz1568/getInfo.php?workbook=02_01.xlsx&amp;sheet=A0&amp;row=269&amp;col=7&amp;number==&amp;sourceID=11","=")</f>
        <v>=</v>
      </c>
      <c r="H269" s="4" t="str">
        <f>HYPERLINK("http://141.218.60.56/~jnz1568/getInfo.php?workbook=02_01.xlsx&amp;sheet=A0&amp;row=269&amp;col=8&amp;number=4.7312e-08&amp;sourceID=11","4.7312e-08")</f>
        <v>4.7312e-08</v>
      </c>
      <c r="I269" s="4" t="str">
        <f>HYPERLINK("http://141.218.60.56/~jnz1568/getInfo.php?workbook=02_01.xlsx&amp;sheet=A0&amp;row=269&amp;col=9&amp;number=&amp;sourceID=11","")</f>
        <v/>
      </c>
      <c r="J269" s="4" t="str">
        <f>HYPERLINK("http://141.218.60.56/~jnz1568/getInfo.php?workbook=02_01.xlsx&amp;sheet=A0&amp;row=269&amp;col=10&amp;number=0&amp;sourceID=11","0")</f>
        <v>0</v>
      </c>
      <c r="K269" s="4" t="str">
        <f>HYPERLINK("http://141.218.60.56/~jnz1568/getInfo.php?workbook=02_01.xlsx&amp;sheet=A0&amp;row=269&amp;col=11&amp;number=&amp;sourceID=11","")</f>
        <v/>
      </c>
      <c r="L269" s="4" t="str">
        <f>HYPERLINK("http://141.218.60.56/~jnz1568/getInfo.php?workbook=02_01.xlsx&amp;sheet=A0&amp;row=269&amp;col=12&amp;number=0&amp;sourceID=11","0")</f>
        <v>0</v>
      </c>
      <c r="M269" s="4" t="str">
        <f>HYPERLINK("http://141.218.60.56/~jnz1568/getInfo.php?workbook=02_01.xlsx&amp;sheet=A0&amp;row=269&amp;col=13&amp;number=&amp;sourceID=11","")</f>
        <v/>
      </c>
      <c r="N269" s="4" t="str">
        <f>HYPERLINK("http://141.218.60.56/~jnz1568/getInfo.php?workbook=02_01.xlsx&amp;sheet=A0&amp;row=269&amp;col=14&amp;number=4.7464e-08&amp;sourceID=12","4.7464e-08")</f>
        <v>4.7464e-08</v>
      </c>
      <c r="O269" s="4" t="str">
        <f>HYPERLINK("http://141.218.60.56/~jnz1568/getInfo.php?workbook=02_01.xlsx&amp;sheet=A0&amp;row=269&amp;col=15&amp;number=4.7464e-08&amp;sourceID=12","4.7464e-08")</f>
        <v>4.7464e-08</v>
      </c>
      <c r="P269" s="4" t="str">
        <f>HYPERLINK("http://141.218.60.56/~jnz1568/getInfo.php?workbook=02_01.xlsx&amp;sheet=A0&amp;row=269&amp;col=16&amp;number=&amp;sourceID=12","")</f>
        <v/>
      </c>
      <c r="Q269" s="4" t="str">
        <f>HYPERLINK("http://141.218.60.56/~jnz1568/getInfo.php?workbook=02_01.xlsx&amp;sheet=A0&amp;row=269&amp;col=17&amp;number=0&amp;sourceID=12","0")</f>
        <v>0</v>
      </c>
      <c r="R269" s="4" t="str">
        <f>HYPERLINK("http://141.218.60.56/~jnz1568/getInfo.php?workbook=02_01.xlsx&amp;sheet=A0&amp;row=269&amp;col=18&amp;number=&amp;sourceID=12","")</f>
        <v/>
      </c>
      <c r="S269" s="4" t="str">
        <f>HYPERLINK("http://141.218.60.56/~jnz1568/getInfo.php?workbook=02_01.xlsx&amp;sheet=A0&amp;row=269&amp;col=19&amp;number=0&amp;sourceID=12","0")</f>
        <v>0</v>
      </c>
      <c r="T269" s="4" t="str">
        <f>HYPERLINK("http://141.218.60.56/~jnz1568/getInfo.php?workbook=02_01.xlsx&amp;sheet=A0&amp;row=269&amp;col=20&amp;number=&amp;sourceID=12","")</f>
        <v/>
      </c>
      <c r="U269" s="4" t="str">
        <f>HYPERLINK("http://141.218.60.56/~jnz1568/getInfo.php?workbook=02_01.xlsx&amp;sheet=A0&amp;row=269&amp;col=21&amp;number=&amp;sourceID=13","")</f>
        <v/>
      </c>
      <c r="V269" s="4" t="str">
        <f>HYPERLINK("http://141.218.60.56/~jnz1568/getInfo.php?workbook=02_01.xlsx&amp;sheet=A0&amp;row=269&amp;col=22&amp;number=&amp;sourceID=13","")</f>
        <v/>
      </c>
      <c r="W269" s="4" t="str">
        <f>HYPERLINK("http://141.218.60.56/~jnz1568/getInfo.php?workbook=02_01.xlsx&amp;sheet=A0&amp;row=269&amp;col=23&amp;number=&amp;sourceID=13","")</f>
        <v/>
      </c>
      <c r="X269" s="4" t="str">
        <f>HYPERLINK("http://141.218.60.56/~jnz1568/getInfo.php?workbook=02_01.xlsx&amp;sheet=A0&amp;row=269&amp;col=24&amp;number=&amp;sourceID=13","")</f>
        <v/>
      </c>
      <c r="Y269" s="4" t="str">
        <f>HYPERLINK("http://141.218.60.56/~jnz1568/getInfo.php?workbook=02_01.xlsx&amp;sheet=A0&amp;row=269&amp;col=25&amp;number=&amp;sourceID=13","")</f>
        <v/>
      </c>
      <c r="Z269" s="4" t="str">
        <f>HYPERLINK("http://141.218.60.56/~jnz1568/getInfo.php?workbook=02_01.xlsx&amp;sheet=A0&amp;row=269&amp;col=26&amp;number=&amp;sourceID=13","")</f>
        <v/>
      </c>
      <c r="AA269" s="4" t="str">
        <f>HYPERLINK("http://141.218.60.56/~jnz1568/getInfo.php?workbook=02_01.xlsx&amp;sheet=A0&amp;row=269&amp;col=27&amp;number=&amp;sourceID=20","")</f>
        <v/>
      </c>
    </row>
    <row r="270" spans="1:27">
      <c r="A270" s="3">
        <v>2</v>
      </c>
      <c r="B270" s="3">
        <v>1</v>
      </c>
      <c r="C270" s="3">
        <v>25</v>
      </c>
      <c r="D270" s="3">
        <v>4</v>
      </c>
      <c r="E270" s="3">
        <f>((1/(INDEX(E0!J$4:J$28,C270,1)-INDEX(E0!J$4:J$28,D270,1))))*100000000</f>
        <v>0</v>
      </c>
      <c r="F270" s="4" t="str">
        <f>HYPERLINK("http://141.218.60.56/~jnz1568/getInfo.php?workbook=02_01.xlsx&amp;sheet=A0&amp;row=270&amp;col=6&amp;number=&amp;sourceID=18","")</f>
        <v/>
      </c>
      <c r="G270" s="4" t="str">
        <f>HYPERLINK("http://141.218.60.56/~jnz1568/getInfo.php?workbook=02_01.xlsx&amp;sheet=A0&amp;row=270&amp;col=7&amp;number==&amp;sourceID=11","=")</f>
        <v>=</v>
      </c>
      <c r="H270" s="4" t="str">
        <f>HYPERLINK("http://141.218.60.56/~jnz1568/getInfo.php?workbook=02_01.xlsx&amp;sheet=A0&amp;row=270&amp;col=8&amp;number=&amp;sourceID=11","")</f>
        <v/>
      </c>
      <c r="I270" s="4" t="str">
        <f>HYPERLINK("http://141.218.60.56/~jnz1568/getInfo.php?workbook=02_01.xlsx&amp;sheet=A0&amp;row=270&amp;col=9&amp;number=&amp;sourceID=11","")</f>
        <v/>
      </c>
      <c r="J270" s="4" t="str">
        <f>HYPERLINK("http://141.218.60.56/~jnz1568/getInfo.php?workbook=02_01.xlsx&amp;sheet=A0&amp;row=270&amp;col=10&amp;number=0.0085822&amp;sourceID=11","0.0085822")</f>
        <v>0.0085822</v>
      </c>
      <c r="K270" s="4" t="str">
        <f>HYPERLINK("http://141.218.60.56/~jnz1568/getInfo.php?workbook=02_01.xlsx&amp;sheet=A0&amp;row=270&amp;col=11&amp;number=&amp;sourceID=11","")</f>
        <v/>
      </c>
      <c r="L270" s="4" t="str">
        <f>HYPERLINK("http://141.218.60.56/~jnz1568/getInfo.php?workbook=02_01.xlsx&amp;sheet=A0&amp;row=270&amp;col=12&amp;number=&amp;sourceID=11","")</f>
        <v/>
      </c>
      <c r="M270" s="4" t="str">
        <f>HYPERLINK("http://141.218.60.56/~jnz1568/getInfo.php?workbook=02_01.xlsx&amp;sheet=A0&amp;row=270&amp;col=13&amp;number=&amp;sourceID=11","")</f>
        <v/>
      </c>
      <c r="N270" s="4" t="str">
        <f>HYPERLINK("http://141.218.60.56/~jnz1568/getInfo.php?workbook=02_01.xlsx&amp;sheet=A0&amp;row=270&amp;col=14&amp;number=0.0085833&amp;sourceID=12","0.0085833")</f>
        <v>0.0085833</v>
      </c>
      <c r="O270" s="4" t="str">
        <f>HYPERLINK("http://141.218.60.56/~jnz1568/getInfo.php?workbook=02_01.xlsx&amp;sheet=A0&amp;row=270&amp;col=15&amp;number=&amp;sourceID=12","")</f>
        <v/>
      </c>
      <c r="P270" s="4" t="str">
        <f>HYPERLINK("http://141.218.60.56/~jnz1568/getInfo.php?workbook=02_01.xlsx&amp;sheet=A0&amp;row=270&amp;col=16&amp;number=&amp;sourceID=12","")</f>
        <v/>
      </c>
      <c r="Q270" s="4" t="str">
        <f>HYPERLINK("http://141.218.60.56/~jnz1568/getInfo.php?workbook=02_01.xlsx&amp;sheet=A0&amp;row=270&amp;col=17&amp;number=0.0085833&amp;sourceID=12","0.0085833")</f>
        <v>0.0085833</v>
      </c>
      <c r="R270" s="4" t="str">
        <f>HYPERLINK("http://141.218.60.56/~jnz1568/getInfo.php?workbook=02_01.xlsx&amp;sheet=A0&amp;row=270&amp;col=18&amp;number=&amp;sourceID=12","")</f>
        <v/>
      </c>
      <c r="S270" s="4" t="str">
        <f>HYPERLINK("http://141.218.60.56/~jnz1568/getInfo.php?workbook=02_01.xlsx&amp;sheet=A0&amp;row=270&amp;col=19&amp;number=&amp;sourceID=12","")</f>
        <v/>
      </c>
      <c r="T270" s="4" t="str">
        <f>HYPERLINK("http://141.218.60.56/~jnz1568/getInfo.php?workbook=02_01.xlsx&amp;sheet=A0&amp;row=270&amp;col=20&amp;number=&amp;sourceID=12","")</f>
        <v/>
      </c>
      <c r="U270" s="4" t="str">
        <f>HYPERLINK("http://141.218.60.56/~jnz1568/getInfo.php?workbook=02_01.xlsx&amp;sheet=A0&amp;row=270&amp;col=21&amp;number=&amp;sourceID=13","")</f>
        <v/>
      </c>
      <c r="V270" s="4" t="str">
        <f>HYPERLINK("http://141.218.60.56/~jnz1568/getInfo.php?workbook=02_01.xlsx&amp;sheet=A0&amp;row=270&amp;col=22&amp;number=&amp;sourceID=13","")</f>
        <v/>
      </c>
      <c r="W270" s="4" t="str">
        <f>HYPERLINK("http://141.218.60.56/~jnz1568/getInfo.php?workbook=02_01.xlsx&amp;sheet=A0&amp;row=270&amp;col=23&amp;number=&amp;sourceID=13","")</f>
        <v/>
      </c>
      <c r="X270" s="4" t="str">
        <f>HYPERLINK("http://141.218.60.56/~jnz1568/getInfo.php?workbook=02_01.xlsx&amp;sheet=A0&amp;row=270&amp;col=24&amp;number=&amp;sourceID=13","")</f>
        <v/>
      </c>
      <c r="Y270" s="4" t="str">
        <f>HYPERLINK("http://141.218.60.56/~jnz1568/getInfo.php?workbook=02_01.xlsx&amp;sheet=A0&amp;row=270&amp;col=25&amp;number=&amp;sourceID=13","")</f>
        <v/>
      </c>
      <c r="Z270" s="4" t="str">
        <f>HYPERLINK("http://141.218.60.56/~jnz1568/getInfo.php?workbook=02_01.xlsx&amp;sheet=A0&amp;row=270&amp;col=26&amp;number=&amp;sourceID=13","")</f>
        <v/>
      </c>
      <c r="AA270" s="4" t="str">
        <f>HYPERLINK("http://141.218.60.56/~jnz1568/getInfo.php?workbook=02_01.xlsx&amp;sheet=A0&amp;row=270&amp;col=27&amp;number=&amp;sourceID=20","")</f>
        <v/>
      </c>
    </row>
    <row r="271" spans="1:27">
      <c r="A271" s="3">
        <v>2</v>
      </c>
      <c r="B271" s="3">
        <v>1</v>
      </c>
      <c r="C271" s="3">
        <v>25</v>
      </c>
      <c r="D271" s="3">
        <v>7</v>
      </c>
      <c r="E271" s="3">
        <f>((1/(INDEX(E0!J$4:J$28,C271,1)-INDEX(E0!J$4:J$28,D271,1))))*100000000</f>
        <v>0</v>
      </c>
      <c r="F271" s="4" t="str">
        <f>HYPERLINK("http://141.218.60.56/~jnz1568/getInfo.php?workbook=02_01.xlsx&amp;sheet=A0&amp;row=271&amp;col=6&amp;number=&amp;sourceID=18","")</f>
        <v/>
      </c>
      <c r="G271" s="4" t="str">
        <f>HYPERLINK("http://141.218.60.56/~jnz1568/getInfo.php?workbook=02_01.xlsx&amp;sheet=A0&amp;row=271&amp;col=7&amp;number==&amp;sourceID=11","=")</f>
        <v>=</v>
      </c>
      <c r="H271" s="4" t="str">
        <f>HYPERLINK("http://141.218.60.56/~jnz1568/getInfo.php?workbook=02_01.xlsx&amp;sheet=A0&amp;row=271&amp;col=8&amp;number=&amp;sourceID=11","")</f>
        <v/>
      </c>
      <c r="I271" s="4" t="str">
        <f>HYPERLINK("http://141.218.60.56/~jnz1568/getInfo.php?workbook=02_01.xlsx&amp;sheet=A0&amp;row=271&amp;col=9&amp;number=&amp;sourceID=11","")</f>
        <v/>
      </c>
      <c r="J271" s="4" t="str">
        <f>HYPERLINK("http://141.218.60.56/~jnz1568/getInfo.php?workbook=02_01.xlsx&amp;sheet=A0&amp;row=271&amp;col=10&amp;number=&amp;sourceID=11","")</f>
        <v/>
      </c>
      <c r="K271" s="4" t="str">
        <f>HYPERLINK("http://141.218.60.56/~jnz1568/getInfo.php?workbook=02_01.xlsx&amp;sheet=A0&amp;row=271&amp;col=11&amp;number=&amp;sourceID=11","")</f>
        <v/>
      </c>
      <c r="L271" s="4" t="str">
        <f>HYPERLINK("http://141.218.60.56/~jnz1568/getInfo.php?workbook=02_01.xlsx&amp;sheet=A0&amp;row=271&amp;col=12&amp;number=&amp;sourceID=11","")</f>
        <v/>
      </c>
      <c r="M271" s="4" t="str">
        <f>HYPERLINK("http://141.218.60.56/~jnz1568/getInfo.php?workbook=02_01.xlsx&amp;sheet=A0&amp;row=271&amp;col=13&amp;number=3.6547e-09&amp;sourceID=11","3.6547e-09")</f>
        <v>3.6547e-09</v>
      </c>
      <c r="N271" s="4" t="str">
        <f>HYPERLINK("http://141.218.60.56/~jnz1568/getInfo.php?workbook=02_01.xlsx&amp;sheet=A0&amp;row=271&amp;col=14&amp;number=3.6552e-09&amp;sourceID=12","3.6552e-09")</f>
        <v>3.6552e-09</v>
      </c>
      <c r="O271" s="4" t="str">
        <f>HYPERLINK("http://141.218.60.56/~jnz1568/getInfo.php?workbook=02_01.xlsx&amp;sheet=A0&amp;row=271&amp;col=15&amp;number=&amp;sourceID=12","")</f>
        <v/>
      </c>
      <c r="P271" s="4" t="str">
        <f>HYPERLINK("http://141.218.60.56/~jnz1568/getInfo.php?workbook=02_01.xlsx&amp;sheet=A0&amp;row=271&amp;col=16&amp;number=&amp;sourceID=12","")</f>
        <v/>
      </c>
      <c r="Q271" s="4" t="str">
        <f>HYPERLINK("http://141.218.60.56/~jnz1568/getInfo.php?workbook=02_01.xlsx&amp;sheet=A0&amp;row=271&amp;col=17&amp;number=&amp;sourceID=12","")</f>
        <v/>
      </c>
      <c r="R271" s="4" t="str">
        <f>HYPERLINK("http://141.218.60.56/~jnz1568/getInfo.php?workbook=02_01.xlsx&amp;sheet=A0&amp;row=271&amp;col=18&amp;number=&amp;sourceID=12","")</f>
        <v/>
      </c>
      <c r="S271" s="4" t="str">
        <f>HYPERLINK("http://141.218.60.56/~jnz1568/getInfo.php?workbook=02_01.xlsx&amp;sheet=A0&amp;row=271&amp;col=19&amp;number=&amp;sourceID=12","")</f>
        <v/>
      </c>
      <c r="T271" s="4" t="str">
        <f>HYPERLINK("http://141.218.60.56/~jnz1568/getInfo.php?workbook=02_01.xlsx&amp;sheet=A0&amp;row=271&amp;col=20&amp;number=3.6552e-09&amp;sourceID=12","3.6552e-09")</f>
        <v>3.6552e-09</v>
      </c>
      <c r="U271" s="4" t="str">
        <f>HYPERLINK("http://141.218.60.56/~jnz1568/getInfo.php?workbook=02_01.xlsx&amp;sheet=A0&amp;row=271&amp;col=21&amp;number=&amp;sourceID=13","")</f>
        <v/>
      </c>
      <c r="V271" s="4" t="str">
        <f>HYPERLINK("http://141.218.60.56/~jnz1568/getInfo.php?workbook=02_01.xlsx&amp;sheet=A0&amp;row=271&amp;col=22&amp;number=&amp;sourceID=13","")</f>
        <v/>
      </c>
      <c r="W271" s="4" t="str">
        <f>HYPERLINK("http://141.218.60.56/~jnz1568/getInfo.php?workbook=02_01.xlsx&amp;sheet=A0&amp;row=271&amp;col=23&amp;number=&amp;sourceID=13","")</f>
        <v/>
      </c>
      <c r="X271" s="4" t="str">
        <f>HYPERLINK("http://141.218.60.56/~jnz1568/getInfo.php?workbook=02_01.xlsx&amp;sheet=A0&amp;row=271&amp;col=24&amp;number=&amp;sourceID=13","")</f>
        <v/>
      </c>
      <c r="Y271" s="4" t="str">
        <f>HYPERLINK("http://141.218.60.56/~jnz1568/getInfo.php?workbook=02_01.xlsx&amp;sheet=A0&amp;row=271&amp;col=25&amp;number=&amp;sourceID=13","")</f>
        <v/>
      </c>
      <c r="Z271" s="4" t="str">
        <f>HYPERLINK("http://141.218.60.56/~jnz1568/getInfo.php?workbook=02_01.xlsx&amp;sheet=A0&amp;row=271&amp;col=26&amp;number=&amp;sourceID=13","")</f>
        <v/>
      </c>
      <c r="AA271" s="4" t="str">
        <f>HYPERLINK("http://141.218.60.56/~jnz1568/getInfo.php?workbook=02_01.xlsx&amp;sheet=A0&amp;row=271&amp;col=27&amp;number=&amp;sourceID=20","")</f>
        <v/>
      </c>
    </row>
    <row r="272" spans="1:27">
      <c r="A272" s="3">
        <v>2</v>
      </c>
      <c r="B272" s="3">
        <v>1</v>
      </c>
      <c r="C272" s="3">
        <v>25</v>
      </c>
      <c r="D272" s="3">
        <v>8</v>
      </c>
      <c r="E272" s="3">
        <f>((1/(INDEX(E0!J$4:J$28,C272,1)-INDEX(E0!J$4:J$28,D272,1))))*100000000</f>
        <v>0</v>
      </c>
      <c r="F272" s="4" t="str">
        <f>HYPERLINK("http://141.218.60.56/~jnz1568/getInfo.php?workbook=02_01.xlsx&amp;sheet=A0&amp;row=272&amp;col=6&amp;number=&amp;sourceID=18","")</f>
        <v/>
      </c>
      <c r="G272" s="4" t="str">
        <f>HYPERLINK("http://141.218.60.56/~jnz1568/getInfo.php?workbook=02_01.xlsx&amp;sheet=A0&amp;row=272&amp;col=7&amp;number==&amp;sourceID=11","=")</f>
        <v>=</v>
      </c>
      <c r="H272" s="4" t="str">
        <f>HYPERLINK("http://141.218.60.56/~jnz1568/getInfo.php?workbook=02_01.xlsx&amp;sheet=A0&amp;row=272&amp;col=8&amp;number=&amp;sourceID=11","")</f>
        <v/>
      </c>
      <c r="I272" s="4" t="str">
        <f>HYPERLINK("http://141.218.60.56/~jnz1568/getInfo.php?workbook=02_01.xlsx&amp;sheet=A0&amp;row=272&amp;col=9&amp;number=&amp;sourceID=11","")</f>
        <v/>
      </c>
      <c r="J272" s="4" t="str">
        <f>HYPERLINK("http://141.218.60.56/~jnz1568/getInfo.php?workbook=02_01.xlsx&amp;sheet=A0&amp;row=272&amp;col=10&amp;number=0.0036246&amp;sourceID=11","0.0036246")</f>
        <v>0.0036246</v>
      </c>
      <c r="K272" s="4" t="str">
        <f>HYPERLINK("http://141.218.60.56/~jnz1568/getInfo.php?workbook=02_01.xlsx&amp;sheet=A0&amp;row=272&amp;col=11&amp;number=&amp;sourceID=11","")</f>
        <v/>
      </c>
      <c r="L272" s="4" t="str">
        <f>HYPERLINK("http://141.218.60.56/~jnz1568/getInfo.php?workbook=02_01.xlsx&amp;sheet=A0&amp;row=272&amp;col=12&amp;number=&amp;sourceID=11","")</f>
        <v/>
      </c>
      <c r="M272" s="4" t="str">
        <f>HYPERLINK("http://141.218.60.56/~jnz1568/getInfo.php?workbook=02_01.xlsx&amp;sheet=A0&amp;row=272&amp;col=13&amp;number=&amp;sourceID=11","")</f>
        <v/>
      </c>
      <c r="N272" s="4" t="str">
        <f>HYPERLINK("http://141.218.60.56/~jnz1568/getInfo.php?workbook=02_01.xlsx&amp;sheet=A0&amp;row=272&amp;col=14&amp;number=0.0036251&amp;sourceID=12","0.0036251")</f>
        <v>0.0036251</v>
      </c>
      <c r="O272" s="4" t="str">
        <f>HYPERLINK("http://141.218.60.56/~jnz1568/getInfo.php?workbook=02_01.xlsx&amp;sheet=A0&amp;row=272&amp;col=15&amp;number=&amp;sourceID=12","")</f>
        <v/>
      </c>
      <c r="P272" s="4" t="str">
        <f>HYPERLINK("http://141.218.60.56/~jnz1568/getInfo.php?workbook=02_01.xlsx&amp;sheet=A0&amp;row=272&amp;col=16&amp;number=&amp;sourceID=12","")</f>
        <v/>
      </c>
      <c r="Q272" s="4" t="str">
        <f>HYPERLINK("http://141.218.60.56/~jnz1568/getInfo.php?workbook=02_01.xlsx&amp;sheet=A0&amp;row=272&amp;col=17&amp;number=0.0036251&amp;sourceID=12","0.0036251")</f>
        <v>0.0036251</v>
      </c>
      <c r="R272" s="4" t="str">
        <f>HYPERLINK("http://141.218.60.56/~jnz1568/getInfo.php?workbook=02_01.xlsx&amp;sheet=A0&amp;row=272&amp;col=18&amp;number=&amp;sourceID=12","")</f>
        <v/>
      </c>
      <c r="S272" s="4" t="str">
        <f>HYPERLINK("http://141.218.60.56/~jnz1568/getInfo.php?workbook=02_01.xlsx&amp;sheet=A0&amp;row=272&amp;col=19&amp;number=&amp;sourceID=12","")</f>
        <v/>
      </c>
      <c r="T272" s="4" t="str">
        <f>HYPERLINK("http://141.218.60.56/~jnz1568/getInfo.php?workbook=02_01.xlsx&amp;sheet=A0&amp;row=272&amp;col=20&amp;number=&amp;sourceID=12","")</f>
        <v/>
      </c>
      <c r="U272" s="4" t="str">
        <f>HYPERLINK("http://141.218.60.56/~jnz1568/getInfo.php?workbook=02_01.xlsx&amp;sheet=A0&amp;row=272&amp;col=21&amp;number=&amp;sourceID=13","")</f>
        <v/>
      </c>
      <c r="V272" s="4" t="str">
        <f>HYPERLINK("http://141.218.60.56/~jnz1568/getInfo.php?workbook=02_01.xlsx&amp;sheet=A0&amp;row=272&amp;col=22&amp;number=&amp;sourceID=13","")</f>
        <v/>
      </c>
      <c r="W272" s="4" t="str">
        <f>HYPERLINK("http://141.218.60.56/~jnz1568/getInfo.php?workbook=02_01.xlsx&amp;sheet=A0&amp;row=272&amp;col=23&amp;number=&amp;sourceID=13","")</f>
        <v/>
      </c>
      <c r="X272" s="4" t="str">
        <f>HYPERLINK("http://141.218.60.56/~jnz1568/getInfo.php?workbook=02_01.xlsx&amp;sheet=A0&amp;row=272&amp;col=24&amp;number=&amp;sourceID=13","")</f>
        <v/>
      </c>
      <c r="Y272" s="4" t="str">
        <f>HYPERLINK("http://141.218.60.56/~jnz1568/getInfo.php?workbook=02_01.xlsx&amp;sheet=A0&amp;row=272&amp;col=25&amp;number=&amp;sourceID=13","")</f>
        <v/>
      </c>
      <c r="Z272" s="4" t="str">
        <f>HYPERLINK("http://141.218.60.56/~jnz1568/getInfo.php?workbook=02_01.xlsx&amp;sheet=A0&amp;row=272&amp;col=26&amp;number=&amp;sourceID=13","")</f>
        <v/>
      </c>
      <c r="AA272" s="4" t="str">
        <f>HYPERLINK("http://141.218.60.56/~jnz1568/getInfo.php?workbook=02_01.xlsx&amp;sheet=A0&amp;row=272&amp;col=27&amp;number=&amp;sourceID=20","")</f>
        <v/>
      </c>
    </row>
    <row r="273" spans="1:27">
      <c r="A273" s="3">
        <v>2</v>
      </c>
      <c r="B273" s="3">
        <v>1</v>
      </c>
      <c r="C273" s="3">
        <v>25</v>
      </c>
      <c r="D273" s="3">
        <v>9</v>
      </c>
      <c r="E273" s="3">
        <f>((1/(INDEX(E0!J$4:J$28,C273,1)-INDEX(E0!J$4:J$28,D273,1))))*100000000</f>
        <v>0</v>
      </c>
      <c r="F273" s="4" t="str">
        <f>HYPERLINK("http://141.218.60.56/~jnz1568/getInfo.php?workbook=02_01.xlsx&amp;sheet=A0&amp;row=273&amp;col=6&amp;number=&amp;sourceID=18","")</f>
        <v/>
      </c>
      <c r="G273" s="4" t="str">
        <f>HYPERLINK("http://141.218.60.56/~jnz1568/getInfo.php?workbook=02_01.xlsx&amp;sheet=A0&amp;row=273&amp;col=7&amp;number==&amp;sourceID=11","=")</f>
        <v>=</v>
      </c>
      <c r="H273" s="4" t="str">
        <f>HYPERLINK("http://141.218.60.56/~jnz1568/getInfo.php?workbook=02_01.xlsx&amp;sheet=A0&amp;row=273&amp;col=8&amp;number=&amp;sourceID=11","")</f>
        <v/>
      </c>
      <c r="I273" s="4" t="str">
        <f>HYPERLINK("http://141.218.60.56/~jnz1568/getInfo.php?workbook=02_01.xlsx&amp;sheet=A0&amp;row=273&amp;col=9&amp;number=743.33&amp;sourceID=11","743.33")</f>
        <v>743.33</v>
      </c>
      <c r="J273" s="4" t="str">
        <f>HYPERLINK("http://141.218.60.56/~jnz1568/getInfo.php?workbook=02_01.xlsx&amp;sheet=A0&amp;row=273&amp;col=10&amp;number=&amp;sourceID=11","")</f>
        <v/>
      </c>
      <c r="K273" s="4" t="str">
        <f>HYPERLINK("http://141.218.60.56/~jnz1568/getInfo.php?workbook=02_01.xlsx&amp;sheet=A0&amp;row=273&amp;col=11&amp;number=&amp;sourceID=11","")</f>
        <v/>
      </c>
      <c r="L273" s="4" t="str">
        <f>HYPERLINK("http://141.218.60.56/~jnz1568/getInfo.php?workbook=02_01.xlsx&amp;sheet=A0&amp;row=273&amp;col=12&amp;number=&amp;sourceID=11","")</f>
        <v/>
      </c>
      <c r="M273" s="4" t="str">
        <f>HYPERLINK("http://141.218.60.56/~jnz1568/getInfo.php?workbook=02_01.xlsx&amp;sheet=A0&amp;row=273&amp;col=13&amp;number=1.1911e-08&amp;sourceID=11","1.1911e-08")</f>
        <v>1.1911e-08</v>
      </c>
      <c r="N273" s="4" t="str">
        <f>HYPERLINK("http://141.218.60.56/~jnz1568/getInfo.php?workbook=02_01.xlsx&amp;sheet=A0&amp;row=273&amp;col=14&amp;number=743.43&amp;sourceID=12","743.43")</f>
        <v>743.43</v>
      </c>
      <c r="O273" s="4" t="str">
        <f>HYPERLINK("http://141.218.60.56/~jnz1568/getInfo.php?workbook=02_01.xlsx&amp;sheet=A0&amp;row=273&amp;col=15&amp;number=&amp;sourceID=12","")</f>
        <v/>
      </c>
      <c r="P273" s="4" t="str">
        <f>HYPERLINK("http://141.218.60.56/~jnz1568/getInfo.php?workbook=02_01.xlsx&amp;sheet=A0&amp;row=273&amp;col=16&amp;number=743.43&amp;sourceID=12","743.43")</f>
        <v>743.43</v>
      </c>
      <c r="Q273" s="4" t="str">
        <f>HYPERLINK("http://141.218.60.56/~jnz1568/getInfo.php?workbook=02_01.xlsx&amp;sheet=A0&amp;row=273&amp;col=17&amp;number=&amp;sourceID=12","")</f>
        <v/>
      </c>
      <c r="R273" s="4" t="str">
        <f>HYPERLINK("http://141.218.60.56/~jnz1568/getInfo.php?workbook=02_01.xlsx&amp;sheet=A0&amp;row=273&amp;col=18&amp;number=&amp;sourceID=12","")</f>
        <v/>
      </c>
      <c r="S273" s="4" t="str">
        <f>HYPERLINK("http://141.218.60.56/~jnz1568/getInfo.php?workbook=02_01.xlsx&amp;sheet=A0&amp;row=273&amp;col=19&amp;number=&amp;sourceID=12","")</f>
        <v/>
      </c>
      <c r="T273" s="4" t="str">
        <f>HYPERLINK("http://141.218.60.56/~jnz1568/getInfo.php?workbook=02_01.xlsx&amp;sheet=A0&amp;row=273&amp;col=20&amp;number=1.1913e-08&amp;sourceID=12","1.1913e-08")</f>
        <v>1.1913e-08</v>
      </c>
      <c r="U273" s="4" t="str">
        <f>HYPERLINK("http://141.218.60.56/~jnz1568/getInfo.php?workbook=02_01.xlsx&amp;sheet=A0&amp;row=273&amp;col=21&amp;number=&amp;sourceID=13","")</f>
        <v/>
      </c>
      <c r="V273" s="4" t="str">
        <f>HYPERLINK("http://141.218.60.56/~jnz1568/getInfo.php?workbook=02_01.xlsx&amp;sheet=A0&amp;row=273&amp;col=22&amp;number=&amp;sourceID=13","")</f>
        <v/>
      </c>
      <c r="W273" s="4" t="str">
        <f>HYPERLINK("http://141.218.60.56/~jnz1568/getInfo.php?workbook=02_01.xlsx&amp;sheet=A0&amp;row=273&amp;col=23&amp;number=&amp;sourceID=13","")</f>
        <v/>
      </c>
      <c r="X273" s="4" t="str">
        <f>HYPERLINK("http://141.218.60.56/~jnz1568/getInfo.php?workbook=02_01.xlsx&amp;sheet=A0&amp;row=273&amp;col=24&amp;number=&amp;sourceID=13","")</f>
        <v/>
      </c>
      <c r="Y273" s="4" t="str">
        <f>HYPERLINK("http://141.218.60.56/~jnz1568/getInfo.php?workbook=02_01.xlsx&amp;sheet=A0&amp;row=273&amp;col=25&amp;number=&amp;sourceID=13","")</f>
        <v/>
      </c>
      <c r="Z273" s="4" t="str">
        <f>HYPERLINK("http://141.218.60.56/~jnz1568/getInfo.php?workbook=02_01.xlsx&amp;sheet=A0&amp;row=273&amp;col=26&amp;number=&amp;sourceID=13","")</f>
        <v/>
      </c>
      <c r="AA273" s="4" t="str">
        <f>HYPERLINK("http://141.218.60.56/~jnz1568/getInfo.php?workbook=02_01.xlsx&amp;sheet=A0&amp;row=273&amp;col=27&amp;number=&amp;sourceID=20","")</f>
        <v/>
      </c>
    </row>
    <row r="274" spans="1:27">
      <c r="A274" s="3">
        <v>2</v>
      </c>
      <c r="B274" s="3">
        <v>1</v>
      </c>
      <c r="C274" s="3">
        <v>25</v>
      </c>
      <c r="D274" s="3">
        <v>12</v>
      </c>
      <c r="E274" s="3">
        <f>((1/(INDEX(E0!J$4:J$28,C274,1)-INDEX(E0!J$4:J$28,D274,1))))*100000000</f>
        <v>0</v>
      </c>
      <c r="F274" s="4" t="str">
        <f>HYPERLINK("http://141.218.60.56/~jnz1568/getInfo.php?workbook=02_01.xlsx&amp;sheet=A0&amp;row=274&amp;col=6&amp;number=&amp;sourceID=18","")</f>
        <v/>
      </c>
      <c r="G274" s="4" t="str">
        <f>HYPERLINK("http://141.218.60.56/~jnz1568/getInfo.php?workbook=02_01.xlsx&amp;sheet=A0&amp;row=274&amp;col=7&amp;number==&amp;sourceID=11","=")</f>
        <v>=</v>
      </c>
      <c r="H274" s="4" t="str">
        <f>HYPERLINK("http://141.218.60.56/~jnz1568/getInfo.php?workbook=02_01.xlsx&amp;sheet=A0&amp;row=274&amp;col=8&amp;number=&amp;sourceID=11","")</f>
        <v/>
      </c>
      <c r="I274" s="4" t="str">
        <f>HYPERLINK("http://141.218.60.56/~jnz1568/getInfo.php?workbook=02_01.xlsx&amp;sheet=A0&amp;row=274&amp;col=9&amp;number=&amp;sourceID=11","")</f>
        <v/>
      </c>
      <c r="J274" s="4" t="str">
        <f>HYPERLINK("http://141.218.60.56/~jnz1568/getInfo.php?workbook=02_01.xlsx&amp;sheet=A0&amp;row=274&amp;col=10&amp;number=&amp;sourceID=11","")</f>
        <v/>
      </c>
      <c r="K274" s="4" t="str">
        <f>HYPERLINK("http://141.218.60.56/~jnz1568/getInfo.php?workbook=02_01.xlsx&amp;sheet=A0&amp;row=274&amp;col=11&amp;number=&amp;sourceID=11","")</f>
        <v/>
      </c>
      <c r="L274" s="4" t="str">
        <f>HYPERLINK("http://141.218.60.56/~jnz1568/getInfo.php?workbook=02_01.xlsx&amp;sheet=A0&amp;row=274&amp;col=12&amp;number=&amp;sourceID=11","")</f>
        <v/>
      </c>
      <c r="M274" s="4" t="str">
        <f>HYPERLINK("http://141.218.60.56/~jnz1568/getInfo.php?workbook=02_01.xlsx&amp;sheet=A0&amp;row=274&amp;col=13&amp;number=3.149e-11&amp;sourceID=11","3.149e-11")</f>
        <v>3.149e-11</v>
      </c>
      <c r="N274" s="4" t="str">
        <f>HYPERLINK("http://141.218.60.56/~jnz1568/getInfo.php?workbook=02_01.xlsx&amp;sheet=A0&amp;row=274&amp;col=14&amp;number=3.1495e-11&amp;sourceID=12","3.1495e-11")</f>
        <v>3.1495e-11</v>
      </c>
      <c r="O274" s="4" t="str">
        <f>HYPERLINK("http://141.218.60.56/~jnz1568/getInfo.php?workbook=02_01.xlsx&amp;sheet=A0&amp;row=274&amp;col=15&amp;number=&amp;sourceID=12","")</f>
        <v/>
      </c>
      <c r="P274" s="4" t="str">
        <f>HYPERLINK("http://141.218.60.56/~jnz1568/getInfo.php?workbook=02_01.xlsx&amp;sheet=A0&amp;row=274&amp;col=16&amp;number=&amp;sourceID=12","")</f>
        <v/>
      </c>
      <c r="Q274" s="4" t="str">
        <f>HYPERLINK("http://141.218.60.56/~jnz1568/getInfo.php?workbook=02_01.xlsx&amp;sheet=A0&amp;row=274&amp;col=17&amp;number=&amp;sourceID=12","")</f>
        <v/>
      </c>
      <c r="R274" s="4" t="str">
        <f>HYPERLINK("http://141.218.60.56/~jnz1568/getInfo.php?workbook=02_01.xlsx&amp;sheet=A0&amp;row=274&amp;col=18&amp;number=&amp;sourceID=12","")</f>
        <v/>
      </c>
      <c r="S274" s="4" t="str">
        <f>HYPERLINK("http://141.218.60.56/~jnz1568/getInfo.php?workbook=02_01.xlsx&amp;sheet=A0&amp;row=274&amp;col=19&amp;number=&amp;sourceID=12","")</f>
        <v/>
      </c>
      <c r="T274" s="4" t="str">
        <f>HYPERLINK("http://141.218.60.56/~jnz1568/getInfo.php?workbook=02_01.xlsx&amp;sheet=A0&amp;row=274&amp;col=20&amp;number=3.1495e-11&amp;sourceID=12","3.1495e-11")</f>
        <v>3.1495e-11</v>
      </c>
      <c r="U274" s="4" t="str">
        <f>HYPERLINK("http://141.218.60.56/~jnz1568/getInfo.php?workbook=02_01.xlsx&amp;sheet=A0&amp;row=274&amp;col=21&amp;number=&amp;sourceID=13","")</f>
        <v/>
      </c>
      <c r="V274" s="4" t="str">
        <f>HYPERLINK("http://141.218.60.56/~jnz1568/getInfo.php?workbook=02_01.xlsx&amp;sheet=A0&amp;row=274&amp;col=22&amp;number=&amp;sourceID=13","")</f>
        <v/>
      </c>
      <c r="W274" s="4" t="str">
        <f>HYPERLINK("http://141.218.60.56/~jnz1568/getInfo.php?workbook=02_01.xlsx&amp;sheet=A0&amp;row=274&amp;col=23&amp;number=&amp;sourceID=13","")</f>
        <v/>
      </c>
      <c r="X274" s="4" t="str">
        <f>HYPERLINK("http://141.218.60.56/~jnz1568/getInfo.php?workbook=02_01.xlsx&amp;sheet=A0&amp;row=274&amp;col=24&amp;number=&amp;sourceID=13","")</f>
        <v/>
      </c>
      <c r="Y274" s="4" t="str">
        <f>HYPERLINK("http://141.218.60.56/~jnz1568/getInfo.php?workbook=02_01.xlsx&amp;sheet=A0&amp;row=274&amp;col=25&amp;number=&amp;sourceID=13","")</f>
        <v/>
      </c>
      <c r="Z274" s="4" t="str">
        <f>HYPERLINK("http://141.218.60.56/~jnz1568/getInfo.php?workbook=02_01.xlsx&amp;sheet=A0&amp;row=274&amp;col=26&amp;number=&amp;sourceID=13","")</f>
        <v/>
      </c>
      <c r="AA274" s="4" t="str">
        <f>HYPERLINK("http://141.218.60.56/~jnz1568/getInfo.php?workbook=02_01.xlsx&amp;sheet=A0&amp;row=274&amp;col=27&amp;number=&amp;sourceID=20","")</f>
        <v/>
      </c>
    </row>
    <row r="275" spans="1:27">
      <c r="A275" s="3">
        <v>2</v>
      </c>
      <c r="B275" s="3">
        <v>1</v>
      </c>
      <c r="C275" s="3">
        <v>25</v>
      </c>
      <c r="D275" s="3">
        <v>13</v>
      </c>
      <c r="E275" s="3">
        <f>((1/(INDEX(E0!J$4:J$28,C275,1)-INDEX(E0!J$4:J$28,D275,1))))*100000000</f>
        <v>0</v>
      </c>
      <c r="F275" s="4" t="str">
        <f>HYPERLINK("http://141.218.60.56/~jnz1568/getInfo.php?workbook=02_01.xlsx&amp;sheet=A0&amp;row=275&amp;col=6&amp;number=&amp;sourceID=18","")</f>
        <v/>
      </c>
      <c r="G275" s="4" t="str">
        <f>HYPERLINK("http://141.218.60.56/~jnz1568/getInfo.php?workbook=02_01.xlsx&amp;sheet=A0&amp;row=275&amp;col=7&amp;number==&amp;sourceID=11","=")</f>
        <v>=</v>
      </c>
      <c r="H275" s="4" t="str">
        <f>HYPERLINK("http://141.218.60.56/~jnz1568/getInfo.php?workbook=02_01.xlsx&amp;sheet=A0&amp;row=275&amp;col=8&amp;number=&amp;sourceID=11","")</f>
        <v/>
      </c>
      <c r="I275" s="4" t="str">
        <f>HYPERLINK("http://141.218.60.56/~jnz1568/getInfo.php?workbook=02_01.xlsx&amp;sheet=A0&amp;row=275&amp;col=9&amp;number=&amp;sourceID=11","")</f>
        <v/>
      </c>
      <c r="J275" s="4" t="str">
        <f>HYPERLINK("http://141.218.60.56/~jnz1568/getInfo.php?workbook=02_01.xlsx&amp;sheet=A0&amp;row=275&amp;col=10&amp;number=3.3394e-05&amp;sourceID=11","3.3394e-05")</f>
        <v>3.3394e-05</v>
      </c>
      <c r="K275" s="4" t="str">
        <f>HYPERLINK("http://141.218.60.56/~jnz1568/getInfo.php?workbook=02_01.xlsx&amp;sheet=A0&amp;row=275&amp;col=11&amp;number=&amp;sourceID=11","")</f>
        <v/>
      </c>
      <c r="L275" s="4" t="str">
        <f>HYPERLINK("http://141.218.60.56/~jnz1568/getInfo.php?workbook=02_01.xlsx&amp;sheet=A0&amp;row=275&amp;col=12&amp;number=&amp;sourceID=11","")</f>
        <v/>
      </c>
      <c r="M275" s="4" t="str">
        <f>HYPERLINK("http://141.218.60.56/~jnz1568/getInfo.php?workbook=02_01.xlsx&amp;sheet=A0&amp;row=275&amp;col=13&amp;number=&amp;sourceID=11","")</f>
        <v/>
      </c>
      <c r="N275" s="4" t="str">
        <f>HYPERLINK("http://141.218.60.56/~jnz1568/getInfo.php?workbook=02_01.xlsx&amp;sheet=A0&amp;row=275&amp;col=14&amp;number=3.3398e-05&amp;sourceID=12","3.3398e-05")</f>
        <v>3.3398e-05</v>
      </c>
      <c r="O275" s="4" t="str">
        <f>HYPERLINK("http://141.218.60.56/~jnz1568/getInfo.php?workbook=02_01.xlsx&amp;sheet=A0&amp;row=275&amp;col=15&amp;number=&amp;sourceID=12","")</f>
        <v/>
      </c>
      <c r="P275" s="4" t="str">
        <f>HYPERLINK("http://141.218.60.56/~jnz1568/getInfo.php?workbook=02_01.xlsx&amp;sheet=A0&amp;row=275&amp;col=16&amp;number=&amp;sourceID=12","")</f>
        <v/>
      </c>
      <c r="Q275" s="4" t="str">
        <f>HYPERLINK("http://141.218.60.56/~jnz1568/getInfo.php?workbook=02_01.xlsx&amp;sheet=A0&amp;row=275&amp;col=17&amp;number=3.3398e-05&amp;sourceID=12","3.3398e-05")</f>
        <v>3.3398e-05</v>
      </c>
      <c r="R275" s="4" t="str">
        <f>HYPERLINK("http://141.218.60.56/~jnz1568/getInfo.php?workbook=02_01.xlsx&amp;sheet=A0&amp;row=275&amp;col=18&amp;number=&amp;sourceID=12","")</f>
        <v/>
      </c>
      <c r="S275" s="4" t="str">
        <f>HYPERLINK("http://141.218.60.56/~jnz1568/getInfo.php?workbook=02_01.xlsx&amp;sheet=A0&amp;row=275&amp;col=19&amp;number=&amp;sourceID=12","")</f>
        <v/>
      </c>
      <c r="T275" s="4" t="str">
        <f>HYPERLINK("http://141.218.60.56/~jnz1568/getInfo.php?workbook=02_01.xlsx&amp;sheet=A0&amp;row=275&amp;col=20&amp;number=&amp;sourceID=12","")</f>
        <v/>
      </c>
      <c r="U275" s="4" t="str">
        <f>HYPERLINK("http://141.218.60.56/~jnz1568/getInfo.php?workbook=02_01.xlsx&amp;sheet=A0&amp;row=275&amp;col=21&amp;number=&amp;sourceID=13","")</f>
        <v/>
      </c>
      <c r="V275" s="4" t="str">
        <f>HYPERLINK("http://141.218.60.56/~jnz1568/getInfo.php?workbook=02_01.xlsx&amp;sheet=A0&amp;row=275&amp;col=22&amp;number=&amp;sourceID=13","")</f>
        <v/>
      </c>
      <c r="W275" s="4" t="str">
        <f>HYPERLINK("http://141.218.60.56/~jnz1568/getInfo.php?workbook=02_01.xlsx&amp;sheet=A0&amp;row=275&amp;col=23&amp;number=&amp;sourceID=13","")</f>
        <v/>
      </c>
      <c r="X275" s="4" t="str">
        <f>HYPERLINK("http://141.218.60.56/~jnz1568/getInfo.php?workbook=02_01.xlsx&amp;sheet=A0&amp;row=275&amp;col=24&amp;number=&amp;sourceID=13","")</f>
        <v/>
      </c>
      <c r="Y275" s="4" t="str">
        <f>HYPERLINK("http://141.218.60.56/~jnz1568/getInfo.php?workbook=02_01.xlsx&amp;sheet=A0&amp;row=275&amp;col=25&amp;number=&amp;sourceID=13","")</f>
        <v/>
      </c>
      <c r="Z275" s="4" t="str">
        <f>HYPERLINK("http://141.218.60.56/~jnz1568/getInfo.php?workbook=02_01.xlsx&amp;sheet=A0&amp;row=275&amp;col=26&amp;number=&amp;sourceID=13","")</f>
        <v/>
      </c>
      <c r="AA275" s="4" t="str">
        <f>HYPERLINK("http://141.218.60.56/~jnz1568/getInfo.php?workbook=02_01.xlsx&amp;sheet=A0&amp;row=275&amp;col=27&amp;number=&amp;sourceID=20","")</f>
        <v/>
      </c>
    </row>
    <row r="276" spans="1:27">
      <c r="A276" s="3">
        <v>2</v>
      </c>
      <c r="B276" s="3">
        <v>1</v>
      </c>
      <c r="C276" s="3">
        <v>25</v>
      </c>
      <c r="D276" s="3">
        <v>14</v>
      </c>
      <c r="E276" s="3">
        <f>((1/(INDEX(E0!J$4:J$28,C276,1)-INDEX(E0!J$4:J$28,D276,1))))*100000000</f>
        <v>0</v>
      </c>
      <c r="F276" s="4" t="str">
        <f>HYPERLINK("http://141.218.60.56/~jnz1568/getInfo.php?workbook=02_01.xlsx&amp;sheet=A0&amp;row=276&amp;col=6&amp;number=&amp;sourceID=18","")</f>
        <v/>
      </c>
      <c r="G276" s="4" t="str">
        <f>HYPERLINK("http://141.218.60.56/~jnz1568/getInfo.php?workbook=02_01.xlsx&amp;sheet=A0&amp;row=276&amp;col=7&amp;number==&amp;sourceID=11","=")</f>
        <v>=</v>
      </c>
      <c r="H276" s="4" t="str">
        <f>HYPERLINK("http://141.218.60.56/~jnz1568/getInfo.php?workbook=02_01.xlsx&amp;sheet=A0&amp;row=276&amp;col=8&amp;number=&amp;sourceID=11","")</f>
        <v/>
      </c>
      <c r="I276" s="4" t="str">
        <f>HYPERLINK("http://141.218.60.56/~jnz1568/getInfo.php?workbook=02_01.xlsx&amp;sheet=A0&amp;row=276&amp;col=9&amp;number=&amp;sourceID=11","")</f>
        <v/>
      </c>
      <c r="J276" s="4" t="str">
        <f>HYPERLINK("http://141.218.60.56/~jnz1568/getInfo.php?workbook=02_01.xlsx&amp;sheet=A0&amp;row=276&amp;col=10&amp;number=1.5606e-06&amp;sourceID=11","1.5606e-06")</f>
        <v>1.5606e-06</v>
      </c>
      <c r="K276" s="4" t="str">
        <f>HYPERLINK("http://141.218.60.56/~jnz1568/getInfo.php?workbook=02_01.xlsx&amp;sheet=A0&amp;row=276&amp;col=11&amp;number=&amp;sourceID=11","")</f>
        <v/>
      </c>
      <c r="L276" s="4" t="str">
        <f>HYPERLINK("http://141.218.60.56/~jnz1568/getInfo.php?workbook=02_01.xlsx&amp;sheet=A0&amp;row=276&amp;col=12&amp;number=2.2345e-05&amp;sourceID=11","2.2345e-05")</f>
        <v>2.2345e-05</v>
      </c>
      <c r="M276" s="4" t="str">
        <f>HYPERLINK("http://141.218.60.56/~jnz1568/getInfo.php?workbook=02_01.xlsx&amp;sheet=A0&amp;row=276&amp;col=13&amp;number=&amp;sourceID=11","")</f>
        <v/>
      </c>
      <c r="N276" s="4" t="str">
        <f>HYPERLINK("http://141.218.60.56/~jnz1568/getInfo.php?workbook=02_01.xlsx&amp;sheet=A0&amp;row=276&amp;col=14&amp;number=2.3909e-05&amp;sourceID=12","2.3909e-05")</f>
        <v>2.3909e-05</v>
      </c>
      <c r="O276" s="4" t="str">
        <f>HYPERLINK("http://141.218.60.56/~jnz1568/getInfo.php?workbook=02_01.xlsx&amp;sheet=A0&amp;row=276&amp;col=15&amp;number=&amp;sourceID=12","")</f>
        <v/>
      </c>
      <c r="P276" s="4" t="str">
        <f>HYPERLINK("http://141.218.60.56/~jnz1568/getInfo.php?workbook=02_01.xlsx&amp;sheet=A0&amp;row=276&amp;col=16&amp;number=&amp;sourceID=12","")</f>
        <v/>
      </c>
      <c r="Q276" s="4" t="str">
        <f>HYPERLINK("http://141.218.60.56/~jnz1568/getInfo.php?workbook=02_01.xlsx&amp;sheet=A0&amp;row=276&amp;col=17&amp;number=1.5608e-06&amp;sourceID=12","1.5608e-06")</f>
        <v>1.5608e-06</v>
      </c>
      <c r="R276" s="4" t="str">
        <f>HYPERLINK("http://141.218.60.56/~jnz1568/getInfo.php?workbook=02_01.xlsx&amp;sheet=A0&amp;row=276&amp;col=18&amp;number=&amp;sourceID=12","")</f>
        <v/>
      </c>
      <c r="S276" s="4" t="str">
        <f>HYPERLINK("http://141.218.60.56/~jnz1568/getInfo.php?workbook=02_01.xlsx&amp;sheet=A0&amp;row=276&amp;col=19&amp;number=2.2348e-05&amp;sourceID=12","2.2348e-05")</f>
        <v>2.2348e-05</v>
      </c>
      <c r="T276" s="4" t="str">
        <f>HYPERLINK("http://141.218.60.56/~jnz1568/getInfo.php?workbook=02_01.xlsx&amp;sheet=A0&amp;row=276&amp;col=20&amp;number=&amp;sourceID=12","")</f>
        <v/>
      </c>
      <c r="U276" s="4" t="str">
        <f>HYPERLINK("http://141.218.60.56/~jnz1568/getInfo.php?workbook=02_01.xlsx&amp;sheet=A0&amp;row=276&amp;col=21&amp;number=&amp;sourceID=13","")</f>
        <v/>
      </c>
      <c r="V276" s="4" t="str">
        <f>HYPERLINK("http://141.218.60.56/~jnz1568/getInfo.php?workbook=02_01.xlsx&amp;sheet=A0&amp;row=276&amp;col=22&amp;number=&amp;sourceID=13","")</f>
        <v/>
      </c>
      <c r="W276" s="4" t="str">
        <f>HYPERLINK("http://141.218.60.56/~jnz1568/getInfo.php?workbook=02_01.xlsx&amp;sheet=A0&amp;row=276&amp;col=23&amp;number=&amp;sourceID=13","")</f>
        <v/>
      </c>
      <c r="X276" s="4" t="str">
        <f>HYPERLINK("http://141.218.60.56/~jnz1568/getInfo.php?workbook=02_01.xlsx&amp;sheet=A0&amp;row=276&amp;col=24&amp;number=&amp;sourceID=13","")</f>
        <v/>
      </c>
      <c r="Y276" s="4" t="str">
        <f>HYPERLINK("http://141.218.60.56/~jnz1568/getInfo.php?workbook=02_01.xlsx&amp;sheet=A0&amp;row=276&amp;col=25&amp;number=&amp;sourceID=13","")</f>
        <v/>
      </c>
      <c r="Z276" s="4" t="str">
        <f>HYPERLINK("http://141.218.60.56/~jnz1568/getInfo.php?workbook=02_01.xlsx&amp;sheet=A0&amp;row=276&amp;col=26&amp;number=&amp;sourceID=13","")</f>
        <v/>
      </c>
      <c r="AA276" s="4" t="str">
        <f>HYPERLINK("http://141.218.60.56/~jnz1568/getInfo.php?workbook=02_01.xlsx&amp;sheet=A0&amp;row=276&amp;col=27&amp;number=&amp;sourceID=20","")</f>
        <v/>
      </c>
    </row>
    <row r="277" spans="1:27">
      <c r="A277" s="3">
        <v>2</v>
      </c>
      <c r="B277" s="3">
        <v>1</v>
      </c>
      <c r="C277" s="3">
        <v>25</v>
      </c>
      <c r="D277" s="3">
        <v>15</v>
      </c>
      <c r="E277" s="3">
        <f>((1/(INDEX(E0!J$4:J$28,C277,1)-INDEX(E0!J$4:J$28,D277,1))))*100000000</f>
        <v>0</v>
      </c>
      <c r="F277" s="4" t="str">
        <f>HYPERLINK("http://141.218.60.56/~jnz1568/getInfo.php?workbook=02_01.xlsx&amp;sheet=A0&amp;row=277&amp;col=6&amp;number=&amp;sourceID=18","")</f>
        <v/>
      </c>
      <c r="G277" s="4" t="str">
        <f>HYPERLINK("http://141.218.60.56/~jnz1568/getInfo.php?workbook=02_01.xlsx&amp;sheet=A0&amp;row=277&amp;col=7&amp;number==&amp;sourceID=11","=")</f>
        <v>=</v>
      </c>
      <c r="H277" s="4" t="str">
        <f>HYPERLINK("http://141.218.60.56/~jnz1568/getInfo.php?workbook=02_01.xlsx&amp;sheet=A0&amp;row=277&amp;col=8&amp;number=&amp;sourceID=11","")</f>
        <v/>
      </c>
      <c r="I277" s="4" t="str">
        <f>HYPERLINK("http://141.218.60.56/~jnz1568/getInfo.php?workbook=02_01.xlsx&amp;sheet=A0&amp;row=277&amp;col=9&amp;number=63.968&amp;sourceID=11","63.968")</f>
        <v>63.968</v>
      </c>
      <c r="J277" s="4" t="str">
        <f>HYPERLINK("http://141.218.60.56/~jnz1568/getInfo.php?workbook=02_01.xlsx&amp;sheet=A0&amp;row=277&amp;col=10&amp;number=&amp;sourceID=11","")</f>
        <v/>
      </c>
      <c r="K277" s="4" t="str">
        <f>HYPERLINK("http://141.218.60.56/~jnz1568/getInfo.php?workbook=02_01.xlsx&amp;sheet=A0&amp;row=277&amp;col=11&amp;number=&amp;sourceID=11","")</f>
        <v/>
      </c>
      <c r="L277" s="4" t="str">
        <f>HYPERLINK("http://141.218.60.56/~jnz1568/getInfo.php?workbook=02_01.xlsx&amp;sheet=A0&amp;row=277&amp;col=12&amp;number=&amp;sourceID=11","")</f>
        <v/>
      </c>
      <c r="M277" s="4" t="str">
        <f>HYPERLINK("http://141.218.60.56/~jnz1568/getInfo.php?workbook=02_01.xlsx&amp;sheet=A0&amp;row=277&amp;col=13&amp;number=1.0262e-10&amp;sourceID=11","1.0262e-10")</f>
        <v>1.0262e-10</v>
      </c>
      <c r="N277" s="4" t="str">
        <f>HYPERLINK("http://141.218.60.56/~jnz1568/getInfo.php?workbook=02_01.xlsx&amp;sheet=A0&amp;row=277&amp;col=14&amp;number=63.977&amp;sourceID=12","63.977")</f>
        <v>63.977</v>
      </c>
      <c r="O277" s="4" t="str">
        <f>HYPERLINK("http://141.218.60.56/~jnz1568/getInfo.php?workbook=02_01.xlsx&amp;sheet=A0&amp;row=277&amp;col=15&amp;number=&amp;sourceID=12","")</f>
        <v/>
      </c>
      <c r="P277" s="4" t="str">
        <f>HYPERLINK("http://141.218.60.56/~jnz1568/getInfo.php?workbook=02_01.xlsx&amp;sheet=A0&amp;row=277&amp;col=16&amp;number=63.977&amp;sourceID=12","63.977")</f>
        <v>63.977</v>
      </c>
      <c r="Q277" s="4" t="str">
        <f>HYPERLINK("http://141.218.60.56/~jnz1568/getInfo.php?workbook=02_01.xlsx&amp;sheet=A0&amp;row=277&amp;col=17&amp;number=&amp;sourceID=12","")</f>
        <v/>
      </c>
      <c r="R277" s="4" t="str">
        <f>HYPERLINK("http://141.218.60.56/~jnz1568/getInfo.php?workbook=02_01.xlsx&amp;sheet=A0&amp;row=277&amp;col=18&amp;number=&amp;sourceID=12","")</f>
        <v/>
      </c>
      <c r="S277" s="4" t="str">
        <f>HYPERLINK("http://141.218.60.56/~jnz1568/getInfo.php?workbook=02_01.xlsx&amp;sheet=A0&amp;row=277&amp;col=19&amp;number=&amp;sourceID=12","")</f>
        <v/>
      </c>
      <c r="T277" s="4" t="str">
        <f>HYPERLINK("http://141.218.60.56/~jnz1568/getInfo.php?workbook=02_01.xlsx&amp;sheet=A0&amp;row=277&amp;col=20&amp;number=1.0263e-10&amp;sourceID=12","1.0263e-10")</f>
        <v>1.0263e-10</v>
      </c>
      <c r="U277" s="4" t="str">
        <f>HYPERLINK("http://141.218.60.56/~jnz1568/getInfo.php?workbook=02_01.xlsx&amp;sheet=A0&amp;row=277&amp;col=21&amp;number=&amp;sourceID=13","")</f>
        <v/>
      </c>
      <c r="V277" s="4" t="str">
        <f>HYPERLINK("http://141.218.60.56/~jnz1568/getInfo.php?workbook=02_01.xlsx&amp;sheet=A0&amp;row=277&amp;col=22&amp;number=&amp;sourceID=13","")</f>
        <v/>
      </c>
      <c r="W277" s="4" t="str">
        <f>HYPERLINK("http://141.218.60.56/~jnz1568/getInfo.php?workbook=02_01.xlsx&amp;sheet=A0&amp;row=277&amp;col=23&amp;number=&amp;sourceID=13","")</f>
        <v/>
      </c>
      <c r="X277" s="4" t="str">
        <f>HYPERLINK("http://141.218.60.56/~jnz1568/getInfo.php?workbook=02_01.xlsx&amp;sheet=A0&amp;row=277&amp;col=24&amp;number=&amp;sourceID=13","")</f>
        <v/>
      </c>
      <c r="Y277" s="4" t="str">
        <f>HYPERLINK("http://141.218.60.56/~jnz1568/getInfo.php?workbook=02_01.xlsx&amp;sheet=A0&amp;row=277&amp;col=25&amp;number=&amp;sourceID=13","")</f>
        <v/>
      </c>
      <c r="Z277" s="4" t="str">
        <f>HYPERLINK("http://141.218.60.56/~jnz1568/getInfo.php?workbook=02_01.xlsx&amp;sheet=A0&amp;row=277&amp;col=26&amp;number=&amp;sourceID=13","")</f>
        <v/>
      </c>
      <c r="AA277" s="4" t="str">
        <f>HYPERLINK("http://141.218.60.56/~jnz1568/getInfo.php?workbook=02_01.xlsx&amp;sheet=A0&amp;row=277&amp;col=27&amp;number=&amp;sourceID=20","")</f>
        <v/>
      </c>
    </row>
    <row r="278" spans="1:27">
      <c r="A278" s="3">
        <v>2</v>
      </c>
      <c r="B278" s="3">
        <v>1</v>
      </c>
      <c r="C278" s="3">
        <v>25</v>
      </c>
      <c r="D278" s="3">
        <v>16</v>
      </c>
      <c r="E278" s="3">
        <f>((1/(INDEX(E0!J$4:J$28,C278,1)-INDEX(E0!J$4:J$28,D278,1))))*100000000</f>
        <v>0</v>
      </c>
      <c r="F278" s="4" t="str">
        <f>HYPERLINK("http://141.218.60.56/~jnz1568/getInfo.php?workbook=02_01.xlsx&amp;sheet=A0&amp;row=278&amp;col=6&amp;number=&amp;sourceID=18","")</f>
        <v/>
      </c>
      <c r="G278" s="4" t="str">
        <f>HYPERLINK("http://141.218.60.56/~jnz1568/getInfo.php?workbook=02_01.xlsx&amp;sheet=A0&amp;row=278&amp;col=7&amp;number==&amp;sourceID=11","=")</f>
        <v>=</v>
      </c>
      <c r="H278" s="4" t="str">
        <f>HYPERLINK("http://141.218.60.56/~jnz1568/getInfo.php?workbook=02_01.xlsx&amp;sheet=A0&amp;row=278&amp;col=8&amp;number=68094000&amp;sourceID=11","68094000")</f>
        <v>68094000</v>
      </c>
      <c r="I278" s="4" t="str">
        <f>HYPERLINK("http://141.218.60.56/~jnz1568/getInfo.php?workbook=02_01.xlsx&amp;sheet=A0&amp;row=278&amp;col=9&amp;number=&amp;sourceID=11","")</f>
        <v/>
      </c>
      <c r="J278" s="4" t="str">
        <f>HYPERLINK("http://141.218.60.56/~jnz1568/getInfo.php?workbook=02_01.xlsx&amp;sheet=A0&amp;row=278&amp;col=10&amp;number=9.3633e-06&amp;sourceID=11","9.3633e-06")</f>
        <v>9.3633e-06</v>
      </c>
      <c r="K278" s="4" t="str">
        <f>HYPERLINK("http://141.218.60.56/~jnz1568/getInfo.php?workbook=02_01.xlsx&amp;sheet=A0&amp;row=278&amp;col=11&amp;number=&amp;sourceID=11","")</f>
        <v/>
      </c>
      <c r="L278" s="4" t="str">
        <f>HYPERLINK("http://141.218.60.56/~jnz1568/getInfo.php?workbook=02_01.xlsx&amp;sheet=A0&amp;row=278&amp;col=12&amp;number=0.00020738&amp;sourceID=11","0.00020738")</f>
        <v>0.00020738</v>
      </c>
      <c r="M278" s="4" t="str">
        <f>HYPERLINK("http://141.218.60.56/~jnz1568/getInfo.php?workbook=02_01.xlsx&amp;sheet=A0&amp;row=278&amp;col=13&amp;number=&amp;sourceID=11","")</f>
        <v/>
      </c>
      <c r="N278" s="4" t="str">
        <f>HYPERLINK("http://141.218.60.56/~jnz1568/getInfo.php?workbook=02_01.xlsx&amp;sheet=A0&amp;row=278&amp;col=14&amp;number=68104000&amp;sourceID=12","68104000")</f>
        <v>68104000</v>
      </c>
      <c r="O278" s="4" t="str">
        <f>HYPERLINK("http://141.218.60.56/~jnz1568/getInfo.php?workbook=02_01.xlsx&amp;sheet=A0&amp;row=278&amp;col=15&amp;number=68104000&amp;sourceID=12","68104000")</f>
        <v>68104000</v>
      </c>
      <c r="P278" s="4" t="str">
        <f>HYPERLINK("http://141.218.60.56/~jnz1568/getInfo.php?workbook=02_01.xlsx&amp;sheet=A0&amp;row=278&amp;col=16&amp;number=&amp;sourceID=12","")</f>
        <v/>
      </c>
      <c r="Q278" s="4" t="str">
        <f>HYPERLINK("http://141.218.60.56/~jnz1568/getInfo.php?workbook=02_01.xlsx&amp;sheet=A0&amp;row=278&amp;col=17&amp;number=9.3645e-06&amp;sourceID=12","9.3645e-06")</f>
        <v>9.3645e-06</v>
      </c>
      <c r="R278" s="4" t="str">
        <f>HYPERLINK("http://141.218.60.56/~jnz1568/getInfo.php?workbook=02_01.xlsx&amp;sheet=A0&amp;row=278&amp;col=18&amp;number=&amp;sourceID=12","")</f>
        <v/>
      </c>
      <c r="S278" s="4" t="str">
        <f>HYPERLINK("http://141.218.60.56/~jnz1568/getInfo.php?workbook=02_01.xlsx&amp;sheet=A0&amp;row=278&amp;col=19&amp;number=0.00020741&amp;sourceID=12","0.00020741")</f>
        <v>0.00020741</v>
      </c>
      <c r="T278" s="4" t="str">
        <f>HYPERLINK("http://141.218.60.56/~jnz1568/getInfo.php?workbook=02_01.xlsx&amp;sheet=A0&amp;row=278&amp;col=20&amp;number=&amp;sourceID=12","")</f>
        <v/>
      </c>
      <c r="U278" s="4" t="str">
        <f>HYPERLINK("http://141.218.60.56/~jnz1568/getInfo.php?workbook=02_01.xlsx&amp;sheet=A0&amp;row=278&amp;col=21&amp;number=&amp;sourceID=13","")</f>
        <v/>
      </c>
      <c r="V278" s="4" t="str">
        <f>HYPERLINK("http://141.218.60.56/~jnz1568/getInfo.php?workbook=02_01.xlsx&amp;sheet=A0&amp;row=278&amp;col=22&amp;number=&amp;sourceID=13","")</f>
        <v/>
      </c>
      <c r="W278" s="4" t="str">
        <f>HYPERLINK("http://141.218.60.56/~jnz1568/getInfo.php?workbook=02_01.xlsx&amp;sheet=A0&amp;row=278&amp;col=23&amp;number=&amp;sourceID=13","")</f>
        <v/>
      </c>
      <c r="X278" s="4" t="str">
        <f>HYPERLINK("http://141.218.60.56/~jnz1568/getInfo.php?workbook=02_01.xlsx&amp;sheet=A0&amp;row=278&amp;col=24&amp;number=&amp;sourceID=13","")</f>
        <v/>
      </c>
      <c r="Y278" s="4" t="str">
        <f>HYPERLINK("http://141.218.60.56/~jnz1568/getInfo.php?workbook=02_01.xlsx&amp;sheet=A0&amp;row=278&amp;col=25&amp;number=&amp;sourceID=13","")</f>
        <v/>
      </c>
      <c r="Z278" s="4" t="str">
        <f>HYPERLINK("http://141.218.60.56/~jnz1568/getInfo.php?workbook=02_01.xlsx&amp;sheet=A0&amp;row=278&amp;col=26&amp;number=&amp;sourceID=13","")</f>
        <v/>
      </c>
      <c r="AA278" s="4" t="str">
        <f>HYPERLINK("http://141.218.60.56/~jnz1568/getInfo.php?workbook=02_01.xlsx&amp;sheet=A0&amp;row=278&amp;col=27&amp;number=&amp;sourceID=20","")</f>
        <v/>
      </c>
    </row>
    <row r="279" spans="1:27">
      <c r="A279" s="3">
        <v>2</v>
      </c>
      <c r="B279" s="3">
        <v>1</v>
      </c>
      <c r="C279" s="3">
        <v>25</v>
      </c>
      <c r="D279" s="3">
        <v>19</v>
      </c>
      <c r="E279" s="3">
        <f>((1/(INDEX(E0!J$4:J$28,C279,1)-INDEX(E0!J$4:J$28,D279,1))))*100000000</f>
        <v>0</v>
      </c>
      <c r="F279" s="4" t="str">
        <f>HYPERLINK("http://141.218.60.56/~jnz1568/getInfo.php?workbook=02_01.xlsx&amp;sheet=A0&amp;row=279&amp;col=6&amp;number=&amp;sourceID=18","")</f>
        <v/>
      </c>
      <c r="G279" s="4" t="str">
        <f>HYPERLINK("http://141.218.60.56/~jnz1568/getInfo.php?workbook=02_01.xlsx&amp;sheet=A0&amp;row=279&amp;col=7&amp;number=&amp;sourceID=11","")</f>
        <v/>
      </c>
      <c r="H279" s="4" t="str">
        <f>HYPERLINK("http://141.218.60.56/~jnz1568/getInfo.php?workbook=02_01.xlsx&amp;sheet=A0&amp;row=279&amp;col=8&amp;number=&amp;sourceID=11","")</f>
        <v/>
      </c>
      <c r="I279" s="4" t="str">
        <f>HYPERLINK("http://141.218.60.56/~jnz1568/getInfo.php?workbook=02_01.xlsx&amp;sheet=A0&amp;row=279&amp;col=9&amp;number=&amp;sourceID=11","")</f>
        <v/>
      </c>
      <c r="J279" s="4" t="str">
        <f>HYPERLINK("http://141.218.60.56/~jnz1568/getInfo.php?workbook=02_01.xlsx&amp;sheet=A0&amp;row=279&amp;col=10&amp;number=&amp;sourceID=11","")</f>
        <v/>
      </c>
      <c r="K279" s="4" t="str">
        <f>HYPERLINK("http://141.218.60.56/~jnz1568/getInfo.php?workbook=02_01.xlsx&amp;sheet=A0&amp;row=279&amp;col=11&amp;number=&amp;sourceID=11","")</f>
        <v/>
      </c>
      <c r="L279" s="4" t="str">
        <f>HYPERLINK("http://141.218.60.56/~jnz1568/getInfo.php?workbook=02_01.xlsx&amp;sheet=A0&amp;row=279&amp;col=12&amp;number=&amp;sourceID=11","")</f>
        <v/>
      </c>
      <c r="M279" s="4" t="str">
        <f>HYPERLINK("http://141.218.60.56/~jnz1568/getInfo.php?workbook=02_01.xlsx&amp;sheet=A0&amp;row=279&amp;col=13&amp;number=0&amp;sourceID=11","0")</f>
        <v>0</v>
      </c>
      <c r="N279" s="4" t="str">
        <f>HYPERLINK("http://141.218.60.56/~jnz1568/getInfo.php?workbook=02_01.xlsx&amp;sheet=A0&amp;row=279&amp;col=14&amp;number=0&amp;sourceID=12","0")</f>
        <v>0</v>
      </c>
      <c r="O279" s="4" t="str">
        <f>HYPERLINK("http://141.218.60.56/~jnz1568/getInfo.php?workbook=02_01.xlsx&amp;sheet=A0&amp;row=279&amp;col=15&amp;number=&amp;sourceID=12","")</f>
        <v/>
      </c>
      <c r="P279" s="4" t="str">
        <f>HYPERLINK("http://141.218.60.56/~jnz1568/getInfo.php?workbook=02_01.xlsx&amp;sheet=A0&amp;row=279&amp;col=16&amp;number=&amp;sourceID=12","")</f>
        <v/>
      </c>
      <c r="Q279" s="4" t="str">
        <f>HYPERLINK("http://141.218.60.56/~jnz1568/getInfo.php?workbook=02_01.xlsx&amp;sheet=A0&amp;row=279&amp;col=17&amp;number=&amp;sourceID=12","")</f>
        <v/>
      </c>
      <c r="R279" s="4" t="str">
        <f>HYPERLINK("http://141.218.60.56/~jnz1568/getInfo.php?workbook=02_01.xlsx&amp;sheet=A0&amp;row=279&amp;col=18&amp;number=&amp;sourceID=12","")</f>
        <v/>
      </c>
      <c r="S279" s="4" t="str">
        <f>HYPERLINK("http://141.218.60.56/~jnz1568/getInfo.php?workbook=02_01.xlsx&amp;sheet=A0&amp;row=279&amp;col=19&amp;number=&amp;sourceID=12","")</f>
        <v/>
      </c>
      <c r="T279" s="4" t="str">
        <f>HYPERLINK("http://141.218.60.56/~jnz1568/getInfo.php?workbook=02_01.xlsx&amp;sheet=A0&amp;row=279&amp;col=20&amp;number=0&amp;sourceID=12","0")</f>
        <v>0</v>
      </c>
      <c r="U279" s="4" t="str">
        <f>HYPERLINK("http://141.218.60.56/~jnz1568/getInfo.php?workbook=02_01.xlsx&amp;sheet=A0&amp;row=279&amp;col=21&amp;number=&amp;sourceID=13","")</f>
        <v/>
      </c>
      <c r="V279" s="4" t="str">
        <f>HYPERLINK("http://141.218.60.56/~jnz1568/getInfo.php?workbook=02_01.xlsx&amp;sheet=A0&amp;row=279&amp;col=22&amp;number=&amp;sourceID=13","")</f>
        <v/>
      </c>
      <c r="W279" s="4" t="str">
        <f>HYPERLINK("http://141.218.60.56/~jnz1568/getInfo.php?workbook=02_01.xlsx&amp;sheet=A0&amp;row=279&amp;col=23&amp;number=&amp;sourceID=13","")</f>
        <v/>
      </c>
      <c r="X279" s="4" t="str">
        <f>HYPERLINK("http://141.218.60.56/~jnz1568/getInfo.php?workbook=02_01.xlsx&amp;sheet=A0&amp;row=279&amp;col=24&amp;number=&amp;sourceID=13","")</f>
        <v/>
      </c>
      <c r="Y279" s="4" t="str">
        <f>HYPERLINK("http://141.218.60.56/~jnz1568/getInfo.php?workbook=02_01.xlsx&amp;sheet=A0&amp;row=279&amp;col=25&amp;number=&amp;sourceID=13","")</f>
        <v/>
      </c>
      <c r="Z279" s="4" t="str">
        <f>HYPERLINK("http://141.218.60.56/~jnz1568/getInfo.php?workbook=02_01.xlsx&amp;sheet=A0&amp;row=279&amp;col=26&amp;number=&amp;sourceID=13","")</f>
        <v/>
      </c>
      <c r="AA279" s="4" t="str">
        <f>HYPERLINK("http://141.218.60.56/~jnz1568/getInfo.php?workbook=02_01.xlsx&amp;sheet=A0&amp;row=279&amp;col=27&amp;number=&amp;sourceID=20","")</f>
        <v/>
      </c>
    </row>
    <row r="280" spans="1:27">
      <c r="A280" s="3">
        <v>2</v>
      </c>
      <c r="B280" s="3">
        <v>1</v>
      </c>
      <c r="C280" s="3">
        <v>25</v>
      </c>
      <c r="D280" s="3">
        <v>20</v>
      </c>
      <c r="E280" s="3">
        <f>((1/(INDEX(E0!J$4:J$28,C280,1)-INDEX(E0!J$4:J$28,D280,1))))*100000000</f>
        <v>0</v>
      </c>
      <c r="F280" s="4" t="str">
        <f>HYPERLINK("http://141.218.60.56/~jnz1568/getInfo.php?workbook=02_01.xlsx&amp;sheet=A0&amp;row=280&amp;col=6&amp;number=&amp;sourceID=18","")</f>
        <v/>
      </c>
      <c r="G280" s="4" t="str">
        <f>HYPERLINK("http://141.218.60.56/~jnz1568/getInfo.php?workbook=02_01.xlsx&amp;sheet=A0&amp;row=280&amp;col=7&amp;number==SUM(H280:M280)&amp;sourceID=11","=SUM(H280:M280)")</f>
        <v>=SUM(H280:M280)</v>
      </c>
      <c r="H280" s="4" t="str">
        <f>HYPERLINK("http://141.218.60.56/~jnz1568/getInfo.php?workbook=02_01.xlsx&amp;sheet=A0&amp;row=280&amp;col=8&amp;number=&amp;sourceID=11","")</f>
        <v/>
      </c>
      <c r="I280" s="4" t="str">
        <f>HYPERLINK("http://141.218.60.56/~jnz1568/getInfo.php?workbook=02_01.xlsx&amp;sheet=A0&amp;row=280&amp;col=9&amp;number=&amp;sourceID=11","")</f>
        <v/>
      </c>
      <c r="J280" s="4" t="str">
        <f>HYPERLINK("http://141.218.60.56/~jnz1568/getInfo.php?workbook=02_01.xlsx&amp;sheet=A0&amp;row=280&amp;col=10&amp;number=0&amp;sourceID=11","0")</f>
        <v>0</v>
      </c>
      <c r="K280" s="4" t="str">
        <f>HYPERLINK("http://141.218.60.56/~jnz1568/getInfo.php?workbook=02_01.xlsx&amp;sheet=A0&amp;row=280&amp;col=11&amp;number=&amp;sourceID=11","")</f>
        <v/>
      </c>
      <c r="L280" s="4" t="str">
        <f>HYPERLINK("http://141.218.60.56/~jnz1568/getInfo.php?workbook=02_01.xlsx&amp;sheet=A0&amp;row=280&amp;col=12&amp;number=&amp;sourceID=11","")</f>
        <v/>
      </c>
      <c r="M280" s="4" t="str">
        <f>HYPERLINK("http://141.218.60.56/~jnz1568/getInfo.php?workbook=02_01.xlsx&amp;sheet=A0&amp;row=280&amp;col=13&amp;number=&amp;sourceID=11","")</f>
        <v/>
      </c>
      <c r="N280" s="4" t="str">
        <f>HYPERLINK("http://141.218.60.56/~jnz1568/getInfo.php?workbook=02_01.xlsx&amp;sheet=A0&amp;row=280&amp;col=14&amp;number=0&amp;sourceID=12","0")</f>
        <v>0</v>
      </c>
      <c r="O280" s="4" t="str">
        <f>HYPERLINK("http://141.218.60.56/~jnz1568/getInfo.php?workbook=02_01.xlsx&amp;sheet=A0&amp;row=280&amp;col=15&amp;number=&amp;sourceID=12","")</f>
        <v/>
      </c>
      <c r="P280" s="4" t="str">
        <f>HYPERLINK("http://141.218.60.56/~jnz1568/getInfo.php?workbook=02_01.xlsx&amp;sheet=A0&amp;row=280&amp;col=16&amp;number=&amp;sourceID=12","")</f>
        <v/>
      </c>
      <c r="Q280" s="4" t="str">
        <f>HYPERLINK("http://141.218.60.56/~jnz1568/getInfo.php?workbook=02_01.xlsx&amp;sheet=A0&amp;row=280&amp;col=17&amp;number=0&amp;sourceID=12","0")</f>
        <v>0</v>
      </c>
      <c r="R280" s="4" t="str">
        <f>HYPERLINK("http://141.218.60.56/~jnz1568/getInfo.php?workbook=02_01.xlsx&amp;sheet=A0&amp;row=280&amp;col=18&amp;number=&amp;sourceID=12","")</f>
        <v/>
      </c>
      <c r="S280" s="4" t="str">
        <f>HYPERLINK("http://141.218.60.56/~jnz1568/getInfo.php?workbook=02_01.xlsx&amp;sheet=A0&amp;row=280&amp;col=19&amp;number=&amp;sourceID=12","")</f>
        <v/>
      </c>
      <c r="T280" s="4" t="str">
        <f>HYPERLINK("http://141.218.60.56/~jnz1568/getInfo.php?workbook=02_01.xlsx&amp;sheet=A0&amp;row=280&amp;col=20&amp;number=&amp;sourceID=12","")</f>
        <v/>
      </c>
      <c r="U280" s="4" t="str">
        <f>HYPERLINK("http://141.218.60.56/~jnz1568/getInfo.php?workbook=02_01.xlsx&amp;sheet=A0&amp;row=280&amp;col=21&amp;number=&amp;sourceID=13","")</f>
        <v/>
      </c>
      <c r="V280" s="4" t="str">
        <f>HYPERLINK("http://141.218.60.56/~jnz1568/getInfo.php?workbook=02_01.xlsx&amp;sheet=A0&amp;row=280&amp;col=22&amp;number=&amp;sourceID=13","")</f>
        <v/>
      </c>
      <c r="W280" s="4" t="str">
        <f>HYPERLINK("http://141.218.60.56/~jnz1568/getInfo.php?workbook=02_01.xlsx&amp;sheet=A0&amp;row=280&amp;col=23&amp;number=&amp;sourceID=13","")</f>
        <v/>
      </c>
      <c r="X280" s="4" t="str">
        <f>HYPERLINK("http://141.218.60.56/~jnz1568/getInfo.php?workbook=02_01.xlsx&amp;sheet=A0&amp;row=280&amp;col=24&amp;number=&amp;sourceID=13","")</f>
        <v/>
      </c>
      <c r="Y280" s="4" t="str">
        <f>HYPERLINK("http://141.218.60.56/~jnz1568/getInfo.php?workbook=02_01.xlsx&amp;sheet=A0&amp;row=280&amp;col=25&amp;number=&amp;sourceID=13","")</f>
        <v/>
      </c>
      <c r="Z280" s="4" t="str">
        <f>HYPERLINK("http://141.218.60.56/~jnz1568/getInfo.php?workbook=02_01.xlsx&amp;sheet=A0&amp;row=280&amp;col=26&amp;number=&amp;sourceID=13","")</f>
        <v/>
      </c>
      <c r="AA280" s="4" t="str">
        <f>HYPERLINK("http://141.218.60.56/~jnz1568/getInfo.php?workbook=02_01.xlsx&amp;sheet=A0&amp;row=280&amp;col=27&amp;number=&amp;sourceID=20","")</f>
        <v/>
      </c>
    </row>
    <row r="281" spans="1:27">
      <c r="A281" s="3">
        <v>2</v>
      </c>
      <c r="B281" s="3">
        <v>1</v>
      </c>
      <c r="C281" s="3">
        <v>25</v>
      </c>
      <c r="D281" s="3">
        <v>21</v>
      </c>
      <c r="E281" s="3">
        <f>((1/(INDEX(E0!J$4:J$28,C281,1)-INDEX(E0!J$4:J$28,D281,1))))*100000000</f>
        <v>0</v>
      </c>
      <c r="F281" s="4" t="str">
        <f>HYPERLINK("http://141.218.60.56/~jnz1568/getInfo.php?workbook=02_01.xlsx&amp;sheet=A0&amp;row=281&amp;col=6&amp;number=&amp;sourceID=18","")</f>
        <v/>
      </c>
      <c r="G281" s="4" t="str">
        <f>HYPERLINK("http://141.218.60.56/~jnz1568/getInfo.php?workbook=02_01.xlsx&amp;sheet=A0&amp;row=281&amp;col=7&amp;number==SUM(H281:M281)&amp;sourceID=11","=SUM(H281:M281)")</f>
        <v>=SUM(H281:M281)</v>
      </c>
      <c r="H281" s="4" t="str">
        <f>HYPERLINK("http://141.218.60.56/~jnz1568/getInfo.php?workbook=02_01.xlsx&amp;sheet=A0&amp;row=281&amp;col=8&amp;number=&amp;sourceID=11","")</f>
        <v/>
      </c>
      <c r="I281" s="4" t="str">
        <f>HYPERLINK("http://141.218.60.56/~jnz1568/getInfo.php?workbook=02_01.xlsx&amp;sheet=A0&amp;row=281&amp;col=9&amp;number=&amp;sourceID=11","")</f>
        <v/>
      </c>
      <c r="J281" s="4" t="str">
        <f>HYPERLINK("http://141.218.60.56/~jnz1568/getInfo.php?workbook=02_01.xlsx&amp;sheet=A0&amp;row=281&amp;col=10&amp;number=0&amp;sourceID=11","0")</f>
        <v>0</v>
      </c>
      <c r="K281" s="4" t="str">
        <f>HYPERLINK("http://141.218.60.56/~jnz1568/getInfo.php?workbook=02_01.xlsx&amp;sheet=A0&amp;row=281&amp;col=11&amp;number=&amp;sourceID=11","")</f>
        <v/>
      </c>
      <c r="L281" s="4" t="str">
        <f>HYPERLINK("http://141.218.60.56/~jnz1568/getInfo.php?workbook=02_01.xlsx&amp;sheet=A0&amp;row=281&amp;col=12&amp;number=0&amp;sourceID=11","0")</f>
        <v>0</v>
      </c>
      <c r="M281" s="4" t="str">
        <f>HYPERLINK("http://141.218.60.56/~jnz1568/getInfo.php?workbook=02_01.xlsx&amp;sheet=A0&amp;row=281&amp;col=13&amp;number=&amp;sourceID=11","")</f>
        <v/>
      </c>
      <c r="N281" s="4" t="str">
        <f>HYPERLINK("http://141.218.60.56/~jnz1568/getInfo.php?workbook=02_01.xlsx&amp;sheet=A0&amp;row=281&amp;col=14&amp;number=0&amp;sourceID=12","0")</f>
        <v>0</v>
      </c>
      <c r="O281" s="4" t="str">
        <f>HYPERLINK("http://141.218.60.56/~jnz1568/getInfo.php?workbook=02_01.xlsx&amp;sheet=A0&amp;row=281&amp;col=15&amp;number=&amp;sourceID=12","")</f>
        <v/>
      </c>
      <c r="P281" s="4" t="str">
        <f>HYPERLINK("http://141.218.60.56/~jnz1568/getInfo.php?workbook=02_01.xlsx&amp;sheet=A0&amp;row=281&amp;col=16&amp;number=&amp;sourceID=12","")</f>
        <v/>
      </c>
      <c r="Q281" s="4" t="str">
        <f>HYPERLINK("http://141.218.60.56/~jnz1568/getInfo.php?workbook=02_01.xlsx&amp;sheet=A0&amp;row=281&amp;col=17&amp;number=0&amp;sourceID=12","0")</f>
        <v>0</v>
      </c>
      <c r="R281" s="4" t="str">
        <f>HYPERLINK("http://141.218.60.56/~jnz1568/getInfo.php?workbook=02_01.xlsx&amp;sheet=A0&amp;row=281&amp;col=18&amp;number=&amp;sourceID=12","")</f>
        <v/>
      </c>
      <c r="S281" s="4" t="str">
        <f>HYPERLINK("http://141.218.60.56/~jnz1568/getInfo.php?workbook=02_01.xlsx&amp;sheet=A0&amp;row=281&amp;col=19&amp;number=0&amp;sourceID=12","0")</f>
        <v>0</v>
      </c>
      <c r="T281" s="4" t="str">
        <f>HYPERLINK("http://141.218.60.56/~jnz1568/getInfo.php?workbook=02_01.xlsx&amp;sheet=A0&amp;row=281&amp;col=20&amp;number=&amp;sourceID=12","")</f>
        <v/>
      </c>
      <c r="U281" s="4" t="str">
        <f>HYPERLINK("http://141.218.60.56/~jnz1568/getInfo.php?workbook=02_01.xlsx&amp;sheet=A0&amp;row=281&amp;col=21&amp;number=&amp;sourceID=13","")</f>
        <v/>
      </c>
      <c r="V281" s="4" t="str">
        <f>HYPERLINK("http://141.218.60.56/~jnz1568/getInfo.php?workbook=02_01.xlsx&amp;sheet=A0&amp;row=281&amp;col=22&amp;number=&amp;sourceID=13","")</f>
        <v/>
      </c>
      <c r="W281" s="4" t="str">
        <f>HYPERLINK("http://141.218.60.56/~jnz1568/getInfo.php?workbook=02_01.xlsx&amp;sheet=A0&amp;row=281&amp;col=23&amp;number=&amp;sourceID=13","")</f>
        <v/>
      </c>
      <c r="X281" s="4" t="str">
        <f>HYPERLINK("http://141.218.60.56/~jnz1568/getInfo.php?workbook=02_01.xlsx&amp;sheet=A0&amp;row=281&amp;col=24&amp;number=&amp;sourceID=13","")</f>
        <v/>
      </c>
      <c r="Y281" s="4" t="str">
        <f>HYPERLINK("http://141.218.60.56/~jnz1568/getInfo.php?workbook=02_01.xlsx&amp;sheet=A0&amp;row=281&amp;col=25&amp;number=&amp;sourceID=13","")</f>
        <v/>
      </c>
      <c r="Z281" s="4" t="str">
        <f>HYPERLINK("http://141.218.60.56/~jnz1568/getInfo.php?workbook=02_01.xlsx&amp;sheet=A0&amp;row=281&amp;col=26&amp;number=&amp;sourceID=13","")</f>
        <v/>
      </c>
      <c r="AA281" s="4" t="str">
        <f>HYPERLINK("http://141.218.60.56/~jnz1568/getInfo.php?workbook=02_01.xlsx&amp;sheet=A0&amp;row=281&amp;col=27&amp;number=&amp;sourceID=20","")</f>
        <v/>
      </c>
    </row>
    <row r="282" spans="1:27">
      <c r="A282" s="3">
        <v>2</v>
      </c>
      <c r="B282" s="3">
        <v>1</v>
      </c>
      <c r="C282" s="3">
        <v>25</v>
      </c>
      <c r="D282" s="3">
        <v>22</v>
      </c>
      <c r="E282" s="3">
        <f>((1/(INDEX(E0!J$4:J$28,C282,1)-INDEX(E0!J$4:J$28,D282,1))))*100000000</f>
        <v>0</v>
      </c>
      <c r="F282" s="4" t="str">
        <f>HYPERLINK("http://141.218.60.56/~jnz1568/getInfo.php?workbook=02_01.xlsx&amp;sheet=A0&amp;row=282&amp;col=6&amp;number=&amp;sourceID=18","")</f>
        <v/>
      </c>
      <c r="G282" s="4" t="str">
        <f>HYPERLINK("http://141.218.60.56/~jnz1568/getInfo.php?workbook=02_01.xlsx&amp;sheet=A0&amp;row=282&amp;col=7&amp;number==SUM(H282:M282)&amp;sourceID=11","=SUM(H282:M282)")</f>
        <v>=SUM(H282:M282)</v>
      </c>
      <c r="H282" s="4" t="str">
        <f>HYPERLINK("http://141.218.60.56/~jnz1568/getInfo.php?workbook=02_01.xlsx&amp;sheet=A0&amp;row=282&amp;col=8&amp;number=&amp;sourceID=11","")</f>
        <v/>
      </c>
      <c r="I282" s="4" t="str">
        <f>HYPERLINK("http://141.218.60.56/~jnz1568/getInfo.php?workbook=02_01.xlsx&amp;sheet=A0&amp;row=282&amp;col=9&amp;number=0&amp;sourceID=11","0")</f>
        <v>0</v>
      </c>
      <c r="J282" s="4" t="str">
        <f>HYPERLINK("http://141.218.60.56/~jnz1568/getInfo.php?workbook=02_01.xlsx&amp;sheet=A0&amp;row=282&amp;col=10&amp;number=&amp;sourceID=11","")</f>
        <v/>
      </c>
      <c r="K282" s="4" t="str">
        <f>HYPERLINK("http://141.218.60.56/~jnz1568/getInfo.php?workbook=02_01.xlsx&amp;sheet=A0&amp;row=282&amp;col=11&amp;number=&amp;sourceID=11","")</f>
        <v/>
      </c>
      <c r="L282" s="4" t="str">
        <f>HYPERLINK("http://141.218.60.56/~jnz1568/getInfo.php?workbook=02_01.xlsx&amp;sheet=A0&amp;row=282&amp;col=12&amp;number=&amp;sourceID=11","")</f>
        <v/>
      </c>
      <c r="M282" s="4" t="str">
        <f>HYPERLINK("http://141.218.60.56/~jnz1568/getInfo.php?workbook=02_01.xlsx&amp;sheet=A0&amp;row=282&amp;col=13&amp;number=0&amp;sourceID=11","0")</f>
        <v>0</v>
      </c>
      <c r="N282" s="4" t="str">
        <f>HYPERLINK("http://141.218.60.56/~jnz1568/getInfo.php?workbook=02_01.xlsx&amp;sheet=A0&amp;row=282&amp;col=14&amp;number=0&amp;sourceID=12","0")</f>
        <v>0</v>
      </c>
      <c r="O282" s="4" t="str">
        <f>HYPERLINK("http://141.218.60.56/~jnz1568/getInfo.php?workbook=02_01.xlsx&amp;sheet=A0&amp;row=282&amp;col=15&amp;number=&amp;sourceID=12","")</f>
        <v/>
      </c>
      <c r="P282" s="4" t="str">
        <f>HYPERLINK("http://141.218.60.56/~jnz1568/getInfo.php?workbook=02_01.xlsx&amp;sheet=A0&amp;row=282&amp;col=16&amp;number=0&amp;sourceID=12","0")</f>
        <v>0</v>
      </c>
      <c r="Q282" s="4" t="str">
        <f>HYPERLINK("http://141.218.60.56/~jnz1568/getInfo.php?workbook=02_01.xlsx&amp;sheet=A0&amp;row=282&amp;col=17&amp;number=&amp;sourceID=12","")</f>
        <v/>
      </c>
      <c r="R282" s="4" t="str">
        <f>HYPERLINK("http://141.218.60.56/~jnz1568/getInfo.php?workbook=02_01.xlsx&amp;sheet=A0&amp;row=282&amp;col=18&amp;number=&amp;sourceID=12","")</f>
        <v/>
      </c>
      <c r="S282" s="4" t="str">
        <f>HYPERLINK("http://141.218.60.56/~jnz1568/getInfo.php?workbook=02_01.xlsx&amp;sheet=A0&amp;row=282&amp;col=19&amp;number=&amp;sourceID=12","")</f>
        <v/>
      </c>
      <c r="T282" s="4" t="str">
        <f>HYPERLINK("http://141.218.60.56/~jnz1568/getInfo.php?workbook=02_01.xlsx&amp;sheet=A0&amp;row=282&amp;col=20&amp;number=0&amp;sourceID=12","0")</f>
        <v>0</v>
      </c>
      <c r="U282" s="4" t="str">
        <f>HYPERLINK("http://141.218.60.56/~jnz1568/getInfo.php?workbook=02_01.xlsx&amp;sheet=A0&amp;row=282&amp;col=21&amp;number=&amp;sourceID=13","")</f>
        <v/>
      </c>
      <c r="V282" s="4" t="str">
        <f>HYPERLINK("http://141.218.60.56/~jnz1568/getInfo.php?workbook=02_01.xlsx&amp;sheet=A0&amp;row=282&amp;col=22&amp;number=&amp;sourceID=13","")</f>
        <v/>
      </c>
      <c r="W282" s="4" t="str">
        <f>HYPERLINK("http://141.218.60.56/~jnz1568/getInfo.php?workbook=02_01.xlsx&amp;sheet=A0&amp;row=282&amp;col=23&amp;number=&amp;sourceID=13","")</f>
        <v/>
      </c>
      <c r="X282" s="4" t="str">
        <f>HYPERLINK("http://141.218.60.56/~jnz1568/getInfo.php?workbook=02_01.xlsx&amp;sheet=A0&amp;row=282&amp;col=24&amp;number=&amp;sourceID=13","")</f>
        <v/>
      </c>
      <c r="Y282" s="4" t="str">
        <f>HYPERLINK("http://141.218.60.56/~jnz1568/getInfo.php?workbook=02_01.xlsx&amp;sheet=A0&amp;row=282&amp;col=25&amp;number=&amp;sourceID=13","")</f>
        <v/>
      </c>
      <c r="Z282" s="4" t="str">
        <f>HYPERLINK("http://141.218.60.56/~jnz1568/getInfo.php?workbook=02_01.xlsx&amp;sheet=A0&amp;row=282&amp;col=26&amp;number=&amp;sourceID=13","")</f>
        <v/>
      </c>
      <c r="AA282" s="4" t="str">
        <f>HYPERLINK("http://141.218.60.56/~jnz1568/getInfo.php?workbook=02_01.xlsx&amp;sheet=A0&amp;row=282&amp;col=27&amp;number=&amp;sourceID=20","")</f>
        <v/>
      </c>
    </row>
    <row r="283" spans="1:27">
      <c r="A283" s="3">
        <v>2</v>
      </c>
      <c r="B283" s="3">
        <v>1</v>
      </c>
      <c r="C283" s="3">
        <v>25</v>
      </c>
      <c r="D283" s="3">
        <v>23</v>
      </c>
      <c r="E283" s="3">
        <f>((1/(INDEX(E0!J$4:J$28,C283,1)-INDEX(E0!J$4:J$28,D283,1))))*100000000</f>
        <v>0</v>
      </c>
      <c r="F283" s="4" t="str">
        <f>HYPERLINK("http://141.218.60.56/~jnz1568/getInfo.php?workbook=02_01.xlsx&amp;sheet=A0&amp;row=283&amp;col=6&amp;number=&amp;sourceID=18","")</f>
        <v/>
      </c>
      <c r="G283" s="4" t="str">
        <f>HYPERLINK("http://141.218.60.56/~jnz1568/getInfo.php?workbook=02_01.xlsx&amp;sheet=A0&amp;row=283&amp;col=7&amp;number==SUM(H283:M283)&amp;sourceID=11","=SUM(H283:M283)")</f>
        <v>=SUM(H283:M283)</v>
      </c>
      <c r="H283" s="4" t="str">
        <f>HYPERLINK("http://141.218.60.56/~jnz1568/getInfo.php?workbook=02_01.xlsx&amp;sheet=A0&amp;row=283&amp;col=8&amp;number=&amp;sourceID=11","")</f>
        <v/>
      </c>
      <c r="I283" s="4" t="str">
        <f>HYPERLINK("http://141.218.60.56/~jnz1568/getInfo.php?workbook=02_01.xlsx&amp;sheet=A0&amp;row=283&amp;col=9&amp;number=0&amp;sourceID=11","0")</f>
        <v>0</v>
      </c>
      <c r="J283" s="4" t="str">
        <f>HYPERLINK("http://141.218.60.56/~jnz1568/getInfo.php?workbook=02_01.xlsx&amp;sheet=A0&amp;row=283&amp;col=10&amp;number=&amp;sourceID=11","")</f>
        <v/>
      </c>
      <c r="K283" s="4" t="str">
        <f>HYPERLINK("http://141.218.60.56/~jnz1568/getInfo.php?workbook=02_01.xlsx&amp;sheet=A0&amp;row=283&amp;col=11&amp;number=1e-15&amp;sourceID=11","1e-15")</f>
        <v>1e-15</v>
      </c>
      <c r="L283" s="4" t="str">
        <f>HYPERLINK("http://141.218.60.56/~jnz1568/getInfo.php?workbook=02_01.xlsx&amp;sheet=A0&amp;row=283&amp;col=12&amp;number=&amp;sourceID=11","")</f>
        <v/>
      </c>
      <c r="M283" s="4" t="str">
        <f>HYPERLINK("http://141.218.60.56/~jnz1568/getInfo.php?workbook=02_01.xlsx&amp;sheet=A0&amp;row=283&amp;col=13&amp;number=0&amp;sourceID=11","0")</f>
        <v>0</v>
      </c>
      <c r="N283" s="4" t="str">
        <f>HYPERLINK("http://141.218.60.56/~jnz1568/getInfo.php?workbook=02_01.xlsx&amp;sheet=A0&amp;row=283&amp;col=14&amp;number=1e-15&amp;sourceID=12","1e-15")</f>
        <v>1e-15</v>
      </c>
      <c r="O283" s="4" t="str">
        <f>HYPERLINK("http://141.218.60.56/~jnz1568/getInfo.php?workbook=02_01.xlsx&amp;sheet=A0&amp;row=283&amp;col=15&amp;number=&amp;sourceID=12","")</f>
        <v/>
      </c>
      <c r="P283" s="4" t="str">
        <f>HYPERLINK("http://141.218.60.56/~jnz1568/getInfo.php?workbook=02_01.xlsx&amp;sheet=A0&amp;row=283&amp;col=16&amp;number=0&amp;sourceID=12","0")</f>
        <v>0</v>
      </c>
      <c r="Q283" s="4" t="str">
        <f>HYPERLINK("http://141.218.60.56/~jnz1568/getInfo.php?workbook=02_01.xlsx&amp;sheet=A0&amp;row=283&amp;col=17&amp;number=&amp;sourceID=12","")</f>
        <v/>
      </c>
      <c r="R283" s="4" t="str">
        <f>HYPERLINK("http://141.218.60.56/~jnz1568/getInfo.php?workbook=02_01.xlsx&amp;sheet=A0&amp;row=283&amp;col=18&amp;number=1e-15&amp;sourceID=12","1e-15")</f>
        <v>1e-15</v>
      </c>
      <c r="S283" s="4" t="str">
        <f>HYPERLINK("http://141.218.60.56/~jnz1568/getInfo.php?workbook=02_01.xlsx&amp;sheet=A0&amp;row=283&amp;col=19&amp;number=&amp;sourceID=12","")</f>
        <v/>
      </c>
      <c r="T283" s="4" t="str">
        <f>HYPERLINK("http://141.218.60.56/~jnz1568/getInfo.php?workbook=02_01.xlsx&amp;sheet=A0&amp;row=283&amp;col=20&amp;number=0&amp;sourceID=12","0")</f>
        <v>0</v>
      </c>
      <c r="U283" s="4" t="str">
        <f>HYPERLINK("http://141.218.60.56/~jnz1568/getInfo.php?workbook=02_01.xlsx&amp;sheet=A0&amp;row=283&amp;col=21&amp;number=&amp;sourceID=13","")</f>
        <v/>
      </c>
      <c r="V283" s="4" t="str">
        <f>HYPERLINK("http://141.218.60.56/~jnz1568/getInfo.php?workbook=02_01.xlsx&amp;sheet=A0&amp;row=283&amp;col=22&amp;number=&amp;sourceID=13","")</f>
        <v/>
      </c>
      <c r="W283" s="4" t="str">
        <f>HYPERLINK("http://141.218.60.56/~jnz1568/getInfo.php?workbook=02_01.xlsx&amp;sheet=A0&amp;row=283&amp;col=23&amp;number=&amp;sourceID=13","")</f>
        <v/>
      </c>
      <c r="X283" s="4" t="str">
        <f>HYPERLINK("http://141.218.60.56/~jnz1568/getInfo.php?workbook=02_01.xlsx&amp;sheet=A0&amp;row=283&amp;col=24&amp;number=&amp;sourceID=13","")</f>
        <v/>
      </c>
      <c r="Y283" s="4" t="str">
        <f>HYPERLINK("http://141.218.60.56/~jnz1568/getInfo.php?workbook=02_01.xlsx&amp;sheet=A0&amp;row=283&amp;col=25&amp;number=&amp;sourceID=13","")</f>
        <v/>
      </c>
      <c r="Z283" s="4" t="str">
        <f>HYPERLINK("http://141.218.60.56/~jnz1568/getInfo.php?workbook=02_01.xlsx&amp;sheet=A0&amp;row=283&amp;col=26&amp;number=&amp;sourceID=13","")</f>
        <v/>
      </c>
      <c r="AA283" s="4" t="str">
        <f>HYPERLINK("http://141.218.60.56/~jnz1568/getInfo.php?workbook=02_01.xlsx&amp;sheet=A0&amp;row=283&amp;col=27&amp;number=&amp;sourceID=20","")</f>
        <v/>
      </c>
    </row>
    <row r="284" spans="1:27">
      <c r="A284" s="3">
        <v>2</v>
      </c>
      <c r="B284" s="3">
        <v>1</v>
      </c>
      <c r="C284" s="3">
        <v>25</v>
      </c>
      <c r="D284" s="3">
        <v>24</v>
      </c>
      <c r="E284" s="3">
        <f>((1/(INDEX(E0!J$4:J$28,C284,1)-INDEX(E0!J$4:J$28,D284,1))))*100000000</f>
        <v>0</v>
      </c>
      <c r="F284" s="4" t="str">
        <f>HYPERLINK("http://141.218.60.56/~jnz1568/getInfo.php?workbook=02_01.xlsx&amp;sheet=A0&amp;row=284&amp;col=6&amp;number=&amp;sourceID=18","")</f>
        <v/>
      </c>
      <c r="G284" s="4" t="str">
        <f>HYPERLINK("http://141.218.60.56/~jnz1568/getInfo.php?workbook=02_01.xlsx&amp;sheet=A0&amp;row=284&amp;col=7&amp;number==SUM(H284:M284)&amp;sourceID=11","=SUM(H284:M284)")</f>
        <v>=SUM(H284:M284)</v>
      </c>
      <c r="H284" s="4" t="str">
        <f>HYPERLINK("http://141.218.60.56/~jnz1568/getInfo.php?workbook=02_01.xlsx&amp;sheet=A0&amp;row=284&amp;col=8&amp;number=5.9612e-09&amp;sourceID=11","5.9612e-09")</f>
        <v>5.9612e-09</v>
      </c>
      <c r="I284" s="4" t="str">
        <f>HYPERLINK("http://141.218.60.56/~jnz1568/getInfo.php?workbook=02_01.xlsx&amp;sheet=A0&amp;row=284&amp;col=9&amp;number=&amp;sourceID=11","")</f>
        <v/>
      </c>
      <c r="J284" s="4" t="str">
        <f>HYPERLINK("http://141.218.60.56/~jnz1568/getInfo.php?workbook=02_01.xlsx&amp;sheet=A0&amp;row=284&amp;col=10&amp;number=0&amp;sourceID=11","0")</f>
        <v>0</v>
      </c>
      <c r="K284" s="4" t="str">
        <f>HYPERLINK("http://141.218.60.56/~jnz1568/getInfo.php?workbook=02_01.xlsx&amp;sheet=A0&amp;row=284&amp;col=11&amp;number=&amp;sourceID=11","")</f>
        <v/>
      </c>
      <c r="L284" s="4" t="str">
        <f>HYPERLINK("http://141.218.60.56/~jnz1568/getInfo.php?workbook=02_01.xlsx&amp;sheet=A0&amp;row=284&amp;col=12&amp;number=0&amp;sourceID=11","0")</f>
        <v>0</v>
      </c>
      <c r="M284" s="4" t="str">
        <f>HYPERLINK("http://141.218.60.56/~jnz1568/getInfo.php?workbook=02_01.xlsx&amp;sheet=A0&amp;row=284&amp;col=13&amp;number=&amp;sourceID=11","")</f>
        <v/>
      </c>
      <c r="N284" s="4" t="str">
        <f>HYPERLINK("http://141.218.60.56/~jnz1568/getInfo.php?workbook=02_01.xlsx&amp;sheet=A0&amp;row=284&amp;col=14&amp;number=5.9686e-09&amp;sourceID=12","5.9686e-09")</f>
        <v>5.9686e-09</v>
      </c>
      <c r="O284" s="4" t="str">
        <f>HYPERLINK("http://141.218.60.56/~jnz1568/getInfo.php?workbook=02_01.xlsx&amp;sheet=A0&amp;row=284&amp;col=15&amp;number=5.9686e-09&amp;sourceID=12","5.9686e-09")</f>
        <v>5.9686e-09</v>
      </c>
      <c r="P284" s="4" t="str">
        <f>HYPERLINK("http://141.218.60.56/~jnz1568/getInfo.php?workbook=02_01.xlsx&amp;sheet=A0&amp;row=284&amp;col=16&amp;number=&amp;sourceID=12","")</f>
        <v/>
      </c>
      <c r="Q284" s="4" t="str">
        <f>HYPERLINK("http://141.218.60.56/~jnz1568/getInfo.php?workbook=02_01.xlsx&amp;sheet=A0&amp;row=284&amp;col=17&amp;number=0&amp;sourceID=12","0")</f>
        <v>0</v>
      </c>
      <c r="R284" s="4" t="str">
        <f>HYPERLINK("http://141.218.60.56/~jnz1568/getInfo.php?workbook=02_01.xlsx&amp;sheet=A0&amp;row=284&amp;col=18&amp;number=&amp;sourceID=12","")</f>
        <v/>
      </c>
      <c r="S284" s="4" t="str">
        <f>HYPERLINK("http://141.218.60.56/~jnz1568/getInfo.php?workbook=02_01.xlsx&amp;sheet=A0&amp;row=284&amp;col=19&amp;number=0&amp;sourceID=12","0")</f>
        <v>0</v>
      </c>
      <c r="T284" s="4" t="str">
        <f>HYPERLINK("http://141.218.60.56/~jnz1568/getInfo.php?workbook=02_01.xlsx&amp;sheet=A0&amp;row=284&amp;col=20&amp;number=&amp;sourceID=12","")</f>
        <v/>
      </c>
      <c r="U284" s="4" t="str">
        <f>HYPERLINK("http://141.218.60.56/~jnz1568/getInfo.php?workbook=02_01.xlsx&amp;sheet=A0&amp;row=284&amp;col=21&amp;number=&amp;sourceID=13","")</f>
        <v/>
      </c>
      <c r="V284" s="4" t="str">
        <f>HYPERLINK("http://141.218.60.56/~jnz1568/getInfo.php?workbook=02_01.xlsx&amp;sheet=A0&amp;row=284&amp;col=22&amp;number=&amp;sourceID=13","")</f>
        <v/>
      </c>
      <c r="W284" s="4" t="str">
        <f>HYPERLINK("http://141.218.60.56/~jnz1568/getInfo.php?workbook=02_01.xlsx&amp;sheet=A0&amp;row=284&amp;col=23&amp;number=&amp;sourceID=13","")</f>
        <v/>
      </c>
      <c r="X284" s="4" t="str">
        <f>HYPERLINK("http://141.218.60.56/~jnz1568/getInfo.php?workbook=02_01.xlsx&amp;sheet=A0&amp;row=284&amp;col=24&amp;number=&amp;sourceID=13","")</f>
        <v/>
      </c>
      <c r="Y284" s="4" t="str">
        <f>HYPERLINK("http://141.218.60.56/~jnz1568/getInfo.php?workbook=02_01.xlsx&amp;sheet=A0&amp;row=284&amp;col=25&amp;number=&amp;sourceID=13","")</f>
        <v/>
      </c>
      <c r="Z284" s="4" t="str">
        <f>HYPERLINK("http://141.218.60.56/~jnz1568/getInfo.php?workbook=02_01.xlsx&amp;sheet=A0&amp;row=284&amp;col=26&amp;number=&amp;sourceID=13","")</f>
        <v/>
      </c>
      <c r="AA284" s="4" t="str">
        <f>HYPERLINK("http://141.218.60.56/~jnz1568/getInfo.php?workbook=02_01.xlsx&amp;sheet=A0&amp;row=284&amp;col=27&amp;number=&amp;sourceID=20","")</f>
        <v/>
      </c>
    </row>
  </sheetData>
  <mergeCells count="1">
    <mergeCell ref="A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23"/>
  <sheetViews>
    <sheetView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3.7109375" customWidth="1"/>
    <col min="5" max="5" width="3.7109375" customWidth="1"/>
    <col min="6" max="6" width="9.7109375" customWidth="1"/>
    <col min="7" max="7" width="8.7109375" customWidth="1"/>
  </cols>
  <sheetData>
    <row r="1" spans="1:7">
      <c r="A1" s="1" t="s">
        <v>48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49</v>
      </c>
      <c r="G2" s="2" t="s">
        <v>49</v>
      </c>
    </row>
    <row r="3" spans="1:7">
      <c r="A3" s="2" t="s">
        <v>5</v>
      </c>
      <c r="B3" s="2" t="s">
        <v>6</v>
      </c>
      <c r="C3" s="2" t="s">
        <v>38</v>
      </c>
      <c r="D3" s="2" t="s">
        <v>7</v>
      </c>
      <c r="E3" s="2" t="s">
        <v>50</v>
      </c>
      <c r="F3" s="2" t="s">
        <v>51</v>
      </c>
      <c r="G3" s="2" t="s">
        <v>52</v>
      </c>
    </row>
    <row r="4" spans="1:7">
      <c r="A4" s="3">
        <v>2</v>
      </c>
      <c r="B4" s="3">
        <v>1</v>
      </c>
      <c r="C4" s="3">
        <v>2</v>
      </c>
      <c r="D4" s="3">
        <v>1</v>
      </c>
      <c r="E4" s="3">
        <v>1</v>
      </c>
      <c r="F4" s="4" t="str">
        <f>HYPERLINK("http://141.218.60.56/~jnz1568/getInfo.php?workbook=02_01.xlsx&amp;sheet=U0&amp;row=4&amp;col=6&amp;number=3.2&amp;sourceID=22","3.2")</f>
        <v>3.2</v>
      </c>
      <c r="G4" s="4" t="str">
        <f>HYPERLINK("http://141.218.60.56/~jnz1568/getInfo.php?workbook=02_01.xlsx&amp;sheet=U0&amp;row=4&amp;col=7&amp;number=0.112&amp;sourceID=22","0.112")</f>
        <v>0.112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HYPERLINK("http://141.218.60.56/~jnz1568/getInfo.php?workbook=02_01.xlsx&amp;sheet=U0&amp;row=5&amp;col=6&amp;number=3.5&amp;sourceID=22","3.5")</f>
        <v>3.5</v>
      </c>
      <c r="G5" s="4" t="str">
        <f>HYPERLINK("http://141.218.60.56/~jnz1568/getInfo.php?workbook=02_01.xlsx&amp;sheet=U0&amp;row=5&amp;col=7&amp;number=0.114&amp;sourceID=22","0.114")</f>
        <v>0.114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HYPERLINK("http://141.218.60.56/~jnz1568/getInfo.php?workbook=02_01.xlsx&amp;sheet=U0&amp;row=6&amp;col=6&amp;number=4&amp;sourceID=22","4")</f>
        <v>4</v>
      </c>
      <c r="G6" s="4" t="str">
        <f>HYPERLINK("http://141.218.60.56/~jnz1568/getInfo.php?workbook=02_01.xlsx&amp;sheet=U0&amp;row=6&amp;col=7&amp;number=0.12&amp;sourceID=22","0.12")</f>
        <v>0.12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HYPERLINK("http://141.218.60.56/~jnz1568/getInfo.php?workbook=02_01.xlsx&amp;sheet=U0&amp;row=7&amp;col=6&amp;number=4.3&amp;sourceID=22","4.3")</f>
        <v>4.3</v>
      </c>
      <c r="G7" s="4" t="str">
        <f>HYPERLINK("http://141.218.60.56/~jnz1568/getInfo.php?workbook=02_01.xlsx&amp;sheet=U0&amp;row=7&amp;col=7&amp;number=0.126&amp;sourceID=22","0.126")</f>
        <v>0.126</v>
      </c>
    </row>
    <row r="8" spans="1:7">
      <c r="A8" s="3">
        <v>2</v>
      </c>
      <c r="B8" s="3">
        <v>1</v>
      </c>
      <c r="C8" s="3">
        <v>3</v>
      </c>
      <c r="D8" s="3">
        <v>1</v>
      </c>
      <c r="E8" s="3">
        <v>1</v>
      </c>
      <c r="F8" s="4" t="str">
        <f>HYPERLINK("http://141.218.60.56/~jnz1568/getInfo.php?workbook=02_01.xlsx&amp;sheet=U0&amp;row=8&amp;col=6&amp;number=3.2&amp;sourceID=22","3.2")</f>
        <v>3.2</v>
      </c>
      <c r="G8" s="4" t="str">
        <f>HYPERLINK("http://141.218.60.56/~jnz1568/getInfo.php?workbook=02_01.xlsx&amp;sheet=U0&amp;row=8&amp;col=7&amp;number=0.176&amp;sourceID=22","0.176")</f>
        <v>0.176</v>
      </c>
    </row>
    <row r="9" spans="1:7">
      <c r="A9" s="3"/>
      <c r="B9" s="3"/>
      <c r="C9" s="3"/>
      <c r="D9" s="3"/>
      <c r="E9" s="3">
        <v>2</v>
      </c>
      <c r="F9" s="4" t="str">
        <f>HYPERLINK("http://141.218.60.56/~jnz1568/getInfo.php?workbook=02_01.xlsx&amp;sheet=U0&amp;row=9&amp;col=6&amp;number=3.5&amp;sourceID=22","3.5")</f>
        <v>3.5</v>
      </c>
      <c r="G9" s="4" t="str">
        <f>HYPERLINK("http://141.218.60.56/~jnz1568/getInfo.php?workbook=02_01.xlsx&amp;sheet=U0&amp;row=9&amp;col=7&amp;number=0.173&amp;sourceID=22","0.173")</f>
        <v>0.173</v>
      </c>
    </row>
    <row r="10" spans="1:7">
      <c r="A10" s="3"/>
      <c r="B10" s="3"/>
      <c r="C10" s="3"/>
      <c r="D10" s="3"/>
      <c r="E10" s="3">
        <v>3</v>
      </c>
      <c r="F10" s="4" t="str">
        <f>HYPERLINK("http://141.218.60.56/~jnz1568/getInfo.php?workbook=02_01.xlsx&amp;sheet=U0&amp;row=10&amp;col=6&amp;number=4&amp;sourceID=22","4")</f>
        <v>4</v>
      </c>
      <c r="G10" s="4" t="str">
        <f>HYPERLINK("http://141.218.60.56/~jnz1568/getInfo.php?workbook=02_01.xlsx&amp;sheet=U0&amp;row=10&amp;col=7&amp;number=0.167&amp;sourceID=22","0.167")</f>
        <v>0.167</v>
      </c>
    </row>
    <row r="11" spans="1:7">
      <c r="A11" s="3"/>
      <c r="B11" s="3"/>
      <c r="C11" s="3"/>
      <c r="D11" s="3"/>
      <c r="E11" s="3">
        <v>4</v>
      </c>
      <c r="F11" s="4" t="str">
        <f>HYPERLINK("http://141.218.60.56/~jnz1568/getInfo.php?workbook=02_01.xlsx&amp;sheet=U0&amp;row=11&amp;col=6&amp;number=4.3&amp;sourceID=22","4.3")</f>
        <v>4.3</v>
      </c>
      <c r="G11" s="4" t="str">
        <f>HYPERLINK("http://141.218.60.56/~jnz1568/getInfo.php?workbook=02_01.xlsx&amp;sheet=U0&amp;row=11&amp;col=7&amp;number=0.162&amp;sourceID=22","0.162")</f>
        <v>0.162</v>
      </c>
    </row>
    <row r="12" spans="1:7">
      <c r="A12" s="3">
        <v>2</v>
      </c>
      <c r="B12" s="3">
        <v>1</v>
      </c>
      <c r="C12" s="3">
        <v>4</v>
      </c>
      <c r="D12" s="3">
        <v>1</v>
      </c>
      <c r="E12" s="3">
        <v>1</v>
      </c>
      <c r="F12" s="4" t="str">
        <f>HYPERLINK("http://141.218.60.56/~jnz1568/getInfo.php?workbook=02_01.xlsx&amp;sheet=U0&amp;row=12&amp;col=6&amp;number=3.2&amp;sourceID=22","3.2")</f>
        <v>3.2</v>
      </c>
      <c r="G12" s="4" t="str">
        <f>HYPERLINK("http://141.218.60.56/~jnz1568/getInfo.php?workbook=02_01.xlsx&amp;sheet=U0&amp;row=12&amp;col=7&amp;number=0.221&amp;sourceID=22","0.221")</f>
        <v>0.221</v>
      </c>
    </row>
    <row r="13" spans="1:7">
      <c r="A13" s="3"/>
      <c r="B13" s="3"/>
      <c r="C13" s="3"/>
      <c r="D13" s="3"/>
      <c r="E13" s="3">
        <v>2</v>
      </c>
      <c r="F13" s="4" t="str">
        <f>HYPERLINK("http://141.218.60.56/~jnz1568/getInfo.php?workbook=02_01.xlsx&amp;sheet=U0&amp;row=13&amp;col=6&amp;number=3.5&amp;sourceID=22","3.5")</f>
        <v>3.5</v>
      </c>
      <c r="G13" s="4" t="str">
        <f>HYPERLINK("http://141.218.60.56/~jnz1568/getInfo.php?workbook=02_01.xlsx&amp;sheet=U0&amp;row=13&amp;col=7&amp;number=0.226&amp;sourceID=22","0.226")</f>
        <v>0.226</v>
      </c>
    </row>
    <row r="14" spans="1:7">
      <c r="A14" s="3"/>
      <c r="B14" s="3"/>
      <c r="C14" s="3"/>
      <c r="D14" s="3"/>
      <c r="E14" s="3">
        <v>3</v>
      </c>
      <c r="F14" s="4" t="str">
        <f>HYPERLINK("http://141.218.60.56/~jnz1568/getInfo.php?workbook=02_01.xlsx&amp;sheet=U0&amp;row=14&amp;col=6&amp;number=4&amp;sourceID=22","4")</f>
        <v>4</v>
      </c>
      <c r="G14" s="4" t="str">
        <f>HYPERLINK("http://141.218.60.56/~jnz1568/getInfo.php?workbook=02_01.xlsx&amp;sheet=U0&amp;row=14&amp;col=7&amp;number=0.238&amp;sourceID=22","0.238")</f>
        <v>0.238</v>
      </c>
    </row>
    <row r="15" spans="1:7">
      <c r="A15" s="3"/>
      <c r="B15" s="3"/>
      <c r="C15" s="3"/>
      <c r="D15" s="3"/>
      <c r="E15" s="3">
        <v>4</v>
      </c>
      <c r="F15" s="4" t="str">
        <f>HYPERLINK("http://141.218.60.56/~jnz1568/getInfo.php?workbook=02_01.xlsx&amp;sheet=U0&amp;row=15&amp;col=6&amp;number=4.3&amp;sourceID=22","4.3")</f>
        <v>4.3</v>
      </c>
      <c r="G15" s="4" t="str">
        <f>HYPERLINK("http://141.218.60.56/~jnz1568/getInfo.php?workbook=02_01.xlsx&amp;sheet=U0&amp;row=15&amp;col=7&amp;number=0.252&amp;sourceID=22","0.252")</f>
        <v>0.252</v>
      </c>
    </row>
    <row r="16" spans="1:7">
      <c r="A16" s="3">
        <v>2</v>
      </c>
      <c r="B16" s="3">
        <v>1</v>
      </c>
      <c r="C16" s="3">
        <v>4</v>
      </c>
      <c r="D16" s="3">
        <v>2</v>
      </c>
      <c r="E16" s="3">
        <v>1</v>
      </c>
      <c r="F16" s="4" t="str">
        <f>HYPERLINK("http://141.218.60.56/~jnz1568/getInfo.php?workbook=02_01.xlsx&amp;sheet=U0&amp;row=16&amp;col=6&amp;number=3.2&amp;sourceID=22","3.2")</f>
        <v>3.2</v>
      </c>
      <c r="G16" s="4" t="str">
        <f>HYPERLINK("http://141.218.60.56/~jnz1568/getInfo.php?workbook=02_01.xlsx&amp;sheet=U0&amp;row=16&amp;col=7&amp;number=8.04&amp;sourceID=22","8.04")</f>
        <v>8.04</v>
      </c>
    </row>
    <row r="17" spans="1:7">
      <c r="A17" s="3"/>
      <c r="B17" s="3"/>
      <c r="C17" s="3"/>
      <c r="D17" s="3"/>
      <c r="E17" s="3">
        <v>2</v>
      </c>
      <c r="F17" s="4" t="str">
        <f>HYPERLINK("http://141.218.60.56/~jnz1568/getInfo.php?workbook=02_01.xlsx&amp;sheet=U0&amp;row=17&amp;col=6&amp;number=3.5&amp;sourceID=22","3.5")</f>
        <v>3.5</v>
      </c>
      <c r="G17" s="4" t="str">
        <f>HYPERLINK("http://141.218.60.56/~jnz1568/getInfo.php?workbook=02_01.xlsx&amp;sheet=U0&amp;row=17&amp;col=7&amp;number=7.73&amp;sourceID=22","7.73")</f>
        <v>7.73</v>
      </c>
    </row>
    <row r="18" spans="1:7">
      <c r="A18" s="3"/>
      <c r="B18" s="3"/>
      <c r="C18" s="3"/>
      <c r="D18" s="3"/>
      <c r="E18" s="3">
        <v>3</v>
      </c>
      <c r="F18" s="4" t="str">
        <f>HYPERLINK("http://141.218.60.56/~jnz1568/getInfo.php?workbook=02_01.xlsx&amp;sheet=U0&amp;row=18&amp;col=6&amp;number=4&amp;sourceID=22","4")</f>
        <v>4</v>
      </c>
      <c r="G18" s="4" t="str">
        <f>HYPERLINK("http://141.218.60.56/~jnz1568/getInfo.php?workbook=02_01.xlsx&amp;sheet=U0&amp;row=18&amp;col=7&amp;number=6.93&amp;sourceID=22","6.93")</f>
        <v>6.93</v>
      </c>
    </row>
    <row r="19" spans="1:7">
      <c r="A19" s="3"/>
      <c r="B19" s="3"/>
      <c r="C19" s="3"/>
      <c r="D19" s="3"/>
      <c r="E19" s="3">
        <v>4</v>
      </c>
      <c r="F19" s="4" t="str">
        <f>HYPERLINK("http://141.218.60.56/~jnz1568/getInfo.php?workbook=02_01.xlsx&amp;sheet=U0&amp;row=19&amp;col=6&amp;number=4.3&amp;sourceID=22","4.3")</f>
        <v>4.3</v>
      </c>
      <c r="G19" s="4" t="str">
        <f>HYPERLINK("http://141.218.60.56/~jnz1568/getInfo.php?workbook=02_01.xlsx&amp;sheet=U0&amp;row=19&amp;col=7&amp;number=6.4&amp;sourceID=22","6.4")</f>
        <v>6.4</v>
      </c>
    </row>
    <row r="20" spans="1:7">
      <c r="A20" s="3">
        <v>2</v>
      </c>
      <c r="B20" s="3">
        <v>1</v>
      </c>
      <c r="C20" s="3">
        <v>5</v>
      </c>
      <c r="D20" s="3">
        <v>1</v>
      </c>
      <c r="E20" s="3">
        <v>1</v>
      </c>
      <c r="F20" s="4" t="str">
        <f>HYPERLINK("http://141.218.60.56/~jnz1568/getInfo.php?workbook=02_01.xlsx&amp;sheet=U0&amp;row=20&amp;col=6&amp;number=3.2&amp;sourceID=22","3.2")</f>
        <v>3.2</v>
      </c>
      <c r="G20" s="4" t="str">
        <f>HYPERLINK("http://141.218.60.56/~jnz1568/getInfo.php?workbook=02_01.xlsx&amp;sheet=U0&amp;row=20&amp;col=7&amp;number=0.0235&amp;sourceID=22","0.0235")</f>
        <v>0.0235</v>
      </c>
    </row>
    <row r="21" spans="1:7">
      <c r="A21" s="3"/>
      <c r="B21" s="3"/>
      <c r="C21" s="3"/>
      <c r="D21" s="3"/>
      <c r="E21" s="3">
        <v>2</v>
      </c>
      <c r="F21" s="4" t="str">
        <f>HYPERLINK("http://141.218.60.56/~jnz1568/getInfo.php?workbook=02_01.xlsx&amp;sheet=U0&amp;row=21&amp;col=6&amp;number=3.5&amp;sourceID=22","3.5")</f>
        <v>3.5</v>
      </c>
      <c r="G21" s="4" t="str">
        <f>HYPERLINK("http://141.218.60.56/~jnz1568/getInfo.php?workbook=02_01.xlsx&amp;sheet=U0&amp;row=21&amp;col=7&amp;number=0.0227&amp;sourceID=22","0.0227")</f>
        <v>0.0227</v>
      </c>
    </row>
    <row r="22" spans="1:7">
      <c r="A22" s="3"/>
      <c r="B22" s="3"/>
      <c r="C22" s="3"/>
      <c r="D22" s="3"/>
      <c r="E22" s="3">
        <v>3</v>
      </c>
      <c r="F22" s="4" t="str">
        <f>HYPERLINK("http://141.218.60.56/~jnz1568/getInfo.php?workbook=02_01.xlsx&amp;sheet=U0&amp;row=22&amp;col=6&amp;number=4&amp;sourceID=22","4")</f>
        <v>4</v>
      </c>
      <c r="G22" s="4" t="str">
        <f>HYPERLINK("http://141.218.60.56/~jnz1568/getInfo.php?workbook=02_01.xlsx&amp;sheet=U0&amp;row=22&amp;col=7&amp;number=0.0243&amp;sourceID=22","0.0243")</f>
        <v>0.0243</v>
      </c>
    </row>
    <row r="23" spans="1:7">
      <c r="A23" s="3"/>
      <c r="B23" s="3"/>
      <c r="C23" s="3"/>
      <c r="D23" s="3"/>
      <c r="E23" s="3">
        <v>4</v>
      </c>
      <c r="F23" s="4" t="str">
        <f>HYPERLINK("http://141.218.60.56/~jnz1568/getInfo.php?workbook=02_01.xlsx&amp;sheet=U0&amp;row=23&amp;col=6&amp;number=4.3&amp;sourceID=22","4.3")</f>
        <v>4.3</v>
      </c>
      <c r="G23" s="4" t="str">
        <f>HYPERLINK("http://141.218.60.56/~jnz1568/getInfo.php?workbook=02_01.xlsx&amp;sheet=U0&amp;row=23&amp;col=7&amp;number=0.0257&amp;sourceID=22","0.0257")</f>
        <v>0.0257</v>
      </c>
    </row>
    <row r="24" spans="1:7">
      <c r="A24" s="3">
        <v>2</v>
      </c>
      <c r="B24" s="3">
        <v>1</v>
      </c>
      <c r="C24" s="3">
        <v>5</v>
      </c>
      <c r="D24" s="3">
        <v>2</v>
      </c>
      <c r="E24" s="3">
        <v>1</v>
      </c>
      <c r="F24" s="4" t="str">
        <f>HYPERLINK("http://141.218.60.56/~jnz1568/getInfo.php?workbook=02_01.xlsx&amp;sheet=U0&amp;row=24&amp;col=6&amp;number=3.2&amp;sourceID=22","3.2")</f>
        <v>3.2</v>
      </c>
      <c r="G24" s="4" t="str">
        <f>HYPERLINK("http://141.218.60.56/~jnz1568/getInfo.php?workbook=02_01.xlsx&amp;sheet=U0&amp;row=24&amp;col=7&amp;number=0.94&amp;sourceID=22","0.94")</f>
        <v>0.94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HYPERLINK("http://141.218.60.56/~jnz1568/getInfo.php?workbook=02_01.xlsx&amp;sheet=U0&amp;row=25&amp;col=6&amp;number=3.5&amp;sourceID=22","3.5")</f>
        <v>3.5</v>
      </c>
      <c r="G25" s="4" t="str">
        <f>HYPERLINK("http://141.218.60.56/~jnz1568/getInfo.php?workbook=02_01.xlsx&amp;sheet=U0&amp;row=25&amp;col=7&amp;number=0.902&amp;sourceID=22","0.902")</f>
        <v>0.902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HYPERLINK("http://141.218.60.56/~jnz1568/getInfo.php?workbook=02_01.xlsx&amp;sheet=U0&amp;row=26&amp;col=6&amp;number=4&amp;sourceID=22","4")</f>
        <v>4</v>
      </c>
      <c r="G26" s="4" t="str">
        <f>HYPERLINK("http://141.218.60.56/~jnz1568/getInfo.php?workbook=02_01.xlsx&amp;sheet=U0&amp;row=26&amp;col=7&amp;number=0.885&amp;sourceID=22","0.885")</f>
        <v>0.885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HYPERLINK("http://141.218.60.56/~jnz1568/getInfo.php?workbook=02_01.xlsx&amp;sheet=U0&amp;row=27&amp;col=6&amp;number=4.3&amp;sourceID=22","4.3")</f>
        <v>4.3</v>
      </c>
      <c r="G27" s="4" t="str">
        <f>HYPERLINK("http://141.218.60.56/~jnz1568/getInfo.php?workbook=02_01.xlsx&amp;sheet=U0&amp;row=27&amp;col=7&amp;number=0.895&amp;sourceID=22","0.895")</f>
        <v>0.895</v>
      </c>
    </row>
    <row r="28" spans="1:7">
      <c r="A28" s="3">
        <v>2</v>
      </c>
      <c r="B28" s="3">
        <v>1</v>
      </c>
      <c r="C28" s="3">
        <v>5</v>
      </c>
      <c r="D28" s="3">
        <v>3</v>
      </c>
      <c r="E28" s="3">
        <v>1</v>
      </c>
      <c r="F28" s="4" t="str">
        <f>HYPERLINK("http://141.218.60.56/~jnz1568/getInfo.php?workbook=02_01.xlsx&amp;sheet=U0&amp;row=28&amp;col=6&amp;number=3.2&amp;sourceID=22","3.2")</f>
        <v>3.2</v>
      </c>
      <c r="G28" s="4" t="str">
        <f>HYPERLINK("http://141.218.60.56/~jnz1568/getInfo.php?workbook=02_01.xlsx&amp;sheet=U0&amp;row=28&amp;col=7&amp;number=0.765&amp;sourceID=22","0.765")</f>
        <v>0.765</v>
      </c>
    </row>
    <row r="29" spans="1:7">
      <c r="A29" s="3"/>
      <c r="B29" s="3"/>
      <c r="C29" s="3"/>
      <c r="D29" s="3"/>
      <c r="E29" s="3">
        <v>2</v>
      </c>
      <c r="F29" s="4" t="str">
        <f>HYPERLINK("http://141.218.60.56/~jnz1568/getInfo.php?workbook=02_01.xlsx&amp;sheet=U0&amp;row=29&amp;col=6&amp;number=3.5&amp;sourceID=22","3.5")</f>
        <v>3.5</v>
      </c>
      <c r="G29" s="4" t="str">
        <f>HYPERLINK("http://141.218.60.56/~jnz1568/getInfo.php?workbook=02_01.xlsx&amp;sheet=U0&amp;row=29&amp;col=7&amp;number=0.722&amp;sourceID=22","0.722")</f>
        <v>0.722</v>
      </c>
    </row>
    <row r="30" spans="1:7">
      <c r="A30" s="3"/>
      <c r="B30" s="3"/>
      <c r="C30" s="3"/>
      <c r="D30" s="3"/>
      <c r="E30" s="3">
        <v>3</v>
      </c>
      <c r="F30" s="4" t="str">
        <f>HYPERLINK("http://141.218.60.56/~jnz1568/getInfo.php?workbook=02_01.xlsx&amp;sheet=U0&amp;row=30&amp;col=6&amp;number=4&amp;sourceID=22","4")</f>
        <v>4</v>
      </c>
      <c r="G30" s="4" t="str">
        <f>HYPERLINK("http://141.218.60.56/~jnz1568/getInfo.php?workbook=02_01.xlsx&amp;sheet=U0&amp;row=30&amp;col=7&amp;number=0.689&amp;sourceID=22","0.689")</f>
        <v>0.689</v>
      </c>
    </row>
    <row r="31" spans="1:7">
      <c r="A31" s="3"/>
      <c r="B31" s="3"/>
      <c r="C31" s="3"/>
      <c r="D31" s="3"/>
      <c r="E31" s="3">
        <v>4</v>
      </c>
      <c r="F31" s="4" t="str">
        <f>HYPERLINK("http://141.218.60.56/~jnz1568/getInfo.php?workbook=02_01.xlsx&amp;sheet=U0&amp;row=31&amp;col=6&amp;number=4.3&amp;sourceID=22","4.3")</f>
        <v>4.3</v>
      </c>
      <c r="G31" s="4" t="str">
        <f>HYPERLINK("http://141.218.60.56/~jnz1568/getInfo.php?workbook=02_01.xlsx&amp;sheet=U0&amp;row=31&amp;col=7&amp;number=0.684&amp;sourceID=22","0.684")</f>
        <v>0.684</v>
      </c>
    </row>
    <row r="32" spans="1:7">
      <c r="A32" s="3">
        <v>2</v>
      </c>
      <c r="B32" s="3">
        <v>1</v>
      </c>
      <c r="C32" s="3">
        <v>5</v>
      </c>
      <c r="D32" s="3">
        <v>4</v>
      </c>
      <c r="E32" s="3">
        <v>1</v>
      </c>
      <c r="F32" s="4" t="str">
        <f>HYPERLINK("http://141.218.60.56/~jnz1568/getInfo.php?workbook=02_01.xlsx&amp;sheet=U0&amp;row=32&amp;col=6&amp;number=3.2&amp;sourceID=22","3.2")</f>
        <v>3.2</v>
      </c>
      <c r="G32" s="4" t="str">
        <f>HYPERLINK("http://141.218.60.56/~jnz1568/getInfo.php?workbook=02_01.xlsx&amp;sheet=U0&amp;row=32&amp;col=7&amp;number=1.03&amp;sourceID=22","1.03")</f>
        <v>1.03</v>
      </c>
    </row>
    <row r="33" spans="1:7">
      <c r="A33" s="3"/>
      <c r="B33" s="3"/>
      <c r="C33" s="3"/>
      <c r="D33" s="3"/>
      <c r="E33" s="3">
        <v>2</v>
      </c>
      <c r="F33" s="4" t="str">
        <f>HYPERLINK("http://141.218.60.56/~jnz1568/getInfo.php?workbook=02_01.xlsx&amp;sheet=U0&amp;row=33&amp;col=6&amp;number=3.5&amp;sourceID=22","3.5")</f>
        <v>3.5</v>
      </c>
      <c r="G33" s="4" t="str">
        <f>HYPERLINK("http://141.218.60.56/~jnz1568/getInfo.php?workbook=02_01.xlsx&amp;sheet=U0&amp;row=33&amp;col=7&amp;number=0.947&amp;sourceID=22","0.947")</f>
        <v>0.947</v>
      </c>
    </row>
    <row r="34" spans="1:7">
      <c r="A34" s="3"/>
      <c r="B34" s="3"/>
      <c r="C34" s="3"/>
      <c r="D34" s="3"/>
      <c r="E34" s="3">
        <v>3</v>
      </c>
      <c r="F34" s="4" t="str">
        <f>HYPERLINK("http://141.218.60.56/~jnz1568/getInfo.php?workbook=02_01.xlsx&amp;sheet=U0&amp;row=34&amp;col=6&amp;number=4&amp;sourceID=22","4")</f>
        <v>4</v>
      </c>
      <c r="G34" s="4" t="str">
        <f>HYPERLINK("http://141.218.60.56/~jnz1568/getInfo.php?workbook=02_01.xlsx&amp;sheet=U0&amp;row=34&amp;col=7&amp;number=0.839&amp;sourceID=22","0.839")</f>
        <v>0.839</v>
      </c>
    </row>
    <row r="35" spans="1:7">
      <c r="A35" s="3"/>
      <c r="B35" s="3"/>
      <c r="C35" s="3"/>
      <c r="D35" s="3"/>
      <c r="E35" s="3">
        <v>4</v>
      </c>
      <c r="F35" s="4" t="str">
        <f>HYPERLINK("http://141.218.60.56/~jnz1568/getInfo.php?workbook=02_01.xlsx&amp;sheet=U0&amp;row=35&amp;col=6&amp;number=4.3&amp;sourceID=22","4.3")</f>
        <v>4.3</v>
      </c>
      <c r="G35" s="4" t="str">
        <f>HYPERLINK("http://141.218.60.56/~jnz1568/getInfo.php?workbook=02_01.xlsx&amp;sheet=U0&amp;row=35&amp;col=7&amp;number=0.764&amp;sourceID=22","0.764")</f>
        <v>0.764</v>
      </c>
    </row>
    <row r="36" spans="1:7">
      <c r="A36" s="3">
        <v>2</v>
      </c>
      <c r="B36" s="3">
        <v>1</v>
      </c>
      <c r="C36" s="3">
        <v>6</v>
      </c>
      <c r="D36" s="3">
        <v>1</v>
      </c>
      <c r="E36" s="3">
        <v>1</v>
      </c>
      <c r="F36" s="4" t="str">
        <f>HYPERLINK("http://141.218.60.56/~jnz1568/getInfo.php?workbook=02_01.xlsx&amp;sheet=U0&amp;row=36&amp;col=6&amp;number=3.2&amp;sourceID=22","3.2")</f>
        <v>3.2</v>
      </c>
      <c r="G36" s="4" t="str">
        <f>HYPERLINK("http://141.218.60.56/~jnz1568/getInfo.php?workbook=02_01.xlsx&amp;sheet=U0&amp;row=36&amp;col=7&amp;number=0.0504&amp;sourceID=22","0.0504")</f>
        <v>0.0504</v>
      </c>
    </row>
    <row r="37" spans="1:7">
      <c r="A37" s="3"/>
      <c r="B37" s="3"/>
      <c r="C37" s="3"/>
      <c r="D37" s="3"/>
      <c r="E37" s="3">
        <v>2</v>
      </c>
      <c r="F37" s="4" t="str">
        <f>HYPERLINK("http://141.218.60.56/~jnz1568/getInfo.php?workbook=02_01.xlsx&amp;sheet=U0&amp;row=37&amp;col=6&amp;number=3.5&amp;sourceID=22","3.5")</f>
        <v>3.5</v>
      </c>
      <c r="G37" s="4" t="str">
        <f>HYPERLINK("http://141.218.60.56/~jnz1568/getInfo.php?workbook=02_01.xlsx&amp;sheet=U0&amp;row=37&amp;col=7&amp;number=0.0474&amp;sourceID=22","0.0474")</f>
        <v>0.0474</v>
      </c>
    </row>
    <row r="38" spans="1:7">
      <c r="A38" s="3"/>
      <c r="B38" s="3"/>
      <c r="C38" s="3"/>
      <c r="D38" s="3"/>
      <c r="E38" s="3">
        <v>3</v>
      </c>
      <c r="F38" s="4" t="str">
        <f>HYPERLINK("http://141.218.60.56/~jnz1568/getInfo.php?workbook=02_01.xlsx&amp;sheet=U0&amp;row=38&amp;col=6&amp;number=4&amp;sourceID=22","4")</f>
        <v>4</v>
      </c>
      <c r="G38" s="4" t="str">
        <f>HYPERLINK("http://141.218.60.56/~jnz1568/getInfo.php?workbook=02_01.xlsx&amp;sheet=U0&amp;row=38&amp;col=7&amp;number=0.0467&amp;sourceID=22","0.0467")</f>
        <v>0.0467</v>
      </c>
    </row>
    <row r="39" spans="1:7">
      <c r="A39" s="3"/>
      <c r="B39" s="3"/>
      <c r="C39" s="3"/>
      <c r="D39" s="3"/>
      <c r="E39" s="3">
        <v>4</v>
      </c>
      <c r="F39" s="4" t="str">
        <f>HYPERLINK("http://141.218.60.56/~jnz1568/getInfo.php?workbook=02_01.xlsx&amp;sheet=U0&amp;row=39&amp;col=6&amp;number=4.3&amp;sourceID=22","4.3")</f>
        <v>4.3</v>
      </c>
      <c r="G39" s="4" t="str">
        <f>HYPERLINK("http://141.218.60.56/~jnz1568/getInfo.php?workbook=02_01.xlsx&amp;sheet=U0&amp;row=39&amp;col=7&amp;number=0.0455&amp;sourceID=22","0.0455")</f>
        <v>0.0455</v>
      </c>
    </row>
    <row r="40" spans="1:7">
      <c r="A40" s="3">
        <v>2</v>
      </c>
      <c r="B40" s="3">
        <v>1</v>
      </c>
      <c r="C40" s="3">
        <v>6</v>
      </c>
      <c r="D40" s="3">
        <v>2</v>
      </c>
      <c r="E40" s="3">
        <v>1</v>
      </c>
      <c r="F40" s="4" t="str">
        <f>HYPERLINK("http://141.218.60.56/~jnz1568/getInfo.php?workbook=02_01.xlsx&amp;sheet=U0&amp;row=40&amp;col=6&amp;number=3.2&amp;sourceID=22","3.2")</f>
        <v>3.2</v>
      </c>
      <c r="G40" s="4" t="str">
        <f>HYPERLINK("http://141.218.60.56/~jnz1568/getInfo.php?workbook=02_01.xlsx&amp;sheet=U0&amp;row=40&amp;col=7&amp;number=0.874&amp;sourceID=22","0.874")</f>
        <v>0.874</v>
      </c>
    </row>
    <row r="41" spans="1:7">
      <c r="A41" s="3"/>
      <c r="B41" s="3"/>
      <c r="C41" s="3"/>
      <c r="D41" s="3"/>
      <c r="E41" s="3">
        <v>2</v>
      </c>
      <c r="F41" s="4" t="str">
        <f>HYPERLINK("http://141.218.60.56/~jnz1568/getInfo.php?workbook=02_01.xlsx&amp;sheet=U0&amp;row=41&amp;col=6&amp;number=3.5&amp;sourceID=22","3.5")</f>
        <v>3.5</v>
      </c>
      <c r="G41" s="4" t="str">
        <f>HYPERLINK("http://141.218.60.56/~jnz1568/getInfo.php?workbook=02_01.xlsx&amp;sheet=U0&amp;row=41&amp;col=7&amp;number=0.805&amp;sourceID=22","0.805")</f>
        <v>0.805</v>
      </c>
    </row>
    <row r="42" spans="1:7">
      <c r="A42" s="3"/>
      <c r="B42" s="3"/>
      <c r="C42" s="3"/>
      <c r="D42" s="3"/>
      <c r="E42" s="3">
        <v>3</v>
      </c>
      <c r="F42" s="4" t="str">
        <f>HYPERLINK("http://141.218.60.56/~jnz1568/getInfo.php?workbook=02_01.xlsx&amp;sheet=U0&amp;row=42&amp;col=6&amp;number=4&amp;sourceID=22","4")</f>
        <v>4</v>
      </c>
      <c r="G42" s="4" t="str">
        <f>HYPERLINK("http://141.218.60.56/~jnz1568/getInfo.php?workbook=02_01.xlsx&amp;sheet=U0&amp;row=42&amp;col=7&amp;number=0.696&amp;sourceID=22","0.696")</f>
        <v>0.696</v>
      </c>
    </row>
    <row r="43" spans="1:7">
      <c r="A43" s="3"/>
      <c r="B43" s="3"/>
      <c r="C43" s="3"/>
      <c r="D43" s="3"/>
      <c r="E43" s="3">
        <v>4</v>
      </c>
      <c r="F43" s="4" t="str">
        <f>HYPERLINK("http://141.218.60.56/~jnz1568/getInfo.php?workbook=02_01.xlsx&amp;sheet=U0&amp;row=43&amp;col=6&amp;number=4.3&amp;sourceID=22","4.3")</f>
        <v>4.3</v>
      </c>
      <c r="G43" s="4" t="str">
        <f>HYPERLINK("http://141.218.60.56/~jnz1568/getInfo.php?workbook=02_01.xlsx&amp;sheet=U0&amp;row=43&amp;col=7&amp;number=0.62&amp;sourceID=22","0.62")</f>
        <v>0.62</v>
      </c>
    </row>
    <row r="44" spans="1:7">
      <c r="A44" s="3">
        <v>2</v>
      </c>
      <c r="B44" s="3">
        <v>1</v>
      </c>
      <c r="C44" s="3">
        <v>6</v>
      </c>
      <c r="D44" s="3">
        <v>3</v>
      </c>
      <c r="E44" s="3">
        <v>1</v>
      </c>
      <c r="F44" s="4" t="str">
        <f>HYPERLINK("http://141.218.60.56/~jnz1568/getInfo.php?workbook=02_01.xlsx&amp;sheet=U0&amp;row=44&amp;col=6&amp;number=3.2&amp;sourceID=22","3.2")</f>
        <v>3.2</v>
      </c>
      <c r="G44" s="4" t="str">
        <f>HYPERLINK("http://141.218.60.56/~jnz1568/getInfo.php?workbook=02_01.xlsx&amp;sheet=U0&amp;row=44&amp;col=7&amp;number=0.574&amp;sourceID=22","0.574")</f>
        <v>0.574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HYPERLINK("http://141.218.60.56/~jnz1568/getInfo.php?workbook=02_01.xlsx&amp;sheet=U0&amp;row=45&amp;col=6&amp;number=3.5&amp;sourceID=22","3.5")</f>
        <v>3.5</v>
      </c>
      <c r="G45" s="4" t="str">
        <f>HYPERLINK("http://141.218.60.56/~jnz1568/getInfo.php?workbook=02_01.xlsx&amp;sheet=U0&amp;row=45&amp;col=7&amp;number=0.552&amp;sourceID=22","0.552")</f>
        <v>0.552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HYPERLINK("http://141.218.60.56/~jnz1568/getInfo.php?workbook=02_01.xlsx&amp;sheet=U0&amp;row=46&amp;col=6&amp;number=4&amp;sourceID=22","4")</f>
        <v>4</v>
      </c>
      <c r="G46" s="4" t="str">
        <f>HYPERLINK("http://141.218.60.56/~jnz1568/getInfo.php?workbook=02_01.xlsx&amp;sheet=U0&amp;row=46&amp;col=7&amp;number=0.589&amp;sourceID=22","0.589")</f>
        <v>0.589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HYPERLINK("http://141.218.60.56/~jnz1568/getInfo.php?workbook=02_01.xlsx&amp;sheet=U0&amp;row=47&amp;col=6&amp;number=4.3&amp;sourceID=22","4.3")</f>
        <v>4.3</v>
      </c>
      <c r="G47" s="4" t="str">
        <f>HYPERLINK("http://141.218.60.56/~jnz1568/getInfo.php?workbook=02_01.xlsx&amp;sheet=U0&amp;row=47&amp;col=7&amp;number=0.65&amp;sourceID=22","0.65")</f>
        <v>0.65</v>
      </c>
    </row>
    <row r="48" spans="1:7">
      <c r="A48" s="3">
        <v>2</v>
      </c>
      <c r="B48" s="3">
        <v>1</v>
      </c>
      <c r="C48" s="3">
        <v>6</v>
      </c>
      <c r="D48" s="3">
        <v>4</v>
      </c>
      <c r="E48" s="3">
        <v>1</v>
      </c>
      <c r="F48" s="4" t="str">
        <f>HYPERLINK("http://141.218.60.56/~jnz1568/getInfo.php?workbook=02_01.xlsx&amp;sheet=U0&amp;row=48&amp;col=6&amp;number=3.2&amp;sourceID=22","3.2")</f>
        <v>3.2</v>
      </c>
      <c r="G48" s="4" t="str">
        <f>HYPERLINK("http://141.218.60.56/~jnz1568/getInfo.php?workbook=02_01.xlsx&amp;sheet=U0&amp;row=48&amp;col=7&amp;number=1.76&amp;sourceID=22","1.76")</f>
        <v>1.76</v>
      </c>
    </row>
    <row r="49" spans="1:7">
      <c r="A49" s="3"/>
      <c r="B49" s="3"/>
      <c r="C49" s="3"/>
      <c r="D49" s="3"/>
      <c r="E49" s="3">
        <v>2</v>
      </c>
      <c r="F49" s="4" t="str">
        <f>HYPERLINK("http://141.218.60.56/~jnz1568/getInfo.php?workbook=02_01.xlsx&amp;sheet=U0&amp;row=49&amp;col=6&amp;number=3.5&amp;sourceID=22","3.5")</f>
        <v>3.5</v>
      </c>
      <c r="G49" s="4" t="str">
        <f>HYPERLINK("http://141.218.60.56/~jnz1568/getInfo.php?workbook=02_01.xlsx&amp;sheet=U0&amp;row=49&amp;col=7&amp;number=1.63&amp;sourceID=22","1.63")</f>
        <v>1.63</v>
      </c>
    </row>
    <row r="50" spans="1:7">
      <c r="A50" s="3"/>
      <c r="B50" s="3"/>
      <c r="C50" s="3"/>
      <c r="D50" s="3"/>
      <c r="E50" s="3">
        <v>3</v>
      </c>
      <c r="F50" s="4" t="str">
        <f>HYPERLINK("http://141.218.60.56/~jnz1568/getInfo.php?workbook=02_01.xlsx&amp;sheet=U0&amp;row=50&amp;col=6&amp;number=4&amp;sourceID=22","4")</f>
        <v>4</v>
      </c>
      <c r="G50" s="4" t="str">
        <f>HYPERLINK("http://141.218.60.56/~jnz1568/getInfo.php?workbook=02_01.xlsx&amp;sheet=U0&amp;row=50&amp;col=7&amp;number=1.42&amp;sourceID=22","1.42")</f>
        <v>1.42</v>
      </c>
    </row>
    <row r="51" spans="1:7">
      <c r="A51" s="3"/>
      <c r="B51" s="3"/>
      <c r="C51" s="3"/>
      <c r="D51" s="3"/>
      <c r="E51" s="3">
        <v>4</v>
      </c>
      <c r="F51" s="4" t="str">
        <f>HYPERLINK("http://141.218.60.56/~jnz1568/getInfo.php?workbook=02_01.xlsx&amp;sheet=U0&amp;row=51&amp;col=6&amp;number=4.3&amp;sourceID=22","4.3")</f>
        <v>4.3</v>
      </c>
      <c r="G51" s="4" t="str">
        <f>HYPERLINK("http://141.218.60.56/~jnz1568/getInfo.php?workbook=02_01.xlsx&amp;sheet=U0&amp;row=51&amp;col=7&amp;number=1.28&amp;sourceID=22","1.28")</f>
        <v>1.28</v>
      </c>
    </row>
    <row r="52" spans="1:7">
      <c r="A52" s="3">
        <v>2</v>
      </c>
      <c r="B52" s="3">
        <v>1</v>
      </c>
      <c r="C52" s="3">
        <v>7</v>
      </c>
      <c r="D52" s="3">
        <v>1</v>
      </c>
      <c r="E52" s="3">
        <v>1</v>
      </c>
      <c r="F52" s="4" t="str">
        <f>HYPERLINK("http://141.218.60.56/~jnz1568/getInfo.php?workbook=02_01.xlsx&amp;sheet=U0&amp;row=52&amp;col=6&amp;number=3.2&amp;sourceID=22","3.2")</f>
        <v>3.2</v>
      </c>
      <c r="G52" s="4" t="str">
        <f>HYPERLINK("http://141.218.60.56/~jnz1568/getInfo.php?workbook=02_01.xlsx&amp;sheet=U0&amp;row=52&amp;col=7&amp;number=0.0222&amp;sourceID=22","0.0222")</f>
        <v>0.0222</v>
      </c>
    </row>
    <row r="53" spans="1:7">
      <c r="A53" s="3"/>
      <c r="B53" s="3"/>
      <c r="C53" s="3"/>
      <c r="D53" s="3"/>
      <c r="E53" s="3">
        <v>2</v>
      </c>
      <c r="F53" s="4" t="str">
        <f>HYPERLINK("http://141.218.60.56/~jnz1568/getInfo.php?workbook=02_01.xlsx&amp;sheet=U0&amp;row=53&amp;col=6&amp;number=3.5&amp;sourceID=22","3.5")</f>
        <v>3.5</v>
      </c>
      <c r="G53" s="4" t="str">
        <f>HYPERLINK("http://141.218.60.56/~jnz1568/getInfo.php?workbook=02_01.xlsx&amp;sheet=U0&amp;row=53&amp;col=7&amp;number=0.0205&amp;sourceID=22","0.0205")</f>
        <v>0.0205</v>
      </c>
    </row>
    <row r="54" spans="1:7">
      <c r="A54" s="3"/>
      <c r="B54" s="3"/>
      <c r="C54" s="3"/>
      <c r="D54" s="3"/>
      <c r="E54" s="3">
        <v>3</v>
      </c>
      <c r="F54" s="4" t="str">
        <f>HYPERLINK("http://141.218.60.56/~jnz1568/getInfo.php?workbook=02_01.xlsx&amp;sheet=U0&amp;row=54&amp;col=6&amp;number=4&amp;sourceID=22","4")</f>
        <v>4</v>
      </c>
      <c r="G54" s="4" t="str">
        <f>HYPERLINK("http://141.218.60.56/~jnz1568/getInfo.php?workbook=02_01.xlsx&amp;sheet=U0&amp;row=54&amp;col=7&amp;number=0.0188&amp;sourceID=22","0.0188")</f>
        <v>0.0188</v>
      </c>
    </row>
    <row r="55" spans="1:7">
      <c r="A55" s="3"/>
      <c r="B55" s="3"/>
      <c r="C55" s="3"/>
      <c r="D55" s="3"/>
      <c r="E55" s="3">
        <v>4</v>
      </c>
      <c r="F55" s="4" t="str">
        <f>HYPERLINK("http://141.218.60.56/~jnz1568/getInfo.php?workbook=02_01.xlsx&amp;sheet=U0&amp;row=55&amp;col=6&amp;number=4.3&amp;sourceID=22","4.3")</f>
        <v>4.3</v>
      </c>
      <c r="G55" s="4" t="str">
        <f>HYPERLINK("http://141.218.60.56/~jnz1568/getInfo.php?workbook=02_01.xlsx&amp;sheet=U0&amp;row=55&amp;col=7&amp;number=0.0176&amp;sourceID=22","0.0176")</f>
        <v>0.0176</v>
      </c>
    </row>
    <row r="56" spans="1:7">
      <c r="A56" s="3">
        <v>2</v>
      </c>
      <c r="B56" s="3">
        <v>1</v>
      </c>
      <c r="C56" s="3">
        <v>7</v>
      </c>
      <c r="D56" s="3">
        <v>2</v>
      </c>
      <c r="E56" s="3">
        <v>1</v>
      </c>
      <c r="F56" s="4" t="str">
        <f>HYPERLINK("http://141.218.60.56/~jnz1568/getInfo.php?workbook=02_01.xlsx&amp;sheet=U0&amp;row=56&amp;col=6&amp;number=3.2&amp;sourceID=22","3.2")</f>
        <v>3.2</v>
      </c>
      <c r="G56" s="4" t="str">
        <f>HYPERLINK("http://141.218.60.56/~jnz1568/getInfo.php?workbook=02_01.xlsx&amp;sheet=U0&amp;row=56&amp;col=7&amp;number=2.52&amp;sourceID=22","2.52")</f>
        <v>2.52</v>
      </c>
    </row>
    <row r="57" spans="1:7">
      <c r="A57" s="3"/>
      <c r="B57" s="3"/>
      <c r="C57" s="3"/>
      <c r="D57" s="3"/>
      <c r="E57" s="3">
        <v>2</v>
      </c>
      <c r="F57" s="4" t="str">
        <f>HYPERLINK("http://141.218.60.56/~jnz1568/getInfo.php?workbook=02_01.xlsx&amp;sheet=U0&amp;row=57&amp;col=6&amp;number=3.5&amp;sourceID=22","3.5")</f>
        <v>3.5</v>
      </c>
      <c r="G57" s="4" t="str">
        <f>HYPERLINK("http://141.218.60.56/~jnz1568/getInfo.php?workbook=02_01.xlsx&amp;sheet=U0&amp;row=57&amp;col=7&amp;number=2.57&amp;sourceID=22","2.57")</f>
        <v>2.57</v>
      </c>
    </row>
    <row r="58" spans="1:7">
      <c r="A58" s="3"/>
      <c r="B58" s="3"/>
      <c r="C58" s="3"/>
      <c r="D58" s="3"/>
      <c r="E58" s="3">
        <v>3</v>
      </c>
      <c r="F58" s="4" t="str">
        <f>HYPERLINK("http://141.218.60.56/~jnz1568/getInfo.php?workbook=02_01.xlsx&amp;sheet=U0&amp;row=58&amp;col=6&amp;number=4&amp;sourceID=22","4")</f>
        <v>4</v>
      </c>
      <c r="G58" s="4" t="str">
        <f>HYPERLINK("http://141.218.60.56/~jnz1568/getInfo.php?workbook=02_01.xlsx&amp;sheet=U0&amp;row=58&amp;col=7&amp;number=2.84&amp;sourceID=22","2.84")</f>
        <v>2.84</v>
      </c>
    </row>
    <row r="59" spans="1:7">
      <c r="A59" s="3"/>
      <c r="B59" s="3"/>
      <c r="C59" s="3"/>
      <c r="D59" s="3"/>
      <c r="E59" s="3">
        <v>4</v>
      </c>
      <c r="F59" s="4" t="str">
        <f>HYPERLINK("http://141.218.60.56/~jnz1568/getInfo.php?workbook=02_01.xlsx&amp;sheet=U0&amp;row=59&amp;col=6&amp;number=4.3&amp;sourceID=22","4.3")</f>
        <v>4.3</v>
      </c>
      <c r="G59" s="4" t="str">
        <f>HYPERLINK("http://141.218.60.56/~jnz1568/getInfo.php?workbook=02_01.xlsx&amp;sheet=U0&amp;row=59&amp;col=7&amp;number=3.18&amp;sourceID=22","3.18")</f>
        <v>3.18</v>
      </c>
    </row>
    <row r="60" spans="1:7">
      <c r="A60" s="3">
        <v>2</v>
      </c>
      <c r="B60" s="3">
        <v>1</v>
      </c>
      <c r="C60" s="3">
        <v>7</v>
      </c>
      <c r="D60" s="3">
        <v>3</v>
      </c>
      <c r="E60" s="3">
        <v>1</v>
      </c>
      <c r="F60" s="4" t="str">
        <f>HYPERLINK("http://141.218.60.56/~jnz1568/getInfo.php?workbook=02_01.xlsx&amp;sheet=U0&amp;row=60&amp;col=6&amp;number=3.2&amp;sourceID=22","3.2")</f>
        <v>3.2</v>
      </c>
      <c r="G60" s="4" t="str">
        <f>HYPERLINK("http://141.218.60.56/~jnz1568/getInfo.php?workbook=02_01.xlsx&amp;sheet=U0&amp;row=60&amp;col=7&amp;number=0.712&amp;sourceID=22","0.712")</f>
        <v>0.712</v>
      </c>
    </row>
    <row r="61" spans="1:7">
      <c r="A61" s="3"/>
      <c r="B61" s="3"/>
      <c r="C61" s="3"/>
      <c r="D61" s="3"/>
      <c r="E61" s="3">
        <v>2</v>
      </c>
      <c r="F61" s="4" t="str">
        <f>HYPERLINK("http://141.218.60.56/~jnz1568/getInfo.php?workbook=02_01.xlsx&amp;sheet=U0&amp;row=61&amp;col=6&amp;number=3.5&amp;sourceID=22","3.5")</f>
        <v>3.5</v>
      </c>
      <c r="G61" s="4" t="str">
        <f>HYPERLINK("http://141.218.60.56/~jnz1568/getInfo.php?workbook=02_01.xlsx&amp;sheet=U0&amp;row=61&amp;col=7&amp;number=0.697&amp;sourceID=22","0.697")</f>
        <v>0.697</v>
      </c>
    </row>
    <row r="62" spans="1:7">
      <c r="A62" s="3"/>
      <c r="B62" s="3"/>
      <c r="C62" s="3"/>
      <c r="D62" s="3"/>
      <c r="E62" s="3">
        <v>3</v>
      </c>
      <c r="F62" s="4" t="str">
        <f>HYPERLINK("http://141.218.60.56/~jnz1568/getInfo.php?workbook=02_01.xlsx&amp;sheet=U0&amp;row=62&amp;col=6&amp;number=4&amp;sourceID=22","4")</f>
        <v>4</v>
      </c>
      <c r="G62" s="4" t="str">
        <f>HYPERLINK("http://141.218.60.56/~jnz1568/getInfo.php?workbook=02_01.xlsx&amp;sheet=U0&amp;row=62&amp;col=7&amp;number=0.715&amp;sourceID=22","0.715")</f>
        <v>0.715</v>
      </c>
    </row>
    <row r="63" spans="1:7">
      <c r="A63" s="3"/>
      <c r="B63" s="3"/>
      <c r="C63" s="3"/>
      <c r="D63" s="3"/>
      <c r="E63" s="3">
        <v>4</v>
      </c>
      <c r="F63" s="4" t="str">
        <f>HYPERLINK("http://141.218.60.56/~jnz1568/getInfo.php?workbook=02_01.xlsx&amp;sheet=U0&amp;row=63&amp;col=6&amp;number=4.3&amp;sourceID=22","4.3")</f>
        <v>4.3</v>
      </c>
      <c r="G63" s="4" t="str">
        <f>HYPERLINK("http://141.218.60.56/~jnz1568/getInfo.php?workbook=02_01.xlsx&amp;sheet=U0&amp;row=63&amp;col=7&amp;number=0.754&amp;sourceID=22","0.754")</f>
        <v>0.754</v>
      </c>
    </row>
    <row r="64" spans="1:7">
      <c r="A64" s="3">
        <v>2</v>
      </c>
      <c r="B64" s="3">
        <v>1</v>
      </c>
      <c r="C64" s="3">
        <v>7</v>
      </c>
      <c r="D64" s="3">
        <v>4</v>
      </c>
      <c r="E64" s="3">
        <v>1</v>
      </c>
      <c r="F64" s="4" t="str">
        <f>HYPERLINK("http://141.218.60.56/~jnz1568/getInfo.php?workbook=02_01.xlsx&amp;sheet=U0&amp;row=64&amp;col=6&amp;number=3.2&amp;sourceID=22","3.2")</f>
        <v>3.2</v>
      </c>
      <c r="G64" s="4" t="str">
        <f>HYPERLINK("http://141.218.60.56/~jnz1568/getInfo.php?workbook=02_01.xlsx&amp;sheet=U0&amp;row=64&amp;col=7&amp;number=1.9&amp;sourceID=22","1.9")</f>
        <v>1.9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HYPERLINK("http://141.218.60.56/~jnz1568/getInfo.php?workbook=02_01.xlsx&amp;sheet=U0&amp;row=65&amp;col=6&amp;number=3.5&amp;sourceID=22","3.5")</f>
        <v>3.5</v>
      </c>
      <c r="G65" s="4" t="str">
        <f>HYPERLINK("http://141.218.60.56/~jnz1568/getInfo.php?workbook=02_01.xlsx&amp;sheet=U0&amp;row=65&amp;col=7&amp;number=1.91&amp;sourceID=22","1.91")</f>
        <v>1.91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HYPERLINK("http://141.218.60.56/~jnz1568/getInfo.php?workbook=02_01.xlsx&amp;sheet=U0&amp;row=66&amp;col=6&amp;number=4&amp;sourceID=22","4")</f>
        <v>4</v>
      </c>
      <c r="G66" s="4" t="str">
        <f>HYPERLINK("http://141.218.60.56/~jnz1568/getInfo.php?workbook=02_01.xlsx&amp;sheet=U0&amp;row=66&amp;col=7&amp;number=2.05&amp;sourceID=22","2.05")</f>
        <v>2.05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HYPERLINK("http://141.218.60.56/~jnz1568/getInfo.php?workbook=02_01.xlsx&amp;sheet=U0&amp;row=67&amp;col=6&amp;number=4.3&amp;sourceID=22","4.3")</f>
        <v>4.3</v>
      </c>
      <c r="G67" s="4" t="str">
        <f>HYPERLINK("http://141.218.60.56/~jnz1568/getInfo.php?workbook=02_01.xlsx&amp;sheet=U0&amp;row=67&amp;col=7&amp;number=2.15&amp;sourceID=22","2.15")</f>
        <v>2.15</v>
      </c>
    </row>
    <row r="68" spans="1:7">
      <c r="A68" s="3">
        <v>2</v>
      </c>
      <c r="B68" s="3">
        <v>1</v>
      </c>
      <c r="C68" s="3">
        <v>7</v>
      </c>
      <c r="D68" s="3">
        <v>6</v>
      </c>
      <c r="E68" s="3">
        <v>1</v>
      </c>
      <c r="F68" s="4" t="str">
        <f>HYPERLINK("http://141.218.60.56/~jnz1568/getInfo.php?workbook=02_01.xlsx&amp;sheet=U0&amp;row=68&amp;col=6&amp;number=3.2&amp;sourceID=22","3.2")</f>
        <v>3.2</v>
      </c>
      <c r="G68" s="4" t="str">
        <f>HYPERLINK("http://141.218.60.56/~jnz1568/getInfo.php?workbook=02_01.xlsx&amp;sheet=U0&amp;row=68&amp;col=7&amp;number=10.5&amp;sourceID=22","10.5")</f>
        <v>10.5</v>
      </c>
    </row>
    <row r="69" spans="1:7">
      <c r="A69" s="3"/>
      <c r="B69" s="3"/>
      <c r="C69" s="3"/>
      <c r="D69" s="3"/>
      <c r="E69" s="3">
        <v>2</v>
      </c>
      <c r="F69" s="4" t="str">
        <f>HYPERLINK("http://141.218.60.56/~jnz1568/getInfo.php?workbook=02_01.xlsx&amp;sheet=U0&amp;row=69&amp;col=6&amp;number=3.5&amp;sourceID=22","3.5")</f>
        <v>3.5</v>
      </c>
      <c r="G69" s="4" t="str">
        <f>HYPERLINK("http://141.218.60.56/~jnz1568/getInfo.php?workbook=02_01.xlsx&amp;sheet=U0&amp;row=69&amp;col=7&amp;number=10.5&amp;sourceID=22","10.5")</f>
        <v>10.5</v>
      </c>
    </row>
    <row r="70" spans="1:7">
      <c r="A70" s="3"/>
      <c r="B70" s="3"/>
      <c r="C70" s="3"/>
      <c r="D70" s="3"/>
      <c r="E70" s="3">
        <v>3</v>
      </c>
      <c r="F70" s="4" t="str">
        <f>HYPERLINK("http://141.218.60.56/~jnz1568/getInfo.php?workbook=02_01.xlsx&amp;sheet=U0&amp;row=70&amp;col=6&amp;number=4&amp;sourceID=22","4")</f>
        <v>4</v>
      </c>
      <c r="G70" s="4" t="str">
        <f>HYPERLINK("http://141.218.60.56/~jnz1568/getInfo.php?workbook=02_01.xlsx&amp;sheet=U0&amp;row=70&amp;col=7&amp;number=10.7&amp;sourceID=22","10.7")</f>
        <v>10.7</v>
      </c>
    </row>
    <row r="71" spans="1:7">
      <c r="A71" s="3"/>
      <c r="B71" s="3"/>
      <c r="C71" s="3"/>
      <c r="D71" s="3"/>
      <c r="E71" s="3">
        <v>4</v>
      </c>
      <c r="F71" s="4" t="str">
        <f>HYPERLINK("http://141.218.60.56/~jnz1568/getInfo.php?workbook=02_01.xlsx&amp;sheet=U0&amp;row=71&amp;col=6&amp;number=4.3&amp;sourceID=22","4.3")</f>
        <v>4.3</v>
      </c>
      <c r="G71" s="4" t="str">
        <f>HYPERLINK("http://141.218.60.56/~jnz1568/getInfo.php?workbook=02_01.xlsx&amp;sheet=U0&amp;row=71&amp;col=7&amp;number=10.6&amp;sourceID=22","10.6")</f>
        <v>10.6</v>
      </c>
    </row>
    <row r="72" spans="1:7">
      <c r="A72" s="3">
        <v>2</v>
      </c>
      <c r="B72" s="3">
        <v>1</v>
      </c>
      <c r="C72" s="3">
        <v>8</v>
      </c>
      <c r="D72" s="3">
        <v>1</v>
      </c>
      <c r="E72" s="3">
        <v>1</v>
      </c>
      <c r="F72" s="4" t="str">
        <f>HYPERLINK("http://141.218.60.56/~jnz1568/getInfo.php?workbook=02_01.xlsx&amp;sheet=U0&amp;row=72&amp;col=6&amp;number=3.2&amp;sourceID=22","3.2")</f>
        <v>3.2</v>
      </c>
      <c r="G72" s="4" t="str">
        <f>HYPERLINK("http://141.218.60.56/~jnz1568/getInfo.php?workbook=02_01.xlsx&amp;sheet=U0&amp;row=72&amp;col=7&amp;number=0.046&amp;sourceID=22","0.046")</f>
        <v>0.046</v>
      </c>
    </row>
    <row r="73" spans="1:7">
      <c r="A73" s="3"/>
      <c r="B73" s="3"/>
      <c r="C73" s="3"/>
      <c r="D73" s="3"/>
      <c r="E73" s="3">
        <v>2</v>
      </c>
      <c r="F73" s="4" t="str">
        <f>HYPERLINK("http://141.218.60.56/~jnz1568/getInfo.php?workbook=02_01.xlsx&amp;sheet=U0&amp;row=73&amp;col=6&amp;number=3.5&amp;sourceID=22","3.5")</f>
        <v>3.5</v>
      </c>
      <c r="G73" s="4" t="str">
        <f>HYPERLINK("http://141.218.60.56/~jnz1568/getInfo.php?workbook=02_01.xlsx&amp;sheet=U0&amp;row=73&amp;col=7&amp;number=0.0447&amp;sourceID=22","0.0447")</f>
        <v>0.0447</v>
      </c>
    </row>
    <row r="74" spans="1:7">
      <c r="A74" s="3"/>
      <c r="B74" s="3"/>
      <c r="C74" s="3"/>
      <c r="D74" s="3"/>
      <c r="E74" s="3">
        <v>3</v>
      </c>
      <c r="F74" s="4" t="str">
        <f>HYPERLINK("http://141.218.60.56/~jnz1568/getInfo.php?workbook=02_01.xlsx&amp;sheet=U0&amp;row=74&amp;col=6&amp;number=4&amp;sourceID=22","4")</f>
        <v>4</v>
      </c>
      <c r="G74" s="4" t="str">
        <f>HYPERLINK("http://141.218.60.56/~jnz1568/getInfo.php?workbook=02_01.xlsx&amp;sheet=U0&amp;row=74&amp;col=7&amp;number=0.0483&amp;sourceID=22","0.0483")</f>
        <v>0.0483</v>
      </c>
    </row>
    <row r="75" spans="1:7">
      <c r="A75" s="3"/>
      <c r="B75" s="3"/>
      <c r="C75" s="3"/>
      <c r="D75" s="3"/>
      <c r="E75" s="3">
        <v>4</v>
      </c>
      <c r="F75" s="4" t="str">
        <f>HYPERLINK("http://141.218.60.56/~jnz1568/getInfo.php?workbook=02_01.xlsx&amp;sheet=U0&amp;row=75&amp;col=6&amp;number=4.3&amp;sourceID=22","4.3")</f>
        <v>4.3</v>
      </c>
      <c r="G75" s="4" t="str">
        <f>HYPERLINK("http://141.218.60.56/~jnz1568/getInfo.php?workbook=02_01.xlsx&amp;sheet=U0&amp;row=75&amp;col=7&amp;number=0.0512&amp;sourceID=22","0.0512")</f>
        <v>0.0512</v>
      </c>
    </row>
    <row r="76" spans="1:7">
      <c r="A76" s="3">
        <v>2</v>
      </c>
      <c r="B76" s="3">
        <v>1</v>
      </c>
      <c r="C76" s="3">
        <v>8</v>
      </c>
      <c r="D76" s="3">
        <v>2</v>
      </c>
      <c r="E76" s="3">
        <v>1</v>
      </c>
      <c r="F76" s="4" t="str">
        <f>HYPERLINK("http://141.218.60.56/~jnz1568/getInfo.php?workbook=02_01.xlsx&amp;sheet=U0&amp;row=76&amp;col=6&amp;number=3.2&amp;sourceID=22","3.2")</f>
        <v>3.2</v>
      </c>
      <c r="G76" s="4" t="str">
        <f>HYPERLINK("http://141.218.60.56/~jnz1568/getInfo.php?workbook=02_01.xlsx&amp;sheet=U0&amp;row=76&amp;col=7&amp;number=1.03&amp;sourceID=22","1.03")</f>
        <v>1.03</v>
      </c>
    </row>
    <row r="77" spans="1:7">
      <c r="A77" s="3"/>
      <c r="B77" s="3"/>
      <c r="C77" s="3"/>
      <c r="D77" s="3"/>
      <c r="E77" s="3">
        <v>2</v>
      </c>
      <c r="F77" s="4" t="str">
        <f>HYPERLINK("http://141.218.60.56/~jnz1568/getInfo.php?workbook=02_01.xlsx&amp;sheet=U0&amp;row=77&amp;col=6&amp;number=3.5&amp;sourceID=22","3.5")</f>
        <v>3.5</v>
      </c>
      <c r="G77" s="4" t="str">
        <f>HYPERLINK("http://141.218.60.56/~jnz1568/getInfo.php?workbook=02_01.xlsx&amp;sheet=U0&amp;row=77&amp;col=7&amp;number=0.942&amp;sourceID=22","0.942")</f>
        <v>0.942</v>
      </c>
    </row>
    <row r="78" spans="1:7">
      <c r="A78" s="3"/>
      <c r="B78" s="3"/>
      <c r="C78" s="3"/>
      <c r="D78" s="3"/>
      <c r="E78" s="3">
        <v>3</v>
      </c>
      <c r="F78" s="4" t="str">
        <f>HYPERLINK("http://141.218.60.56/~jnz1568/getInfo.php?workbook=02_01.xlsx&amp;sheet=U0&amp;row=78&amp;col=6&amp;number=4&amp;sourceID=22","4")</f>
        <v>4</v>
      </c>
      <c r="G78" s="4" t="str">
        <f>HYPERLINK("http://141.218.60.56/~jnz1568/getInfo.php?workbook=02_01.xlsx&amp;sheet=U0&amp;row=78&amp;col=7&amp;number=0.84&amp;sourceID=22","0.84")</f>
        <v>0.84</v>
      </c>
    </row>
    <row r="79" spans="1:7">
      <c r="A79" s="3"/>
      <c r="B79" s="3"/>
      <c r="C79" s="3"/>
      <c r="D79" s="3"/>
      <c r="E79" s="3">
        <v>4</v>
      </c>
      <c r="F79" s="4" t="str">
        <f>HYPERLINK("http://141.218.60.56/~jnz1568/getInfo.php?workbook=02_01.xlsx&amp;sheet=U0&amp;row=79&amp;col=6&amp;number=4.3&amp;sourceID=22","4.3")</f>
        <v>4.3</v>
      </c>
      <c r="G79" s="4" t="str">
        <f>HYPERLINK("http://141.218.60.56/~jnz1568/getInfo.php?workbook=02_01.xlsx&amp;sheet=U0&amp;row=79&amp;col=7&amp;number=0.765&amp;sourceID=22","0.765")</f>
        <v>0.765</v>
      </c>
    </row>
    <row r="80" spans="1:7">
      <c r="A80" s="3">
        <v>2</v>
      </c>
      <c r="B80" s="3">
        <v>1</v>
      </c>
      <c r="C80" s="3">
        <v>8</v>
      </c>
      <c r="D80" s="3">
        <v>3</v>
      </c>
      <c r="E80" s="3">
        <v>1</v>
      </c>
      <c r="F80" s="4" t="str">
        <f>HYPERLINK("http://141.218.60.56/~jnz1568/getInfo.php?workbook=02_01.xlsx&amp;sheet=U0&amp;row=80&amp;col=6&amp;number=3.2&amp;sourceID=22","3.2")</f>
        <v>3.2</v>
      </c>
      <c r="G80" s="4" t="str">
        <f>HYPERLINK("http://141.218.60.56/~jnz1568/getInfo.php?workbook=02_01.xlsx&amp;sheet=U0&amp;row=80&amp;col=7&amp;number=1.51&amp;sourceID=22","1.51")</f>
        <v>1.51</v>
      </c>
    </row>
    <row r="81" spans="1:7">
      <c r="A81" s="3"/>
      <c r="B81" s="3"/>
      <c r="C81" s="3"/>
      <c r="D81" s="3"/>
      <c r="E81" s="3">
        <v>2</v>
      </c>
      <c r="F81" s="4" t="str">
        <f>HYPERLINK("http://141.218.60.56/~jnz1568/getInfo.php?workbook=02_01.xlsx&amp;sheet=U0&amp;row=81&amp;col=6&amp;number=3.5&amp;sourceID=22","3.5")</f>
        <v>3.5</v>
      </c>
      <c r="G81" s="4" t="str">
        <f>HYPERLINK("http://141.218.60.56/~jnz1568/getInfo.php?workbook=02_01.xlsx&amp;sheet=U0&amp;row=81&amp;col=7&amp;number=1.43&amp;sourceID=22","1.43")</f>
        <v>1.43</v>
      </c>
    </row>
    <row r="82" spans="1:7">
      <c r="A82" s="3"/>
      <c r="B82" s="3"/>
      <c r="C82" s="3"/>
      <c r="D82" s="3"/>
      <c r="E82" s="3">
        <v>3</v>
      </c>
      <c r="F82" s="4" t="str">
        <f>HYPERLINK("http://141.218.60.56/~jnz1568/getInfo.php?workbook=02_01.xlsx&amp;sheet=U0&amp;row=82&amp;col=6&amp;number=4&amp;sourceID=22","4")</f>
        <v>4</v>
      </c>
      <c r="G82" s="4" t="str">
        <f>HYPERLINK("http://141.218.60.56/~jnz1568/getInfo.php?workbook=02_01.xlsx&amp;sheet=U0&amp;row=82&amp;col=7&amp;number=1.37&amp;sourceID=22","1.37")</f>
        <v>1.37</v>
      </c>
    </row>
    <row r="83" spans="1:7">
      <c r="A83" s="3"/>
      <c r="B83" s="3"/>
      <c r="C83" s="3"/>
      <c r="D83" s="3"/>
      <c r="E83" s="3">
        <v>4</v>
      </c>
      <c r="F83" s="4" t="str">
        <f>HYPERLINK("http://141.218.60.56/~jnz1568/getInfo.php?workbook=02_01.xlsx&amp;sheet=U0&amp;row=83&amp;col=6&amp;number=4.3&amp;sourceID=22","4.3")</f>
        <v>4.3</v>
      </c>
      <c r="G83" s="4" t="str">
        <f>HYPERLINK("http://141.218.60.56/~jnz1568/getInfo.php?workbook=02_01.xlsx&amp;sheet=U0&amp;row=83&amp;col=7&amp;number=1.36&amp;sourceID=22","1.36")</f>
        <v>1.36</v>
      </c>
    </row>
    <row r="84" spans="1:7">
      <c r="A84" s="3">
        <v>2</v>
      </c>
      <c r="B84" s="3">
        <v>1</v>
      </c>
      <c r="C84" s="3">
        <v>8</v>
      </c>
      <c r="D84" s="3">
        <v>4</v>
      </c>
      <c r="E84" s="3">
        <v>1</v>
      </c>
      <c r="F84" s="4" t="str">
        <f>HYPERLINK("http://141.218.60.56/~jnz1568/getInfo.php?workbook=02_01.xlsx&amp;sheet=U0&amp;row=84&amp;col=6&amp;number=3.2&amp;sourceID=22","3.2")</f>
        <v>3.2</v>
      </c>
      <c r="G84" s="4" t="str">
        <f>HYPERLINK("http://141.218.60.56/~jnz1568/getInfo.php?workbook=02_01.xlsx&amp;sheet=U0&amp;row=84&amp;col=7&amp;number=2.9&amp;sourceID=22","2.9")</f>
        <v>2.9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HYPERLINK("http://141.218.60.56/~jnz1568/getInfo.php?workbook=02_01.xlsx&amp;sheet=U0&amp;row=85&amp;col=6&amp;number=3.5&amp;sourceID=22","3.5")</f>
        <v>3.5</v>
      </c>
      <c r="G85" s="4" t="str">
        <f>HYPERLINK("http://141.218.60.56/~jnz1568/getInfo.php?workbook=02_01.xlsx&amp;sheet=U0&amp;row=85&amp;col=7&amp;number=2.75&amp;sourceID=22","2.75")</f>
        <v>2.75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HYPERLINK("http://141.218.60.56/~jnz1568/getInfo.php?workbook=02_01.xlsx&amp;sheet=U0&amp;row=86&amp;col=6&amp;number=4&amp;sourceID=22","4")</f>
        <v>4</v>
      </c>
      <c r="G86" s="4" t="str">
        <f>HYPERLINK("http://141.218.60.56/~jnz1568/getInfo.php?workbook=02_01.xlsx&amp;sheet=U0&amp;row=86&amp;col=7&amp;number=2.62&amp;sourceID=22","2.62")</f>
        <v>2.62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HYPERLINK("http://141.218.60.56/~jnz1568/getInfo.php?workbook=02_01.xlsx&amp;sheet=U0&amp;row=87&amp;col=6&amp;number=4.3&amp;sourceID=22","4.3")</f>
        <v>4.3</v>
      </c>
      <c r="G87" s="4" t="str">
        <f>HYPERLINK("http://141.218.60.56/~jnz1568/getInfo.php?workbook=02_01.xlsx&amp;sheet=U0&amp;row=87&amp;col=7&amp;number=2.57&amp;sourceID=22","2.57")</f>
        <v>2.57</v>
      </c>
    </row>
    <row r="88" spans="1:7">
      <c r="A88" s="3">
        <v>2</v>
      </c>
      <c r="B88" s="3">
        <v>1</v>
      </c>
      <c r="C88" s="3">
        <v>8</v>
      </c>
      <c r="D88" s="3">
        <v>5</v>
      </c>
      <c r="E88" s="3">
        <v>1</v>
      </c>
      <c r="F88" s="4" t="str">
        <f>HYPERLINK("http://141.218.60.56/~jnz1568/getInfo.php?workbook=02_01.xlsx&amp;sheet=U0&amp;row=88&amp;col=6&amp;number=3.2&amp;sourceID=22","3.2")</f>
        <v>3.2</v>
      </c>
      <c r="G88" s="4" t="str">
        <f>HYPERLINK("http://141.218.60.56/~jnz1568/getInfo.php?workbook=02_01.xlsx&amp;sheet=U0&amp;row=88&amp;col=7&amp;number=14.7&amp;sourceID=22","14.7")</f>
        <v>14.7</v>
      </c>
    </row>
    <row r="89" spans="1:7">
      <c r="A89" s="3"/>
      <c r="B89" s="3"/>
      <c r="C89" s="3"/>
      <c r="D89" s="3"/>
      <c r="E89" s="3">
        <v>2</v>
      </c>
      <c r="F89" s="4" t="str">
        <f>HYPERLINK("http://141.218.60.56/~jnz1568/getInfo.php?workbook=02_01.xlsx&amp;sheet=U0&amp;row=89&amp;col=6&amp;number=3.5&amp;sourceID=22","3.5")</f>
        <v>3.5</v>
      </c>
      <c r="G89" s="4" t="str">
        <f>HYPERLINK("http://141.218.60.56/~jnz1568/getInfo.php?workbook=02_01.xlsx&amp;sheet=U0&amp;row=89&amp;col=7&amp;number=14.6&amp;sourceID=22","14.6")</f>
        <v>14.6</v>
      </c>
    </row>
    <row r="90" spans="1:7">
      <c r="A90" s="3"/>
      <c r="B90" s="3"/>
      <c r="C90" s="3"/>
      <c r="D90" s="3"/>
      <c r="E90" s="3">
        <v>3</v>
      </c>
      <c r="F90" s="4" t="str">
        <f>HYPERLINK("http://141.218.60.56/~jnz1568/getInfo.php?workbook=02_01.xlsx&amp;sheet=U0&amp;row=90&amp;col=6&amp;number=4&amp;sourceID=22","4")</f>
        <v>4</v>
      </c>
      <c r="G90" s="4" t="str">
        <f>HYPERLINK("http://141.218.60.56/~jnz1568/getInfo.php?workbook=02_01.xlsx&amp;sheet=U0&amp;row=90&amp;col=7&amp;number=15.3&amp;sourceID=22","15.3")</f>
        <v>15.3</v>
      </c>
    </row>
    <row r="91" spans="1:7">
      <c r="A91" s="3"/>
      <c r="B91" s="3"/>
      <c r="C91" s="3"/>
      <c r="D91" s="3"/>
      <c r="E91" s="3">
        <v>4</v>
      </c>
      <c r="F91" s="4" t="str">
        <f>HYPERLINK("http://141.218.60.56/~jnz1568/getInfo.php?workbook=02_01.xlsx&amp;sheet=U0&amp;row=91&amp;col=6&amp;number=4.3&amp;sourceID=22","4.3")</f>
        <v>4.3</v>
      </c>
      <c r="G91" s="4" t="str">
        <f>HYPERLINK("http://141.218.60.56/~jnz1568/getInfo.php?workbook=02_01.xlsx&amp;sheet=U0&amp;row=91&amp;col=7&amp;number=15.5&amp;sourceID=22","15.5")</f>
        <v>15.5</v>
      </c>
    </row>
    <row r="92" spans="1:7">
      <c r="A92" s="3">
        <v>2</v>
      </c>
      <c r="B92" s="3">
        <v>1</v>
      </c>
      <c r="C92" s="3">
        <v>9</v>
      </c>
      <c r="D92" s="3">
        <v>1</v>
      </c>
      <c r="E92" s="3">
        <v>1</v>
      </c>
      <c r="F92" s="4" t="str">
        <f>HYPERLINK("http://141.218.60.56/~jnz1568/getInfo.php?workbook=02_01.xlsx&amp;sheet=U0&amp;row=92&amp;col=6&amp;number=3.2&amp;sourceID=22","3.2")</f>
        <v>3.2</v>
      </c>
      <c r="G92" s="4" t="str">
        <f>HYPERLINK("http://141.218.60.56/~jnz1568/getInfo.php?workbook=02_01.xlsx&amp;sheet=U0&amp;row=92&amp;col=7&amp;number=0.0335&amp;sourceID=22","0.0335")</f>
        <v>0.0335</v>
      </c>
    </row>
    <row r="93" spans="1:7">
      <c r="A93" s="3"/>
      <c r="B93" s="3"/>
      <c r="C93" s="3"/>
      <c r="D93" s="3"/>
      <c r="E93" s="3">
        <v>2</v>
      </c>
      <c r="F93" s="4" t="str">
        <f>HYPERLINK("http://141.218.60.56/~jnz1568/getInfo.php?workbook=02_01.xlsx&amp;sheet=U0&amp;row=93&amp;col=6&amp;number=3.5&amp;sourceID=22","3.5")</f>
        <v>3.5</v>
      </c>
      <c r="G93" s="4" t="str">
        <f>HYPERLINK("http://141.218.60.56/~jnz1568/getInfo.php?workbook=02_01.xlsx&amp;sheet=U0&amp;row=93&amp;col=7&amp;number=0.0309&amp;sourceID=22","0.0309")</f>
        <v>0.0309</v>
      </c>
    </row>
    <row r="94" spans="1:7">
      <c r="A94" s="3"/>
      <c r="B94" s="3"/>
      <c r="C94" s="3"/>
      <c r="D94" s="3"/>
      <c r="E94" s="3">
        <v>3</v>
      </c>
      <c r="F94" s="4" t="str">
        <f>HYPERLINK("http://141.218.60.56/~jnz1568/getInfo.php?workbook=02_01.xlsx&amp;sheet=U0&amp;row=94&amp;col=6&amp;number=4&amp;sourceID=22","4")</f>
        <v>4</v>
      </c>
      <c r="G94" s="4" t="str">
        <f>HYPERLINK("http://141.218.60.56/~jnz1568/getInfo.php?workbook=02_01.xlsx&amp;sheet=U0&amp;row=94&amp;col=7&amp;number=0.0282&amp;sourceID=22","0.0282")</f>
        <v>0.0282</v>
      </c>
    </row>
    <row r="95" spans="1:7">
      <c r="A95" s="3"/>
      <c r="B95" s="3"/>
      <c r="C95" s="3"/>
      <c r="D95" s="3"/>
      <c r="E95" s="3">
        <v>4</v>
      </c>
      <c r="F95" s="4" t="str">
        <f>HYPERLINK("http://141.218.60.56/~jnz1568/getInfo.php?workbook=02_01.xlsx&amp;sheet=U0&amp;row=95&amp;col=6&amp;number=4.3&amp;sourceID=22","4.3")</f>
        <v>4.3</v>
      </c>
      <c r="G95" s="4" t="str">
        <f>HYPERLINK("http://141.218.60.56/~jnz1568/getInfo.php?workbook=02_01.xlsx&amp;sheet=U0&amp;row=95&amp;col=7&amp;number=0.0264&amp;sourceID=22","0.0264")</f>
        <v>0.0264</v>
      </c>
    </row>
    <row r="96" spans="1:7">
      <c r="A96" s="3">
        <v>2</v>
      </c>
      <c r="B96" s="3">
        <v>1</v>
      </c>
      <c r="C96" s="3">
        <v>9</v>
      </c>
      <c r="D96" s="3">
        <v>2</v>
      </c>
      <c r="E96" s="3">
        <v>1</v>
      </c>
      <c r="F96" s="4" t="str">
        <f>HYPERLINK("http://141.218.60.56/~jnz1568/getInfo.php?workbook=02_01.xlsx&amp;sheet=U0&amp;row=96&amp;col=6&amp;number=3.2&amp;sourceID=22","3.2")</f>
        <v>3.2</v>
      </c>
      <c r="G96" s="4" t="str">
        <f>HYPERLINK("http://141.218.60.56/~jnz1568/getInfo.php?workbook=02_01.xlsx&amp;sheet=U0&amp;row=96&amp;col=7&amp;number=1.06&amp;sourceID=22","1.06")</f>
        <v>1.06</v>
      </c>
    </row>
    <row r="97" spans="1:7">
      <c r="A97" s="3"/>
      <c r="B97" s="3"/>
      <c r="C97" s="3"/>
      <c r="D97" s="3"/>
      <c r="E97" s="3">
        <v>2</v>
      </c>
      <c r="F97" s="4" t="str">
        <f>HYPERLINK("http://141.218.60.56/~jnz1568/getInfo.php?workbook=02_01.xlsx&amp;sheet=U0&amp;row=97&amp;col=6&amp;number=3.5&amp;sourceID=22","3.5")</f>
        <v>3.5</v>
      </c>
      <c r="G97" s="4" t="str">
        <f>HYPERLINK("http://141.218.60.56/~jnz1568/getInfo.php?workbook=02_01.xlsx&amp;sheet=U0&amp;row=97&amp;col=7&amp;number=1.07&amp;sourceID=22","1.07")</f>
        <v>1.07</v>
      </c>
    </row>
    <row r="98" spans="1:7">
      <c r="A98" s="3"/>
      <c r="B98" s="3"/>
      <c r="C98" s="3"/>
      <c r="D98" s="3"/>
      <c r="E98" s="3">
        <v>3</v>
      </c>
      <c r="F98" s="4" t="str">
        <f>HYPERLINK("http://141.218.60.56/~jnz1568/getInfo.php?workbook=02_01.xlsx&amp;sheet=U0&amp;row=98&amp;col=6&amp;number=4&amp;sourceID=22","4")</f>
        <v>4</v>
      </c>
      <c r="G98" s="4" t="str">
        <f>HYPERLINK("http://141.218.60.56/~jnz1568/getInfo.php?workbook=02_01.xlsx&amp;sheet=U0&amp;row=98&amp;col=7&amp;number=1.16&amp;sourceID=22","1.16")</f>
        <v>1.16</v>
      </c>
    </row>
    <row r="99" spans="1:7">
      <c r="A99" s="3"/>
      <c r="B99" s="3"/>
      <c r="C99" s="3"/>
      <c r="D99" s="3"/>
      <c r="E99" s="3">
        <v>4</v>
      </c>
      <c r="F99" s="4" t="str">
        <f>HYPERLINK("http://141.218.60.56/~jnz1568/getInfo.php?workbook=02_01.xlsx&amp;sheet=U0&amp;row=99&amp;col=6&amp;number=4.3&amp;sourceID=22","4.3")</f>
        <v>4.3</v>
      </c>
      <c r="G99" s="4" t="str">
        <f>HYPERLINK("http://141.218.60.56/~jnz1568/getInfo.php?workbook=02_01.xlsx&amp;sheet=U0&amp;row=99&amp;col=7&amp;number=1.18&amp;sourceID=22","1.18")</f>
        <v>1.18</v>
      </c>
    </row>
    <row r="100" spans="1:7">
      <c r="A100" s="3">
        <v>2</v>
      </c>
      <c r="B100" s="3">
        <v>1</v>
      </c>
      <c r="C100" s="3">
        <v>9</v>
      </c>
      <c r="D100" s="3">
        <v>3</v>
      </c>
      <c r="E100" s="3">
        <v>1</v>
      </c>
      <c r="F100" s="4" t="str">
        <f>HYPERLINK("http://141.218.60.56/~jnz1568/getInfo.php?workbook=02_01.xlsx&amp;sheet=U0&amp;row=100&amp;col=6&amp;number=3.2&amp;sourceID=22","3.2")</f>
        <v>3.2</v>
      </c>
      <c r="G100" s="4" t="str">
        <f>HYPERLINK("http://141.218.60.56/~jnz1568/getInfo.php?workbook=02_01.xlsx&amp;sheet=U0&amp;row=100&amp;col=7&amp;number=1.08&amp;sourceID=22","1.08")</f>
        <v>1.08</v>
      </c>
    </row>
    <row r="101" spans="1:7">
      <c r="A101" s="3"/>
      <c r="B101" s="3"/>
      <c r="C101" s="3"/>
      <c r="D101" s="3"/>
      <c r="E101" s="3">
        <v>2</v>
      </c>
      <c r="F101" s="4" t="str">
        <f>HYPERLINK("http://141.218.60.56/~jnz1568/getInfo.php?workbook=02_01.xlsx&amp;sheet=U0&amp;row=101&amp;col=6&amp;number=3.5&amp;sourceID=22","3.5")</f>
        <v>3.5</v>
      </c>
      <c r="G101" s="4" t="str">
        <f>HYPERLINK("http://141.218.60.56/~jnz1568/getInfo.php?workbook=02_01.xlsx&amp;sheet=U0&amp;row=101&amp;col=7&amp;number=1.05&amp;sourceID=22","1.05")</f>
        <v>1.05</v>
      </c>
    </row>
    <row r="102" spans="1:7">
      <c r="A102" s="3"/>
      <c r="B102" s="3"/>
      <c r="C102" s="3"/>
      <c r="D102" s="3"/>
      <c r="E102" s="3">
        <v>3</v>
      </c>
      <c r="F102" s="4" t="str">
        <f>HYPERLINK("http://141.218.60.56/~jnz1568/getInfo.php?workbook=02_01.xlsx&amp;sheet=U0&amp;row=102&amp;col=6&amp;number=4&amp;sourceID=22","4")</f>
        <v>4</v>
      </c>
      <c r="G102" s="4" t="str">
        <f>HYPERLINK("http://141.218.60.56/~jnz1568/getInfo.php?workbook=02_01.xlsx&amp;sheet=U0&amp;row=102&amp;col=7&amp;number=1.08&amp;sourceID=22","1.08")</f>
        <v>1.08</v>
      </c>
    </row>
    <row r="103" spans="1:7">
      <c r="A103" s="3"/>
      <c r="B103" s="3"/>
      <c r="C103" s="3"/>
      <c r="D103" s="3"/>
      <c r="E103" s="3">
        <v>4</v>
      </c>
      <c r="F103" s="4" t="str">
        <f>HYPERLINK("http://141.218.60.56/~jnz1568/getInfo.php?workbook=02_01.xlsx&amp;sheet=U0&amp;row=103&amp;col=6&amp;number=4.3&amp;sourceID=22","4.3")</f>
        <v>4.3</v>
      </c>
      <c r="G103" s="4" t="str">
        <f>HYPERLINK("http://141.218.60.56/~jnz1568/getInfo.php?workbook=02_01.xlsx&amp;sheet=U0&amp;row=103&amp;col=7&amp;number=1.13&amp;sourceID=22","1.13")</f>
        <v>1.13</v>
      </c>
    </row>
    <row r="104" spans="1:7">
      <c r="A104" s="3">
        <v>2</v>
      </c>
      <c r="B104" s="3">
        <v>1</v>
      </c>
      <c r="C104" s="3">
        <v>9</v>
      </c>
      <c r="D104" s="3">
        <v>4</v>
      </c>
      <c r="E104" s="3">
        <v>1</v>
      </c>
      <c r="F104" s="4" t="str">
        <f>HYPERLINK("http://141.218.60.56/~jnz1568/getInfo.php?workbook=02_01.xlsx&amp;sheet=U0&amp;row=104&amp;col=6&amp;number=3.2&amp;sourceID=22","3.2")</f>
        <v>3.2</v>
      </c>
      <c r="G104" s="4" t="str">
        <f>HYPERLINK("http://141.218.60.56/~jnz1568/getInfo.php?workbook=02_01.xlsx&amp;sheet=U0&amp;row=104&amp;col=7&amp;number=5.42&amp;sourceID=22","5.42")</f>
        <v>5.42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HYPERLINK("http://141.218.60.56/~jnz1568/getInfo.php?workbook=02_01.xlsx&amp;sheet=U0&amp;row=105&amp;col=6&amp;number=3.5&amp;sourceID=22","3.5")</f>
        <v>3.5</v>
      </c>
      <c r="G105" s="4" t="str">
        <f>HYPERLINK("http://141.218.60.56/~jnz1568/getInfo.php?workbook=02_01.xlsx&amp;sheet=U0&amp;row=105&amp;col=7&amp;number=5.61&amp;sourceID=22","5.61")</f>
        <v>5.61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HYPERLINK("http://141.218.60.56/~jnz1568/getInfo.php?workbook=02_01.xlsx&amp;sheet=U0&amp;row=106&amp;col=6&amp;number=4&amp;sourceID=22","4")</f>
        <v>4</v>
      </c>
      <c r="G106" s="4" t="str">
        <f>HYPERLINK("http://141.218.60.56/~jnz1568/getInfo.php?workbook=02_01.xlsx&amp;sheet=U0&amp;row=106&amp;col=7&amp;number=6.27&amp;sourceID=22","6.27")</f>
        <v>6.27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HYPERLINK("http://141.218.60.56/~jnz1568/getInfo.php?workbook=02_01.xlsx&amp;sheet=U0&amp;row=107&amp;col=6&amp;number=4.3&amp;sourceID=22","4.3")</f>
        <v>4.3</v>
      </c>
      <c r="G107" s="4" t="str">
        <f>HYPERLINK("http://141.218.60.56/~jnz1568/getInfo.php?workbook=02_01.xlsx&amp;sheet=U0&amp;row=107&amp;col=7&amp;number=6.95&amp;sourceID=22","6.95")</f>
        <v>6.95</v>
      </c>
    </row>
    <row r="108" spans="1:7">
      <c r="A108" s="3">
        <v>2</v>
      </c>
      <c r="B108" s="3">
        <v>1</v>
      </c>
      <c r="C108" s="3">
        <v>9</v>
      </c>
      <c r="D108" s="3">
        <v>5</v>
      </c>
      <c r="E108" s="3">
        <v>1</v>
      </c>
      <c r="F108" s="4" t="str">
        <f>HYPERLINK("http://141.218.60.56/~jnz1568/getInfo.php?workbook=02_01.xlsx&amp;sheet=U0&amp;row=108&amp;col=6&amp;number=3.2&amp;sourceID=22","3.2")</f>
        <v>3.2</v>
      </c>
      <c r="G108" s="4" t="str">
        <f>HYPERLINK("http://141.218.60.56/~jnz1568/getInfo.php?workbook=02_01.xlsx&amp;sheet=U0&amp;row=108&amp;col=7&amp;number=8.9&amp;sourceID=22","8.9")</f>
        <v>8.9</v>
      </c>
    </row>
    <row r="109" spans="1:7">
      <c r="A109" s="3"/>
      <c r="B109" s="3"/>
      <c r="C109" s="3"/>
      <c r="D109" s="3"/>
      <c r="E109" s="3">
        <v>2</v>
      </c>
      <c r="F109" s="4" t="str">
        <f>HYPERLINK("http://141.218.60.56/~jnz1568/getInfo.php?workbook=02_01.xlsx&amp;sheet=U0&amp;row=109&amp;col=6&amp;number=3.5&amp;sourceID=22","3.5")</f>
        <v>3.5</v>
      </c>
      <c r="G109" s="4" t="str">
        <f>HYPERLINK("http://141.218.60.56/~jnz1568/getInfo.php?workbook=02_01.xlsx&amp;sheet=U0&amp;row=109&amp;col=7&amp;number=8.57&amp;sourceID=22","8.57")</f>
        <v>8.57</v>
      </c>
    </row>
    <row r="110" spans="1:7">
      <c r="A110" s="3"/>
      <c r="B110" s="3"/>
      <c r="C110" s="3"/>
      <c r="D110" s="3"/>
      <c r="E110" s="3">
        <v>3</v>
      </c>
      <c r="F110" s="4" t="str">
        <f>HYPERLINK("http://141.218.60.56/~jnz1568/getInfo.php?workbook=02_01.xlsx&amp;sheet=U0&amp;row=110&amp;col=6&amp;number=4&amp;sourceID=22","4")</f>
        <v>4</v>
      </c>
      <c r="G110" s="4" t="str">
        <f>HYPERLINK("http://141.218.60.56/~jnz1568/getInfo.php?workbook=02_01.xlsx&amp;sheet=U0&amp;row=110&amp;col=7&amp;number=7.8&amp;sourceID=22","7.8")</f>
        <v>7.8</v>
      </c>
    </row>
    <row r="111" spans="1:7">
      <c r="A111" s="3"/>
      <c r="B111" s="3"/>
      <c r="C111" s="3"/>
      <c r="D111" s="3"/>
      <c r="E111" s="3">
        <v>4</v>
      </c>
      <c r="F111" s="4" t="str">
        <f>HYPERLINK("http://141.218.60.56/~jnz1568/getInfo.php?workbook=02_01.xlsx&amp;sheet=U0&amp;row=111&amp;col=6&amp;number=4.3&amp;sourceID=22","4.3")</f>
        <v>4.3</v>
      </c>
      <c r="G111" s="4" t="str">
        <f>HYPERLINK("http://141.218.60.56/~jnz1568/getInfo.php?workbook=02_01.xlsx&amp;sheet=U0&amp;row=111&amp;col=7&amp;number=6.89&amp;sourceID=22","6.89")</f>
        <v>6.89</v>
      </c>
    </row>
    <row r="112" spans="1:7">
      <c r="A112" s="3">
        <v>2</v>
      </c>
      <c r="B112" s="3">
        <v>1</v>
      </c>
      <c r="C112" s="3">
        <v>9</v>
      </c>
      <c r="D112" s="3">
        <v>6</v>
      </c>
      <c r="E112" s="3">
        <v>1</v>
      </c>
      <c r="F112" s="4" t="str">
        <f>HYPERLINK("http://141.218.60.56/~jnz1568/getInfo.php?workbook=02_01.xlsx&amp;sheet=U0&amp;row=112&amp;col=6&amp;number=3.2&amp;sourceID=22","3.2")</f>
        <v>3.2</v>
      </c>
      <c r="G112" s="4" t="str">
        <f>HYPERLINK("http://141.218.60.56/~jnz1568/getInfo.php?workbook=02_01.xlsx&amp;sheet=U0&amp;row=112&amp;col=7&amp;number=15.7&amp;sourceID=22","15.7")</f>
        <v>15.7</v>
      </c>
    </row>
    <row r="113" spans="1:7">
      <c r="A113" s="3"/>
      <c r="B113" s="3"/>
      <c r="C113" s="3"/>
      <c r="D113" s="3"/>
      <c r="E113" s="3">
        <v>2</v>
      </c>
      <c r="F113" s="4" t="str">
        <f>HYPERLINK("http://141.218.60.56/~jnz1568/getInfo.php?workbook=02_01.xlsx&amp;sheet=U0&amp;row=113&amp;col=6&amp;number=3.5&amp;sourceID=22","3.5")</f>
        <v>3.5</v>
      </c>
      <c r="G113" s="4" t="str">
        <f>HYPERLINK("http://141.218.60.56/~jnz1568/getInfo.php?workbook=02_01.xlsx&amp;sheet=U0&amp;row=113&amp;col=7&amp;number=15.8&amp;sourceID=22","15.8")</f>
        <v>15.8</v>
      </c>
    </row>
    <row r="114" spans="1:7">
      <c r="A114" s="3"/>
      <c r="B114" s="3"/>
      <c r="C114" s="3"/>
      <c r="D114" s="3"/>
      <c r="E114" s="3">
        <v>3</v>
      </c>
      <c r="F114" s="4" t="str">
        <f>HYPERLINK("http://141.218.60.56/~jnz1568/getInfo.php?workbook=02_01.xlsx&amp;sheet=U0&amp;row=114&amp;col=6&amp;number=4&amp;sourceID=22","4")</f>
        <v>4</v>
      </c>
      <c r="G114" s="4" t="str">
        <f>HYPERLINK("http://141.218.60.56/~jnz1568/getInfo.php?workbook=02_01.xlsx&amp;sheet=U0&amp;row=114&amp;col=7&amp;number=16.1&amp;sourceID=22","16.1")</f>
        <v>16.1</v>
      </c>
    </row>
    <row r="115" spans="1:7">
      <c r="A115" s="3"/>
      <c r="B115" s="3"/>
      <c r="C115" s="3"/>
      <c r="D115" s="3"/>
      <c r="E115" s="3">
        <v>4</v>
      </c>
      <c r="F115" s="4" t="str">
        <f>HYPERLINK("http://141.218.60.56/~jnz1568/getInfo.php?workbook=02_01.xlsx&amp;sheet=U0&amp;row=115&amp;col=6&amp;number=4.3&amp;sourceID=22","4.3")</f>
        <v>4.3</v>
      </c>
      <c r="G115" s="4" t="str">
        <f>HYPERLINK("http://141.218.60.56/~jnz1568/getInfo.php?workbook=02_01.xlsx&amp;sheet=U0&amp;row=115&amp;col=7&amp;number=16&amp;sourceID=22","16")</f>
        <v>16</v>
      </c>
    </row>
    <row r="116" spans="1:7">
      <c r="A116" s="3">
        <v>2</v>
      </c>
      <c r="B116" s="3">
        <v>1</v>
      </c>
      <c r="C116" s="3">
        <v>9</v>
      </c>
      <c r="D116" s="3">
        <v>7</v>
      </c>
      <c r="E116" s="3">
        <v>1</v>
      </c>
      <c r="F116" s="4" t="str">
        <f>HYPERLINK("http://141.218.60.56/~jnz1568/getInfo.php?workbook=02_01.xlsx&amp;sheet=U0&amp;row=116&amp;col=6&amp;number=3.2&amp;sourceID=22","3.2")</f>
        <v>3.2</v>
      </c>
      <c r="G116" s="4" t="str">
        <f>HYPERLINK("http://141.218.60.56/~jnz1568/getInfo.php?workbook=02_01.xlsx&amp;sheet=U0&amp;row=116&amp;col=7&amp;number=23.4&amp;sourceID=22","23.4")</f>
        <v>23.4</v>
      </c>
    </row>
    <row r="117" spans="1:7">
      <c r="A117" s="3"/>
      <c r="B117" s="3"/>
      <c r="C117" s="3"/>
      <c r="D117" s="3"/>
      <c r="E117" s="3">
        <v>2</v>
      </c>
      <c r="F117" s="4" t="str">
        <f>HYPERLINK("http://141.218.60.56/~jnz1568/getInfo.php?workbook=02_01.xlsx&amp;sheet=U0&amp;row=117&amp;col=6&amp;number=3.5&amp;sourceID=22","3.5")</f>
        <v>3.5</v>
      </c>
      <c r="G117" s="4" t="str">
        <f>HYPERLINK("http://141.218.60.56/~jnz1568/getInfo.php?workbook=02_01.xlsx&amp;sheet=U0&amp;row=117&amp;col=7&amp;number=22.2&amp;sourceID=22","22.2")</f>
        <v>22.2</v>
      </c>
    </row>
    <row r="118" spans="1:7">
      <c r="A118" s="3"/>
      <c r="B118" s="3"/>
      <c r="C118" s="3"/>
      <c r="D118" s="3"/>
      <c r="E118" s="3">
        <v>3</v>
      </c>
      <c r="F118" s="4" t="str">
        <f>HYPERLINK("http://141.218.60.56/~jnz1568/getInfo.php?workbook=02_01.xlsx&amp;sheet=U0&amp;row=118&amp;col=6&amp;number=4&amp;sourceID=22","4")</f>
        <v>4</v>
      </c>
      <c r="G118" s="4" t="str">
        <f>HYPERLINK("http://141.218.60.56/~jnz1568/getInfo.php?workbook=02_01.xlsx&amp;sheet=U0&amp;row=118&amp;col=7&amp;number=20.9&amp;sourceID=22","20.9")</f>
        <v>20.9</v>
      </c>
    </row>
    <row r="119" spans="1:7">
      <c r="A119" s="3"/>
      <c r="B119" s="3"/>
      <c r="C119" s="3"/>
      <c r="D119" s="3"/>
      <c r="E119" s="3">
        <v>4</v>
      </c>
      <c r="F119" s="4" t="str">
        <f>HYPERLINK("http://141.218.60.56/~jnz1568/getInfo.php?workbook=02_01.xlsx&amp;sheet=U0&amp;row=119&amp;col=6&amp;number=4.3&amp;sourceID=22","4.3")</f>
        <v>4.3</v>
      </c>
      <c r="G119" s="4" t="str">
        <f>HYPERLINK("http://141.218.60.56/~jnz1568/getInfo.php?workbook=02_01.xlsx&amp;sheet=U0&amp;row=119&amp;col=7&amp;number=19.3&amp;sourceID=22","19.3")</f>
        <v>19.3</v>
      </c>
    </row>
    <row r="120" spans="1:7">
      <c r="A120" s="3">
        <v>2</v>
      </c>
      <c r="B120" s="3">
        <v>1</v>
      </c>
      <c r="C120" s="3">
        <v>10</v>
      </c>
      <c r="D120" s="3">
        <v>1</v>
      </c>
      <c r="E120" s="3">
        <v>1</v>
      </c>
      <c r="F120" s="4" t="str">
        <f>HYPERLINK("http://141.218.60.56/~jnz1568/getInfo.php?workbook=02_01.xlsx&amp;sheet=U0&amp;row=120&amp;col=6&amp;number=3.2&amp;sourceID=22","3.2")</f>
        <v>3.2</v>
      </c>
      <c r="G120" s="4" t="str">
        <f>HYPERLINK("http://141.218.60.56/~jnz1568/getInfo.php?workbook=02_01.xlsx&amp;sheet=U0&amp;row=120&amp;col=7&amp;number=0.021&amp;sourceID=22","0.021")</f>
        <v>0.021</v>
      </c>
    </row>
    <row r="121" spans="1:7">
      <c r="A121" s="3"/>
      <c r="B121" s="3"/>
      <c r="C121" s="3"/>
      <c r="D121" s="3"/>
      <c r="E121" s="3">
        <v>2</v>
      </c>
      <c r="F121" s="4" t="str">
        <f>HYPERLINK("http://141.218.60.56/~jnz1568/getInfo.php?workbook=02_01.xlsx&amp;sheet=U0&amp;row=121&amp;col=6&amp;number=3.5&amp;sourceID=22","3.5")</f>
        <v>3.5</v>
      </c>
      <c r="G121" s="4" t="str">
        <f>HYPERLINK("http://141.218.60.56/~jnz1568/getInfo.php?workbook=02_01.xlsx&amp;sheet=U0&amp;row=121&amp;col=7&amp;number=0.0176&amp;sourceID=22","0.0176")</f>
        <v>0.0176</v>
      </c>
    </row>
    <row r="122" spans="1:7">
      <c r="A122" s="3"/>
      <c r="B122" s="3"/>
      <c r="C122" s="3"/>
      <c r="D122" s="3"/>
      <c r="E122" s="3">
        <v>3</v>
      </c>
      <c r="F122" s="4" t="str">
        <f>HYPERLINK("http://141.218.60.56/~jnz1568/getInfo.php?workbook=02_01.xlsx&amp;sheet=U0&amp;row=122&amp;col=6&amp;number=4&amp;sourceID=22","4")</f>
        <v>4</v>
      </c>
      <c r="G122" s="4" t="str">
        <f>HYPERLINK("http://141.218.60.56/~jnz1568/getInfo.php?workbook=02_01.xlsx&amp;sheet=U0&amp;row=122&amp;col=7&amp;number=0.0142&amp;sourceID=22","0.0142")</f>
        <v>0.0142</v>
      </c>
    </row>
    <row r="123" spans="1:7">
      <c r="A123" s="3"/>
      <c r="B123" s="3"/>
      <c r="C123" s="3"/>
      <c r="D123" s="3"/>
      <c r="E123" s="3">
        <v>4</v>
      </c>
      <c r="F123" s="4" t="str">
        <f>HYPERLINK("http://141.218.60.56/~jnz1568/getInfo.php?workbook=02_01.xlsx&amp;sheet=U0&amp;row=123&amp;col=6&amp;number=4.3&amp;sourceID=22","4.3")</f>
        <v>4.3</v>
      </c>
      <c r="G123" s="4" t="str">
        <f>HYPERLINK("http://141.218.60.56/~jnz1568/getInfo.php?workbook=02_01.xlsx&amp;sheet=U0&amp;row=123&amp;col=7&amp;number=0.0139&amp;sourceID=22","0.0139")</f>
        <v>0.0139</v>
      </c>
    </row>
    <row r="124" spans="1:7">
      <c r="A124" s="3">
        <v>2</v>
      </c>
      <c r="B124" s="3">
        <v>1</v>
      </c>
      <c r="C124" s="3">
        <v>10</v>
      </c>
      <c r="D124" s="3">
        <v>2</v>
      </c>
      <c r="E124" s="3">
        <v>1</v>
      </c>
      <c r="F124" s="4" t="str">
        <f>HYPERLINK("http://141.218.60.56/~jnz1568/getInfo.php?workbook=02_01.xlsx&amp;sheet=U0&amp;row=124&amp;col=6&amp;number=3.2&amp;sourceID=22","3.2")</f>
        <v>3.2</v>
      </c>
      <c r="G124" s="4" t="str">
        <f>HYPERLINK("http://141.218.60.56/~jnz1568/getInfo.php?workbook=02_01.xlsx&amp;sheet=U0&amp;row=124&amp;col=7&amp;number=0.454&amp;sourceID=22","0.454")</f>
        <v>0.454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HYPERLINK("http://141.218.60.56/~jnz1568/getInfo.php?workbook=02_01.xlsx&amp;sheet=U0&amp;row=125&amp;col=6&amp;number=3.5&amp;sourceID=22","3.5")</f>
        <v>3.5</v>
      </c>
      <c r="G125" s="4" t="str">
        <f>HYPERLINK("http://141.218.60.56/~jnz1568/getInfo.php?workbook=02_01.xlsx&amp;sheet=U0&amp;row=125&amp;col=7&amp;number=0.406&amp;sourceID=22","0.406")</f>
        <v>0.406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HYPERLINK("http://141.218.60.56/~jnz1568/getInfo.php?workbook=02_01.xlsx&amp;sheet=U0&amp;row=126&amp;col=6&amp;number=4&amp;sourceID=22","4")</f>
        <v>4</v>
      </c>
      <c r="G126" s="4" t="str">
        <f>HYPERLINK("http://141.218.60.56/~jnz1568/getInfo.php?workbook=02_01.xlsx&amp;sheet=U0&amp;row=126&amp;col=7&amp;number=0.337&amp;sourceID=22","0.337")</f>
        <v>0.337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HYPERLINK("http://141.218.60.56/~jnz1568/getInfo.php?workbook=02_01.xlsx&amp;sheet=U0&amp;row=127&amp;col=6&amp;number=4.3&amp;sourceID=22","4.3")</f>
        <v>4.3</v>
      </c>
      <c r="G127" s="4" t="str">
        <f>HYPERLINK("http://141.218.60.56/~jnz1568/getInfo.php?workbook=02_01.xlsx&amp;sheet=U0&amp;row=127&amp;col=7&amp;number=0.316&amp;sourceID=22","0.316")</f>
        <v>0.316</v>
      </c>
    </row>
    <row r="128" spans="1:7">
      <c r="A128" s="3">
        <v>2</v>
      </c>
      <c r="B128" s="3">
        <v>1</v>
      </c>
      <c r="C128" s="3">
        <v>10</v>
      </c>
      <c r="D128" s="3">
        <v>3</v>
      </c>
      <c r="E128" s="3">
        <v>1</v>
      </c>
      <c r="F128" s="4" t="str">
        <f>HYPERLINK("http://141.218.60.56/~jnz1568/getInfo.php?workbook=02_01.xlsx&amp;sheet=U0&amp;row=128&amp;col=6&amp;number=3.2&amp;sourceID=22","3.2")</f>
        <v>3.2</v>
      </c>
      <c r="G128" s="4" t="str">
        <f>HYPERLINK("http://141.218.60.56/~jnz1568/getInfo.php?workbook=02_01.xlsx&amp;sheet=U0&amp;row=128&amp;col=7&amp;number=0.348&amp;sourceID=22","0.348")</f>
        <v>0.348</v>
      </c>
    </row>
    <row r="129" spans="1:7">
      <c r="A129" s="3"/>
      <c r="B129" s="3"/>
      <c r="C129" s="3"/>
      <c r="D129" s="3"/>
      <c r="E129" s="3">
        <v>2</v>
      </c>
      <c r="F129" s="4" t="str">
        <f>HYPERLINK("http://141.218.60.56/~jnz1568/getInfo.php?workbook=02_01.xlsx&amp;sheet=U0&amp;row=129&amp;col=6&amp;number=3.5&amp;sourceID=22","3.5")</f>
        <v>3.5</v>
      </c>
      <c r="G129" s="4" t="str">
        <f>HYPERLINK("http://141.218.60.56/~jnz1568/getInfo.php?workbook=02_01.xlsx&amp;sheet=U0&amp;row=129&amp;col=7&amp;number=0.305&amp;sourceID=22","0.305")</f>
        <v>0.305</v>
      </c>
    </row>
    <row r="130" spans="1:7">
      <c r="A130" s="3"/>
      <c r="B130" s="3"/>
      <c r="C130" s="3"/>
      <c r="D130" s="3"/>
      <c r="E130" s="3">
        <v>3</v>
      </c>
      <c r="F130" s="4" t="str">
        <f>HYPERLINK("http://141.218.60.56/~jnz1568/getInfo.php?workbook=02_01.xlsx&amp;sheet=U0&amp;row=130&amp;col=6&amp;number=4&amp;sourceID=22","4")</f>
        <v>4</v>
      </c>
      <c r="G130" s="4" t="str">
        <f>HYPERLINK("http://141.218.60.56/~jnz1568/getInfo.php?workbook=02_01.xlsx&amp;sheet=U0&amp;row=130&amp;col=7&amp;number=0.252&amp;sourceID=22","0.252")</f>
        <v>0.252</v>
      </c>
    </row>
    <row r="131" spans="1:7">
      <c r="A131" s="3"/>
      <c r="B131" s="3"/>
      <c r="C131" s="3"/>
      <c r="D131" s="3"/>
      <c r="E131" s="3">
        <v>4</v>
      </c>
      <c r="F131" s="4" t="str">
        <f>HYPERLINK("http://141.218.60.56/~jnz1568/getInfo.php?workbook=02_01.xlsx&amp;sheet=U0&amp;row=131&amp;col=6&amp;number=4.3&amp;sourceID=22","4.3")</f>
        <v>4.3</v>
      </c>
      <c r="G131" s="4" t="str">
        <f>HYPERLINK("http://141.218.60.56/~jnz1568/getInfo.php?workbook=02_01.xlsx&amp;sheet=U0&amp;row=131&amp;col=7&amp;number=0.239&amp;sourceID=22","0.239")</f>
        <v>0.239</v>
      </c>
    </row>
    <row r="132" spans="1:7">
      <c r="A132" s="3">
        <v>2</v>
      </c>
      <c r="B132" s="3">
        <v>1</v>
      </c>
      <c r="C132" s="3">
        <v>10</v>
      </c>
      <c r="D132" s="3">
        <v>4</v>
      </c>
      <c r="E132" s="3">
        <v>1</v>
      </c>
      <c r="F132" s="4" t="str">
        <f>HYPERLINK("http://141.218.60.56/~jnz1568/getInfo.php?workbook=02_01.xlsx&amp;sheet=U0&amp;row=132&amp;col=6&amp;number=3.2&amp;sourceID=22","3.2")</f>
        <v>3.2</v>
      </c>
      <c r="G132" s="4" t="str">
        <f>HYPERLINK("http://141.218.60.56/~jnz1568/getInfo.php?workbook=02_01.xlsx&amp;sheet=U0&amp;row=132&amp;col=7&amp;number=0.64&amp;sourceID=22","0.64")</f>
        <v>0.64</v>
      </c>
    </row>
    <row r="133" spans="1:7">
      <c r="A133" s="3"/>
      <c r="B133" s="3"/>
      <c r="C133" s="3"/>
      <c r="D133" s="3"/>
      <c r="E133" s="3">
        <v>2</v>
      </c>
      <c r="F133" s="4" t="str">
        <f>HYPERLINK("http://141.218.60.56/~jnz1568/getInfo.php?workbook=02_01.xlsx&amp;sheet=U0&amp;row=133&amp;col=6&amp;number=3.5&amp;sourceID=22","3.5")</f>
        <v>3.5</v>
      </c>
      <c r="G133" s="4" t="str">
        <f>HYPERLINK("http://141.218.60.56/~jnz1568/getInfo.php?workbook=02_01.xlsx&amp;sheet=U0&amp;row=133&amp;col=7&amp;number=0.559&amp;sourceID=22","0.559")</f>
        <v>0.559</v>
      </c>
    </row>
    <row r="134" spans="1:7">
      <c r="A134" s="3"/>
      <c r="B134" s="3"/>
      <c r="C134" s="3"/>
      <c r="D134" s="3"/>
      <c r="E134" s="3">
        <v>3</v>
      </c>
      <c r="F134" s="4" t="str">
        <f>HYPERLINK("http://141.218.60.56/~jnz1568/getInfo.php?workbook=02_01.xlsx&amp;sheet=U0&amp;row=134&amp;col=6&amp;number=4&amp;sourceID=22","4")</f>
        <v>4</v>
      </c>
      <c r="G134" s="4" t="str">
        <f>HYPERLINK("http://141.218.60.56/~jnz1568/getInfo.php?workbook=02_01.xlsx&amp;sheet=U0&amp;row=134&amp;col=7&amp;number=0.434&amp;sourceID=22","0.434")</f>
        <v>0.434</v>
      </c>
    </row>
    <row r="135" spans="1:7">
      <c r="A135" s="3"/>
      <c r="B135" s="3"/>
      <c r="C135" s="3"/>
      <c r="D135" s="3"/>
      <c r="E135" s="3">
        <v>4</v>
      </c>
      <c r="F135" s="4" t="str">
        <f>HYPERLINK("http://141.218.60.56/~jnz1568/getInfo.php?workbook=02_01.xlsx&amp;sheet=U0&amp;row=135&amp;col=6&amp;number=4.3&amp;sourceID=22","4.3")</f>
        <v>4.3</v>
      </c>
      <c r="G135" s="4" t="str">
        <f>HYPERLINK("http://141.218.60.56/~jnz1568/getInfo.php?workbook=02_01.xlsx&amp;sheet=U0&amp;row=135&amp;col=7&amp;number=0.365&amp;sourceID=22","0.365")</f>
        <v>0.365</v>
      </c>
    </row>
    <row r="136" spans="1:7">
      <c r="A136" s="3">
        <v>2</v>
      </c>
      <c r="B136" s="3">
        <v>1</v>
      </c>
      <c r="C136" s="3">
        <v>10</v>
      </c>
      <c r="D136" s="3">
        <v>5</v>
      </c>
      <c r="E136" s="3">
        <v>1</v>
      </c>
      <c r="F136" s="4" t="str">
        <f>HYPERLINK("http://141.218.60.56/~jnz1568/getInfo.php?workbook=02_01.xlsx&amp;sheet=U0&amp;row=136&amp;col=6&amp;number=3.2&amp;sourceID=22","3.2")</f>
        <v>3.2</v>
      </c>
      <c r="G136" s="4" t="str">
        <f>HYPERLINK("http://141.218.60.56/~jnz1568/getInfo.php?workbook=02_01.xlsx&amp;sheet=U0&amp;row=136&amp;col=7&amp;number=2.29&amp;sourceID=22","2.29")</f>
        <v>2.29</v>
      </c>
    </row>
    <row r="137" spans="1:7">
      <c r="A137" s="3"/>
      <c r="B137" s="3"/>
      <c r="C137" s="3"/>
      <c r="D137" s="3"/>
      <c r="E137" s="3">
        <v>2</v>
      </c>
      <c r="F137" s="4" t="str">
        <f>HYPERLINK("http://141.218.60.56/~jnz1568/getInfo.php?workbook=02_01.xlsx&amp;sheet=U0&amp;row=137&amp;col=6&amp;number=3.5&amp;sourceID=22","3.5")</f>
        <v>3.5</v>
      </c>
      <c r="G137" s="4" t="str">
        <f>HYPERLINK("http://141.218.60.56/~jnz1568/getInfo.php?workbook=02_01.xlsx&amp;sheet=U0&amp;row=137&amp;col=7&amp;number=2.12&amp;sourceID=22","2.12")</f>
        <v>2.12</v>
      </c>
    </row>
    <row r="138" spans="1:7">
      <c r="A138" s="3"/>
      <c r="B138" s="3"/>
      <c r="C138" s="3"/>
      <c r="D138" s="3"/>
      <c r="E138" s="3">
        <v>3</v>
      </c>
      <c r="F138" s="4" t="str">
        <f>HYPERLINK("http://141.218.60.56/~jnz1568/getInfo.php?workbook=02_01.xlsx&amp;sheet=U0&amp;row=138&amp;col=6&amp;number=4&amp;sourceID=22","4")</f>
        <v>4</v>
      </c>
      <c r="G138" s="4" t="str">
        <f>HYPERLINK("http://141.218.60.56/~jnz1568/getInfo.php?workbook=02_01.xlsx&amp;sheet=U0&amp;row=138&amp;col=7&amp;number=2.06&amp;sourceID=22","2.06")</f>
        <v>2.06</v>
      </c>
    </row>
    <row r="139" spans="1:7">
      <c r="A139" s="3"/>
      <c r="B139" s="3"/>
      <c r="C139" s="3"/>
      <c r="D139" s="3"/>
      <c r="E139" s="3">
        <v>4</v>
      </c>
      <c r="F139" s="4" t="str">
        <f>HYPERLINK("http://141.218.60.56/~jnz1568/getInfo.php?workbook=02_01.xlsx&amp;sheet=U0&amp;row=139&amp;col=6&amp;number=4.3&amp;sourceID=22","4.3")</f>
        <v>4.3</v>
      </c>
      <c r="G139" s="4" t="str">
        <f>HYPERLINK("http://141.218.60.56/~jnz1568/getInfo.php?workbook=02_01.xlsx&amp;sheet=U0&amp;row=139&amp;col=7&amp;number=2.45&amp;sourceID=22","2.45")</f>
        <v>2.45</v>
      </c>
    </row>
    <row r="140" spans="1:7">
      <c r="A140" s="3">
        <v>2</v>
      </c>
      <c r="B140" s="3">
        <v>1</v>
      </c>
      <c r="C140" s="3">
        <v>10</v>
      </c>
      <c r="D140" s="3">
        <v>6</v>
      </c>
      <c r="E140" s="3">
        <v>1</v>
      </c>
      <c r="F140" s="4" t="str">
        <f>HYPERLINK("http://141.218.60.56/~jnz1568/getInfo.php?workbook=02_01.xlsx&amp;sheet=U0&amp;row=140&amp;col=6&amp;number=3.2&amp;sourceID=22","3.2")</f>
        <v>3.2</v>
      </c>
      <c r="G140" s="4" t="str">
        <f>HYPERLINK("http://141.218.60.56/~jnz1568/getInfo.php?workbook=02_01.xlsx&amp;sheet=U0&amp;row=140&amp;col=7&amp;number=2.4&amp;sourceID=22","2.4")</f>
        <v>2.4</v>
      </c>
    </row>
    <row r="141" spans="1:7">
      <c r="A141" s="3"/>
      <c r="B141" s="3"/>
      <c r="C141" s="3"/>
      <c r="D141" s="3"/>
      <c r="E141" s="3">
        <v>2</v>
      </c>
      <c r="F141" s="4" t="str">
        <f>HYPERLINK("http://141.218.60.56/~jnz1568/getInfo.php?workbook=02_01.xlsx&amp;sheet=U0&amp;row=141&amp;col=6&amp;number=3.5&amp;sourceID=22","3.5")</f>
        <v>3.5</v>
      </c>
      <c r="G141" s="4" t="str">
        <f>HYPERLINK("http://141.218.60.56/~jnz1568/getInfo.php?workbook=02_01.xlsx&amp;sheet=U0&amp;row=141&amp;col=7&amp;number=2.19&amp;sourceID=22","2.19")</f>
        <v>2.19</v>
      </c>
    </row>
    <row r="142" spans="1:7">
      <c r="A142" s="3"/>
      <c r="B142" s="3"/>
      <c r="C142" s="3"/>
      <c r="D142" s="3"/>
      <c r="E142" s="3">
        <v>3</v>
      </c>
      <c r="F142" s="4" t="str">
        <f>HYPERLINK("http://141.218.60.56/~jnz1568/getInfo.php?workbook=02_01.xlsx&amp;sheet=U0&amp;row=142&amp;col=6&amp;number=4&amp;sourceID=22","4")</f>
        <v>4</v>
      </c>
      <c r="G142" s="4" t="str">
        <f>HYPERLINK("http://141.218.60.56/~jnz1568/getInfo.php?workbook=02_01.xlsx&amp;sheet=U0&amp;row=142&amp;col=7&amp;number=1.91&amp;sourceID=22","1.91")</f>
        <v>1.91</v>
      </c>
    </row>
    <row r="143" spans="1:7">
      <c r="A143" s="3"/>
      <c r="B143" s="3"/>
      <c r="C143" s="3"/>
      <c r="D143" s="3"/>
      <c r="E143" s="3">
        <v>4</v>
      </c>
      <c r="F143" s="4" t="str">
        <f>HYPERLINK("http://141.218.60.56/~jnz1568/getInfo.php?workbook=02_01.xlsx&amp;sheet=U0&amp;row=143&amp;col=6&amp;number=4.3&amp;sourceID=22","4.3")</f>
        <v>4.3</v>
      </c>
      <c r="G143" s="4" t="str">
        <f>HYPERLINK("http://141.218.60.56/~jnz1568/getInfo.php?workbook=02_01.xlsx&amp;sheet=U0&amp;row=143&amp;col=7&amp;number=1.81&amp;sourceID=22","1.81")</f>
        <v>1.81</v>
      </c>
    </row>
    <row r="144" spans="1:7">
      <c r="A144" s="3">
        <v>2</v>
      </c>
      <c r="B144" s="3">
        <v>1</v>
      </c>
      <c r="C144" s="3">
        <v>10</v>
      </c>
      <c r="D144" s="3">
        <v>7</v>
      </c>
      <c r="E144" s="3">
        <v>1</v>
      </c>
      <c r="F144" s="4" t="str">
        <f>HYPERLINK("http://141.218.60.56/~jnz1568/getInfo.php?workbook=02_01.xlsx&amp;sheet=U0&amp;row=144&amp;col=6&amp;number=3.2&amp;sourceID=22","3.2")</f>
        <v>3.2</v>
      </c>
      <c r="G144" s="4" t="str">
        <f>HYPERLINK("http://141.218.60.56/~jnz1568/getInfo.php?workbook=02_01.xlsx&amp;sheet=U0&amp;row=144&amp;col=7&amp;number=4.58&amp;sourceID=22","4.58")</f>
        <v>4.58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HYPERLINK("http://141.218.60.56/~jnz1568/getInfo.php?workbook=02_01.xlsx&amp;sheet=U0&amp;row=145&amp;col=6&amp;number=3.5&amp;sourceID=22","3.5")</f>
        <v>3.5</v>
      </c>
      <c r="G145" s="4" t="str">
        <f>HYPERLINK("http://141.218.60.56/~jnz1568/getInfo.php?workbook=02_01.xlsx&amp;sheet=U0&amp;row=145&amp;col=7&amp;number=4.28&amp;sourceID=22","4.28")</f>
        <v>4.28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HYPERLINK("http://141.218.60.56/~jnz1568/getInfo.php?workbook=02_01.xlsx&amp;sheet=U0&amp;row=146&amp;col=6&amp;number=4&amp;sourceID=22","4")</f>
        <v>4</v>
      </c>
      <c r="G146" s="4" t="str">
        <f>HYPERLINK("http://141.218.60.56/~jnz1568/getInfo.php?workbook=02_01.xlsx&amp;sheet=U0&amp;row=146&amp;col=7&amp;number=3.65&amp;sourceID=22","3.65")</f>
        <v>3.65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HYPERLINK("http://141.218.60.56/~jnz1568/getInfo.php?workbook=02_01.xlsx&amp;sheet=U0&amp;row=147&amp;col=6&amp;number=4.3&amp;sourceID=22","4.3")</f>
        <v>4.3</v>
      </c>
      <c r="G147" s="4" t="str">
        <f>HYPERLINK("http://141.218.60.56/~jnz1568/getInfo.php?workbook=02_01.xlsx&amp;sheet=U0&amp;row=147&amp;col=7&amp;number=3.23&amp;sourceID=22","3.23")</f>
        <v>3.23</v>
      </c>
    </row>
    <row r="148" spans="1:7">
      <c r="A148" s="3">
        <v>2</v>
      </c>
      <c r="B148" s="3">
        <v>1</v>
      </c>
      <c r="C148" s="3">
        <v>10</v>
      </c>
      <c r="D148" s="3">
        <v>8</v>
      </c>
      <c r="E148" s="3">
        <v>1</v>
      </c>
      <c r="F148" s="4" t="str">
        <f>HYPERLINK("http://141.218.60.56/~jnz1568/getInfo.php?workbook=02_01.xlsx&amp;sheet=U0&amp;row=148&amp;col=6&amp;number=3.2&amp;sourceID=22","3.2")</f>
        <v>3.2</v>
      </c>
      <c r="G148" s="4" t="str">
        <f>HYPERLINK("http://141.218.60.56/~jnz1568/getInfo.php?workbook=02_01.xlsx&amp;sheet=U0&amp;row=148&amp;col=7&amp;number=3.07&amp;sourceID=22","3.07")</f>
        <v>3.07</v>
      </c>
    </row>
    <row r="149" spans="1:7">
      <c r="A149" s="3"/>
      <c r="B149" s="3"/>
      <c r="C149" s="3"/>
      <c r="D149" s="3"/>
      <c r="E149" s="3">
        <v>2</v>
      </c>
      <c r="F149" s="4" t="str">
        <f>HYPERLINK("http://141.218.60.56/~jnz1568/getInfo.php?workbook=02_01.xlsx&amp;sheet=U0&amp;row=149&amp;col=6&amp;number=3.5&amp;sourceID=22","3.5")</f>
        <v>3.5</v>
      </c>
      <c r="G149" s="4" t="str">
        <f>HYPERLINK("http://141.218.60.56/~jnz1568/getInfo.php?workbook=02_01.xlsx&amp;sheet=U0&amp;row=149&amp;col=7&amp;number=2.7&amp;sourceID=22","2.7")</f>
        <v>2.7</v>
      </c>
    </row>
    <row r="150" spans="1:7">
      <c r="A150" s="3"/>
      <c r="B150" s="3"/>
      <c r="C150" s="3"/>
      <c r="D150" s="3"/>
      <c r="E150" s="3">
        <v>3</v>
      </c>
      <c r="F150" s="4" t="str">
        <f>HYPERLINK("http://141.218.60.56/~jnz1568/getInfo.php?workbook=02_01.xlsx&amp;sheet=U0&amp;row=150&amp;col=6&amp;number=4&amp;sourceID=22","4")</f>
        <v>4</v>
      </c>
      <c r="G150" s="4" t="str">
        <f>HYPERLINK("http://141.218.60.56/~jnz1568/getInfo.php?workbook=02_01.xlsx&amp;sheet=U0&amp;row=150&amp;col=7&amp;number=2.22&amp;sourceID=22","2.22")</f>
        <v>2.22</v>
      </c>
    </row>
    <row r="151" spans="1:7">
      <c r="A151" s="3"/>
      <c r="B151" s="3"/>
      <c r="C151" s="3"/>
      <c r="D151" s="3"/>
      <c r="E151" s="3">
        <v>4</v>
      </c>
      <c r="F151" s="4" t="str">
        <f>HYPERLINK("http://141.218.60.56/~jnz1568/getInfo.php?workbook=02_01.xlsx&amp;sheet=U0&amp;row=151&amp;col=6&amp;number=4.3&amp;sourceID=22","4.3")</f>
        <v>4.3</v>
      </c>
      <c r="G151" s="4" t="str">
        <f>HYPERLINK("http://141.218.60.56/~jnz1568/getInfo.php?workbook=02_01.xlsx&amp;sheet=U0&amp;row=151&amp;col=7&amp;number=1.96&amp;sourceID=22","1.96")</f>
        <v>1.96</v>
      </c>
    </row>
    <row r="152" spans="1:7">
      <c r="A152" s="3">
        <v>2</v>
      </c>
      <c r="B152" s="3">
        <v>1</v>
      </c>
      <c r="C152" s="3">
        <v>10</v>
      </c>
      <c r="D152" s="3">
        <v>9</v>
      </c>
      <c r="E152" s="3">
        <v>1</v>
      </c>
      <c r="F152" s="4" t="str">
        <f>HYPERLINK("http://141.218.60.56/~jnz1568/getInfo.php?workbook=02_01.xlsx&amp;sheet=U0&amp;row=152&amp;col=6&amp;number=3.2&amp;sourceID=22","3.2")</f>
        <v>3.2</v>
      </c>
      <c r="G152" s="4" t="str">
        <f>HYPERLINK("http://141.218.60.56/~jnz1568/getInfo.php?workbook=02_01.xlsx&amp;sheet=U0&amp;row=152&amp;col=7&amp;number=3.21&amp;sourceID=22","3.21")</f>
        <v>3.21</v>
      </c>
    </row>
    <row r="153" spans="1:7">
      <c r="A153" s="3"/>
      <c r="B153" s="3"/>
      <c r="C153" s="3"/>
      <c r="D153" s="3"/>
      <c r="E153" s="3">
        <v>2</v>
      </c>
      <c r="F153" s="4" t="str">
        <f>HYPERLINK("http://141.218.60.56/~jnz1568/getInfo.php?workbook=02_01.xlsx&amp;sheet=U0&amp;row=153&amp;col=6&amp;number=3.5&amp;sourceID=22","3.5")</f>
        <v>3.5</v>
      </c>
      <c r="G153" s="4" t="str">
        <f>HYPERLINK("http://141.218.60.56/~jnz1568/getInfo.php?workbook=02_01.xlsx&amp;sheet=U0&amp;row=153&amp;col=7&amp;number=2.95&amp;sourceID=22","2.95")</f>
        <v>2.95</v>
      </c>
    </row>
    <row r="154" spans="1:7">
      <c r="A154" s="3"/>
      <c r="B154" s="3"/>
      <c r="C154" s="3"/>
      <c r="D154" s="3"/>
      <c r="E154" s="3">
        <v>3</v>
      </c>
      <c r="F154" s="4" t="str">
        <f>HYPERLINK("http://141.218.60.56/~jnz1568/getInfo.php?workbook=02_01.xlsx&amp;sheet=U0&amp;row=154&amp;col=6&amp;number=4&amp;sourceID=22","4")</f>
        <v>4</v>
      </c>
      <c r="G154" s="4" t="str">
        <f>HYPERLINK("http://141.218.60.56/~jnz1568/getInfo.php?workbook=02_01.xlsx&amp;sheet=U0&amp;row=154&amp;col=7&amp;number=2.37&amp;sourceID=22","2.37")</f>
        <v>2.37</v>
      </c>
    </row>
    <row r="155" spans="1:7">
      <c r="A155" s="3"/>
      <c r="B155" s="3"/>
      <c r="C155" s="3"/>
      <c r="D155" s="3"/>
      <c r="E155" s="3">
        <v>4</v>
      </c>
      <c r="F155" s="4" t="str">
        <f>HYPERLINK("http://141.218.60.56/~jnz1568/getInfo.php?workbook=02_01.xlsx&amp;sheet=U0&amp;row=155&amp;col=6&amp;number=4.3&amp;sourceID=22","4.3")</f>
        <v>4.3</v>
      </c>
      <c r="G155" s="4" t="str">
        <f>HYPERLINK("http://141.218.60.56/~jnz1568/getInfo.php?workbook=02_01.xlsx&amp;sheet=U0&amp;row=155&amp;col=7&amp;number=1.9&amp;sourceID=22","1.9")</f>
        <v>1.9</v>
      </c>
    </row>
    <row r="156" spans="1:7">
      <c r="A156" s="3">
        <v>2</v>
      </c>
      <c r="B156" s="3">
        <v>1</v>
      </c>
      <c r="C156" s="3">
        <v>11</v>
      </c>
      <c r="D156" s="3">
        <v>1</v>
      </c>
      <c r="E156" s="3">
        <v>1</v>
      </c>
      <c r="F156" s="4" t="str">
        <f>HYPERLINK("http://141.218.60.56/~jnz1568/getInfo.php?workbook=02_01.xlsx&amp;sheet=U0&amp;row=156&amp;col=6&amp;number=3.2&amp;sourceID=22","3.2")</f>
        <v>3.2</v>
      </c>
      <c r="G156" s="4" t="str">
        <f>HYPERLINK("http://141.218.60.56/~jnz1568/getInfo.php?workbook=02_01.xlsx&amp;sheet=U0&amp;row=156&amp;col=7&amp;number=0.0363&amp;sourceID=22","0.0363")</f>
        <v>0.0363</v>
      </c>
    </row>
    <row r="157" spans="1:7">
      <c r="A157" s="3"/>
      <c r="B157" s="3"/>
      <c r="C157" s="3"/>
      <c r="D157" s="3"/>
      <c r="E157" s="3">
        <v>2</v>
      </c>
      <c r="F157" s="4" t="str">
        <f>HYPERLINK("http://141.218.60.56/~jnz1568/getInfo.php?workbook=02_01.xlsx&amp;sheet=U0&amp;row=157&amp;col=6&amp;number=3.5&amp;sourceID=22","3.5")</f>
        <v>3.5</v>
      </c>
      <c r="G157" s="4" t="str">
        <f>HYPERLINK("http://141.218.60.56/~jnz1568/getInfo.php?workbook=02_01.xlsx&amp;sheet=U0&amp;row=157&amp;col=7&amp;number=0.0311&amp;sourceID=22","0.0311")</f>
        <v>0.0311</v>
      </c>
    </row>
    <row r="158" spans="1:7">
      <c r="A158" s="3"/>
      <c r="B158" s="3"/>
      <c r="C158" s="3"/>
      <c r="D158" s="3"/>
      <c r="E158" s="3">
        <v>3</v>
      </c>
      <c r="F158" s="4" t="str">
        <f>HYPERLINK("http://141.218.60.56/~jnz1568/getInfo.php?workbook=02_01.xlsx&amp;sheet=U0&amp;row=158&amp;col=6&amp;number=4&amp;sourceID=22","4")</f>
        <v>4</v>
      </c>
      <c r="G158" s="4" t="str">
        <f>HYPERLINK("http://141.218.60.56/~jnz1568/getInfo.php?workbook=02_01.xlsx&amp;sheet=U0&amp;row=158&amp;col=7&amp;number=0.0256&amp;sourceID=22","0.0256")</f>
        <v>0.0256</v>
      </c>
    </row>
    <row r="159" spans="1:7">
      <c r="A159" s="3"/>
      <c r="B159" s="3"/>
      <c r="C159" s="3"/>
      <c r="D159" s="3"/>
      <c r="E159" s="3">
        <v>4</v>
      </c>
      <c r="F159" s="4" t="str">
        <f>HYPERLINK("http://141.218.60.56/~jnz1568/getInfo.php?workbook=02_01.xlsx&amp;sheet=U0&amp;row=159&amp;col=6&amp;number=4.3&amp;sourceID=22","4.3")</f>
        <v>4.3</v>
      </c>
      <c r="G159" s="4" t="str">
        <f>HYPERLINK("http://141.218.60.56/~jnz1568/getInfo.php?workbook=02_01.xlsx&amp;sheet=U0&amp;row=159&amp;col=7&amp;number=0.0244&amp;sourceID=22","0.0244")</f>
        <v>0.0244</v>
      </c>
    </row>
    <row r="160" spans="1:7">
      <c r="A160" s="3">
        <v>2</v>
      </c>
      <c r="B160" s="3">
        <v>1</v>
      </c>
      <c r="C160" s="3">
        <v>11</v>
      </c>
      <c r="D160" s="3">
        <v>2</v>
      </c>
      <c r="E160" s="3">
        <v>1</v>
      </c>
      <c r="F160" s="4" t="str">
        <f>HYPERLINK("http://141.218.60.56/~jnz1568/getInfo.php?workbook=02_01.xlsx&amp;sheet=U0&amp;row=160&amp;col=6&amp;number=3.2&amp;sourceID=22","3.2")</f>
        <v>3.2</v>
      </c>
      <c r="G160" s="4" t="str">
        <f>HYPERLINK("http://141.218.60.56/~jnz1568/getInfo.php?workbook=02_01.xlsx&amp;sheet=U0&amp;row=160&amp;col=7&amp;number=0.43&amp;sourceID=22","0.43")</f>
        <v>0.43</v>
      </c>
    </row>
    <row r="161" spans="1:7">
      <c r="A161" s="3"/>
      <c r="B161" s="3"/>
      <c r="C161" s="3"/>
      <c r="D161" s="3"/>
      <c r="E161" s="3">
        <v>2</v>
      </c>
      <c r="F161" s="4" t="str">
        <f>HYPERLINK("http://141.218.60.56/~jnz1568/getInfo.php?workbook=02_01.xlsx&amp;sheet=U0&amp;row=161&amp;col=6&amp;number=3.5&amp;sourceID=22","3.5")</f>
        <v>3.5</v>
      </c>
      <c r="G161" s="4" t="str">
        <f>HYPERLINK("http://141.218.60.56/~jnz1568/getInfo.php?workbook=02_01.xlsx&amp;sheet=U0&amp;row=161&amp;col=7&amp;number=0.396&amp;sourceID=22","0.396")</f>
        <v>0.396</v>
      </c>
    </row>
    <row r="162" spans="1:7">
      <c r="A162" s="3"/>
      <c r="B162" s="3"/>
      <c r="C162" s="3"/>
      <c r="D162" s="3"/>
      <c r="E162" s="3">
        <v>3</v>
      </c>
      <c r="F162" s="4" t="str">
        <f>HYPERLINK("http://141.218.60.56/~jnz1568/getInfo.php?workbook=02_01.xlsx&amp;sheet=U0&amp;row=162&amp;col=6&amp;number=4&amp;sourceID=22","4")</f>
        <v>4</v>
      </c>
      <c r="G162" s="4" t="str">
        <f>HYPERLINK("http://141.218.60.56/~jnz1568/getInfo.php?workbook=02_01.xlsx&amp;sheet=U0&amp;row=162&amp;col=7&amp;number=0.319&amp;sourceID=22","0.319")</f>
        <v>0.319</v>
      </c>
    </row>
    <row r="163" spans="1:7">
      <c r="A163" s="3"/>
      <c r="B163" s="3"/>
      <c r="C163" s="3"/>
      <c r="D163" s="3"/>
      <c r="E163" s="3">
        <v>4</v>
      </c>
      <c r="F163" s="4" t="str">
        <f>HYPERLINK("http://141.218.60.56/~jnz1568/getInfo.php?workbook=02_01.xlsx&amp;sheet=U0&amp;row=163&amp;col=6&amp;number=4.3&amp;sourceID=22","4.3")</f>
        <v>4.3</v>
      </c>
      <c r="G163" s="4" t="str">
        <f>HYPERLINK("http://141.218.60.56/~jnz1568/getInfo.php?workbook=02_01.xlsx&amp;sheet=U0&amp;row=163&amp;col=7&amp;number=0.27&amp;sourceID=22","0.27")</f>
        <v>0.27</v>
      </c>
    </row>
    <row r="164" spans="1:7">
      <c r="A164" s="3">
        <v>2</v>
      </c>
      <c r="B164" s="3">
        <v>1</v>
      </c>
      <c r="C164" s="3">
        <v>11</v>
      </c>
      <c r="D164" s="3">
        <v>3</v>
      </c>
      <c r="E164" s="3">
        <v>1</v>
      </c>
      <c r="F164" s="4" t="str">
        <f>HYPERLINK("http://141.218.60.56/~jnz1568/getInfo.php?workbook=02_01.xlsx&amp;sheet=U0&amp;row=164&amp;col=6&amp;number=3.2&amp;sourceID=22","3.2")</f>
        <v>3.2</v>
      </c>
      <c r="G164" s="4" t="str">
        <f>HYPERLINK("http://141.218.60.56/~jnz1568/getInfo.php?workbook=02_01.xlsx&amp;sheet=U0&amp;row=164&amp;col=7&amp;number=0.396&amp;sourceID=22","0.396")</f>
        <v>0.396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HYPERLINK("http://141.218.60.56/~jnz1568/getInfo.php?workbook=02_01.xlsx&amp;sheet=U0&amp;row=165&amp;col=6&amp;number=3.5&amp;sourceID=22","3.5")</f>
        <v>3.5</v>
      </c>
      <c r="G165" s="4" t="str">
        <f>HYPERLINK("http://141.218.60.56/~jnz1568/getInfo.php?workbook=02_01.xlsx&amp;sheet=U0&amp;row=165&amp;col=7&amp;number=0.34&amp;sourceID=22","0.34")</f>
        <v>0.34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HYPERLINK("http://141.218.60.56/~jnz1568/getInfo.php?workbook=02_01.xlsx&amp;sheet=U0&amp;row=166&amp;col=6&amp;number=4&amp;sourceID=22","4")</f>
        <v>4</v>
      </c>
      <c r="G166" s="4" t="str">
        <f>HYPERLINK("http://141.218.60.56/~jnz1568/getInfo.php?workbook=02_01.xlsx&amp;sheet=U0&amp;row=166&amp;col=7&amp;number=0.264&amp;sourceID=22","0.264")</f>
        <v>0.264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HYPERLINK("http://141.218.60.56/~jnz1568/getInfo.php?workbook=02_01.xlsx&amp;sheet=U0&amp;row=167&amp;col=6&amp;number=4.3&amp;sourceID=22","4.3")</f>
        <v>4.3</v>
      </c>
      <c r="G167" s="4" t="str">
        <f>HYPERLINK("http://141.218.60.56/~jnz1568/getInfo.php?workbook=02_01.xlsx&amp;sheet=U0&amp;row=167&amp;col=7&amp;number=0.237&amp;sourceID=22","0.237")</f>
        <v>0.237</v>
      </c>
    </row>
    <row r="168" spans="1:7">
      <c r="A168" s="3">
        <v>2</v>
      </c>
      <c r="B168" s="3">
        <v>1</v>
      </c>
      <c r="C168" s="3">
        <v>11</v>
      </c>
      <c r="D168" s="3">
        <v>4</v>
      </c>
      <c r="E168" s="3">
        <v>1</v>
      </c>
      <c r="F168" s="4" t="str">
        <f>HYPERLINK("http://141.218.60.56/~jnz1568/getInfo.php?workbook=02_01.xlsx&amp;sheet=U0&amp;row=168&amp;col=6&amp;number=3.2&amp;sourceID=22","3.2")</f>
        <v>3.2</v>
      </c>
      <c r="G168" s="4" t="str">
        <f>HYPERLINK("http://141.218.60.56/~jnz1568/getInfo.php?workbook=02_01.xlsx&amp;sheet=U0&amp;row=168&amp;col=7&amp;number=0.878&amp;sourceID=22","0.878")</f>
        <v>0.878</v>
      </c>
    </row>
    <row r="169" spans="1:7">
      <c r="A169" s="3"/>
      <c r="B169" s="3"/>
      <c r="C169" s="3"/>
      <c r="D169" s="3"/>
      <c r="E169" s="3">
        <v>2</v>
      </c>
      <c r="F169" s="4" t="str">
        <f>HYPERLINK("http://141.218.60.56/~jnz1568/getInfo.php?workbook=02_01.xlsx&amp;sheet=U0&amp;row=169&amp;col=6&amp;number=3.5&amp;sourceID=22","3.5")</f>
        <v>3.5</v>
      </c>
      <c r="G169" s="4" t="str">
        <f>HYPERLINK("http://141.218.60.56/~jnz1568/getInfo.php?workbook=02_01.xlsx&amp;sheet=U0&amp;row=169&amp;col=7&amp;number=0.808&amp;sourceID=22","0.808")</f>
        <v>0.808</v>
      </c>
    </row>
    <row r="170" spans="1:7">
      <c r="A170" s="3"/>
      <c r="B170" s="3"/>
      <c r="C170" s="3"/>
      <c r="D170" s="3"/>
      <c r="E170" s="3">
        <v>3</v>
      </c>
      <c r="F170" s="4" t="str">
        <f>HYPERLINK("http://141.218.60.56/~jnz1568/getInfo.php?workbook=02_01.xlsx&amp;sheet=U0&amp;row=170&amp;col=6&amp;number=4&amp;sourceID=22","4")</f>
        <v>4</v>
      </c>
      <c r="G170" s="4" t="str">
        <f>HYPERLINK("http://141.218.60.56/~jnz1568/getInfo.php?workbook=02_01.xlsx&amp;sheet=U0&amp;row=170&amp;col=7&amp;number=0.648&amp;sourceID=22","0.648")</f>
        <v>0.648</v>
      </c>
    </row>
    <row r="171" spans="1:7">
      <c r="A171" s="3"/>
      <c r="B171" s="3"/>
      <c r="C171" s="3"/>
      <c r="D171" s="3"/>
      <c r="E171" s="3">
        <v>4</v>
      </c>
      <c r="F171" s="4" t="str">
        <f>HYPERLINK("http://141.218.60.56/~jnz1568/getInfo.php?workbook=02_01.xlsx&amp;sheet=U0&amp;row=171&amp;col=6&amp;number=4.3&amp;sourceID=22","4.3")</f>
        <v>4.3</v>
      </c>
      <c r="G171" s="4" t="str">
        <f>HYPERLINK("http://141.218.60.56/~jnz1568/getInfo.php?workbook=02_01.xlsx&amp;sheet=U0&amp;row=171&amp;col=7&amp;number=0.548&amp;sourceID=22","0.548")</f>
        <v>0.548</v>
      </c>
    </row>
    <row r="172" spans="1:7">
      <c r="A172" s="3">
        <v>2</v>
      </c>
      <c r="B172" s="3">
        <v>1</v>
      </c>
      <c r="C172" s="3">
        <v>11</v>
      </c>
      <c r="D172" s="3">
        <v>5</v>
      </c>
      <c r="E172" s="3">
        <v>1</v>
      </c>
      <c r="F172" s="4" t="str">
        <f>HYPERLINK("http://141.218.60.56/~jnz1568/getInfo.php?workbook=02_01.xlsx&amp;sheet=U0&amp;row=172&amp;col=6&amp;number=3.2&amp;sourceID=22","3.2")</f>
        <v>3.2</v>
      </c>
      <c r="G172" s="4" t="str">
        <f>HYPERLINK("http://141.218.60.56/~jnz1568/getInfo.php?workbook=02_01.xlsx&amp;sheet=U0&amp;row=172&amp;col=7&amp;number=1.85&amp;sourceID=22","1.85")</f>
        <v>1.85</v>
      </c>
    </row>
    <row r="173" spans="1:7">
      <c r="A173" s="3"/>
      <c r="B173" s="3"/>
      <c r="C173" s="3"/>
      <c r="D173" s="3"/>
      <c r="E173" s="3">
        <v>2</v>
      </c>
      <c r="F173" s="4" t="str">
        <f>HYPERLINK("http://141.218.60.56/~jnz1568/getInfo.php?workbook=02_01.xlsx&amp;sheet=U0&amp;row=173&amp;col=6&amp;number=3.5&amp;sourceID=22","3.5")</f>
        <v>3.5</v>
      </c>
      <c r="G173" s="4" t="str">
        <f>HYPERLINK("http://141.218.60.56/~jnz1568/getInfo.php?workbook=02_01.xlsx&amp;sheet=U0&amp;row=173&amp;col=7&amp;number=1.72&amp;sourceID=22","1.72")</f>
        <v>1.72</v>
      </c>
    </row>
    <row r="174" spans="1:7">
      <c r="A174" s="3"/>
      <c r="B174" s="3"/>
      <c r="C174" s="3"/>
      <c r="D174" s="3"/>
      <c r="E174" s="3">
        <v>3</v>
      </c>
      <c r="F174" s="4" t="str">
        <f>HYPERLINK("http://141.218.60.56/~jnz1568/getInfo.php?workbook=02_01.xlsx&amp;sheet=U0&amp;row=174&amp;col=6&amp;number=4&amp;sourceID=22","4")</f>
        <v>4</v>
      </c>
      <c r="G174" s="4" t="str">
        <f>HYPERLINK("http://141.218.60.56/~jnz1568/getInfo.php?workbook=02_01.xlsx&amp;sheet=U0&amp;row=174&amp;col=7&amp;number=1.49&amp;sourceID=22","1.49")</f>
        <v>1.49</v>
      </c>
    </row>
    <row r="175" spans="1:7">
      <c r="A175" s="3"/>
      <c r="B175" s="3"/>
      <c r="C175" s="3"/>
      <c r="D175" s="3"/>
      <c r="E175" s="3">
        <v>4</v>
      </c>
      <c r="F175" s="4" t="str">
        <f>HYPERLINK("http://141.218.60.56/~jnz1568/getInfo.php?workbook=02_01.xlsx&amp;sheet=U0&amp;row=175&amp;col=6&amp;number=4.3&amp;sourceID=22","4.3")</f>
        <v>4.3</v>
      </c>
      <c r="G175" s="4" t="str">
        <f>HYPERLINK("http://141.218.60.56/~jnz1568/getInfo.php?workbook=02_01.xlsx&amp;sheet=U0&amp;row=175&amp;col=7&amp;number=1.36&amp;sourceID=22","1.36")</f>
        <v>1.36</v>
      </c>
    </row>
    <row r="176" spans="1:7">
      <c r="A176" s="3">
        <v>2</v>
      </c>
      <c r="B176" s="3">
        <v>1</v>
      </c>
      <c r="C176" s="3">
        <v>11</v>
      </c>
      <c r="D176" s="3">
        <v>6</v>
      </c>
      <c r="E176" s="3">
        <v>1</v>
      </c>
      <c r="F176" s="4" t="str">
        <f>HYPERLINK("http://141.218.60.56/~jnz1568/getInfo.php?workbook=02_01.xlsx&amp;sheet=U0&amp;row=176&amp;col=6&amp;number=3.2&amp;sourceID=22","3.2")</f>
        <v>3.2</v>
      </c>
      <c r="G176" s="4" t="str">
        <f>HYPERLINK("http://141.218.60.56/~jnz1568/getInfo.php?workbook=02_01.xlsx&amp;sheet=U0&amp;row=176&amp;col=7&amp;number=2.59&amp;sourceID=22","2.59")</f>
        <v>2.59</v>
      </c>
    </row>
    <row r="177" spans="1:7">
      <c r="A177" s="3"/>
      <c r="B177" s="3"/>
      <c r="C177" s="3"/>
      <c r="D177" s="3"/>
      <c r="E177" s="3">
        <v>2</v>
      </c>
      <c r="F177" s="4" t="str">
        <f>HYPERLINK("http://141.218.60.56/~jnz1568/getInfo.php?workbook=02_01.xlsx&amp;sheet=U0&amp;row=177&amp;col=6&amp;number=3.5&amp;sourceID=22","3.5")</f>
        <v>3.5</v>
      </c>
      <c r="G177" s="4" t="str">
        <f>HYPERLINK("http://141.218.60.56/~jnz1568/getInfo.php?workbook=02_01.xlsx&amp;sheet=U0&amp;row=177&amp;col=7&amp;number=2.28&amp;sourceID=22","2.28")</f>
        <v>2.28</v>
      </c>
    </row>
    <row r="178" spans="1:7">
      <c r="A178" s="3"/>
      <c r="B178" s="3"/>
      <c r="C178" s="3"/>
      <c r="D178" s="3"/>
      <c r="E178" s="3">
        <v>3</v>
      </c>
      <c r="F178" s="4" t="str">
        <f>HYPERLINK("http://141.218.60.56/~jnz1568/getInfo.php?workbook=02_01.xlsx&amp;sheet=U0&amp;row=178&amp;col=6&amp;number=4&amp;sourceID=22","4")</f>
        <v>4</v>
      </c>
      <c r="G178" s="4" t="str">
        <f>HYPERLINK("http://141.218.60.56/~jnz1568/getInfo.php?workbook=02_01.xlsx&amp;sheet=U0&amp;row=178&amp;col=7&amp;number=2.14&amp;sourceID=22","2.14")</f>
        <v>2.14</v>
      </c>
    </row>
    <row r="179" spans="1:7">
      <c r="A179" s="3"/>
      <c r="B179" s="3"/>
      <c r="C179" s="3"/>
      <c r="D179" s="3"/>
      <c r="E179" s="3">
        <v>4</v>
      </c>
      <c r="F179" s="4" t="str">
        <f>HYPERLINK("http://141.218.60.56/~jnz1568/getInfo.php?workbook=02_01.xlsx&amp;sheet=U0&amp;row=179&amp;col=6&amp;number=4.3&amp;sourceID=22","4.3")</f>
        <v>4.3</v>
      </c>
      <c r="G179" s="4" t="str">
        <f>HYPERLINK("http://141.218.60.56/~jnz1568/getInfo.php?workbook=02_01.xlsx&amp;sheet=U0&amp;row=179&amp;col=7&amp;number=2.49&amp;sourceID=22","2.49")</f>
        <v>2.49</v>
      </c>
    </row>
    <row r="180" spans="1:7">
      <c r="A180" s="3">
        <v>2</v>
      </c>
      <c r="B180" s="3">
        <v>1</v>
      </c>
      <c r="C180" s="3">
        <v>11</v>
      </c>
      <c r="D180" s="3">
        <v>7</v>
      </c>
      <c r="E180" s="3">
        <v>1</v>
      </c>
      <c r="F180" s="4" t="str">
        <f>HYPERLINK("http://141.218.60.56/~jnz1568/getInfo.php?workbook=02_01.xlsx&amp;sheet=U0&amp;row=180&amp;col=6&amp;number=3.2&amp;sourceID=22","3.2")</f>
        <v>3.2</v>
      </c>
      <c r="G180" s="4" t="str">
        <f>HYPERLINK("http://141.218.60.56/~jnz1568/getInfo.php?workbook=02_01.xlsx&amp;sheet=U0&amp;row=180&amp;col=7&amp;number=3.1&amp;sourceID=22","3.1")</f>
        <v>3.1</v>
      </c>
    </row>
    <row r="181" spans="1:7">
      <c r="A181" s="3"/>
      <c r="B181" s="3"/>
      <c r="C181" s="3"/>
      <c r="D181" s="3"/>
      <c r="E181" s="3">
        <v>2</v>
      </c>
      <c r="F181" s="4" t="str">
        <f>HYPERLINK("http://141.218.60.56/~jnz1568/getInfo.php?workbook=02_01.xlsx&amp;sheet=U0&amp;row=181&amp;col=6&amp;number=3.5&amp;sourceID=22","3.5")</f>
        <v>3.5</v>
      </c>
      <c r="G181" s="4" t="str">
        <f>HYPERLINK("http://141.218.60.56/~jnz1568/getInfo.php?workbook=02_01.xlsx&amp;sheet=U0&amp;row=181&amp;col=7&amp;number=2.86&amp;sourceID=22","2.86")</f>
        <v>2.86</v>
      </c>
    </row>
    <row r="182" spans="1:7">
      <c r="A182" s="3"/>
      <c r="B182" s="3"/>
      <c r="C182" s="3"/>
      <c r="D182" s="3"/>
      <c r="E182" s="3">
        <v>3</v>
      </c>
      <c r="F182" s="4" t="str">
        <f>HYPERLINK("http://141.218.60.56/~jnz1568/getInfo.php?workbook=02_01.xlsx&amp;sheet=U0&amp;row=182&amp;col=6&amp;number=4&amp;sourceID=22","4")</f>
        <v>4</v>
      </c>
      <c r="G182" s="4" t="str">
        <f>HYPERLINK("http://141.218.60.56/~jnz1568/getInfo.php?workbook=02_01.xlsx&amp;sheet=U0&amp;row=182&amp;col=7&amp;number=2.23&amp;sourceID=22","2.23")</f>
        <v>2.23</v>
      </c>
    </row>
    <row r="183" spans="1:7">
      <c r="A183" s="3"/>
      <c r="B183" s="3"/>
      <c r="C183" s="3"/>
      <c r="D183" s="3"/>
      <c r="E183" s="3">
        <v>4</v>
      </c>
      <c r="F183" s="4" t="str">
        <f>HYPERLINK("http://141.218.60.56/~jnz1568/getInfo.php?workbook=02_01.xlsx&amp;sheet=U0&amp;row=183&amp;col=6&amp;number=4.3&amp;sourceID=22","4.3")</f>
        <v>4.3</v>
      </c>
      <c r="G183" s="4" t="str">
        <f>HYPERLINK("http://141.218.60.56/~jnz1568/getInfo.php?workbook=02_01.xlsx&amp;sheet=U0&amp;row=183&amp;col=7&amp;number=1.76&amp;sourceID=22","1.76")</f>
        <v>1.76</v>
      </c>
    </row>
    <row r="184" spans="1:7">
      <c r="A184" s="3">
        <v>2</v>
      </c>
      <c r="B184" s="3">
        <v>1</v>
      </c>
      <c r="C184" s="3">
        <v>11</v>
      </c>
      <c r="D184" s="3">
        <v>8</v>
      </c>
      <c r="E184" s="3">
        <v>1</v>
      </c>
      <c r="F184" s="4" t="str">
        <f>HYPERLINK("http://141.218.60.56/~jnz1568/getInfo.php?workbook=02_01.xlsx&amp;sheet=U0&amp;row=184&amp;col=6&amp;number=3.2&amp;sourceID=22","3.2")</f>
        <v>3.2</v>
      </c>
      <c r="G184" s="4" t="str">
        <f>HYPERLINK("http://141.218.60.56/~jnz1568/getInfo.php?workbook=02_01.xlsx&amp;sheet=U0&amp;row=184&amp;col=7&amp;number=3.67&amp;sourceID=22","3.67")</f>
        <v>3.67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HYPERLINK("http://141.218.60.56/~jnz1568/getInfo.php?workbook=02_01.xlsx&amp;sheet=U0&amp;row=185&amp;col=6&amp;number=3.5&amp;sourceID=22","3.5")</f>
        <v>3.5</v>
      </c>
      <c r="G185" s="4" t="str">
        <f>HYPERLINK("http://141.218.60.56/~jnz1568/getInfo.php?workbook=02_01.xlsx&amp;sheet=U0&amp;row=185&amp;col=7&amp;number=3.41&amp;sourceID=22","3.41")</f>
        <v>3.41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HYPERLINK("http://141.218.60.56/~jnz1568/getInfo.php?workbook=02_01.xlsx&amp;sheet=U0&amp;row=186&amp;col=6&amp;number=4&amp;sourceID=22","4")</f>
        <v>4</v>
      </c>
      <c r="G186" s="4" t="str">
        <f>HYPERLINK("http://141.218.60.56/~jnz1568/getInfo.php?workbook=02_01.xlsx&amp;sheet=U0&amp;row=186&amp;col=7&amp;number=2.97&amp;sourceID=22","2.97")</f>
        <v>2.97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HYPERLINK("http://141.218.60.56/~jnz1568/getInfo.php?workbook=02_01.xlsx&amp;sheet=U0&amp;row=187&amp;col=6&amp;number=4.3&amp;sourceID=22","4.3")</f>
        <v>4.3</v>
      </c>
      <c r="G187" s="4" t="str">
        <f>HYPERLINK("http://141.218.60.56/~jnz1568/getInfo.php?workbook=02_01.xlsx&amp;sheet=U0&amp;row=187&amp;col=7&amp;number=2.71&amp;sourceID=22","2.71")</f>
        <v>2.71</v>
      </c>
    </row>
    <row r="188" spans="1:7">
      <c r="A188" s="3">
        <v>2</v>
      </c>
      <c r="B188" s="3">
        <v>1</v>
      </c>
      <c r="C188" s="3">
        <v>11</v>
      </c>
      <c r="D188" s="3">
        <v>9</v>
      </c>
      <c r="E188" s="3">
        <v>1</v>
      </c>
      <c r="F188" s="4" t="str">
        <f>HYPERLINK("http://141.218.60.56/~jnz1568/getInfo.php?workbook=02_01.xlsx&amp;sheet=U0&amp;row=188&amp;col=6&amp;number=3.2&amp;sourceID=22","3.2")</f>
        <v>3.2</v>
      </c>
      <c r="G188" s="4" t="str">
        <f>HYPERLINK("http://141.218.60.56/~jnz1568/getInfo.php?workbook=02_01.xlsx&amp;sheet=U0&amp;row=188&amp;col=7&amp;number=4.69&amp;sourceID=22","4.69")</f>
        <v>4.69</v>
      </c>
    </row>
    <row r="189" spans="1:7">
      <c r="A189" s="3"/>
      <c r="B189" s="3"/>
      <c r="C189" s="3"/>
      <c r="D189" s="3"/>
      <c r="E189" s="3">
        <v>2</v>
      </c>
      <c r="F189" s="4" t="str">
        <f>HYPERLINK("http://141.218.60.56/~jnz1568/getInfo.php?workbook=02_01.xlsx&amp;sheet=U0&amp;row=189&amp;col=6&amp;number=3.5&amp;sourceID=22","3.5")</f>
        <v>3.5</v>
      </c>
      <c r="G189" s="4" t="str">
        <f>HYPERLINK("http://141.218.60.56/~jnz1568/getInfo.php?workbook=02_01.xlsx&amp;sheet=U0&amp;row=189&amp;col=7&amp;number=4.34&amp;sourceID=22","4.34")</f>
        <v>4.34</v>
      </c>
    </row>
    <row r="190" spans="1:7">
      <c r="A190" s="3"/>
      <c r="B190" s="3"/>
      <c r="C190" s="3"/>
      <c r="D190" s="3"/>
      <c r="E190" s="3">
        <v>3</v>
      </c>
      <c r="F190" s="4" t="str">
        <f>HYPERLINK("http://141.218.60.56/~jnz1568/getInfo.php?workbook=02_01.xlsx&amp;sheet=U0&amp;row=190&amp;col=6&amp;number=4&amp;sourceID=22","4")</f>
        <v>4</v>
      </c>
      <c r="G190" s="4" t="str">
        <f>HYPERLINK("http://141.218.60.56/~jnz1568/getInfo.php?workbook=02_01.xlsx&amp;sheet=U0&amp;row=190&amp;col=7&amp;number=3.38&amp;sourceID=22","3.38")</f>
        <v>3.38</v>
      </c>
    </row>
    <row r="191" spans="1:7">
      <c r="A191" s="3"/>
      <c r="B191" s="3"/>
      <c r="C191" s="3"/>
      <c r="D191" s="3"/>
      <c r="E191" s="3">
        <v>4</v>
      </c>
      <c r="F191" s="4" t="str">
        <f>HYPERLINK("http://141.218.60.56/~jnz1568/getInfo.php?workbook=02_01.xlsx&amp;sheet=U0&amp;row=191&amp;col=6&amp;number=4.3&amp;sourceID=22","4.3")</f>
        <v>4.3</v>
      </c>
      <c r="G191" s="4" t="str">
        <f>HYPERLINK("http://141.218.60.56/~jnz1568/getInfo.php?workbook=02_01.xlsx&amp;sheet=U0&amp;row=191&amp;col=7&amp;number=2.65&amp;sourceID=22","2.65")</f>
        <v>2.65</v>
      </c>
    </row>
    <row r="192" spans="1:7">
      <c r="A192" s="3">
        <v>2</v>
      </c>
      <c r="B192" s="3">
        <v>1</v>
      </c>
      <c r="C192" s="3">
        <v>12</v>
      </c>
      <c r="D192" s="3">
        <v>1</v>
      </c>
      <c r="E192" s="3">
        <v>1</v>
      </c>
      <c r="F192" s="4" t="str">
        <f>HYPERLINK("http://141.218.60.56/~jnz1568/getInfo.php?workbook=02_01.xlsx&amp;sheet=U0&amp;row=192&amp;col=6&amp;number=3.2&amp;sourceID=22","3.2")</f>
        <v>3.2</v>
      </c>
      <c r="G192" s="4" t="str">
        <f>HYPERLINK("http://141.218.60.56/~jnz1568/getInfo.php?workbook=02_01.xlsx&amp;sheet=U0&amp;row=192&amp;col=7&amp;number=0.0181&amp;sourceID=22","0.0181")</f>
        <v>0.0181</v>
      </c>
    </row>
    <row r="193" spans="1:7">
      <c r="A193" s="3"/>
      <c r="B193" s="3"/>
      <c r="C193" s="3"/>
      <c r="D193" s="3"/>
      <c r="E193" s="3">
        <v>2</v>
      </c>
      <c r="F193" s="4" t="str">
        <f>HYPERLINK("http://141.218.60.56/~jnz1568/getInfo.php?workbook=02_01.xlsx&amp;sheet=U0&amp;row=193&amp;col=6&amp;number=3.5&amp;sourceID=22","3.5")</f>
        <v>3.5</v>
      </c>
      <c r="G193" s="4" t="str">
        <f>HYPERLINK("http://141.218.60.56/~jnz1568/getInfo.php?workbook=02_01.xlsx&amp;sheet=U0&amp;row=193&amp;col=7&amp;number=0.0153&amp;sourceID=22","0.0153")</f>
        <v>0.0153</v>
      </c>
    </row>
    <row r="194" spans="1:7">
      <c r="A194" s="3"/>
      <c r="B194" s="3"/>
      <c r="C194" s="3"/>
      <c r="D194" s="3"/>
      <c r="E194" s="3">
        <v>3</v>
      </c>
      <c r="F194" s="4" t="str">
        <f>HYPERLINK("http://141.218.60.56/~jnz1568/getInfo.php?workbook=02_01.xlsx&amp;sheet=U0&amp;row=194&amp;col=6&amp;number=4&amp;sourceID=22","4")</f>
        <v>4</v>
      </c>
      <c r="G194" s="4" t="str">
        <f>HYPERLINK("http://141.218.60.56/~jnz1568/getInfo.php?workbook=02_01.xlsx&amp;sheet=U0&amp;row=194&amp;col=7&amp;number=0.0122&amp;sourceID=22","0.0122")</f>
        <v>0.0122</v>
      </c>
    </row>
    <row r="195" spans="1:7">
      <c r="A195" s="3"/>
      <c r="B195" s="3"/>
      <c r="C195" s="3"/>
      <c r="D195" s="3"/>
      <c r="E195" s="3">
        <v>4</v>
      </c>
      <c r="F195" s="4" t="str">
        <f>HYPERLINK("http://141.218.60.56/~jnz1568/getInfo.php?workbook=02_01.xlsx&amp;sheet=U0&amp;row=195&amp;col=6&amp;number=4.3&amp;sourceID=22","4.3")</f>
        <v>4.3</v>
      </c>
      <c r="G195" s="4" t="str">
        <f>HYPERLINK("http://141.218.60.56/~jnz1568/getInfo.php?workbook=02_01.xlsx&amp;sheet=U0&amp;row=195&amp;col=7&amp;number=0.0112&amp;sourceID=22","0.0112")</f>
        <v>0.0112</v>
      </c>
    </row>
    <row r="196" spans="1:7">
      <c r="A196" s="3">
        <v>2</v>
      </c>
      <c r="B196" s="3">
        <v>1</v>
      </c>
      <c r="C196" s="3">
        <v>12</v>
      </c>
      <c r="D196" s="3">
        <v>2</v>
      </c>
      <c r="E196" s="3">
        <v>1</v>
      </c>
      <c r="F196" s="4" t="str">
        <f>HYPERLINK("http://141.218.60.56/~jnz1568/getInfo.php?workbook=02_01.xlsx&amp;sheet=U0&amp;row=196&amp;col=6&amp;number=3.2&amp;sourceID=22","3.2")</f>
        <v>3.2</v>
      </c>
      <c r="G196" s="4" t="str">
        <f>HYPERLINK("http://141.218.60.56/~jnz1568/getInfo.php?workbook=02_01.xlsx&amp;sheet=U0&amp;row=196&amp;col=7&amp;number=0.658&amp;sourceID=22","0.658")</f>
        <v>0.658</v>
      </c>
    </row>
    <row r="197" spans="1:7">
      <c r="A197" s="3"/>
      <c r="B197" s="3"/>
      <c r="C197" s="3"/>
      <c r="D197" s="3"/>
      <c r="E197" s="3">
        <v>2</v>
      </c>
      <c r="F197" s="4" t="str">
        <f>HYPERLINK("http://141.218.60.56/~jnz1568/getInfo.php?workbook=02_01.xlsx&amp;sheet=U0&amp;row=197&amp;col=6&amp;number=3.5&amp;sourceID=22","3.5")</f>
        <v>3.5</v>
      </c>
      <c r="G197" s="4" t="str">
        <f>HYPERLINK("http://141.218.60.56/~jnz1568/getInfo.php?workbook=02_01.xlsx&amp;sheet=U0&amp;row=197&amp;col=7&amp;number=0.632&amp;sourceID=22","0.632")</f>
        <v>0.632</v>
      </c>
    </row>
    <row r="198" spans="1:7">
      <c r="A198" s="3"/>
      <c r="B198" s="3"/>
      <c r="C198" s="3"/>
      <c r="D198" s="3"/>
      <c r="E198" s="3">
        <v>3</v>
      </c>
      <c r="F198" s="4" t="str">
        <f>HYPERLINK("http://141.218.60.56/~jnz1568/getInfo.php?workbook=02_01.xlsx&amp;sheet=U0&amp;row=198&amp;col=6&amp;number=4&amp;sourceID=22","4")</f>
        <v>4</v>
      </c>
      <c r="G198" s="4" t="str">
        <f>HYPERLINK("http://141.218.60.56/~jnz1568/getInfo.php?workbook=02_01.xlsx&amp;sheet=U0&amp;row=198&amp;col=7&amp;number=0.644&amp;sourceID=22","0.644")</f>
        <v>0.644</v>
      </c>
    </row>
    <row r="199" spans="1:7">
      <c r="A199" s="3"/>
      <c r="B199" s="3"/>
      <c r="C199" s="3"/>
      <c r="D199" s="3"/>
      <c r="E199" s="3">
        <v>4</v>
      </c>
      <c r="F199" s="4" t="str">
        <f>HYPERLINK("http://141.218.60.56/~jnz1568/getInfo.php?workbook=02_01.xlsx&amp;sheet=U0&amp;row=199&amp;col=6&amp;number=4.3&amp;sourceID=22","4.3")</f>
        <v>4.3</v>
      </c>
      <c r="G199" s="4" t="str">
        <f>HYPERLINK("http://141.218.60.56/~jnz1568/getInfo.php?workbook=02_01.xlsx&amp;sheet=U0&amp;row=199&amp;col=7&amp;number=0.734&amp;sourceID=22","0.734")</f>
        <v>0.734</v>
      </c>
    </row>
    <row r="200" spans="1:7">
      <c r="A200" s="3">
        <v>2</v>
      </c>
      <c r="B200" s="3">
        <v>1</v>
      </c>
      <c r="C200" s="3">
        <v>12</v>
      </c>
      <c r="D200" s="3">
        <v>3</v>
      </c>
      <c r="E200" s="3">
        <v>1</v>
      </c>
      <c r="F200" s="4" t="str">
        <f>HYPERLINK("http://141.218.60.56/~jnz1568/getInfo.php?workbook=02_01.xlsx&amp;sheet=U0&amp;row=200&amp;col=6&amp;number=3.2&amp;sourceID=22","3.2")</f>
        <v>3.2</v>
      </c>
      <c r="G200" s="4" t="str">
        <f>HYPERLINK("http://141.218.60.56/~jnz1568/getInfo.php?workbook=02_01.xlsx&amp;sheet=U0&amp;row=200&amp;col=7&amp;number=0.396&amp;sourceID=22","0.396")</f>
        <v>0.396</v>
      </c>
    </row>
    <row r="201" spans="1:7">
      <c r="A201" s="3"/>
      <c r="B201" s="3"/>
      <c r="C201" s="3"/>
      <c r="D201" s="3"/>
      <c r="E201" s="3">
        <v>2</v>
      </c>
      <c r="F201" s="4" t="str">
        <f>HYPERLINK("http://141.218.60.56/~jnz1568/getInfo.php?workbook=02_01.xlsx&amp;sheet=U0&amp;row=201&amp;col=6&amp;number=3.5&amp;sourceID=22","3.5")</f>
        <v>3.5</v>
      </c>
      <c r="G201" s="4" t="str">
        <f>HYPERLINK("http://141.218.60.56/~jnz1568/getInfo.php?workbook=02_01.xlsx&amp;sheet=U0&amp;row=201&amp;col=7&amp;number=0.357&amp;sourceID=22","0.357")</f>
        <v>0.357</v>
      </c>
    </row>
    <row r="202" spans="1:7">
      <c r="A202" s="3"/>
      <c r="B202" s="3"/>
      <c r="C202" s="3"/>
      <c r="D202" s="3"/>
      <c r="E202" s="3">
        <v>3</v>
      </c>
      <c r="F202" s="4" t="str">
        <f>HYPERLINK("http://141.218.60.56/~jnz1568/getInfo.php?workbook=02_01.xlsx&amp;sheet=U0&amp;row=202&amp;col=6&amp;number=4&amp;sourceID=22","4")</f>
        <v>4</v>
      </c>
      <c r="G202" s="4" t="str">
        <f>HYPERLINK("http://141.218.60.56/~jnz1568/getInfo.php?workbook=02_01.xlsx&amp;sheet=U0&amp;row=202&amp;col=7&amp;number=0.291&amp;sourceID=22","0.291")</f>
        <v>0.291</v>
      </c>
    </row>
    <row r="203" spans="1:7">
      <c r="A203" s="3"/>
      <c r="B203" s="3"/>
      <c r="C203" s="3"/>
      <c r="D203" s="3"/>
      <c r="E203" s="3">
        <v>4</v>
      </c>
      <c r="F203" s="4" t="str">
        <f>HYPERLINK("http://141.218.60.56/~jnz1568/getInfo.php?workbook=02_01.xlsx&amp;sheet=U0&amp;row=203&amp;col=6&amp;number=4.3&amp;sourceID=22","4.3")</f>
        <v>4.3</v>
      </c>
      <c r="G203" s="4" t="str">
        <f>HYPERLINK("http://141.218.60.56/~jnz1568/getInfo.php?workbook=02_01.xlsx&amp;sheet=U0&amp;row=203&amp;col=7&amp;number=0.267&amp;sourceID=22","0.267")</f>
        <v>0.267</v>
      </c>
    </row>
    <row r="204" spans="1:7">
      <c r="A204" s="3">
        <v>2</v>
      </c>
      <c r="B204" s="3">
        <v>1</v>
      </c>
      <c r="C204" s="3">
        <v>12</v>
      </c>
      <c r="D204" s="3">
        <v>4</v>
      </c>
      <c r="E204" s="3">
        <v>1</v>
      </c>
      <c r="F204" s="4" t="str">
        <f>HYPERLINK("http://141.218.60.56/~jnz1568/getInfo.php?workbook=02_01.xlsx&amp;sheet=U0&amp;row=204&amp;col=6&amp;number=3.2&amp;sourceID=22","3.2")</f>
        <v>3.2</v>
      </c>
      <c r="G204" s="4" t="str">
        <f>HYPERLINK("http://141.218.60.56/~jnz1568/getInfo.php?workbook=02_01.xlsx&amp;sheet=U0&amp;row=204&amp;col=7&amp;number=0.85&amp;sourceID=22","0.85")</f>
        <v>0.85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HYPERLINK("http://141.218.60.56/~jnz1568/getInfo.php?workbook=02_01.xlsx&amp;sheet=U0&amp;row=205&amp;col=6&amp;number=3.5&amp;sourceID=22","3.5")</f>
        <v>3.5</v>
      </c>
      <c r="G205" s="4" t="str">
        <f>HYPERLINK("http://141.218.60.56/~jnz1568/getInfo.php?workbook=02_01.xlsx&amp;sheet=U0&amp;row=205&amp;col=7&amp;number=0.777&amp;sourceID=22","0.777")</f>
        <v>0.777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HYPERLINK("http://141.218.60.56/~jnz1568/getInfo.php?workbook=02_01.xlsx&amp;sheet=U0&amp;row=206&amp;col=6&amp;number=4&amp;sourceID=22","4")</f>
        <v>4</v>
      </c>
      <c r="G206" s="4" t="str">
        <f>HYPERLINK("http://141.218.60.56/~jnz1568/getInfo.php?workbook=02_01.xlsx&amp;sheet=U0&amp;row=206&amp;col=7&amp;number=0.709&amp;sourceID=22","0.709")</f>
        <v>0.709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HYPERLINK("http://141.218.60.56/~jnz1568/getInfo.php?workbook=02_01.xlsx&amp;sheet=U0&amp;row=207&amp;col=6&amp;number=4.3&amp;sourceID=22","4.3")</f>
        <v>4.3</v>
      </c>
      <c r="G207" s="4" t="str">
        <f>HYPERLINK("http://141.218.60.56/~jnz1568/getInfo.php?workbook=02_01.xlsx&amp;sheet=U0&amp;row=207&amp;col=7&amp;number=0.681&amp;sourceID=22","0.681")</f>
        <v>0.681</v>
      </c>
    </row>
    <row r="208" spans="1:7">
      <c r="A208" s="3">
        <v>2</v>
      </c>
      <c r="B208" s="3">
        <v>1</v>
      </c>
      <c r="C208" s="3">
        <v>12</v>
      </c>
      <c r="D208" s="3">
        <v>5</v>
      </c>
      <c r="E208" s="3">
        <v>1</v>
      </c>
      <c r="F208" s="4" t="str">
        <f>HYPERLINK("http://141.218.60.56/~jnz1568/getInfo.php?workbook=02_01.xlsx&amp;sheet=U0&amp;row=208&amp;col=6&amp;number=3.2&amp;sourceID=22","3.2")</f>
        <v>3.2</v>
      </c>
      <c r="G208" s="4" t="str">
        <f>HYPERLINK("http://141.218.60.56/~jnz1568/getInfo.php?workbook=02_01.xlsx&amp;sheet=U0&amp;row=208&amp;col=7&amp;number=7.26&amp;sourceID=22","7.26")</f>
        <v>7.26</v>
      </c>
    </row>
    <row r="209" spans="1:7">
      <c r="A209" s="3"/>
      <c r="B209" s="3"/>
      <c r="C209" s="3"/>
      <c r="D209" s="3"/>
      <c r="E209" s="3">
        <v>2</v>
      </c>
      <c r="F209" s="4" t="str">
        <f>HYPERLINK("http://141.218.60.56/~jnz1568/getInfo.php?workbook=02_01.xlsx&amp;sheet=U0&amp;row=209&amp;col=6&amp;number=3.5&amp;sourceID=22","3.5")</f>
        <v>3.5</v>
      </c>
      <c r="G209" s="4" t="str">
        <f>HYPERLINK("http://141.218.60.56/~jnz1568/getInfo.php?workbook=02_01.xlsx&amp;sheet=U0&amp;row=209&amp;col=7&amp;number=6.85&amp;sourceID=22","6.85")</f>
        <v>6.85</v>
      </c>
    </row>
    <row r="210" spans="1:7">
      <c r="A210" s="3"/>
      <c r="B210" s="3"/>
      <c r="C210" s="3"/>
      <c r="D210" s="3"/>
      <c r="E210" s="3">
        <v>3</v>
      </c>
      <c r="F210" s="4" t="str">
        <f>HYPERLINK("http://141.218.60.56/~jnz1568/getInfo.php?workbook=02_01.xlsx&amp;sheet=U0&amp;row=210&amp;col=6&amp;number=4&amp;sourceID=22","4")</f>
        <v>4</v>
      </c>
      <c r="G210" s="4" t="str">
        <f>HYPERLINK("http://141.218.60.56/~jnz1568/getInfo.php?workbook=02_01.xlsx&amp;sheet=U0&amp;row=210&amp;col=7&amp;number=6.46&amp;sourceID=22","6.46")</f>
        <v>6.46</v>
      </c>
    </row>
    <row r="211" spans="1:7">
      <c r="A211" s="3"/>
      <c r="B211" s="3"/>
      <c r="C211" s="3"/>
      <c r="D211" s="3"/>
      <c r="E211" s="3">
        <v>4</v>
      </c>
      <c r="F211" s="4" t="str">
        <f>HYPERLINK("http://141.218.60.56/~jnz1568/getInfo.php?workbook=02_01.xlsx&amp;sheet=U0&amp;row=211&amp;col=6&amp;number=4.3&amp;sourceID=22","4.3")</f>
        <v>4.3</v>
      </c>
      <c r="G211" s="4" t="str">
        <f>HYPERLINK("http://141.218.60.56/~jnz1568/getInfo.php?workbook=02_01.xlsx&amp;sheet=U0&amp;row=211&amp;col=7&amp;number=6.8&amp;sourceID=22","6.8")</f>
        <v>6.8</v>
      </c>
    </row>
    <row r="212" spans="1:7">
      <c r="A212" s="3">
        <v>2</v>
      </c>
      <c r="B212" s="3">
        <v>1</v>
      </c>
      <c r="C212" s="3">
        <v>12</v>
      </c>
      <c r="D212" s="3">
        <v>6</v>
      </c>
      <c r="E212" s="3">
        <v>1</v>
      </c>
      <c r="F212" s="4" t="str">
        <f>HYPERLINK("http://141.218.60.56/~jnz1568/getInfo.php?workbook=02_01.xlsx&amp;sheet=U0&amp;row=212&amp;col=6&amp;number=3.2&amp;sourceID=22","3.2")</f>
        <v>3.2</v>
      </c>
      <c r="G212" s="4" t="str">
        <f>HYPERLINK("http://141.218.60.56/~jnz1568/getInfo.php?workbook=02_01.xlsx&amp;sheet=U0&amp;row=212&amp;col=7&amp;number=2.73&amp;sourceID=22","2.73")</f>
        <v>2.73</v>
      </c>
    </row>
    <row r="213" spans="1:7">
      <c r="A213" s="3"/>
      <c r="B213" s="3"/>
      <c r="C213" s="3"/>
      <c r="D213" s="3"/>
      <c r="E213" s="3">
        <v>2</v>
      </c>
      <c r="F213" s="4" t="str">
        <f>HYPERLINK("http://141.218.60.56/~jnz1568/getInfo.php?workbook=02_01.xlsx&amp;sheet=U0&amp;row=213&amp;col=6&amp;number=3.5&amp;sourceID=22","3.5")</f>
        <v>3.5</v>
      </c>
      <c r="G213" s="4" t="str">
        <f>HYPERLINK("http://141.218.60.56/~jnz1568/getInfo.php?workbook=02_01.xlsx&amp;sheet=U0&amp;row=213&amp;col=7&amp;number=2.56&amp;sourceID=22","2.56")</f>
        <v>2.56</v>
      </c>
    </row>
    <row r="214" spans="1:7">
      <c r="A214" s="3"/>
      <c r="B214" s="3"/>
      <c r="C214" s="3"/>
      <c r="D214" s="3"/>
      <c r="E214" s="3">
        <v>3</v>
      </c>
      <c r="F214" s="4" t="str">
        <f>HYPERLINK("http://141.218.60.56/~jnz1568/getInfo.php?workbook=02_01.xlsx&amp;sheet=U0&amp;row=214&amp;col=6&amp;number=4&amp;sourceID=22","4")</f>
        <v>4</v>
      </c>
      <c r="G214" s="4" t="str">
        <f>HYPERLINK("http://141.218.60.56/~jnz1568/getInfo.php?workbook=02_01.xlsx&amp;sheet=U0&amp;row=214&amp;col=7&amp;number=2.37&amp;sourceID=22","2.37")</f>
        <v>2.37</v>
      </c>
    </row>
    <row r="215" spans="1:7">
      <c r="A215" s="3"/>
      <c r="B215" s="3"/>
      <c r="C215" s="3"/>
      <c r="D215" s="3"/>
      <c r="E215" s="3">
        <v>4</v>
      </c>
      <c r="F215" s="4" t="str">
        <f>HYPERLINK("http://141.218.60.56/~jnz1568/getInfo.php?workbook=02_01.xlsx&amp;sheet=U0&amp;row=215&amp;col=6&amp;number=4.3&amp;sourceID=22","4.3")</f>
        <v>4.3</v>
      </c>
      <c r="G215" s="4" t="str">
        <f>HYPERLINK("http://141.218.60.56/~jnz1568/getInfo.php?workbook=02_01.xlsx&amp;sheet=U0&amp;row=215&amp;col=7&amp;number=2.48&amp;sourceID=22","2.48")</f>
        <v>2.48</v>
      </c>
    </row>
    <row r="216" spans="1:7">
      <c r="A216" s="3">
        <v>2</v>
      </c>
      <c r="B216" s="3">
        <v>1</v>
      </c>
      <c r="C216" s="3">
        <v>12</v>
      </c>
      <c r="D216" s="3">
        <v>7</v>
      </c>
      <c r="E216" s="3">
        <v>1</v>
      </c>
      <c r="F216" s="4" t="str">
        <f>HYPERLINK("http://141.218.60.56/~jnz1568/getInfo.php?workbook=02_01.xlsx&amp;sheet=U0&amp;row=216&amp;col=6&amp;number=3.2&amp;sourceID=22","3.2")</f>
        <v>3.2</v>
      </c>
      <c r="G216" s="4" t="str">
        <f>HYPERLINK("http://141.218.60.56/~jnz1568/getInfo.php?workbook=02_01.xlsx&amp;sheet=U0&amp;row=216&amp;col=7&amp;number=7.9&amp;sourceID=22","7.9")</f>
        <v>7.9</v>
      </c>
    </row>
    <row r="217" spans="1:7">
      <c r="A217" s="3"/>
      <c r="B217" s="3"/>
      <c r="C217" s="3"/>
      <c r="D217" s="3"/>
      <c r="E217" s="3">
        <v>2</v>
      </c>
      <c r="F217" s="4" t="str">
        <f>HYPERLINK("http://141.218.60.56/~jnz1568/getInfo.php?workbook=02_01.xlsx&amp;sheet=U0&amp;row=217&amp;col=6&amp;number=3.5&amp;sourceID=22","3.5")</f>
        <v>3.5</v>
      </c>
      <c r="G217" s="4" t="str">
        <f>HYPERLINK("http://141.218.60.56/~jnz1568/getInfo.php?workbook=02_01.xlsx&amp;sheet=U0&amp;row=217&amp;col=7&amp;number=7.62&amp;sourceID=22","7.62")</f>
        <v>7.62</v>
      </c>
    </row>
    <row r="218" spans="1:7">
      <c r="A218" s="3"/>
      <c r="B218" s="3"/>
      <c r="C218" s="3"/>
      <c r="D218" s="3"/>
      <c r="E218" s="3">
        <v>3</v>
      </c>
      <c r="F218" s="4" t="str">
        <f>HYPERLINK("http://141.218.60.56/~jnz1568/getInfo.php?workbook=02_01.xlsx&amp;sheet=U0&amp;row=218&amp;col=6&amp;number=4&amp;sourceID=22","4")</f>
        <v>4</v>
      </c>
      <c r="G218" s="4" t="str">
        <f>HYPERLINK("http://141.218.60.56/~jnz1568/getInfo.php?workbook=02_01.xlsx&amp;sheet=U0&amp;row=218&amp;col=7&amp;number=7.39&amp;sourceID=22","7.39")</f>
        <v>7.39</v>
      </c>
    </row>
    <row r="219" spans="1:7">
      <c r="A219" s="3"/>
      <c r="B219" s="3"/>
      <c r="C219" s="3"/>
      <c r="D219" s="3"/>
      <c r="E219" s="3">
        <v>4</v>
      </c>
      <c r="F219" s="4" t="str">
        <f>HYPERLINK("http://141.218.60.56/~jnz1568/getInfo.php?workbook=02_01.xlsx&amp;sheet=U0&amp;row=219&amp;col=6&amp;number=4.3&amp;sourceID=22","4.3")</f>
        <v>4.3</v>
      </c>
      <c r="G219" s="4" t="str">
        <f>HYPERLINK("http://141.218.60.56/~jnz1568/getInfo.php?workbook=02_01.xlsx&amp;sheet=U0&amp;row=219&amp;col=7&amp;number=7.94&amp;sourceID=22","7.94")</f>
        <v>7.94</v>
      </c>
    </row>
    <row r="220" spans="1:7">
      <c r="A220" s="3">
        <v>2</v>
      </c>
      <c r="B220" s="3">
        <v>1</v>
      </c>
      <c r="C220" s="3">
        <v>12</v>
      </c>
      <c r="D220" s="3">
        <v>8</v>
      </c>
      <c r="E220" s="3">
        <v>1</v>
      </c>
      <c r="F220" s="4" t="str">
        <f>HYPERLINK("http://141.218.60.56/~jnz1568/getInfo.php?workbook=02_01.xlsx&amp;sheet=U0&amp;row=220&amp;col=6&amp;number=3.2&amp;sourceID=22","3.2")</f>
        <v>3.2</v>
      </c>
      <c r="G220" s="4" t="str">
        <f>HYPERLINK("http://141.218.60.56/~jnz1568/getInfo.php?workbook=02_01.xlsx&amp;sheet=U0&amp;row=220&amp;col=7&amp;number=5.16&amp;sourceID=22","5.16")</f>
        <v>5.16</v>
      </c>
    </row>
    <row r="221" spans="1:7">
      <c r="A221" s="3"/>
      <c r="B221" s="3"/>
      <c r="C221" s="3"/>
      <c r="D221" s="3"/>
      <c r="E221" s="3">
        <v>2</v>
      </c>
      <c r="F221" s="4" t="str">
        <f>HYPERLINK("http://141.218.60.56/~jnz1568/getInfo.php?workbook=02_01.xlsx&amp;sheet=U0&amp;row=221&amp;col=6&amp;number=3.5&amp;sourceID=22","3.5")</f>
        <v>3.5</v>
      </c>
      <c r="G221" s="4" t="str">
        <f>HYPERLINK("http://141.218.60.56/~jnz1568/getInfo.php?workbook=02_01.xlsx&amp;sheet=U0&amp;row=221&amp;col=7&amp;number=4.76&amp;sourceID=22","4.76")</f>
        <v>4.76</v>
      </c>
    </row>
    <row r="222" spans="1:7">
      <c r="A222" s="3"/>
      <c r="B222" s="3"/>
      <c r="C222" s="3"/>
      <c r="D222" s="3"/>
      <c r="E222" s="3">
        <v>3</v>
      </c>
      <c r="F222" s="4" t="str">
        <f>HYPERLINK("http://141.218.60.56/~jnz1568/getInfo.php?workbook=02_01.xlsx&amp;sheet=U0&amp;row=222&amp;col=6&amp;number=4&amp;sourceID=22","4")</f>
        <v>4</v>
      </c>
      <c r="G222" s="4" t="str">
        <f>HYPERLINK("http://141.218.60.56/~jnz1568/getInfo.php?workbook=02_01.xlsx&amp;sheet=U0&amp;row=222&amp;col=7&amp;number=4.16&amp;sourceID=22","4.16")</f>
        <v>4.16</v>
      </c>
    </row>
    <row r="223" spans="1:7">
      <c r="A223" s="3"/>
      <c r="B223" s="3"/>
      <c r="C223" s="3"/>
      <c r="D223" s="3"/>
      <c r="E223" s="3">
        <v>4</v>
      </c>
      <c r="F223" s="4" t="str">
        <f>HYPERLINK("http://141.218.60.56/~jnz1568/getInfo.php?workbook=02_01.xlsx&amp;sheet=U0&amp;row=223&amp;col=6&amp;number=4.3&amp;sourceID=22","4.3")</f>
        <v>4.3</v>
      </c>
      <c r="G223" s="4" t="str">
        <f>HYPERLINK("http://141.218.60.56/~jnz1568/getInfo.php?workbook=02_01.xlsx&amp;sheet=U0&amp;row=223&amp;col=7&amp;number=3.89&amp;sourceID=22","3.89")</f>
        <v>3.89</v>
      </c>
    </row>
    <row r="224" spans="1:7">
      <c r="A224" s="3">
        <v>2</v>
      </c>
      <c r="B224" s="3">
        <v>1</v>
      </c>
      <c r="C224" s="3">
        <v>12</v>
      </c>
      <c r="D224" s="3">
        <v>9</v>
      </c>
      <c r="E224" s="3">
        <v>1</v>
      </c>
      <c r="F224" s="4" t="str">
        <f>HYPERLINK("http://141.218.60.56/~jnz1568/getInfo.php?workbook=02_01.xlsx&amp;sheet=U0&amp;row=224&amp;col=6&amp;number=3.2&amp;sourceID=22","3.2")</f>
        <v>3.2</v>
      </c>
      <c r="G224" s="4" t="str">
        <f>HYPERLINK("http://141.218.60.56/~jnz1568/getInfo.php?workbook=02_01.xlsx&amp;sheet=U0&amp;row=224&amp;col=7&amp;number=5.62&amp;sourceID=22","5.62")</f>
        <v>5.62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HYPERLINK("http://141.218.60.56/~jnz1568/getInfo.php?workbook=02_01.xlsx&amp;sheet=U0&amp;row=225&amp;col=6&amp;number=3.5&amp;sourceID=22","3.5")</f>
        <v>3.5</v>
      </c>
      <c r="G225" s="4" t="str">
        <f>HYPERLINK("http://141.218.60.56/~jnz1568/getInfo.php?workbook=02_01.xlsx&amp;sheet=U0&amp;row=225&amp;col=7&amp;number=5.43&amp;sourceID=22","5.43")</f>
        <v>5.43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HYPERLINK("http://141.218.60.56/~jnz1568/getInfo.php?workbook=02_01.xlsx&amp;sheet=U0&amp;row=226&amp;col=6&amp;number=4&amp;sourceID=22","4")</f>
        <v>4</v>
      </c>
      <c r="G226" s="4" t="str">
        <f>HYPERLINK("http://141.218.60.56/~jnz1568/getInfo.php?workbook=02_01.xlsx&amp;sheet=U0&amp;row=226&amp;col=7&amp;number=4.73&amp;sourceID=22","4.73")</f>
        <v>4.73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HYPERLINK("http://141.218.60.56/~jnz1568/getInfo.php?workbook=02_01.xlsx&amp;sheet=U0&amp;row=227&amp;col=6&amp;number=4.3&amp;sourceID=22","4.3")</f>
        <v>4.3</v>
      </c>
      <c r="G227" s="4" t="str">
        <f>HYPERLINK("http://141.218.60.56/~jnz1568/getInfo.php?workbook=02_01.xlsx&amp;sheet=U0&amp;row=227&amp;col=7&amp;number=4.03&amp;sourceID=22","4.03")</f>
        <v>4.03</v>
      </c>
    </row>
    <row r="228" spans="1:7">
      <c r="A228" s="3">
        <v>2</v>
      </c>
      <c r="B228" s="3">
        <v>1</v>
      </c>
      <c r="C228" s="3">
        <v>12</v>
      </c>
      <c r="D228" s="3">
        <v>11</v>
      </c>
      <c r="E228" s="3">
        <v>1</v>
      </c>
      <c r="F228" s="4" t="str">
        <f>HYPERLINK("http://141.218.60.56/~jnz1568/getInfo.php?workbook=02_01.xlsx&amp;sheet=U0&amp;row=228&amp;col=6&amp;number=3.2&amp;sourceID=22","3.2")</f>
        <v>3.2</v>
      </c>
      <c r="G228" s="4" t="str">
        <f>HYPERLINK("http://141.218.60.56/~jnz1568/getInfo.php?workbook=02_01.xlsx&amp;sheet=U0&amp;row=228&amp;col=7&amp;number=26.2&amp;sourceID=22","26.2")</f>
        <v>26.2</v>
      </c>
    </row>
    <row r="229" spans="1:7">
      <c r="A229" s="3"/>
      <c r="B229" s="3"/>
      <c r="C229" s="3"/>
      <c r="D229" s="3"/>
      <c r="E229" s="3">
        <v>2</v>
      </c>
      <c r="F229" s="4" t="str">
        <f>HYPERLINK("http://141.218.60.56/~jnz1568/getInfo.php?workbook=02_01.xlsx&amp;sheet=U0&amp;row=229&amp;col=6&amp;number=3.5&amp;sourceID=22","3.5")</f>
        <v>3.5</v>
      </c>
      <c r="G229" s="4" t="str">
        <f>HYPERLINK("http://141.218.60.56/~jnz1568/getInfo.php?workbook=02_01.xlsx&amp;sheet=U0&amp;row=229&amp;col=7&amp;number=25.3&amp;sourceID=22","25.3")</f>
        <v>25.3</v>
      </c>
    </row>
    <row r="230" spans="1:7">
      <c r="A230" s="3"/>
      <c r="B230" s="3"/>
      <c r="C230" s="3"/>
      <c r="D230" s="3"/>
      <c r="E230" s="3">
        <v>3</v>
      </c>
      <c r="F230" s="4" t="str">
        <f>HYPERLINK("http://141.218.60.56/~jnz1568/getInfo.php?workbook=02_01.xlsx&amp;sheet=U0&amp;row=230&amp;col=6&amp;number=4&amp;sourceID=22","4")</f>
        <v>4</v>
      </c>
      <c r="G230" s="4" t="str">
        <f>HYPERLINK("http://141.218.60.56/~jnz1568/getInfo.php?workbook=02_01.xlsx&amp;sheet=U0&amp;row=230&amp;col=7&amp;number=27.3&amp;sourceID=22","27.3")</f>
        <v>27.3</v>
      </c>
    </row>
    <row r="231" spans="1:7">
      <c r="A231" s="3"/>
      <c r="B231" s="3"/>
      <c r="C231" s="3"/>
      <c r="D231" s="3"/>
      <c r="E231" s="3">
        <v>4</v>
      </c>
      <c r="F231" s="4" t="str">
        <f>HYPERLINK("http://141.218.60.56/~jnz1568/getInfo.php?workbook=02_01.xlsx&amp;sheet=U0&amp;row=231&amp;col=6&amp;number=4.3&amp;sourceID=22","4.3")</f>
        <v>4.3</v>
      </c>
      <c r="G231" s="4" t="str">
        <f>HYPERLINK("http://141.218.60.56/~jnz1568/getInfo.php?workbook=02_01.xlsx&amp;sheet=U0&amp;row=231&amp;col=7&amp;number=30.1&amp;sourceID=22","30.1")</f>
        <v>30.1</v>
      </c>
    </row>
    <row r="232" spans="1:7">
      <c r="A232" s="3">
        <v>2</v>
      </c>
      <c r="B232" s="3">
        <v>1</v>
      </c>
      <c r="C232" s="3">
        <v>13</v>
      </c>
      <c r="D232" s="3">
        <v>1</v>
      </c>
      <c r="E232" s="3">
        <v>1</v>
      </c>
      <c r="F232" s="4" t="str">
        <f>HYPERLINK("http://141.218.60.56/~jnz1568/getInfo.php?workbook=02_01.xlsx&amp;sheet=U0&amp;row=232&amp;col=6&amp;number=3.2&amp;sourceID=22","3.2")</f>
        <v>3.2</v>
      </c>
      <c r="G232" s="4" t="str">
        <f>HYPERLINK("http://141.218.60.56/~jnz1568/getInfo.php?workbook=02_01.xlsx&amp;sheet=U0&amp;row=232&amp;col=7&amp;number=0.0415&amp;sourceID=22","0.0415")</f>
        <v>0.0415</v>
      </c>
    </row>
    <row r="233" spans="1:7">
      <c r="A233" s="3"/>
      <c r="B233" s="3"/>
      <c r="C233" s="3"/>
      <c r="D233" s="3"/>
      <c r="E233" s="3">
        <v>2</v>
      </c>
      <c r="F233" s="4" t="str">
        <f>HYPERLINK("http://141.218.60.56/~jnz1568/getInfo.php?workbook=02_01.xlsx&amp;sheet=U0&amp;row=233&amp;col=6&amp;number=3.5&amp;sourceID=22","3.5")</f>
        <v>3.5</v>
      </c>
      <c r="G233" s="4" t="str">
        <f>HYPERLINK("http://141.218.60.56/~jnz1568/getInfo.php?workbook=02_01.xlsx&amp;sheet=U0&amp;row=233&amp;col=7&amp;number=0.0348&amp;sourceID=22","0.0348")</f>
        <v>0.0348</v>
      </c>
    </row>
    <row r="234" spans="1:7">
      <c r="A234" s="3"/>
      <c r="B234" s="3"/>
      <c r="C234" s="3"/>
      <c r="D234" s="3"/>
      <c r="E234" s="3">
        <v>3</v>
      </c>
      <c r="F234" s="4" t="str">
        <f>HYPERLINK("http://141.218.60.56/~jnz1568/getInfo.php?workbook=02_01.xlsx&amp;sheet=U0&amp;row=234&amp;col=6&amp;number=4&amp;sourceID=22","4")</f>
        <v>4</v>
      </c>
      <c r="G234" s="4" t="str">
        <f>HYPERLINK("http://141.218.60.56/~jnz1568/getInfo.php?workbook=02_01.xlsx&amp;sheet=U0&amp;row=234&amp;col=7&amp;number=0.0283&amp;sourceID=22","0.0283")</f>
        <v>0.0283</v>
      </c>
    </row>
    <row r="235" spans="1:7">
      <c r="A235" s="3"/>
      <c r="B235" s="3"/>
      <c r="C235" s="3"/>
      <c r="D235" s="3"/>
      <c r="E235" s="3">
        <v>4</v>
      </c>
      <c r="F235" s="4" t="str">
        <f>HYPERLINK("http://141.218.60.56/~jnz1568/getInfo.php?workbook=02_01.xlsx&amp;sheet=U0&amp;row=235&amp;col=6&amp;number=4.3&amp;sourceID=22","4.3")</f>
        <v>4.3</v>
      </c>
      <c r="G235" s="4" t="str">
        <f>HYPERLINK("http://141.218.60.56/~jnz1568/getInfo.php?workbook=02_01.xlsx&amp;sheet=U0&amp;row=235&amp;col=7&amp;number=0.0277&amp;sourceID=22","0.0277")</f>
        <v>0.0277</v>
      </c>
    </row>
    <row r="236" spans="1:7">
      <c r="A236" s="3">
        <v>2</v>
      </c>
      <c r="B236" s="3">
        <v>1</v>
      </c>
      <c r="C236" s="3">
        <v>13</v>
      </c>
      <c r="D236" s="3">
        <v>2</v>
      </c>
      <c r="E236" s="3">
        <v>1</v>
      </c>
      <c r="F236" s="4" t="str">
        <f>HYPERLINK("http://141.218.60.56/~jnz1568/getInfo.php?workbook=02_01.xlsx&amp;sheet=U0&amp;row=236&amp;col=6&amp;number=3.2&amp;sourceID=22","3.2")</f>
        <v>3.2</v>
      </c>
      <c r="G236" s="4" t="str">
        <f>HYPERLINK("http://141.218.60.56/~jnz1568/getInfo.php?workbook=02_01.xlsx&amp;sheet=U0&amp;row=236&amp;col=7&amp;number=0.631&amp;sourceID=22","0.631")</f>
        <v>0.631</v>
      </c>
    </row>
    <row r="237" spans="1:7">
      <c r="A237" s="3"/>
      <c r="B237" s="3"/>
      <c r="C237" s="3"/>
      <c r="D237" s="3"/>
      <c r="E237" s="3">
        <v>2</v>
      </c>
      <c r="F237" s="4" t="str">
        <f>HYPERLINK("http://141.218.60.56/~jnz1568/getInfo.php?workbook=02_01.xlsx&amp;sheet=U0&amp;row=237&amp;col=6&amp;number=3.5&amp;sourceID=22","3.5")</f>
        <v>3.5</v>
      </c>
      <c r="G237" s="4" t="str">
        <f>HYPERLINK("http://141.218.60.56/~jnz1568/getInfo.php?workbook=02_01.xlsx&amp;sheet=U0&amp;row=237&amp;col=7&amp;number=0.551&amp;sourceID=22","0.551")</f>
        <v>0.551</v>
      </c>
    </row>
    <row r="238" spans="1:7">
      <c r="A238" s="3"/>
      <c r="B238" s="3"/>
      <c r="C238" s="3"/>
      <c r="D238" s="3"/>
      <c r="E238" s="3">
        <v>3</v>
      </c>
      <c r="F238" s="4" t="str">
        <f>HYPERLINK("http://141.218.60.56/~jnz1568/getInfo.php?workbook=02_01.xlsx&amp;sheet=U0&amp;row=238&amp;col=6&amp;number=4&amp;sourceID=22","4")</f>
        <v>4</v>
      </c>
      <c r="G238" s="4" t="str">
        <f>HYPERLINK("http://141.218.60.56/~jnz1568/getInfo.php?workbook=02_01.xlsx&amp;sheet=U0&amp;row=238&amp;col=7&amp;number=0.435&amp;sourceID=22","0.435")</f>
        <v>0.435</v>
      </c>
    </row>
    <row r="239" spans="1:7">
      <c r="A239" s="3"/>
      <c r="B239" s="3"/>
      <c r="C239" s="3"/>
      <c r="D239" s="3"/>
      <c r="E239" s="3">
        <v>4</v>
      </c>
      <c r="F239" s="4" t="str">
        <f>HYPERLINK("http://141.218.60.56/~jnz1568/getInfo.php?workbook=02_01.xlsx&amp;sheet=U0&amp;row=239&amp;col=6&amp;number=4.3&amp;sourceID=22","4.3")</f>
        <v>4.3</v>
      </c>
      <c r="G239" s="4" t="str">
        <f>HYPERLINK("http://141.218.60.56/~jnz1568/getInfo.php?workbook=02_01.xlsx&amp;sheet=U0&amp;row=239&amp;col=7&amp;number=0.37&amp;sourceID=22","0.37")</f>
        <v>0.37</v>
      </c>
    </row>
    <row r="240" spans="1:7">
      <c r="A240" s="3">
        <v>2</v>
      </c>
      <c r="B240" s="3">
        <v>1</v>
      </c>
      <c r="C240" s="3">
        <v>13</v>
      </c>
      <c r="D240" s="3">
        <v>3</v>
      </c>
      <c r="E240" s="3">
        <v>1</v>
      </c>
      <c r="F240" s="4" t="str">
        <f>HYPERLINK("http://141.218.60.56/~jnz1568/getInfo.php?workbook=02_01.xlsx&amp;sheet=U0&amp;row=240&amp;col=6&amp;number=3.2&amp;sourceID=22","3.2")</f>
        <v>3.2</v>
      </c>
      <c r="G240" s="4" t="str">
        <f>HYPERLINK("http://141.218.60.56/~jnz1568/getInfo.php?workbook=02_01.xlsx&amp;sheet=U0&amp;row=240&amp;col=7&amp;number=0.69&amp;sourceID=22","0.69")</f>
        <v>0.69</v>
      </c>
    </row>
    <row r="241" spans="1:7">
      <c r="A241" s="3"/>
      <c r="B241" s="3"/>
      <c r="C241" s="3"/>
      <c r="D241" s="3"/>
      <c r="E241" s="3">
        <v>2</v>
      </c>
      <c r="F241" s="4" t="str">
        <f>HYPERLINK("http://141.218.60.56/~jnz1568/getInfo.php?workbook=02_01.xlsx&amp;sheet=U0&amp;row=241&amp;col=6&amp;number=3.5&amp;sourceID=22","3.5")</f>
        <v>3.5</v>
      </c>
      <c r="G241" s="4" t="str">
        <f>HYPERLINK("http://141.218.60.56/~jnz1568/getInfo.php?workbook=02_01.xlsx&amp;sheet=U0&amp;row=241&amp;col=7&amp;number=0.606&amp;sourceID=22","0.606")</f>
        <v>0.606</v>
      </c>
    </row>
    <row r="242" spans="1:7">
      <c r="A242" s="3"/>
      <c r="B242" s="3"/>
      <c r="C242" s="3"/>
      <c r="D242" s="3"/>
      <c r="E242" s="3">
        <v>3</v>
      </c>
      <c r="F242" s="4" t="str">
        <f>HYPERLINK("http://141.218.60.56/~jnz1568/getInfo.php?workbook=02_01.xlsx&amp;sheet=U0&amp;row=242&amp;col=6&amp;number=4&amp;sourceID=22","4")</f>
        <v>4</v>
      </c>
      <c r="G242" s="4" t="str">
        <f>HYPERLINK("http://141.218.60.56/~jnz1568/getInfo.php?workbook=02_01.xlsx&amp;sheet=U0&amp;row=242&amp;col=7&amp;number=0.502&amp;sourceID=22","0.502")</f>
        <v>0.502</v>
      </c>
    </row>
    <row r="243" spans="1:7">
      <c r="A243" s="3"/>
      <c r="B243" s="3"/>
      <c r="C243" s="3"/>
      <c r="D243" s="3"/>
      <c r="E243" s="3">
        <v>4</v>
      </c>
      <c r="F243" s="4" t="str">
        <f>HYPERLINK("http://141.218.60.56/~jnz1568/getInfo.php?workbook=02_01.xlsx&amp;sheet=U0&amp;row=243&amp;col=6&amp;number=4.3&amp;sourceID=22","4.3")</f>
        <v>4.3</v>
      </c>
      <c r="G243" s="4" t="str">
        <f>HYPERLINK("http://141.218.60.56/~jnz1568/getInfo.php?workbook=02_01.xlsx&amp;sheet=U0&amp;row=243&amp;col=7&amp;number=0.477&amp;sourceID=22","0.477")</f>
        <v>0.477</v>
      </c>
    </row>
    <row r="244" spans="1:7">
      <c r="A244" s="3">
        <v>2</v>
      </c>
      <c r="B244" s="3">
        <v>1</v>
      </c>
      <c r="C244" s="3">
        <v>13</v>
      </c>
      <c r="D244" s="3">
        <v>4</v>
      </c>
      <c r="E244" s="3">
        <v>1</v>
      </c>
      <c r="F244" s="4" t="str">
        <f>HYPERLINK("http://141.218.60.56/~jnz1568/getInfo.php?workbook=02_01.xlsx&amp;sheet=U0&amp;row=244&amp;col=6&amp;number=3.2&amp;sourceID=22","3.2")</f>
        <v>3.2</v>
      </c>
      <c r="G244" s="4" t="str">
        <f>HYPERLINK("http://141.218.60.56/~jnz1568/getInfo.php?workbook=02_01.xlsx&amp;sheet=U0&amp;row=244&amp;col=7&amp;number=1.57&amp;sourceID=22","1.57")</f>
        <v>1.57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HYPERLINK("http://141.218.60.56/~jnz1568/getInfo.php?workbook=02_01.xlsx&amp;sheet=U0&amp;row=245&amp;col=6&amp;number=3.5&amp;sourceID=22","3.5")</f>
        <v>3.5</v>
      </c>
      <c r="G245" s="4" t="str">
        <f>HYPERLINK("http://141.218.60.56/~jnz1568/getInfo.php?workbook=02_01.xlsx&amp;sheet=U0&amp;row=245&amp;col=7&amp;number=1.4&amp;sourceID=22","1.4")</f>
        <v>1.4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HYPERLINK("http://141.218.60.56/~jnz1568/getInfo.php?workbook=02_01.xlsx&amp;sheet=U0&amp;row=246&amp;col=6&amp;number=4&amp;sourceID=22","4")</f>
        <v>4</v>
      </c>
      <c r="G246" s="4" t="str">
        <f>HYPERLINK("http://141.218.60.56/~jnz1568/getInfo.php?workbook=02_01.xlsx&amp;sheet=U0&amp;row=246&amp;col=7&amp;number=1.16&amp;sourceID=22","1.16")</f>
        <v>1.16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HYPERLINK("http://141.218.60.56/~jnz1568/getInfo.php?workbook=02_01.xlsx&amp;sheet=U0&amp;row=247&amp;col=6&amp;number=4.3&amp;sourceID=22","4.3")</f>
        <v>4.3</v>
      </c>
      <c r="G247" s="4" t="str">
        <f>HYPERLINK("http://141.218.60.56/~jnz1568/getInfo.php?workbook=02_01.xlsx&amp;sheet=U0&amp;row=247&amp;col=7&amp;number=1.05&amp;sourceID=22","1.05")</f>
        <v>1.05</v>
      </c>
    </row>
    <row r="248" spans="1:7">
      <c r="A248" s="3">
        <v>2</v>
      </c>
      <c r="B248" s="3">
        <v>1</v>
      </c>
      <c r="C248" s="3">
        <v>13</v>
      </c>
      <c r="D248" s="3">
        <v>5</v>
      </c>
      <c r="E248" s="3">
        <v>1</v>
      </c>
      <c r="F248" s="4" t="str">
        <f>HYPERLINK("http://141.218.60.56/~jnz1568/getInfo.php?workbook=02_01.xlsx&amp;sheet=U0&amp;row=248&amp;col=6&amp;number=3.2&amp;sourceID=22","3.2")</f>
        <v>3.2</v>
      </c>
      <c r="G248" s="4" t="str">
        <f>HYPERLINK("http://141.218.60.56/~jnz1568/getInfo.php?workbook=02_01.xlsx&amp;sheet=U0&amp;row=248&amp;col=7&amp;number=3.04&amp;sourceID=22","3.04")</f>
        <v>3.04</v>
      </c>
    </row>
    <row r="249" spans="1:7">
      <c r="A249" s="3"/>
      <c r="B249" s="3"/>
      <c r="C249" s="3"/>
      <c r="D249" s="3"/>
      <c r="E249" s="3">
        <v>2</v>
      </c>
      <c r="F249" s="4" t="str">
        <f>HYPERLINK("http://141.218.60.56/~jnz1568/getInfo.php?workbook=02_01.xlsx&amp;sheet=U0&amp;row=249&amp;col=6&amp;number=3.5&amp;sourceID=22","3.5")</f>
        <v>3.5</v>
      </c>
      <c r="G249" s="4" t="str">
        <f>HYPERLINK("http://141.218.60.56/~jnz1568/getInfo.php?workbook=02_01.xlsx&amp;sheet=U0&amp;row=249&amp;col=7&amp;number=2.68&amp;sourceID=22","2.68")</f>
        <v>2.68</v>
      </c>
    </row>
    <row r="250" spans="1:7">
      <c r="A250" s="3"/>
      <c r="B250" s="3"/>
      <c r="C250" s="3"/>
      <c r="D250" s="3"/>
      <c r="E250" s="3">
        <v>3</v>
      </c>
      <c r="F250" s="4" t="str">
        <f>HYPERLINK("http://141.218.60.56/~jnz1568/getInfo.php?workbook=02_01.xlsx&amp;sheet=U0&amp;row=250&amp;col=6&amp;number=4&amp;sourceID=22","4")</f>
        <v>4</v>
      </c>
      <c r="G250" s="4" t="str">
        <f>HYPERLINK("http://141.218.60.56/~jnz1568/getInfo.php?workbook=02_01.xlsx&amp;sheet=U0&amp;row=250&amp;col=7&amp;number=2.21&amp;sourceID=22","2.21")</f>
        <v>2.21</v>
      </c>
    </row>
    <row r="251" spans="1:7">
      <c r="A251" s="3"/>
      <c r="B251" s="3"/>
      <c r="C251" s="3"/>
      <c r="D251" s="3"/>
      <c r="E251" s="3">
        <v>4</v>
      </c>
      <c r="F251" s="4" t="str">
        <f>HYPERLINK("http://141.218.60.56/~jnz1568/getInfo.php?workbook=02_01.xlsx&amp;sheet=U0&amp;row=251&amp;col=6&amp;number=4.3&amp;sourceID=22","4.3")</f>
        <v>4.3</v>
      </c>
      <c r="G251" s="4" t="str">
        <f>HYPERLINK("http://141.218.60.56/~jnz1568/getInfo.php?workbook=02_01.xlsx&amp;sheet=U0&amp;row=251&amp;col=7&amp;number=1.96&amp;sourceID=22","1.96")</f>
        <v>1.96</v>
      </c>
    </row>
    <row r="252" spans="1:7">
      <c r="A252" s="3">
        <v>2</v>
      </c>
      <c r="B252" s="3">
        <v>1</v>
      </c>
      <c r="C252" s="3">
        <v>13</v>
      </c>
      <c r="D252" s="3">
        <v>6</v>
      </c>
      <c r="E252" s="3">
        <v>1</v>
      </c>
      <c r="F252" s="4" t="str">
        <f>HYPERLINK("http://141.218.60.56/~jnz1568/getInfo.php?workbook=02_01.xlsx&amp;sheet=U0&amp;row=252&amp;col=6&amp;number=3.2&amp;sourceID=22","3.2")</f>
        <v>3.2</v>
      </c>
      <c r="G252" s="4" t="str">
        <f>HYPERLINK("http://141.218.60.56/~jnz1568/getInfo.php?workbook=02_01.xlsx&amp;sheet=U0&amp;row=252&amp;col=7&amp;number=4.79&amp;sourceID=22","4.79")</f>
        <v>4.79</v>
      </c>
    </row>
    <row r="253" spans="1:7">
      <c r="A253" s="3"/>
      <c r="B253" s="3"/>
      <c r="C253" s="3"/>
      <c r="D253" s="3"/>
      <c r="E253" s="3">
        <v>2</v>
      </c>
      <c r="F253" s="4" t="str">
        <f>HYPERLINK("http://141.218.60.56/~jnz1568/getInfo.php?workbook=02_01.xlsx&amp;sheet=U0&amp;row=253&amp;col=6&amp;number=3.5&amp;sourceID=22","3.5")</f>
        <v>3.5</v>
      </c>
      <c r="G253" s="4" t="str">
        <f>HYPERLINK("http://141.218.60.56/~jnz1568/getInfo.php?workbook=02_01.xlsx&amp;sheet=U0&amp;row=253&amp;col=7&amp;number=4.38&amp;sourceID=22","4.38")</f>
        <v>4.38</v>
      </c>
    </row>
    <row r="254" spans="1:7">
      <c r="A254" s="3"/>
      <c r="B254" s="3"/>
      <c r="C254" s="3"/>
      <c r="D254" s="3"/>
      <c r="E254" s="3">
        <v>3</v>
      </c>
      <c r="F254" s="4" t="str">
        <f>HYPERLINK("http://141.218.60.56/~jnz1568/getInfo.php?workbook=02_01.xlsx&amp;sheet=U0&amp;row=254&amp;col=6&amp;number=4&amp;sourceID=22","4")</f>
        <v>4</v>
      </c>
      <c r="G254" s="4" t="str">
        <f>HYPERLINK("http://141.218.60.56/~jnz1568/getInfo.php?workbook=02_01.xlsx&amp;sheet=U0&amp;row=254&amp;col=7&amp;number=3.84&amp;sourceID=22","3.84")</f>
        <v>3.84</v>
      </c>
    </row>
    <row r="255" spans="1:7">
      <c r="A255" s="3"/>
      <c r="B255" s="3"/>
      <c r="C255" s="3"/>
      <c r="D255" s="3"/>
      <c r="E255" s="3">
        <v>4</v>
      </c>
      <c r="F255" s="4" t="str">
        <f>HYPERLINK("http://141.218.60.56/~jnz1568/getInfo.php?workbook=02_01.xlsx&amp;sheet=U0&amp;row=255&amp;col=6&amp;number=4.3&amp;sourceID=22","4.3")</f>
        <v>4.3</v>
      </c>
      <c r="G255" s="4" t="str">
        <f>HYPERLINK("http://141.218.60.56/~jnz1568/getInfo.php?workbook=02_01.xlsx&amp;sheet=U0&amp;row=255&amp;col=7&amp;number=3.65&amp;sourceID=22","3.65")</f>
        <v>3.65</v>
      </c>
    </row>
    <row r="256" spans="1:7">
      <c r="A256" s="3">
        <v>2</v>
      </c>
      <c r="B256" s="3">
        <v>1</v>
      </c>
      <c r="C256" s="3">
        <v>13</v>
      </c>
      <c r="D256" s="3">
        <v>7</v>
      </c>
      <c r="E256" s="3">
        <v>1</v>
      </c>
      <c r="F256" s="4" t="str">
        <f>HYPERLINK("http://141.218.60.56/~jnz1568/getInfo.php?workbook=02_01.xlsx&amp;sheet=U0&amp;row=256&amp;col=6&amp;number=3.2&amp;sourceID=22","3.2")</f>
        <v>3.2</v>
      </c>
      <c r="G256" s="4" t="str">
        <f>HYPERLINK("http://141.218.60.56/~jnz1568/getInfo.php?workbook=02_01.xlsx&amp;sheet=U0&amp;row=256&amp;col=7&amp;number=4.79&amp;sourceID=22","4.79")</f>
        <v>4.79</v>
      </c>
    </row>
    <row r="257" spans="1:7">
      <c r="A257" s="3"/>
      <c r="B257" s="3"/>
      <c r="C257" s="3"/>
      <c r="D257" s="3"/>
      <c r="E257" s="3">
        <v>2</v>
      </c>
      <c r="F257" s="4" t="str">
        <f>HYPERLINK("http://141.218.60.56/~jnz1568/getInfo.php?workbook=02_01.xlsx&amp;sheet=U0&amp;row=257&amp;col=6&amp;number=3.5&amp;sourceID=22","3.5")</f>
        <v>3.5</v>
      </c>
      <c r="G257" s="4" t="str">
        <f>HYPERLINK("http://141.218.60.56/~jnz1568/getInfo.php?workbook=02_01.xlsx&amp;sheet=U0&amp;row=257&amp;col=7&amp;number=4.44&amp;sourceID=22","4.44")</f>
        <v>4.44</v>
      </c>
    </row>
    <row r="258" spans="1:7">
      <c r="A258" s="3"/>
      <c r="B258" s="3"/>
      <c r="C258" s="3"/>
      <c r="D258" s="3"/>
      <c r="E258" s="3">
        <v>3</v>
      </c>
      <c r="F258" s="4" t="str">
        <f>HYPERLINK("http://141.218.60.56/~jnz1568/getInfo.php?workbook=02_01.xlsx&amp;sheet=U0&amp;row=258&amp;col=6&amp;number=4&amp;sourceID=22","4")</f>
        <v>4</v>
      </c>
      <c r="G258" s="4" t="str">
        <f>HYPERLINK("http://141.218.60.56/~jnz1568/getInfo.php?workbook=02_01.xlsx&amp;sheet=U0&amp;row=258&amp;col=7&amp;number=3.62&amp;sourceID=22","3.62")</f>
        <v>3.62</v>
      </c>
    </row>
    <row r="259" spans="1:7">
      <c r="A259" s="3"/>
      <c r="B259" s="3"/>
      <c r="C259" s="3"/>
      <c r="D259" s="3"/>
      <c r="E259" s="3">
        <v>4</v>
      </c>
      <c r="F259" s="4" t="str">
        <f>HYPERLINK("http://141.218.60.56/~jnz1568/getInfo.php?workbook=02_01.xlsx&amp;sheet=U0&amp;row=259&amp;col=6&amp;number=4.3&amp;sourceID=22","4.3")</f>
        <v>4.3</v>
      </c>
      <c r="G259" s="4" t="str">
        <f>HYPERLINK("http://141.218.60.56/~jnz1568/getInfo.php?workbook=02_01.xlsx&amp;sheet=U0&amp;row=259&amp;col=7&amp;number=2.96&amp;sourceID=22","2.96")</f>
        <v>2.96</v>
      </c>
    </row>
    <row r="260" spans="1:7">
      <c r="A260" s="3">
        <v>2</v>
      </c>
      <c r="B260" s="3">
        <v>1</v>
      </c>
      <c r="C260" s="3">
        <v>13</v>
      </c>
      <c r="D260" s="3">
        <v>8</v>
      </c>
      <c r="E260" s="3">
        <v>1</v>
      </c>
      <c r="F260" s="4" t="str">
        <f>HYPERLINK("http://141.218.60.56/~jnz1568/getInfo.php?workbook=02_01.xlsx&amp;sheet=U0&amp;row=260&amp;col=6&amp;number=3.2&amp;sourceID=22","3.2")</f>
        <v>3.2</v>
      </c>
      <c r="G260" s="4" t="str">
        <f>HYPERLINK("http://141.218.60.56/~jnz1568/getInfo.php?workbook=02_01.xlsx&amp;sheet=U0&amp;row=260&amp;col=7&amp;number=7.62&amp;sourceID=22","7.62")</f>
        <v>7.62</v>
      </c>
    </row>
    <row r="261" spans="1:7">
      <c r="A261" s="3"/>
      <c r="B261" s="3"/>
      <c r="C261" s="3"/>
      <c r="D261" s="3"/>
      <c r="E261" s="3">
        <v>2</v>
      </c>
      <c r="F261" s="4" t="str">
        <f>HYPERLINK("http://141.218.60.56/~jnz1568/getInfo.php?workbook=02_01.xlsx&amp;sheet=U0&amp;row=261&amp;col=6&amp;number=3.5&amp;sourceID=22","3.5")</f>
        <v>3.5</v>
      </c>
      <c r="G261" s="4" t="str">
        <f>HYPERLINK("http://141.218.60.56/~jnz1568/getInfo.php?workbook=02_01.xlsx&amp;sheet=U0&amp;row=261&amp;col=7&amp;number=6.92&amp;sourceID=22","6.92")</f>
        <v>6.92</v>
      </c>
    </row>
    <row r="262" spans="1:7">
      <c r="A262" s="3"/>
      <c r="B262" s="3"/>
      <c r="C262" s="3"/>
      <c r="D262" s="3"/>
      <c r="E262" s="3">
        <v>3</v>
      </c>
      <c r="F262" s="4" t="str">
        <f>HYPERLINK("http://141.218.60.56/~jnz1568/getInfo.php?workbook=02_01.xlsx&amp;sheet=U0&amp;row=262&amp;col=6&amp;number=4&amp;sourceID=22","4")</f>
        <v>4</v>
      </c>
      <c r="G262" s="4" t="str">
        <f>HYPERLINK("http://141.218.60.56/~jnz1568/getInfo.php?workbook=02_01.xlsx&amp;sheet=U0&amp;row=262&amp;col=7&amp;number=6.35&amp;sourceID=22","6.35")</f>
        <v>6.35</v>
      </c>
    </row>
    <row r="263" spans="1:7">
      <c r="A263" s="3"/>
      <c r="B263" s="3"/>
      <c r="C263" s="3"/>
      <c r="D263" s="3"/>
      <c r="E263" s="3">
        <v>4</v>
      </c>
      <c r="F263" s="4" t="str">
        <f>HYPERLINK("http://141.218.60.56/~jnz1568/getInfo.php?workbook=02_01.xlsx&amp;sheet=U0&amp;row=263&amp;col=6&amp;number=4.3&amp;sourceID=22","4.3")</f>
        <v>4.3</v>
      </c>
      <c r="G263" s="4" t="str">
        <f>HYPERLINK("http://141.218.60.56/~jnz1568/getInfo.php?workbook=02_01.xlsx&amp;sheet=U0&amp;row=263&amp;col=7&amp;number=6.89&amp;sourceID=22","6.89")</f>
        <v>6.89</v>
      </c>
    </row>
    <row r="264" spans="1:7">
      <c r="A264" s="3">
        <v>2</v>
      </c>
      <c r="B264" s="3">
        <v>1</v>
      </c>
      <c r="C264" s="3">
        <v>13</v>
      </c>
      <c r="D264" s="3">
        <v>9</v>
      </c>
      <c r="E264" s="3">
        <v>1</v>
      </c>
      <c r="F264" s="4" t="str">
        <f>HYPERLINK("http://141.218.60.56/~jnz1568/getInfo.php?workbook=02_01.xlsx&amp;sheet=U0&amp;row=264&amp;col=6&amp;number=3.2&amp;sourceID=22","3.2")</f>
        <v>3.2</v>
      </c>
      <c r="G264" s="4" t="str">
        <f>HYPERLINK("http://141.218.60.56/~jnz1568/getInfo.php?workbook=02_01.xlsx&amp;sheet=U0&amp;row=264&amp;col=7&amp;number=11&amp;sourceID=22","11")</f>
        <v>11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HYPERLINK("http://141.218.60.56/~jnz1568/getInfo.php?workbook=02_01.xlsx&amp;sheet=U0&amp;row=265&amp;col=6&amp;number=3.5&amp;sourceID=22","3.5")</f>
        <v>3.5</v>
      </c>
      <c r="G265" s="4" t="str">
        <f>HYPERLINK("http://141.218.60.56/~jnz1568/getInfo.php?workbook=02_01.xlsx&amp;sheet=U0&amp;row=265&amp;col=7&amp;number=10.3&amp;sourceID=22","10.3")</f>
        <v>10.3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HYPERLINK("http://141.218.60.56/~jnz1568/getInfo.php?workbook=02_01.xlsx&amp;sheet=U0&amp;row=266&amp;col=6&amp;number=4&amp;sourceID=22","4")</f>
        <v>4</v>
      </c>
      <c r="G266" s="4" t="str">
        <f>HYPERLINK("http://141.218.60.56/~jnz1568/getInfo.php?workbook=02_01.xlsx&amp;sheet=U0&amp;row=266&amp;col=7&amp;number=8.63&amp;sourceID=22","8.63")</f>
        <v>8.63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HYPERLINK("http://141.218.60.56/~jnz1568/getInfo.php?workbook=02_01.xlsx&amp;sheet=U0&amp;row=267&amp;col=6&amp;number=4.3&amp;sourceID=22","4.3")</f>
        <v>4.3</v>
      </c>
      <c r="G267" s="4" t="str">
        <f>HYPERLINK("http://141.218.60.56/~jnz1568/getInfo.php?workbook=02_01.xlsx&amp;sheet=U0&amp;row=267&amp;col=7&amp;number=7.47&amp;sourceID=22","7.47")</f>
        <v>7.47</v>
      </c>
    </row>
    <row r="268" spans="1:7">
      <c r="A268" s="3">
        <v>2</v>
      </c>
      <c r="B268" s="3">
        <v>1</v>
      </c>
      <c r="C268" s="3">
        <v>13</v>
      </c>
      <c r="D268" s="3">
        <v>10</v>
      </c>
      <c r="E268" s="3">
        <v>1</v>
      </c>
      <c r="F268" s="4" t="str">
        <f>HYPERLINK("http://141.218.60.56/~jnz1568/getInfo.php?workbook=02_01.xlsx&amp;sheet=U0&amp;row=268&amp;col=6&amp;number=3.2&amp;sourceID=22","3.2")</f>
        <v>3.2</v>
      </c>
      <c r="G268" s="4" t="str">
        <f>HYPERLINK("http://141.218.60.56/~jnz1568/getInfo.php?workbook=02_01.xlsx&amp;sheet=U0&amp;row=268&amp;col=7&amp;number=34.7&amp;sourceID=22","34.7")</f>
        <v>34.7</v>
      </c>
    </row>
    <row r="269" spans="1:7">
      <c r="A269" s="3"/>
      <c r="B269" s="3"/>
      <c r="C269" s="3"/>
      <c r="D269" s="3"/>
      <c r="E269" s="3">
        <v>2</v>
      </c>
      <c r="F269" s="4" t="str">
        <f>HYPERLINK("http://141.218.60.56/~jnz1568/getInfo.php?workbook=02_01.xlsx&amp;sheet=U0&amp;row=269&amp;col=6&amp;number=3.5&amp;sourceID=22","3.5")</f>
        <v>3.5</v>
      </c>
      <c r="G269" s="4" t="str">
        <f>HYPERLINK("http://141.218.60.56/~jnz1568/getInfo.php?workbook=02_01.xlsx&amp;sheet=U0&amp;row=269&amp;col=7&amp;number=33.4&amp;sourceID=22","33.4")</f>
        <v>33.4</v>
      </c>
    </row>
    <row r="270" spans="1:7">
      <c r="A270" s="3"/>
      <c r="B270" s="3"/>
      <c r="C270" s="3"/>
      <c r="D270" s="3"/>
      <c r="E270" s="3">
        <v>3</v>
      </c>
      <c r="F270" s="4" t="str">
        <f>HYPERLINK("http://141.218.60.56/~jnz1568/getInfo.php?workbook=02_01.xlsx&amp;sheet=U0&amp;row=270&amp;col=6&amp;number=4&amp;sourceID=22","4")</f>
        <v>4</v>
      </c>
      <c r="G270" s="4" t="str">
        <f>HYPERLINK("http://141.218.60.56/~jnz1568/getInfo.php?workbook=02_01.xlsx&amp;sheet=U0&amp;row=270&amp;col=7&amp;number=35.2&amp;sourceID=22","35.2")</f>
        <v>35.2</v>
      </c>
    </row>
    <row r="271" spans="1:7">
      <c r="A271" s="3"/>
      <c r="B271" s="3"/>
      <c r="C271" s="3"/>
      <c r="D271" s="3"/>
      <c r="E271" s="3">
        <v>4</v>
      </c>
      <c r="F271" s="4" t="str">
        <f>HYPERLINK("http://141.218.60.56/~jnz1568/getInfo.php?workbook=02_01.xlsx&amp;sheet=U0&amp;row=271&amp;col=6&amp;number=4.3&amp;sourceID=22","4.3")</f>
        <v>4.3</v>
      </c>
      <c r="G271" s="4" t="str">
        <f>HYPERLINK("http://141.218.60.56/~jnz1568/getInfo.php?workbook=02_01.xlsx&amp;sheet=U0&amp;row=271&amp;col=7&amp;number=38.3&amp;sourceID=22","38.3")</f>
        <v>38.3</v>
      </c>
    </row>
    <row r="272" spans="1:7">
      <c r="A272" s="3">
        <v>2</v>
      </c>
      <c r="B272" s="3">
        <v>1</v>
      </c>
      <c r="C272" s="3">
        <v>14</v>
      </c>
      <c r="D272" s="3">
        <v>1</v>
      </c>
      <c r="E272" s="3">
        <v>1</v>
      </c>
      <c r="F272" s="4" t="str">
        <f>HYPERLINK("http://141.218.60.56/~jnz1568/getInfo.php?workbook=02_01.xlsx&amp;sheet=U0&amp;row=272&amp;col=6&amp;number=3.2&amp;sourceID=22","3.2")</f>
        <v>3.2</v>
      </c>
      <c r="G272" s="4" t="str">
        <f>HYPERLINK("http://141.218.60.56/~jnz1568/getInfo.php?workbook=02_01.xlsx&amp;sheet=U0&amp;row=272&amp;col=7&amp;number=0.00511&amp;sourceID=22","0.00511")</f>
        <v>0.00511</v>
      </c>
    </row>
    <row r="273" spans="1:7">
      <c r="A273" s="3"/>
      <c r="B273" s="3"/>
      <c r="C273" s="3"/>
      <c r="D273" s="3"/>
      <c r="E273" s="3">
        <v>2</v>
      </c>
      <c r="F273" s="4" t="str">
        <f>HYPERLINK("http://141.218.60.56/~jnz1568/getInfo.php?workbook=02_01.xlsx&amp;sheet=U0&amp;row=273&amp;col=6&amp;number=3.5&amp;sourceID=22","3.5")</f>
        <v>3.5</v>
      </c>
      <c r="G273" s="4" t="str">
        <f>HYPERLINK("http://141.218.60.56/~jnz1568/getInfo.php?workbook=02_01.xlsx&amp;sheet=U0&amp;row=273&amp;col=7&amp;number=0.00481&amp;sourceID=22","0.00481")</f>
        <v>0.00481</v>
      </c>
    </row>
    <row r="274" spans="1:7">
      <c r="A274" s="3"/>
      <c r="B274" s="3"/>
      <c r="C274" s="3"/>
      <c r="D274" s="3"/>
      <c r="E274" s="3">
        <v>3</v>
      </c>
      <c r="F274" s="4" t="str">
        <f>HYPERLINK("http://141.218.60.56/~jnz1568/getInfo.php?workbook=02_01.xlsx&amp;sheet=U0&amp;row=274&amp;col=6&amp;number=4&amp;sourceID=22","4")</f>
        <v>4</v>
      </c>
      <c r="G274" s="4" t="str">
        <f>HYPERLINK("http://141.218.60.56/~jnz1568/getInfo.php?workbook=02_01.xlsx&amp;sheet=U0&amp;row=274&amp;col=7&amp;number=0.00408&amp;sourceID=22","0.00408")</f>
        <v>0.00408</v>
      </c>
    </row>
    <row r="275" spans="1:7">
      <c r="A275" s="3"/>
      <c r="B275" s="3"/>
      <c r="C275" s="3"/>
      <c r="D275" s="3"/>
      <c r="E275" s="3">
        <v>4</v>
      </c>
      <c r="F275" s="4" t="str">
        <f>HYPERLINK("http://141.218.60.56/~jnz1568/getInfo.php?workbook=02_01.xlsx&amp;sheet=U0&amp;row=275&amp;col=6&amp;number=4.3&amp;sourceID=22","4.3")</f>
        <v>4.3</v>
      </c>
      <c r="G275" s="4" t="str">
        <f>HYPERLINK("http://141.218.60.56/~jnz1568/getInfo.php?workbook=02_01.xlsx&amp;sheet=U0&amp;row=275&amp;col=7&amp;number=0.00334&amp;sourceID=22","0.00334")</f>
        <v>0.00334</v>
      </c>
    </row>
    <row r="276" spans="1:7">
      <c r="A276" s="3">
        <v>2</v>
      </c>
      <c r="B276" s="3">
        <v>1</v>
      </c>
      <c r="C276" s="3">
        <v>14</v>
      </c>
      <c r="D276" s="3">
        <v>2</v>
      </c>
      <c r="E276" s="3">
        <v>1</v>
      </c>
      <c r="F276" s="4" t="str">
        <f>HYPERLINK("http://141.218.60.56/~jnz1568/getInfo.php?workbook=02_01.xlsx&amp;sheet=U0&amp;row=276&amp;col=6&amp;number=3.2&amp;sourceID=22","3.2")</f>
        <v>3.2</v>
      </c>
      <c r="G276" s="4" t="str">
        <f>HYPERLINK("http://141.218.60.56/~jnz1568/getInfo.php?workbook=02_01.xlsx&amp;sheet=U0&amp;row=276&amp;col=7&amp;number=0.546&amp;sourceID=22","0.546")</f>
        <v>0.546</v>
      </c>
    </row>
    <row r="277" spans="1:7">
      <c r="A277" s="3"/>
      <c r="B277" s="3"/>
      <c r="C277" s="3"/>
      <c r="D277" s="3"/>
      <c r="E277" s="3">
        <v>2</v>
      </c>
      <c r="F277" s="4" t="str">
        <f>HYPERLINK("http://141.218.60.56/~jnz1568/getInfo.php?workbook=02_01.xlsx&amp;sheet=U0&amp;row=277&amp;col=6&amp;number=3.5&amp;sourceID=22","3.5")</f>
        <v>3.5</v>
      </c>
      <c r="G277" s="4" t="str">
        <f>HYPERLINK("http://141.218.60.56/~jnz1568/getInfo.php?workbook=02_01.xlsx&amp;sheet=U0&amp;row=277&amp;col=7&amp;number=0.568&amp;sourceID=22","0.568")</f>
        <v>0.568</v>
      </c>
    </row>
    <row r="278" spans="1:7">
      <c r="A278" s="3"/>
      <c r="B278" s="3"/>
      <c r="C278" s="3"/>
      <c r="D278" s="3"/>
      <c r="E278" s="3">
        <v>3</v>
      </c>
      <c r="F278" s="4" t="str">
        <f>HYPERLINK("http://141.218.60.56/~jnz1568/getInfo.php?workbook=02_01.xlsx&amp;sheet=U0&amp;row=278&amp;col=6&amp;number=4&amp;sourceID=22","4")</f>
        <v>4</v>
      </c>
      <c r="G278" s="4" t="str">
        <f>HYPERLINK("http://141.218.60.56/~jnz1568/getInfo.php?workbook=02_01.xlsx&amp;sheet=U0&amp;row=278&amp;col=7&amp;number=0.6&amp;sourceID=22","0.6")</f>
        <v>0.6</v>
      </c>
    </row>
    <row r="279" spans="1:7">
      <c r="A279" s="3"/>
      <c r="B279" s="3"/>
      <c r="C279" s="3"/>
      <c r="D279" s="3"/>
      <c r="E279" s="3">
        <v>4</v>
      </c>
      <c r="F279" s="4" t="str">
        <f>HYPERLINK("http://141.218.60.56/~jnz1568/getInfo.php?workbook=02_01.xlsx&amp;sheet=U0&amp;row=279&amp;col=6&amp;number=4.3&amp;sourceID=22","4.3")</f>
        <v>4.3</v>
      </c>
      <c r="G279" s="4" t="str">
        <f>HYPERLINK("http://141.218.60.56/~jnz1568/getInfo.php?workbook=02_01.xlsx&amp;sheet=U0&amp;row=279&amp;col=7&amp;number=0.593&amp;sourceID=22","0.593")</f>
        <v>0.593</v>
      </c>
    </row>
    <row r="280" spans="1:7">
      <c r="A280" s="3">
        <v>2</v>
      </c>
      <c r="B280" s="3">
        <v>1</v>
      </c>
      <c r="C280" s="3">
        <v>14</v>
      </c>
      <c r="D280" s="3">
        <v>3</v>
      </c>
      <c r="E280" s="3">
        <v>1</v>
      </c>
      <c r="F280" s="4" t="str">
        <f>HYPERLINK("http://141.218.60.56/~jnz1568/getInfo.php?workbook=02_01.xlsx&amp;sheet=U0&amp;row=280&amp;col=6&amp;number=3.2&amp;sourceID=22","3.2")</f>
        <v>3.2</v>
      </c>
      <c r="G280" s="4" t="str">
        <f>HYPERLINK("http://141.218.60.56/~jnz1568/getInfo.php?workbook=02_01.xlsx&amp;sheet=U0&amp;row=280&amp;col=7&amp;number=0.205&amp;sourceID=22","0.205")</f>
        <v>0.205</v>
      </c>
    </row>
    <row r="281" spans="1:7">
      <c r="A281" s="3"/>
      <c r="B281" s="3"/>
      <c r="C281" s="3"/>
      <c r="D281" s="3"/>
      <c r="E281" s="3">
        <v>2</v>
      </c>
      <c r="F281" s="4" t="str">
        <f>HYPERLINK("http://141.218.60.56/~jnz1568/getInfo.php?workbook=02_01.xlsx&amp;sheet=U0&amp;row=281&amp;col=6&amp;number=3.5&amp;sourceID=22","3.5")</f>
        <v>3.5</v>
      </c>
      <c r="G281" s="4" t="str">
        <f>HYPERLINK("http://141.218.60.56/~jnz1568/getInfo.php?workbook=02_01.xlsx&amp;sheet=U0&amp;row=281&amp;col=7&amp;number=0.204&amp;sourceID=22","0.204")</f>
        <v>0.204</v>
      </c>
    </row>
    <row r="282" spans="1:7">
      <c r="A282" s="3"/>
      <c r="B282" s="3"/>
      <c r="C282" s="3"/>
      <c r="D282" s="3"/>
      <c r="E282" s="3">
        <v>3</v>
      </c>
      <c r="F282" s="4" t="str">
        <f>HYPERLINK("http://141.218.60.56/~jnz1568/getInfo.php?workbook=02_01.xlsx&amp;sheet=U0&amp;row=282&amp;col=6&amp;number=4&amp;sourceID=22","4")</f>
        <v>4</v>
      </c>
      <c r="G282" s="4" t="str">
        <f>HYPERLINK("http://141.218.60.56/~jnz1568/getInfo.php?workbook=02_01.xlsx&amp;sheet=U0&amp;row=282&amp;col=7&amp;number=0.2&amp;sourceID=22","0.2")</f>
        <v>0.2</v>
      </c>
    </row>
    <row r="283" spans="1:7">
      <c r="A283" s="3"/>
      <c r="B283" s="3"/>
      <c r="C283" s="3"/>
      <c r="D283" s="3"/>
      <c r="E283" s="3">
        <v>4</v>
      </c>
      <c r="F283" s="4" t="str">
        <f>HYPERLINK("http://141.218.60.56/~jnz1568/getInfo.php?workbook=02_01.xlsx&amp;sheet=U0&amp;row=283&amp;col=6&amp;number=4.3&amp;sourceID=22","4.3")</f>
        <v>4.3</v>
      </c>
      <c r="G283" s="4" t="str">
        <f>HYPERLINK("http://141.218.60.56/~jnz1568/getInfo.php?workbook=02_01.xlsx&amp;sheet=U0&amp;row=283&amp;col=7&amp;number=0.195&amp;sourceID=22","0.195")</f>
        <v>0.195</v>
      </c>
    </row>
    <row r="284" spans="1:7">
      <c r="A284" s="3">
        <v>2</v>
      </c>
      <c r="B284" s="3">
        <v>1</v>
      </c>
      <c r="C284" s="3">
        <v>14</v>
      </c>
      <c r="D284" s="3">
        <v>4</v>
      </c>
      <c r="E284" s="3">
        <v>1</v>
      </c>
      <c r="F284" s="4" t="str">
        <f>HYPERLINK("http://141.218.60.56/~jnz1568/getInfo.php?workbook=02_01.xlsx&amp;sheet=U0&amp;row=284&amp;col=6&amp;number=3.2&amp;sourceID=22","3.2")</f>
        <v>3.2</v>
      </c>
      <c r="G284" s="4" t="str">
        <f>HYPERLINK("http://141.218.60.56/~jnz1568/getInfo.php?workbook=02_01.xlsx&amp;sheet=U0&amp;row=284&amp;col=7&amp;number=0.728&amp;sourceID=22","0.728")</f>
        <v>0.728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HYPERLINK("http://141.218.60.56/~jnz1568/getInfo.php?workbook=02_01.xlsx&amp;sheet=U0&amp;row=285&amp;col=6&amp;number=3.5&amp;sourceID=22","3.5")</f>
        <v>3.5</v>
      </c>
      <c r="G285" s="4" t="str">
        <f>HYPERLINK("http://141.218.60.56/~jnz1568/getInfo.php?workbook=02_01.xlsx&amp;sheet=U0&amp;row=285&amp;col=7&amp;number=0.747&amp;sourceID=22","0.747")</f>
        <v>0.747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HYPERLINK("http://141.218.60.56/~jnz1568/getInfo.php?workbook=02_01.xlsx&amp;sheet=U0&amp;row=286&amp;col=6&amp;number=4&amp;sourceID=22","4")</f>
        <v>4</v>
      </c>
      <c r="G286" s="4" t="str">
        <f>HYPERLINK("http://141.218.60.56/~jnz1568/getInfo.php?workbook=02_01.xlsx&amp;sheet=U0&amp;row=286&amp;col=7&amp;number=0.855&amp;sourceID=22","0.855")</f>
        <v>0.855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HYPERLINK("http://141.218.60.56/~jnz1568/getInfo.php?workbook=02_01.xlsx&amp;sheet=U0&amp;row=287&amp;col=6&amp;number=4.3&amp;sourceID=22","4.3")</f>
        <v>4.3</v>
      </c>
      <c r="G287" s="4" t="str">
        <f>HYPERLINK("http://141.218.60.56/~jnz1568/getInfo.php?workbook=02_01.xlsx&amp;sheet=U0&amp;row=287&amp;col=7&amp;number=0.825&amp;sourceID=22","0.825")</f>
        <v>0.825</v>
      </c>
    </row>
    <row r="288" spans="1:7">
      <c r="A288" s="3">
        <v>2</v>
      </c>
      <c r="B288" s="3">
        <v>1</v>
      </c>
      <c r="C288" s="3">
        <v>14</v>
      </c>
      <c r="D288" s="3">
        <v>5</v>
      </c>
      <c r="E288" s="3">
        <v>1</v>
      </c>
      <c r="F288" s="4" t="str">
        <f>HYPERLINK("http://141.218.60.56/~jnz1568/getInfo.php?workbook=02_01.xlsx&amp;sheet=U0&amp;row=288&amp;col=6&amp;number=3.2&amp;sourceID=22","3.2")</f>
        <v>3.2</v>
      </c>
      <c r="G288" s="4" t="str">
        <f>HYPERLINK("http://141.218.60.56/~jnz1568/getInfo.php?workbook=02_01.xlsx&amp;sheet=U0&amp;row=288&amp;col=7&amp;number=3.86&amp;sourceID=22","3.86")</f>
        <v>3.86</v>
      </c>
    </row>
    <row r="289" spans="1:7">
      <c r="A289" s="3"/>
      <c r="B289" s="3"/>
      <c r="C289" s="3"/>
      <c r="D289" s="3"/>
      <c r="E289" s="3">
        <v>2</v>
      </c>
      <c r="F289" s="4" t="str">
        <f>HYPERLINK("http://141.218.60.56/~jnz1568/getInfo.php?workbook=02_01.xlsx&amp;sheet=U0&amp;row=289&amp;col=6&amp;number=3.5&amp;sourceID=22","3.5")</f>
        <v>3.5</v>
      </c>
      <c r="G289" s="4" t="str">
        <f>HYPERLINK("http://141.218.60.56/~jnz1568/getInfo.php?workbook=02_01.xlsx&amp;sheet=U0&amp;row=289&amp;col=7&amp;number=3.85&amp;sourceID=22","3.85")</f>
        <v>3.85</v>
      </c>
    </row>
    <row r="290" spans="1:7">
      <c r="A290" s="3"/>
      <c r="B290" s="3"/>
      <c r="C290" s="3"/>
      <c r="D290" s="3"/>
      <c r="E290" s="3">
        <v>3</v>
      </c>
      <c r="F290" s="4" t="str">
        <f>HYPERLINK("http://141.218.60.56/~jnz1568/getInfo.php?workbook=02_01.xlsx&amp;sheet=U0&amp;row=290&amp;col=6&amp;number=4&amp;sourceID=22","4")</f>
        <v>4</v>
      </c>
      <c r="G290" s="4" t="str">
        <f>HYPERLINK("http://141.218.60.56/~jnz1568/getInfo.php?workbook=02_01.xlsx&amp;sheet=U0&amp;row=290&amp;col=7&amp;number=4.11&amp;sourceID=22","4.11")</f>
        <v>4.11</v>
      </c>
    </row>
    <row r="291" spans="1:7">
      <c r="A291" s="3"/>
      <c r="B291" s="3"/>
      <c r="C291" s="3"/>
      <c r="D291" s="3"/>
      <c r="E291" s="3">
        <v>4</v>
      </c>
      <c r="F291" s="4" t="str">
        <f>HYPERLINK("http://141.218.60.56/~jnz1568/getInfo.php?workbook=02_01.xlsx&amp;sheet=U0&amp;row=291&amp;col=6&amp;number=4.3&amp;sourceID=22","4.3")</f>
        <v>4.3</v>
      </c>
      <c r="G291" s="4" t="str">
        <f>HYPERLINK("http://141.218.60.56/~jnz1568/getInfo.php?workbook=02_01.xlsx&amp;sheet=U0&amp;row=291&amp;col=7&amp;number=4.49&amp;sourceID=22","4.49")</f>
        <v>4.49</v>
      </c>
    </row>
    <row r="292" spans="1:7">
      <c r="A292" s="3">
        <v>2</v>
      </c>
      <c r="B292" s="3">
        <v>1</v>
      </c>
      <c r="C292" s="3">
        <v>14</v>
      </c>
      <c r="D292" s="3">
        <v>6</v>
      </c>
      <c r="E292" s="3">
        <v>1</v>
      </c>
      <c r="F292" s="4" t="str">
        <f>HYPERLINK("http://141.218.60.56/~jnz1568/getInfo.php?workbook=02_01.xlsx&amp;sheet=U0&amp;row=292&amp;col=6&amp;number=3.2&amp;sourceID=22","3.2")</f>
        <v>3.2</v>
      </c>
      <c r="G292" s="4" t="str">
        <f>HYPERLINK("http://141.218.60.56/~jnz1568/getInfo.php?workbook=02_01.xlsx&amp;sheet=U0&amp;row=292&amp;col=7&amp;number=2.42&amp;sourceID=22","2.42")</f>
        <v>2.42</v>
      </c>
    </row>
    <row r="293" spans="1:7">
      <c r="A293" s="3"/>
      <c r="B293" s="3"/>
      <c r="C293" s="3"/>
      <c r="D293" s="3"/>
      <c r="E293" s="3">
        <v>2</v>
      </c>
      <c r="F293" s="4" t="str">
        <f>HYPERLINK("http://141.218.60.56/~jnz1568/getInfo.php?workbook=02_01.xlsx&amp;sheet=U0&amp;row=293&amp;col=6&amp;number=3.5&amp;sourceID=22","3.5")</f>
        <v>3.5</v>
      </c>
      <c r="G293" s="4" t="str">
        <f>HYPERLINK("http://141.218.60.56/~jnz1568/getInfo.php?workbook=02_01.xlsx&amp;sheet=U0&amp;row=293&amp;col=7&amp;number=2.47&amp;sourceID=22","2.47")</f>
        <v>2.47</v>
      </c>
    </row>
    <row r="294" spans="1:7">
      <c r="A294" s="3"/>
      <c r="B294" s="3"/>
      <c r="C294" s="3"/>
      <c r="D294" s="3"/>
      <c r="E294" s="3">
        <v>3</v>
      </c>
      <c r="F294" s="4" t="str">
        <f>HYPERLINK("http://141.218.60.56/~jnz1568/getInfo.php?workbook=02_01.xlsx&amp;sheet=U0&amp;row=294&amp;col=6&amp;number=4&amp;sourceID=22","4")</f>
        <v>4</v>
      </c>
      <c r="G294" s="4" t="str">
        <f>HYPERLINK("http://141.218.60.56/~jnz1568/getInfo.php?workbook=02_01.xlsx&amp;sheet=U0&amp;row=294&amp;col=7&amp;number=2.72&amp;sourceID=22","2.72")</f>
        <v>2.72</v>
      </c>
    </row>
    <row r="295" spans="1:7">
      <c r="A295" s="3"/>
      <c r="B295" s="3"/>
      <c r="C295" s="3"/>
      <c r="D295" s="3"/>
      <c r="E295" s="3">
        <v>4</v>
      </c>
      <c r="F295" s="4" t="str">
        <f>HYPERLINK("http://141.218.60.56/~jnz1568/getInfo.php?workbook=02_01.xlsx&amp;sheet=U0&amp;row=295&amp;col=6&amp;number=4.3&amp;sourceID=22","4.3")</f>
        <v>4.3</v>
      </c>
      <c r="G295" s="4" t="str">
        <f>HYPERLINK("http://141.218.60.56/~jnz1568/getInfo.php?workbook=02_01.xlsx&amp;sheet=U0&amp;row=295&amp;col=7&amp;number=3.19&amp;sourceID=22","3.19")</f>
        <v>3.19</v>
      </c>
    </row>
    <row r="296" spans="1:7">
      <c r="A296" s="3">
        <v>2</v>
      </c>
      <c r="B296" s="3">
        <v>1</v>
      </c>
      <c r="C296" s="3">
        <v>14</v>
      </c>
      <c r="D296" s="3">
        <v>7</v>
      </c>
      <c r="E296" s="3">
        <v>1</v>
      </c>
      <c r="F296" s="4" t="str">
        <f>HYPERLINK("http://141.218.60.56/~jnz1568/getInfo.php?workbook=02_01.xlsx&amp;sheet=U0&amp;row=296&amp;col=6&amp;number=3.2&amp;sourceID=22","3.2")</f>
        <v>3.2</v>
      </c>
      <c r="G296" s="4" t="str">
        <f>HYPERLINK("http://141.218.60.56/~jnz1568/getInfo.php?workbook=02_01.xlsx&amp;sheet=U0&amp;row=296&amp;col=7&amp;number=17.4&amp;sourceID=22","17.4")</f>
        <v>17.4</v>
      </c>
    </row>
    <row r="297" spans="1:7">
      <c r="A297" s="3"/>
      <c r="B297" s="3"/>
      <c r="C297" s="3"/>
      <c r="D297" s="3"/>
      <c r="E297" s="3">
        <v>2</v>
      </c>
      <c r="F297" s="4" t="str">
        <f>HYPERLINK("http://141.218.60.56/~jnz1568/getInfo.php?workbook=02_01.xlsx&amp;sheet=U0&amp;row=297&amp;col=6&amp;number=3.5&amp;sourceID=22","3.5")</f>
        <v>3.5</v>
      </c>
      <c r="G297" s="4" t="str">
        <f>HYPERLINK("http://141.218.60.56/~jnz1568/getInfo.php?workbook=02_01.xlsx&amp;sheet=U0&amp;row=297&amp;col=7&amp;number=18.3&amp;sourceID=22","18.3")</f>
        <v>18.3</v>
      </c>
    </row>
    <row r="298" spans="1:7">
      <c r="A298" s="3"/>
      <c r="B298" s="3"/>
      <c r="C298" s="3"/>
      <c r="D298" s="3"/>
      <c r="E298" s="3">
        <v>3</v>
      </c>
      <c r="F298" s="4" t="str">
        <f>HYPERLINK("http://141.218.60.56/~jnz1568/getInfo.php?workbook=02_01.xlsx&amp;sheet=U0&amp;row=298&amp;col=6&amp;number=4&amp;sourceID=22","4")</f>
        <v>4</v>
      </c>
      <c r="G298" s="4" t="str">
        <f>HYPERLINK("http://141.218.60.56/~jnz1568/getInfo.php?workbook=02_01.xlsx&amp;sheet=U0&amp;row=298&amp;col=7&amp;number=20.9&amp;sourceID=22","20.9")</f>
        <v>20.9</v>
      </c>
    </row>
    <row r="299" spans="1:7">
      <c r="A299" s="3"/>
      <c r="B299" s="3"/>
      <c r="C299" s="3"/>
      <c r="D299" s="3"/>
      <c r="E299" s="3">
        <v>4</v>
      </c>
      <c r="F299" s="4" t="str">
        <f>HYPERLINK("http://141.218.60.56/~jnz1568/getInfo.php?workbook=02_01.xlsx&amp;sheet=U0&amp;row=299&amp;col=6&amp;number=4.3&amp;sourceID=22","4.3")</f>
        <v>4.3</v>
      </c>
      <c r="G299" s="4" t="str">
        <f>HYPERLINK("http://141.218.60.56/~jnz1568/getInfo.php?workbook=02_01.xlsx&amp;sheet=U0&amp;row=299&amp;col=7&amp;number=24&amp;sourceID=22","24")</f>
        <v>24</v>
      </c>
    </row>
    <row r="300" spans="1:7">
      <c r="A300" s="3">
        <v>2</v>
      </c>
      <c r="B300" s="3">
        <v>1</v>
      </c>
      <c r="C300" s="3">
        <v>14</v>
      </c>
      <c r="D300" s="3">
        <v>8</v>
      </c>
      <c r="E300" s="3">
        <v>1</v>
      </c>
      <c r="F300" s="4" t="str">
        <f>HYPERLINK("http://141.218.60.56/~jnz1568/getInfo.php?workbook=02_01.xlsx&amp;sheet=U0&amp;row=300&amp;col=6&amp;number=3.2&amp;sourceID=22","3.2")</f>
        <v>3.2</v>
      </c>
      <c r="G300" s="4" t="str">
        <f>HYPERLINK("http://141.218.60.56/~jnz1568/getInfo.php?workbook=02_01.xlsx&amp;sheet=U0&amp;row=300&amp;col=7&amp;number=3.94&amp;sourceID=22","3.94")</f>
        <v>3.94</v>
      </c>
    </row>
    <row r="301" spans="1:7">
      <c r="A301" s="3"/>
      <c r="B301" s="3"/>
      <c r="C301" s="3"/>
      <c r="D301" s="3"/>
      <c r="E301" s="3">
        <v>2</v>
      </c>
      <c r="F301" s="4" t="str">
        <f>HYPERLINK("http://141.218.60.56/~jnz1568/getInfo.php?workbook=02_01.xlsx&amp;sheet=U0&amp;row=301&amp;col=6&amp;number=3.5&amp;sourceID=22","3.5")</f>
        <v>3.5</v>
      </c>
      <c r="G301" s="4" t="str">
        <f>HYPERLINK("http://141.218.60.56/~jnz1568/getInfo.php?workbook=02_01.xlsx&amp;sheet=U0&amp;row=301&amp;col=7&amp;number=4.03&amp;sourceID=22","4.03")</f>
        <v>4.03</v>
      </c>
    </row>
    <row r="302" spans="1:7">
      <c r="A302" s="3"/>
      <c r="B302" s="3"/>
      <c r="C302" s="3"/>
      <c r="D302" s="3"/>
      <c r="E302" s="3">
        <v>3</v>
      </c>
      <c r="F302" s="4" t="str">
        <f>HYPERLINK("http://141.218.60.56/~jnz1568/getInfo.php?workbook=02_01.xlsx&amp;sheet=U0&amp;row=302&amp;col=6&amp;number=4&amp;sourceID=22","4")</f>
        <v>4</v>
      </c>
      <c r="G302" s="4" t="str">
        <f>HYPERLINK("http://141.218.60.56/~jnz1568/getInfo.php?workbook=02_01.xlsx&amp;sheet=U0&amp;row=302&amp;col=7&amp;number=4.54&amp;sourceID=22","4.54")</f>
        <v>4.54</v>
      </c>
    </row>
    <row r="303" spans="1:7">
      <c r="A303" s="3"/>
      <c r="B303" s="3"/>
      <c r="C303" s="3"/>
      <c r="D303" s="3"/>
      <c r="E303" s="3">
        <v>4</v>
      </c>
      <c r="F303" s="4" t="str">
        <f>HYPERLINK("http://141.218.60.56/~jnz1568/getInfo.php?workbook=02_01.xlsx&amp;sheet=U0&amp;row=303&amp;col=6&amp;number=4.3&amp;sourceID=22","4.3")</f>
        <v>4.3</v>
      </c>
      <c r="G303" s="4" t="str">
        <f>HYPERLINK("http://141.218.60.56/~jnz1568/getInfo.php?workbook=02_01.xlsx&amp;sheet=U0&amp;row=303&amp;col=7&amp;number=5.63&amp;sourceID=22","5.63")</f>
        <v>5.63</v>
      </c>
    </row>
    <row r="304" spans="1:7">
      <c r="A304" s="3">
        <v>2</v>
      </c>
      <c r="B304" s="3">
        <v>1</v>
      </c>
      <c r="C304" s="3">
        <v>14</v>
      </c>
      <c r="D304" s="3">
        <v>9</v>
      </c>
      <c r="E304" s="3">
        <v>1</v>
      </c>
      <c r="F304" s="4" t="str">
        <f>HYPERLINK("http://141.218.60.56/~jnz1568/getInfo.php?workbook=02_01.xlsx&amp;sheet=U0&amp;row=304&amp;col=6&amp;number=3.2&amp;sourceID=22","3.2")</f>
        <v>3.2</v>
      </c>
      <c r="G304" s="4" t="str">
        <f>HYPERLINK("http://141.218.60.56/~jnz1568/getInfo.php?workbook=02_01.xlsx&amp;sheet=U0&amp;row=304&amp;col=7&amp;number=7.21&amp;sourceID=22","7.21")</f>
        <v>7.21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HYPERLINK("http://141.218.60.56/~jnz1568/getInfo.php?workbook=02_01.xlsx&amp;sheet=U0&amp;row=305&amp;col=6&amp;number=3.5&amp;sourceID=22","3.5")</f>
        <v>3.5</v>
      </c>
      <c r="G305" s="4" t="str">
        <f>HYPERLINK("http://141.218.60.56/~jnz1568/getInfo.php?workbook=02_01.xlsx&amp;sheet=U0&amp;row=305&amp;col=7&amp;number=8.06&amp;sourceID=22","8.06")</f>
        <v>8.06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HYPERLINK("http://141.218.60.56/~jnz1568/getInfo.php?workbook=02_01.xlsx&amp;sheet=U0&amp;row=306&amp;col=6&amp;number=4&amp;sourceID=22","4")</f>
        <v>4</v>
      </c>
      <c r="G306" s="4" t="str">
        <f>HYPERLINK("http://141.218.60.56/~jnz1568/getInfo.php?workbook=02_01.xlsx&amp;sheet=U0&amp;row=306&amp;col=7&amp;number=8.83&amp;sourceID=22","8.83")</f>
        <v>8.83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HYPERLINK("http://141.218.60.56/~jnz1568/getInfo.php?workbook=02_01.xlsx&amp;sheet=U0&amp;row=307&amp;col=6&amp;number=4.3&amp;sourceID=22","4.3")</f>
        <v>4.3</v>
      </c>
      <c r="G307" s="4" t="str">
        <f>HYPERLINK("http://141.218.60.56/~jnz1568/getInfo.php?workbook=02_01.xlsx&amp;sheet=U0&amp;row=307&amp;col=7&amp;number=9.18&amp;sourceID=22","9.18")</f>
        <v>9.18</v>
      </c>
    </row>
    <row r="308" spans="1:7">
      <c r="A308" s="3">
        <v>2</v>
      </c>
      <c r="B308" s="3">
        <v>1</v>
      </c>
      <c r="C308" s="3">
        <v>14</v>
      </c>
      <c r="D308" s="3">
        <v>10</v>
      </c>
      <c r="E308" s="3">
        <v>1</v>
      </c>
      <c r="F308" s="4" t="str">
        <f>HYPERLINK("http://141.218.60.56/~jnz1568/getInfo.php?workbook=02_01.xlsx&amp;sheet=U0&amp;row=308&amp;col=6&amp;number=3.2&amp;sourceID=22","3.2")</f>
        <v>3.2</v>
      </c>
      <c r="G308" s="4" t="str">
        <f>HYPERLINK("http://141.218.60.56/~jnz1568/getInfo.php?workbook=02_01.xlsx&amp;sheet=U0&amp;row=308&amp;col=7&amp;number=24&amp;sourceID=22","24")</f>
        <v>24</v>
      </c>
    </row>
    <row r="309" spans="1:7">
      <c r="A309" s="3"/>
      <c r="B309" s="3"/>
      <c r="C309" s="3"/>
      <c r="D309" s="3"/>
      <c r="E309" s="3">
        <v>2</v>
      </c>
      <c r="F309" s="4" t="str">
        <f>HYPERLINK("http://141.218.60.56/~jnz1568/getInfo.php?workbook=02_01.xlsx&amp;sheet=U0&amp;row=309&amp;col=6&amp;number=3.5&amp;sourceID=22","3.5")</f>
        <v>3.5</v>
      </c>
      <c r="G309" s="4" t="str">
        <f>HYPERLINK("http://141.218.60.56/~jnz1568/getInfo.php?workbook=02_01.xlsx&amp;sheet=U0&amp;row=309&amp;col=7&amp;number=22.5&amp;sourceID=22","22.5")</f>
        <v>22.5</v>
      </c>
    </row>
    <row r="310" spans="1:7">
      <c r="A310" s="3"/>
      <c r="B310" s="3"/>
      <c r="C310" s="3"/>
      <c r="D310" s="3"/>
      <c r="E310" s="3">
        <v>3</v>
      </c>
      <c r="F310" s="4" t="str">
        <f>HYPERLINK("http://141.218.60.56/~jnz1568/getInfo.php?workbook=02_01.xlsx&amp;sheet=U0&amp;row=310&amp;col=6&amp;number=4&amp;sourceID=22","4")</f>
        <v>4</v>
      </c>
      <c r="G310" s="4" t="str">
        <f>HYPERLINK("http://141.218.60.56/~jnz1568/getInfo.php?workbook=02_01.xlsx&amp;sheet=U0&amp;row=310&amp;col=7&amp;number=21.1&amp;sourceID=22","21.1")</f>
        <v>21.1</v>
      </c>
    </row>
    <row r="311" spans="1:7">
      <c r="A311" s="3"/>
      <c r="B311" s="3"/>
      <c r="C311" s="3"/>
      <c r="D311" s="3"/>
      <c r="E311" s="3">
        <v>4</v>
      </c>
      <c r="F311" s="4" t="str">
        <f>HYPERLINK("http://141.218.60.56/~jnz1568/getInfo.php?workbook=02_01.xlsx&amp;sheet=U0&amp;row=311&amp;col=6&amp;number=4.3&amp;sourceID=22","4.3")</f>
        <v>4.3</v>
      </c>
      <c r="G311" s="4" t="str">
        <f>HYPERLINK("http://141.218.60.56/~jnz1568/getInfo.php?workbook=02_01.xlsx&amp;sheet=U0&amp;row=311&amp;col=7&amp;number=19.8&amp;sourceID=22","19.8")</f>
        <v>19.8</v>
      </c>
    </row>
    <row r="312" spans="1:7">
      <c r="A312" s="3">
        <v>2</v>
      </c>
      <c r="B312" s="3">
        <v>1</v>
      </c>
      <c r="C312" s="3">
        <v>14</v>
      </c>
      <c r="D312" s="3">
        <v>11</v>
      </c>
      <c r="E312" s="3">
        <v>1</v>
      </c>
      <c r="F312" s="4" t="str">
        <f>HYPERLINK("http://141.218.60.56/~jnz1568/getInfo.php?workbook=02_01.xlsx&amp;sheet=U0&amp;row=312&amp;col=6&amp;number=3.2&amp;sourceID=22","3.2")</f>
        <v>3.2</v>
      </c>
      <c r="G312" s="4" t="str">
        <f>HYPERLINK("http://141.218.60.56/~jnz1568/getInfo.php?workbook=02_01.xlsx&amp;sheet=U0&amp;row=312&amp;col=7&amp;number=18.4&amp;sourceID=22","18.4")</f>
        <v>18.4</v>
      </c>
    </row>
    <row r="313" spans="1:7">
      <c r="A313" s="3"/>
      <c r="B313" s="3"/>
      <c r="C313" s="3"/>
      <c r="D313" s="3"/>
      <c r="E313" s="3">
        <v>2</v>
      </c>
      <c r="F313" s="4" t="str">
        <f>HYPERLINK("http://141.218.60.56/~jnz1568/getInfo.php?workbook=02_01.xlsx&amp;sheet=U0&amp;row=313&amp;col=6&amp;number=3.5&amp;sourceID=22","3.5")</f>
        <v>3.5</v>
      </c>
      <c r="G313" s="4" t="str">
        <f>HYPERLINK("http://141.218.60.56/~jnz1568/getInfo.php?workbook=02_01.xlsx&amp;sheet=U0&amp;row=313&amp;col=7&amp;number=19&amp;sourceID=22","19")</f>
        <v>19</v>
      </c>
    </row>
    <row r="314" spans="1:7">
      <c r="A314" s="3"/>
      <c r="B314" s="3"/>
      <c r="C314" s="3"/>
      <c r="D314" s="3"/>
      <c r="E314" s="3">
        <v>3</v>
      </c>
      <c r="F314" s="4" t="str">
        <f>HYPERLINK("http://141.218.60.56/~jnz1568/getInfo.php?workbook=02_01.xlsx&amp;sheet=U0&amp;row=314&amp;col=6&amp;number=4&amp;sourceID=22","4")</f>
        <v>4</v>
      </c>
      <c r="G314" s="4" t="str">
        <f>HYPERLINK("http://141.218.60.56/~jnz1568/getInfo.php?workbook=02_01.xlsx&amp;sheet=U0&amp;row=314&amp;col=7&amp;number=24.3&amp;sourceID=22","24.3")</f>
        <v>24.3</v>
      </c>
    </row>
    <row r="315" spans="1:7">
      <c r="A315" s="3"/>
      <c r="B315" s="3"/>
      <c r="C315" s="3"/>
      <c r="D315" s="3"/>
      <c r="E315" s="3">
        <v>4</v>
      </c>
      <c r="F315" s="4" t="str">
        <f>HYPERLINK("http://141.218.60.56/~jnz1568/getInfo.php?workbook=02_01.xlsx&amp;sheet=U0&amp;row=315&amp;col=6&amp;number=4.3&amp;sourceID=22","4.3")</f>
        <v>4.3</v>
      </c>
      <c r="G315" s="4" t="str">
        <f>HYPERLINK("http://141.218.60.56/~jnz1568/getInfo.php?workbook=02_01.xlsx&amp;sheet=U0&amp;row=315&amp;col=7&amp;number=29.4&amp;sourceID=22","29.4")</f>
        <v>29.4</v>
      </c>
    </row>
    <row r="316" spans="1:7">
      <c r="A316" s="3">
        <v>2</v>
      </c>
      <c r="B316" s="3">
        <v>1</v>
      </c>
      <c r="C316" s="3">
        <v>14</v>
      </c>
      <c r="D316" s="3">
        <v>13</v>
      </c>
      <c r="E316" s="3">
        <v>1</v>
      </c>
      <c r="F316" s="4" t="str">
        <f>HYPERLINK("http://141.218.60.56/~jnz1568/getInfo.php?workbook=02_01.xlsx&amp;sheet=U0&amp;row=316&amp;col=6&amp;number=3.2&amp;sourceID=22","3.2")</f>
        <v>3.2</v>
      </c>
      <c r="G316" s="4" t="str">
        <f>HYPERLINK("http://141.218.60.56/~jnz1568/getInfo.php?workbook=02_01.xlsx&amp;sheet=U0&amp;row=316&amp;col=7&amp;number=1490&amp;sourceID=22","1490")</f>
        <v>1490</v>
      </c>
    </row>
    <row r="317" spans="1:7">
      <c r="A317" s="3"/>
      <c r="B317" s="3"/>
      <c r="C317" s="3"/>
      <c r="D317" s="3"/>
      <c r="E317" s="3">
        <v>2</v>
      </c>
      <c r="F317" s="4" t="str">
        <f>HYPERLINK("http://141.218.60.56/~jnz1568/getInfo.php?workbook=02_01.xlsx&amp;sheet=U0&amp;row=317&amp;col=6&amp;number=3.5&amp;sourceID=22","3.5")</f>
        <v>3.5</v>
      </c>
      <c r="G317" s="4" t="str">
        <f>HYPERLINK("http://141.218.60.56/~jnz1568/getInfo.php?workbook=02_01.xlsx&amp;sheet=U0&amp;row=317&amp;col=7&amp;number=1520&amp;sourceID=22","1520")</f>
        <v>1520</v>
      </c>
    </row>
    <row r="318" spans="1:7">
      <c r="A318" s="3"/>
      <c r="B318" s="3"/>
      <c r="C318" s="3"/>
      <c r="D318" s="3"/>
      <c r="E318" s="3">
        <v>3</v>
      </c>
      <c r="F318" s="4" t="str">
        <f>HYPERLINK("http://141.218.60.56/~jnz1568/getInfo.php?workbook=02_01.xlsx&amp;sheet=U0&amp;row=318&amp;col=6&amp;number=4&amp;sourceID=22","4")</f>
        <v>4</v>
      </c>
      <c r="G318" s="4" t="str">
        <f>HYPERLINK("http://141.218.60.56/~jnz1568/getInfo.php?workbook=02_01.xlsx&amp;sheet=U0&amp;row=318&amp;col=7&amp;number=1540&amp;sourceID=22","1540")</f>
        <v>1540</v>
      </c>
    </row>
    <row r="319" spans="1:7">
      <c r="A319" s="3"/>
      <c r="B319" s="3"/>
      <c r="C319" s="3"/>
      <c r="D319" s="3"/>
      <c r="E319" s="3">
        <v>4</v>
      </c>
      <c r="F319" s="4" t="str">
        <f>HYPERLINK("http://141.218.60.56/~jnz1568/getInfo.php?workbook=02_01.xlsx&amp;sheet=U0&amp;row=319&amp;col=6&amp;number=4.3&amp;sourceID=22","4.3")</f>
        <v>4.3</v>
      </c>
      <c r="G319" s="4" t="str">
        <f>HYPERLINK("http://141.218.60.56/~jnz1568/getInfo.php?workbook=02_01.xlsx&amp;sheet=U0&amp;row=319&amp;col=7&amp;number=1520&amp;sourceID=22","1520")</f>
        <v>1520</v>
      </c>
    </row>
    <row r="320" spans="1:7">
      <c r="A320" s="3">
        <v>2</v>
      </c>
      <c r="B320" s="3">
        <v>1</v>
      </c>
      <c r="C320" s="3">
        <v>15</v>
      </c>
      <c r="D320" s="3">
        <v>1</v>
      </c>
      <c r="E320" s="3">
        <v>1</v>
      </c>
      <c r="F320" s="4" t="str">
        <f>HYPERLINK("http://141.218.60.56/~jnz1568/getInfo.php?workbook=02_01.xlsx&amp;sheet=U0&amp;row=320&amp;col=6&amp;number=3.2&amp;sourceID=22","3.2")</f>
        <v>3.2</v>
      </c>
      <c r="G320" s="4" t="str">
        <f>HYPERLINK("http://141.218.60.56/~jnz1568/getInfo.php?workbook=02_01.xlsx&amp;sheet=U0&amp;row=320&amp;col=7&amp;number=0.0273&amp;sourceID=22","0.0273")</f>
        <v>0.0273</v>
      </c>
    </row>
    <row r="321" spans="1:7">
      <c r="A321" s="3"/>
      <c r="B321" s="3"/>
      <c r="C321" s="3"/>
      <c r="D321" s="3"/>
      <c r="E321" s="3">
        <v>2</v>
      </c>
      <c r="F321" s="4" t="str">
        <f>HYPERLINK("http://141.218.60.56/~jnz1568/getInfo.php?workbook=02_01.xlsx&amp;sheet=U0&amp;row=321&amp;col=6&amp;number=3.5&amp;sourceID=22","3.5")</f>
        <v>3.5</v>
      </c>
      <c r="G321" s="4" t="str">
        <f>HYPERLINK("http://141.218.60.56/~jnz1568/getInfo.php?workbook=02_01.xlsx&amp;sheet=U0&amp;row=321&amp;col=7&amp;number=0.0231&amp;sourceID=22","0.0231")</f>
        <v>0.0231</v>
      </c>
    </row>
    <row r="322" spans="1:7">
      <c r="A322" s="3"/>
      <c r="B322" s="3"/>
      <c r="C322" s="3"/>
      <c r="D322" s="3"/>
      <c r="E322" s="3">
        <v>3</v>
      </c>
      <c r="F322" s="4" t="str">
        <f>HYPERLINK("http://141.218.60.56/~jnz1568/getInfo.php?workbook=02_01.xlsx&amp;sheet=U0&amp;row=322&amp;col=6&amp;number=4&amp;sourceID=22","4")</f>
        <v>4</v>
      </c>
      <c r="G322" s="4" t="str">
        <f>HYPERLINK("http://141.218.60.56/~jnz1568/getInfo.php?workbook=02_01.xlsx&amp;sheet=U0&amp;row=322&amp;col=7&amp;number=0.0184&amp;sourceID=22","0.0184")</f>
        <v>0.0184</v>
      </c>
    </row>
    <row r="323" spans="1:7">
      <c r="A323" s="3"/>
      <c r="B323" s="3"/>
      <c r="C323" s="3"/>
      <c r="D323" s="3"/>
      <c r="E323" s="3">
        <v>4</v>
      </c>
      <c r="F323" s="4" t="str">
        <f>HYPERLINK("http://141.218.60.56/~jnz1568/getInfo.php?workbook=02_01.xlsx&amp;sheet=U0&amp;row=323&amp;col=6&amp;number=4.3&amp;sourceID=22","4.3")</f>
        <v>4.3</v>
      </c>
      <c r="G323" s="4" t="str">
        <f>HYPERLINK("http://141.218.60.56/~jnz1568/getInfo.php?workbook=02_01.xlsx&amp;sheet=U0&amp;row=323&amp;col=7&amp;number=0.0168&amp;sourceID=22","0.0168")</f>
        <v>0.0168</v>
      </c>
    </row>
    <row r="324" spans="1:7">
      <c r="A324" s="3">
        <v>2</v>
      </c>
      <c r="B324" s="3">
        <v>1</v>
      </c>
      <c r="C324" s="3">
        <v>15</v>
      </c>
      <c r="D324" s="3">
        <v>2</v>
      </c>
      <c r="E324" s="3">
        <v>1</v>
      </c>
      <c r="F324" s="4" t="str">
        <f>HYPERLINK("http://141.218.60.56/~jnz1568/getInfo.php?workbook=02_01.xlsx&amp;sheet=U0&amp;row=324&amp;col=6&amp;number=3.2&amp;sourceID=22","3.2")</f>
        <v>3.2</v>
      </c>
      <c r="G324" s="4" t="str">
        <f>HYPERLINK("http://141.218.60.56/~jnz1568/getInfo.php?workbook=02_01.xlsx&amp;sheet=U0&amp;row=324&amp;col=7&amp;number=0.575&amp;sourceID=22","0.575")</f>
        <v>0.575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HYPERLINK("http://141.218.60.56/~jnz1568/getInfo.php?workbook=02_01.xlsx&amp;sheet=U0&amp;row=325&amp;col=6&amp;number=3.5&amp;sourceID=22","3.5")</f>
        <v>3.5</v>
      </c>
      <c r="G325" s="4" t="str">
        <f>HYPERLINK("http://141.218.60.56/~jnz1568/getInfo.php?workbook=02_01.xlsx&amp;sheet=U0&amp;row=325&amp;col=7&amp;number=0.519&amp;sourceID=22","0.519")</f>
        <v>0.519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HYPERLINK("http://141.218.60.56/~jnz1568/getInfo.php?workbook=02_01.xlsx&amp;sheet=U0&amp;row=326&amp;col=6&amp;number=4&amp;sourceID=22","4")</f>
        <v>4</v>
      </c>
      <c r="G326" s="4" t="str">
        <f>HYPERLINK("http://141.218.60.56/~jnz1568/getInfo.php?workbook=02_01.xlsx&amp;sheet=U0&amp;row=326&amp;col=7&amp;number=0.453&amp;sourceID=22","0.453")</f>
        <v>0.453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HYPERLINK("http://141.218.60.56/~jnz1568/getInfo.php?workbook=02_01.xlsx&amp;sheet=U0&amp;row=327&amp;col=6&amp;number=4.3&amp;sourceID=22","4.3")</f>
        <v>4.3</v>
      </c>
      <c r="G327" s="4" t="str">
        <f>HYPERLINK("http://141.218.60.56/~jnz1568/getInfo.php?workbook=02_01.xlsx&amp;sheet=U0&amp;row=327&amp;col=7&amp;number=0.412&amp;sourceID=22","0.412")</f>
        <v>0.412</v>
      </c>
    </row>
    <row r="328" spans="1:7">
      <c r="A328" s="3">
        <v>2</v>
      </c>
      <c r="B328" s="3">
        <v>1</v>
      </c>
      <c r="C328" s="3">
        <v>15</v>
      </c>
      <c r="D328" s="3">
        <v>3</v>
      </c>
      <c r="E328" s="3">
        <v>1</v>
      </c>
      <c r="F328" s="4" t="str">
        <f>HYPERLINK("http://141.218.60.56/~jnz1568/getInfo.php?workbook=02_01.xlsx&amp;sheet=U0&amp;row=328&amp;col=6&amp;number=3.2&amp;sourceID=22","3.2")</f>
        <v>3.2</v>
      </c>
      <c r="G328" s="4" t="str">
        <f>HYPERLINK("http://141.218.60.56/~jnz1568/getInfo.php?workbook=02_01.xlsx&amp;sheet=U0&amp;row=328&amp;col=7&amp;number=0.596&amp;sourceID=22","0.596")</f>
        <v>0.596</v>
      </c>
    </row>
    <row r="329" spans="1:7">
      <c r="A329" s="3"/>
      <c r="B329" s="3"/>
      <c r="C329" s="3"/>
      <c r="D329" s="3"/>
      <c r="E329" s="3">
        <v>2</v>
      </c>
      <c r="F329" s="4" t="str">
        <f>HYPERLINK("http://141.218.60.56/~jnz1568/getInfo.php?workbook=02_01.xlsx&amp;sheet=U0&amp;row=329&amp;col=6&amp;number=3.5&amp;sourceID=22","3.5")</f>
        <v>3.5</v>
      </c>
      <c r="G329" s="4" t="str">
        <f>HYPERLINK("http://141.218.60.56/~jnz1568/getInfo.php?workbook=02_01.xlsx&amp;sheet=U0&amp;row=329&amp;col=7&amp;number=0.536&amp;sourceID=22","0.536")</f>
        <v>0.536</v>
      </c>
    </row>
    <row r="330" spans="1:7">
      <c r="A330" s="3"/>
      <c r="B330" s="3"/>
      <c r="C330" s="3"/>
      <c r="D330" s="3"/>
      <c r="E330" s="3">
        <v>3</v>
      </c>
      <c r="F330" s="4" t="str">
        <f>HYPERLINK("http://141.218.60.56/~jnz1568/getInfo.php?workbook=02_01.xlsx&amp;sheet=U0&amp;row=330&amp;col=6&amp;number=4&amp;sourceID=22","4")</f>
        <v>4</v>
      </c>
      <c r="G330" s="4" t="str">
        <f>HYPERLINK("http://141.218.60.56/~jnz1568/getInfo.php?workbook=02_01.xlsx&amp;sheet=U0&amp;row=330&amp;col=7&amp;number=0.437&amp;sourceID=22","0.437")</f>
        <v>0.437</v>
      </c>
    </row>
    <row r="331" spans="1:7">
      <c r="A331" s="3"/>
      <c r="B331" s="3"/>
      <c r="C331" s="3"/>
      <c r="D331" s="3"/>
      <c r="E331" s="3">
        <v>4</v>
      </c>
      <c r="F331" s="4" t="str">
        <f>HYPERLINK("http://141.218.60.56/~jnz1568/getInfo.php?workbook=02_01.xlsx&amp;sheet=U0&amp;row=331&amp;col=6&amp;number=4.3&amp;sourceID=22","4.3")</f>
        <v>4.3</v>
      </c>
      <c r="G331" s="4" t="str">
        <f>HYPERLINK("http://141.218.60.56/~jnz1568/getInfo.php?workbook=02_01.xlsx&amp;sheet=U0&amp;row=331&amp;col=7&amp;number=0.401&amp;sourceID=22","0.401")</f>
        <v>0.401</v>
      </c>
    </row>
    <row r="332" spans="1:7">
      <c r="A332" s="3">
        <v>2</v>
      </c>
      <c r="B332" s="3">
        <v>1</v>
      </c>
      <c r="C332" s="3">
        <v>15</v>
      </c>
      <c r="D332" s="3">
        <v>4</v>
      </c>
      <c r="E332" s="3">
        <v>1</v>
      </c>
      <c r="F332" s="4" t="str">
        <f>HYPERLINK("http://141.218.60.56/~jnz1568/getInfo.php?workbook=02_01.xlsx&amp;sheet=U0&amp;row=332&amp;col=6&amp;number=3.2&amp;sourceID=22","3.2")</f>
        <v>3.2</v>
      </c>
      <c r="G332" s="4" t="str">
        <f>HYPERLINK("http://141.218.60.56/~jnz1568/getInfo.php?workbook=02_01.xlsx&amp;sheet=U0&amp;row=332&amp;col=7&amp;number=1.69&amp;sourceID=22","1.69")</f>
        <v>1.69</v>
      </c>
    </row>
    <row r="333" spans="1:7">
      <c r="A333" s="3"/>
      <c r="B333" s="3"/>
      <c r="C333" s="3"/>
      <c r="D333" s="3"/>
      <c r="E333" s="3">
        <v>2</v>
      </c>
      <c r="F333" s="4" t="str">
        <f>HYPERLINK("http://141.218.60.56/~jnz1568/getInfo.php?workbook=02_01.xlsx&amp;sheet=U0&amp;row=333&amp;col=6&amp;number=3.5&amp;sourceID=22","3.5")</f>
        <v>3.5</v>
      </c>
      <c r="G333" s="4" t="str">
        <f>HYPERLINK("http://141.218.60.56/~jnz1568/getInfo.php?workbook=02_01.xlsx&amp;sheet=U0&amp;row=333&amp;col=7&amp;number=1.59&amp;sourceID=22","1.59")</f>
        <v>1.59</v>
      </c>
    </row>
    <row r="334" spans="1:7">
      <c r="A334" s="3"/>
      <c r="B334" s="3"/>
      <c r="C334" s="3"/>
      <c r="D334" s="3"/>
      <c r="E334" s="3">
        <v>3</v>
      </c>
      <c r="F334" s="4" t="str">
        <f>HYPERLINK("http://141.218.60.56/~jnz1568/getInfo.php?workbook=02_01.xlsx&amp;sheet=U0&amp;row=334&amp;col=6&amp;number=4&amp;sourceID=22","4")</f>
        <v>4</v>
      </c>
      <c r="G334" s="4" t="str">
        <f>HYPERLINK("http://141.218.60.56/~jnz1568/getInfo.php?workbook=02_01.xlsx&amp;sheet=U0&amp;row=334&amp;col=7&amp;number=1.56&amp;sourceID=22","1.56")</f>
        <v>1.56</v>
      </c>
    </row>
    <row r="335" spans="1:7">
      <c r="A335" s="3"/>
      <c r="B335" s="3"/>
      <c r="C335" s="3"/>
      <c r="D335" s="3"/>
      <c r="E335" s="3">
        <v>4</v>
      </c>
      <c r="F335" s="4" t="str">
        <f>HYPERLINK("http://141.218.60.56/~jnz1568/getInfo.php?workbook=02_01.xlsx&amp;sheet=U0&amp;row=335&amp;col=6&amp;number=4.3&amp;sourceID=22","4.3")</f>
        <v>4.3</v>
      </c>
      <c r="G335" s="4" t="str">
        <f>HYPERLINK("http://141.218.60.56/~jnz1568/getInfo.php?workbook=02_01.xlsx&amp;sheet=U0&amp;row=335&amp;col=7&amp;number=1.67&amp;sourceID=22","1.67")</f>
        <v>1.67</v>
      </c>
    </row>
    <row r="336" spans="1:7">
      <c r="A336" s="3">
        <v>2</v>
      </c>
      <c r="B336" s="3">
        <v>1</v>
      </c>
      <c r="C336" s="3">
        <v>15</v>
      </c>
      <c r="D336" s="3">
        <v>5</v>
      </c>
      <c r="E336" s="3">
        <v>1</v>
      </c>
      <c r="F336" s="4" t="str">
        <f>HYPERLINK("http://141.218.60.56/~jnz1568/getInfo.php?workbook=02_01.xlsx&amp;sheet=U0&amp;row=336&amp;col=6&amp;number=3.2&amp;sourceID=22","3.2")</f>
        <v>3.2</v>
      </c>
      <c r="G336" s="4" t="str">
        <f>HYPERLINK("http://141.218.60.56/~jnz1568/getInfo.php?workbook=02_01.xlsx&amp;sheet=U0&amp;row=336&amp;col=7&amp;number=3.13&amp;sourceID=22","3.13")</f>
        <v>3.13</v>
      </c>
    </row>
    <row r="337" spans="1:7">
      <c r="A337" s="3"/>
      <c r="B337" s="3"/>
      <c r="C337" s="3"/>
      <c r="D337" s="3"/>
      <c r="E337" s="3">
        <v>2</v>
      </c>
      <c r="F337" s="4" t="str">
        <f>HYPERLINK("http://141.218.60.56/~jnz1568/getInfo.php?workbook=02_01.xlsx&amp;sheet=U0&amp;row=337&amp;col=6&amp;number=3.5&amp;sourceID=22","3.5")</f>
        <v>3.5</v>
      </c>
      <c r="G337" s="4" t="str">
        <f>HYPERLINK("http://141.218.60.56/~jnz1568/getInfo.php?workbook=02_01.xlsx&amp;sheet=U0&amp;row=337&amp;col=7&amp;number=2.88&amp;sourceID=22","2.88")</f>
        <v>2.88</v>
      </c>
    </row>
    <row r="338" spans="1:7">
      <c r="A338" s="3"/>
      <c r="B338" s="3"/>
      <c r="C338" s="3"/>
      <c r="D338" s="3"/>
      <c r="E338" s="3">
        <v>3</v>
      </c>
      <c r="F338" s="4" t="str">
        <f>HYPERLINK("http://141.218.60.56/~jnz1568/getInfo.php?workbook=02_01.xlsx&amp;sheet=U0&amp;row=338&amp;col=6&amp;number=4&amp;sourceID=22","4")</f>
        <v>4</v>
      </c>
      <c r="G338" s="4" t="str">
        <f>HYPERLINK("http://141.218.60.56/~jnz1568/getInfo.php?workbook=02_01.xlsx&amp;sheet=U0&amp;row=338&amp;col=7&amp;number=2.6&amp;sourceID=22","2.6")</f>
        <v>2.6</v>
      </c>
    </row>
    <row r="339" spans="1:7">
      <c r="A339" s="3"/>
      <c r="B339" s="3"/>
      <c r="C339" s="3"/>
      <c r="D339" s="3"/>
      <c r="E339" s="3">
        <v>4</v>
      </c>
      <c r="F339" s="4" t="str">
        <f>HYPERLINK("http://141.218.60.56/~jnz1568/getInfo.php?workbook=02_01.xlsx&amp;sheet=U0&amp;row=339&amp;col=6&amp;number=4.3&amp;sourceID=22","4.3")</f>
        <v>4.3</v>
      </c>
      <c r="G339" s="4" t="str">
        <f>HYPERLINK("http://141.218.60.56/~jnz1568/getInfo.php?workbook=02_01.xlsx&amp;sheet=U0&amp;row=339&amp;col=7&amp;number=2.79&amp;sourceID=22","2.79")</f>
        <v>2.79</v>
      </c>
    </row>
    <row r="340" spans="1:7">
      <c r="A340" s="3">
        <v>2</v>
      </c>
      <c r="B340" s="3">
        <v>1</v>
      </c>
      <c r="C340" s="3">
        <v>15</v>
      </c>
      <c r="D340" s="3">
        <v>6</v>
      </c>
      <c r="E340" s="3">
        <v>1</v>
      </c>
      <c r="F340" s="4" t="str">
        <f>HYPERLINK("http://141.218.60.56/~jnz1568/getInfo.php?workbook=02_01.xlsx&amp;sheet=U0&amp;row=340&amp;col=6&amp;number=3.2&amp;sourceID=22","3.2")</f>
        <v>3.2</v>
      </c>
      <c r="G340" s="4" t="str">
        <f>HYPERLINK("http://141.218.60.56/~jnz1568/getInfo.php?workbook=02_01.xlsx&amp;sheet=U0&amp;row=340&amp;col=7&amp;number=4.12&amp;sourceID=22","4.12")</f>
        <v>4.12</v>
      </c>
    </row>
    <row r="341" spans="1:7">
      <c r="A341" s="3"/>
      <c r="B341" s="3"/>
      <c r="C341" s="3"/>
      <c r="D341" s="3"/>
      <c r="E341" s="3">
        <v>2</v>
      </c>
      <c r="F341" s="4" t="str">
        <f>HYPERLINK("http://141.218.60.56/~jnz1568/getInfo.php?workbook=02_01.xlsx&amp;sheet=U0&amp;row=341&amp;col=6&amp;number=3.5&amp;sourceID=22","3.5")</f>
        <v>3.5</v>
      </c>
      <c r="G341" s="4" t="str">
        <f>HYPERLINK("http://141.218.60.56/~jnz1568/getInfo.php?workbook=02_01.xlsx&amp;sheet=U0&amp;row=341&amp;col=7&amp;number=3.84&amp;sourceID=22","3.84")</f>
        <v>3.84</v>
      </c>
    </row>
    <row r="342" spans="1:7">
      <c r="A342" s="3"/>
      <c r="B342" s="3"/>
      <c r="C342" s="3"/>
      <c r="D342" s="3"/>
      <c r="E342" s="3">
        <v>3</v>
      </c>
      <c r="F342" s="4" t="str">
        <f>HYPERLINK("http://141.218.60.56/~jnz1568/getInfo.php?workbook=02_01.xlsx&amp;sheet=U0&amp;row=342&amp;col=6&amp;number=4&amp;sourceID=22","4")</f>
        <v>4</v>
      </c>
      <c r="G342" s="4" t="str">
        <f>HYPERLINK("http://141.218.60.56/~jnz1568/getInfo.php?workbook=02_01.xlsx&amp;sheet=U0&amp;row=342&amp;col=7&amp;number=3.41&amp;sourceID=22","3.41")</f>
        <v>3.41</v>
      </c>
    </row>
    <row r="343" spans="1:7">
      <c r="A343" s="3"/>
      <c r="B343" s="3"/>
      <c r="C343" s="3"/>
      <c r="D343" s="3"/>
      <c r="E343" s="3">
        <v>4</v>
      </c>
      <c r="F343" s="4" t="str">
        <f>HYPERLINK("http://141.218.60.56/~jnz1568/getInfo.php?workbook=02_01.xlsx&amp;sheet=U0&amp;row=343&amp;col=6&amp;number=4.3&amp;sourceID=22","4.3")</f>
        <v>4.3</v>
      </c>
      <c r="G343" s="4" t="str">
        <f>HYPERLINK("http://141.218.60.56/~jnz1568/getInfo.php?workbook=02_01.xlsx&amp;sheet=U0&amp;row=343&amp;col=7&amp;number=3.25&amp;sourceID=22","3.25")</f>
        <v>3.25</v>
      </c>
    </row>
    <row r="344" spans="1:7">
      <c r="A344" s="3">
        <v>2</v>
      </c>
      <c r="B344" s="3">
        <v>1</v>
      </c>
      <c r="C344" s="3">
        <v>15</v>
      </c>
      <c r="D344" s="3">
        <v>7</v>
      </c>
      <c r="E344" s="3">
        <v>1</v>
      </c>
      <c r="F344" s="4" t="str">
        <f>HYPERLINK("http://141.218.60.56/~jnz1568/getInfo.php?workbook=02_01.xlsx&amp;sheet=U0&amp;row=344&amp;col=6&amp;number=3.2&amp;sourceID=22","3.2")</f>
        <v>3.2</v>
      </c>
      <c r="G344" s="4" t="str">
        <f>HYPERLINK("http://141.218.60.56/~jnz1568/getInfo.php?workbook=02_01.xlsx&amp;sheet=U0&amp;row=344&amp;col=7&amp;number=5.63&amp;sourceID=22","5.63")</f>
        <v>5.63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HYPERLINK("http://141.218.60.56/~jnz1568/getInfo.php?workbook=02_01.xlsx&amp;sheet=U0&amp;row=345&amp;col=6&amp;number=3.5&amp;sourceID=22","3.5")</f>
        <v>3.5</v>
      </c>
      <c r="G345" s="4" t="str">
        <f>HYPERLINK("http://141.218.60.56/~jnz1568/getInfo.php?workbook=02_01.xlsx&amp;sheet=U0&amp;row=345&amp;col=7&amp;number=5.47&amp;sourceID=22","5.47")</f>
        <v>5.47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HYPERLINK("http://141.218.60.56/~jnz1568/getInfo.php?workbook=02_01.xlsx&amp;sheet=U0&amp;row=346&amp;col=6&amp;number=4&amp;sourceID=22","4")</f>
        <v>4</v>
      </c>
      <c r="G346" s="4" t="str">
        <f>HYPERLINK("http://141.218.60.56/~jnz1568/getInfo.php?workbook=02_01.xlsx&amp;sheet=U0&amp;row=346&amp;col=7&amp;number=5.39&amp;sourceID=22","5.39")</f>
        <v>5.39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HYPERLINK("http://141.218.60.56/~jnz1568/getInfo.php?workbook=02_01.xlsx&amp;sheet=U0&amp;row=347&amp;col=6&amp;number=4.3&amp;sourceID=22","4.3")</f>
        <v>4.3</v>
      </c>
      <c r="G347" s="4" t="str">
        <f>HYPERLINK("http://141.218.60.56/~jnz1568/getInfo.php?workbook=02_01.xlsx&amp;sheet=U0&amp;row=347&amp;col=7&amp;number=6.91&amp;sourceID=22","6.91")</f>
        <v>6.91</v>
      </c>
    </row>
    <row r="348" spans="1:7">
      <c r="A348" s="3">
        <v>2</v>
      </c>
      <c r="B348" s="3">
        <v>1</v>
      </c>
      <c r="C348" s="3">
        <v>15</v>
      </c>
      <c r="D348" s="3">
        <v>8</v>
      </c>
      <c r="E348" s="3">
        <v>1</v>
      </c>
      <c r="F348" s="4" t="str">
        <f>HYPERLINK("http://141.218.60.56/~jnz1568/getInfo.php?workbook=02_01.xlsx&amp;sheet=U0&amp;row=348&amp;col=6&amp;number=3.2&amp;sourceID=22","3.2")</f>
        <v>3.2</v>
      </c>
      <c r="G348" s="4" t="str">
        <f>HYPERLINK("http://141.218.60.56/~jnz1568/getInfo.php?workbook=02_01.xlsx&amp;sheet=U0&amp;row=348&amp;col=7&amp;number=15.6&amp;sourceID=22","15.6")</f>
        <v>15.6</v>
      </c>
    </row>
    <row r="349" spans="1:7">
      <c r="A349" s="3"/>
      <c r="B349" s="3"/>
      <c r="C349" s="3"/>
      <c r="D349" s="3"/>
      <c r="E349" s="3">
        <v>2</v>
      </c>
      <c r="F349" s="4" t="str">
        <f>HYPERLINK("http://141.218.60.56/~jnz1568/getInfo.php?workbook=02_01.xlsx&amp;sheet=U0&amp;row=349&amp;col=6&amp;number=3.5&amp;sourceID=22","3.5")</f>
        <v>3.5</v>
      </c>
      <c r="G349" s="4" t="str">
        <f>HYPERLINK("http://141.218.60.56/~jnz1568/getInfo.php?workbook=02_01.xlsx&amp;sheet=U0&amp;row=349&amp;col=7&amp;number=14.6&amp;sourceID=22","14.6")</f>
        <v>14.6</v>
      </c>
    </row>
    <row r="350" spans="1:7">
      <c r="A350" s="3"/>
      <c r="B350" s="3"/>
      <c r="C350" s="3"/>
      <c r="D350" s="3"/>
      <c r="E350" s="3">
        <v>3</v>
      </c>
      <c r="F350" s="4" t="str">
        <f>HYPERLINK("http://141.218.60.56/~jnz1568/getInfo.php?workbook=02_01.xlsx&amp;sheet=U0&amp;row=350&amp;col=6&amp;number=4&amp;sourceID=22","4")</f>
        <v>4</v>
      </c>
      <c r="G350" s="4" t="str">
        <f>HYPERLINK("http://141.218.60.56/~jnz1568/getInfo.php?workbook=02_01.xlsx&amp;sheet=U0&amp;row=350&amp;col=7&amp;number=13.1&amp;sourceID=22","13.1")</f>
        <v>13.1</v>
      </c>
    </row>
    <row r="351" spans="1:7">
      <c r="A351" s="3"/>
      <c r="B351" s="3"/>
      <c r="C351" s="3"/>
      <c r="D351" s="3"/>
      <c r="E351" s="3">
        <v>4</v>
      </c>
      <c r="F351" s="4" t="str">
        <f>HYPERLINK("http://141.218.60.56/~jnz1568/getInfo.php?workbook=02_01.xlsx&amp;sheet=U0&amp;row=351&amp;col=6&amp;number=4.3&amp;sourceID=22","4.3")</f>
        <v>4.3</v>
      </c>
      <c r="G351" s="4" t="str">
        <f>HYPERLINK("http://141.218.60.56/~jnz1568/getInfo.php?workbook=02_01.xlsx&amp;sheet=U0&amp;row=351&amp;col=7&amp;number=12.5&amp;sourceID=22","12.5")</f>
        <v>12.5</v>
      </c>
    </row>
    <row r="352" spans="1:7">
      <c r="A352" s="3">
        <v>2</v>
      </c>
      <c r="B352" s="3">
        <v>1</v>
      </c>
      <c r="C352" s="3">
        <v>15</v>
      </c>
      <c r="D352" s="3">
        <v>9</v>
      </c>
      <c r="E352" s="3">
        <v>1</v>
      </c>
      <c r="F352" s="4" t="str">
        <f>HYPERLINK("http://141.218.60.56/~jnz1568/getInfo.php?workbook=02_01.xlsx&amp;sheet=U0&amp;row=352&amp;col=6&amp;number=3.2&amp;sourceID=22","3.2")</f>
        <v>3.2</v>
      </c>
      <c r="G352" s="4" t="str">
        <f>HYPERLINK("http://141.218.60.56/~jnz1568/getInfo.php?workbook=02_01.xlsx&amp;sheet=U0&amp;row=352&amp;col=7&amp;number=14.7&amp;sourceID=22","14.7")</f>
        <v>14.7</v>
      </c>
    </row>
    <row r="353" spans="1:7">
      <c r="A353" s="3"/>
      <c r="B353" s="3"/>
      <c r="C353" s="3"/>
      <c r="D353" s="3"/>
      <c r="E353" s="3">
        <v>2</v>
      </c>
      <c r="F353" s="4" t="str">
        <f>HYPERLINK("http://141.218.60.56/~jnz1568/getInfo.php?workbook=02_01.xlsx&amp;sheet=U0&amp;row=353&amp;col=6&amp;number=3.5&amp;sourceID=22","3.5")</f>
        <v>3.5</v>
      </c>
      <c r="G353" s="4" t="str">
        <f>HYPERLINK("http://141.218.60.56/~jnz1568/getInfo.php?workbook=02_01.xlsx&amp;sheet=U0&amp;row=353&amp;col=7&amp;number=14.2&amp;sourceID=22","14.2")</f>
        <v>14.2</v>
      </c>
    </row>
    <row r="354" spans="1:7">
      <c r="A354" s="3"/>
      <c r="B354" s="3"/>
      <c r="C354" s="3"/>
      <c r="D354" s="3"/>
      <c r="E354" s="3">
        <v>3</v>
      </c>
      <c r="F354" s="4" t="str">
        <f>HYPERLINK("http://141.218.60.56/~jnz1568/getInfo.php?workbook=02_01.xlsx&amp;sheet=U0&amp;row=354&amp;col=6&amp;number=4&amp;sourceID=22","4")</f>
        <v>4</v>
      </c>
      <c r="G354" s="4" t="str">
        <f>HYPERLINK("http://141.218.60.56/~jnz1568/getInfo.php?workbook=02_01.xlsx&amp;sheet=U0&amp;row=354&amp;col=7&amp;number=13.2&amp;sourceID=22","13.2")</f>
        <v>13.2</v>
      </c>
    </row>
    <row r="355" spans="1:7">
      <c r="A355" s="3"/>
      <c r="B355" s="3"/>
      <c r="C355" s="3"/>
      <c r="D355" s="3"/>
      <c r="E355" s="3">
        <v>4</v>
      </c>
      <c r="F355" s="4" t="str">
        <f>HYPERLINK("http://141.218.60.56/~jnz1568/getInfo.php?workbook=02_01.xlsx&amp;sheet=U0&amp;row=355&amp;col=6&amp;number=4.3&amp;sourceID=22","4.3")</f>
        <v>4.3</v>
      </c>
      <c r="G355" s="4" t="str">
        <f>HYPERLINK("http://141.218.60.56/~jnz1568/getInfo.php?workbook=02_01.xlsx&amp;sheet=U0&amp;row=355&amp;col=7&amp;number=13.1&amp;sourceID=22","13.1")</f>
        <v>13.1</v>
      </c>
    </row>
    <row r="356" spans="1:7">
      <c r="A356" s="3">
        <v>2</v>
      </c>
      <c r="B356" s="3">
        <v>1</v>
      </c>
      <c r="C356" s="3">
        <v>15</v>
      </c>
      <c r="D356" s="3">
        <v>10</v>
      </c>
      <c r="E356" s="3">
        <v>1</v>
      </c>
      <c r="F356" s="4" t="str">
        <f>HYPERLINK("http://141.218.60.56/~jnz1568/getInfo.php?workbook=02_01.xlsx&amp;sheet=U0&amp;row=356&amp;col=6&amp;number=3.2&amp;sourceID=22","3.2")</f>
        <v>3.2</v>
      </c>
      <c r="G356" s="4" t="str">
        <f>HYPERLINK("http://141.218.60.56/~jnz1568/getInfo.php?workbook=02_01.xlsx&amp;sheet=U0&amp;row=356&amp;col=7&amp;number=24&amp;sourceID=22","24")</f>
        <v>24</v>
      </c>
    </row>
    <row r="357" spans="1:7">
      <c r="A357" s="3"/>
      <c r="B357" s="3"/>
      <c r="C357" s="3"/>
      <c r="D357" s="3"/>
      <c r="E357" s="3">
        <v>2</v>
      </c>
      <c r="F357" s="4" t="str">
        <f>HYPERLINK("http://141.218.60.56/~jnz1568/getInfo.php?workbook=02_01.xlsx&amp;sheet=U0&amp;row=357&amp;col=6&amp;number=3.5&amp;sourceID=22","3.5")</f>
        <v>3.5</v>
      </c>
      <c r="G357" s="4" t="str">
        <f>HYPERLINK("http://141.218.60.56/~jnz1568/getInfo.php?workbook=02_01.xlsx&amp;sheet=U0&amp;row=357&amp;col=7&amp;number=21.8&amp;sourceID=22","21.8")</f>
        <v>21.8</v>
      </c>
    </row>
    <row r="358" spans="1:7">
      <c r="A358" s="3"/>
      <c r="B358" s="3"/>
      <c r="C358" s="3"/>
      <c r="D358" s="3"/>
      <c r="E358" s="3">
        <v>3</v>
      </c>
      <c r="F358" s="4" t="str">
        <f>HYPERLINK("http://141.218.60.56/~jnz1568/getInfo.php?workbook=02_01.xlsx&amp;sheet=U0&amp;row=358&amp;col=6&amp;number=4&amp;sourceID=22","4")</f>
        <v>4</v>
      </c>
      <c r="G358" s="4" t="str">
        <f>HYPERLINK("http://141.218.60.56/~jnz1568/getInfo.php?workbook=02_01.xlsx&amp;sheet=U0&amp;row=358&amp;col=7&amp;number=21.4&amp;sourceID=22","21.4")</f>
        <v>21.4</v>
      </c>
    </row>
    <row r="359" spans="1:7">
      <c r="A359" s="3"/>
      <c r="B359" s="3"/>
      <c r="C359" s="3"/>
      <c r="D359" s="3"/>
      <c r="E359" s="3">
        <v>4</v>
      </c>
      <c r="F359" s="4" t="str">
        <f>HYPERLINK("http://141.218.60.56/~jnz1568/getInfo.php?workbook=02_01.xlsx&amp;sheet=U0&amp;row=359&amp;col=6&amp;number=4.3&amp;sourceID=22","4.3")</f>
        <v>4.3</v>
      </c>
      <c r="G359" s="4" t="str">
        <f>HYPERLINK("http://141.218.60.56/~jnz1568/getInfo.php?workbook=02_01.xlsx&amp;sheet=U0&amp;row=359&amp;col=7&amp;number=22.5&amp;sourceID=22","22.5")</f>
        <v>22.5</v>
      </c>
    </row>
    <row r="360" spans="1:7">
      <c r="A360" s="3">
        <v>2</v>
      </c>
      <c r="B360" s="3">
        <v>1</v>
      </c>
      <c r="C360" s="3">
        <v>15</v>
      </c>
      <c r="D360" s="3">
        <v>11</v>
      </c>
      <c r="E360" s="3">
        <v>1</v>
      </c>
      <c r="F360" s="4" t="str">
        <f>HYPERLINK("http://141.218.60.56/~jnz1568/getInfo.php?workbook=02_01.xlsx&amp;sheet=U0&amp;row=360&amp;col=6&amp;number=3.2&amp;sourceID=22","3.2")</f>
        <v>3.2</v>
      </c>
      <c r="G360" s="4" t="str">
        <f>HYPERLINK("http://141.218.60.56/~jnz1568/getInfo.php?workbook=02_01.xlsx&amp;sheet=U0&amp;row=360&amp;col=7&amp;number=36.4&amp;sourceID=22","36.4")</f>
        <v>36.4</v>
      </c>
    </row>
    <row r="361" spans="1:7">
      <c r="A361" s="3"/>
      <c r="B361" s="3"/>
      <c r="C361" s="3"/>
      <c r="D361" s="3"/>
      <c r="E361" s="3">
        <v>2</v>
      </c>
      <c r="F361" s="4" t="str">
        <f>HYPERLINK("http://141.218.60.56/~jnz1568/getInfo.php?workbook=02_01.xlsx&amp;sheet=U0&amp;row=361&amp;col=6&amp;number=3.5&amp;sourceID=22","3.5")</f>
        <v>3.5</v>
      </c>
      <c r="G361" s="4" t="str">
        <f>HYPERLINK("http://141.218.60.56/~jnz1568/getInfo.php?workbook=02_01.xlsx&amp;sheet=U0&amp;row=361&amp;col=7&amp;number=32.6&amp;sourceID=22","32.6")</f>
        <v>32.6</v>
      </c>
    </row>
    <row r="362" spans="1:7">
      <c r="A362" s="3"/>
      <c r="B362" s="3"/>
      <c r="C362" s="3"/>
      <c r="D362" s="3"/>
      <c r="E362" s="3">
        <v>3</v>
      </c>
      <c r="F362" s="4" t="str">
        <f>HYPERLINK("http://141.218.60.56/~jnz1568/getInfo.php?workbook=02_01.xlsx&amp;sheet=U0&amp;row=362&amp;col=6&amp;number=4&amp;sourceID=22","4")</f>
        <v>4</v>
      </c>
      <c r="G362" s="4" t="str">
        <f>HYPERLINK("http://141.218.60.56/~jnz1568/getInfo.php?workbook=02_01.xlsx&amp;sheet=U0&amp;row=362&amp;col=7&amp;number=28&amp;sourceID=22","28")</f>
        <v>28</v>
      </c>
    </row>
    <row r="363" spans="1:7">
      <c r="A363" s="3"/>
      <c r="B363" s="3"/>
      <c r="C363" s="3"/>
      <c r="D363" s="3"/>
      <c r="E363" s="3">
        <v>4</v>
      </c>
      <c r="F363" s="4" t="str">
        <f>HYPERLINK("http://141.218.60.56/~jnz1568/getInfo.php?workbook=02_01.xlsx&amp;sheet=U0&amp;row=363&amp;col=6&amp;number=4.3&amp;sourceID=22","4.3")</f>
        <v>4.3</v>
      </c>
      <c r="G363" s="4" t="str">
        <f>HYPERLINK("http://141.218.60.56/~jnz1568/getInfo.php?workbook=02_01.xlsx&amp;sheet=U0&amp;row=363&amp;col=7&amp;number=25.6&amp;sourceID=22","25.6")</f>
        <v>25.6</v>
      </c>
    </row>
    <row r="364" spans="1:7">
      <c r="A364" s="3">
        <v>2</v>
      </c>
      <c r="B364" s="3">
        <v>1</v>
      </c>
      <c r="C364" s="3">
        <v>15</v>
      </c>
      <c r="D364" s="3">
        <v>12</v>
      </c>
      <c r="E364" s="3">
        <v>1</v>
      </c>
      <c r="F364" s="4" t="str">
        <f>HYPERLINK("http://141.218.60.56/~jnz1568/getInfo.php?workbook=02_01.xlsx&amp;sheet=U0&amp;row=364&amp;col=6&amp;number=3.2&amp;sourceID=22","3.2")</f>
        <v>3.2</v>
      </c>
      <c r="G364" s="4" t="str">
        <f>HYPERLINK("http://141.218.60.56/~jnz1568/getInfo.php?workbook=02_01.xlsx&amp;sheet=U0&amp;row=364&amp;col=7&amp;number=892&amp;sourceID=22","892")</f>
        <v>892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HYPERLINK("http://141.218.60.56/~jnz1568/getInfo.php?workbook=02_01.xlsx&amp;sheet=U0&amp;row=365&amp;col=6&amp;number=3.5&amp;sourceID=22","3.5")</f>
        <v>3.5</v>
      </c>
      <c r="G365" s="4" t="str">
        <f>HYPERLINK("http://141.218.60.56/~jnz1568/getInfo.php?workbook=02_01.xlsx&amp;sheet=U0&amp;row=365&amp;col=7&amp;number=906&amp;sourceID=22","906")</f>
        <v>906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HYPERLINK("http://141.218.60.56/~jnz1568/getInfo.php?workbook=02_01.xlsx&amp;sheet=U0&amp;row=366&amp;col=6&amp;number=4&amp;sourceID=22","4")</f>
        <v>4</v>
      </c>
      <c r="G366" s="4" t="str">
        <f>HYPERLINK("http://141.218.60.56/~jnz1568/getInfo.php?workbook=02_01.xlsx&amp;sheet=U0&amp;row=366&amp;col=7&amp;number=921&amp;sourceID=22","921")</f>
        <v>921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HYPERLINK("http://141.218.60.56/~jnz1568/getInfo.php?workbook=02_01.xlsx&amp;sheet=U0&amp;row=367&amp;col=6&amp;number=4.3&amp;sourceID=22","4.3")</f>
        <v>4.3</v>
      </c>
      <c r="G367" s="4" t="str">
        <f>HYPERLINK("http://141.218.60.56/~jnz1568/getInfo.php?workbook=02_01.xlsx&amp;sheet=U0&amp;row=367&amp;col=7&amp;number=915&amp;sourceID=22","915")</f>
        <v>915</v>
      </c>
    </row>
    <row r="368" spans="1:7">
      <c r="A368" s="3">
        <v>2</v>
      </c>
      <c r="B368" s="3">
        <v>1</v>
      </c>
      <c r="C368" s="3">
        <v>16</v>
      </c>
      <c r="D368" s="3">
        <v>1</v>
      </c>
      <c r="E368" s="3">
        <v>1</v>
      </c>
      <c r="F368" s="4" t="str">
        <f>HYPERLINK("http://141.218.60.56/~jnz1568/getInfo.php?workbook=02_01.xlsx&amp;sheet=U0&amp;row=368&amp;col=6&amp;number=3.2&amp;sourceID=22","3.2")</f>
        <v>3.2</v>
      </c>
      <c r="G368" s="4" t="str">
        <f>HYPERLINK("http://141.218.60.56/~jnz1568/getInfo.php?workbook=02_01.xlsx&amp;sheet=U0&amp;row=368&amp;col=7&amp;number=0.00682&amp;sourceID=22","0.00682")</f>
        <v>0.00682</v>
      </c>
    </row>
    <row r="369" spans="1:7">
      <c r="A369" s="3"/>
      <c r="B369" s="3"/>
      <c r="C369" s="3"/>
      <c r="D369" s="3"/>
      <c r="E369" s="3">
        <v>2</v>
      </c>
      <c r="F369" s="4" t="str">
        <f>HYPERLINK("http://141.218.60.56/~jnz1568/getInfo.php?workbook=02_01.xlsx&amp;sheet=U0&amp;row=369&amp;col=6&amp;number=3.5&amp;sourceID=22","3.5")</f>
        <v>3.5</v>
      </c>
      <c r="G369" s="4" t="str">
        <f>HYPERLINK("http://141.218.60.56/~jnz1568/getInfo.php?workbook=02_01.xlsx&amp;sheet=U0&amp;row=369&amp;col=7&amp;number=0.0064&amp;sourceID=22","0.0064")</f>
        <v>0.0064</v>
      </c>
    </row>
    <row r="370" spans="1:7">
      <c r="A370" s="3"/>
      <c r="B370" s="3"/>
      <c r="C370" s="3"/>
      <c r="D370" s="3"/>
      <c r="E370" s="3">
        <v>3</v>
      </c>
      <c r="F370" s="4" t="str">
        <f>HYPERLINK("http://141.218.60.56/~jnz1568/getInfo.php?workbook=02_01.xlsx&amp;sheet=U0&amp;row=370&amp;col=6&amp;number=4&amp;sourceID=22","4")</f>
        <v>4</v>
      </c>
      <c r="G370" s="4" t="str">
        <f>HYPERLINK("http://141.218.60.56/~jnz1568/getInfo.php?workbook=02_01.xlsx&amp;sheet=U0&amp;row=370&amp;col=7&amp;number=0.00542&amp;sourceID=22","0.00542")</f>
        <v>0.00542</v>
      </c>
    </row>
    <row r="371" spans="1:7">
      <c r="A371" s="3"/>
      <c r="B371" s="3"/>
      <c r="C371" s="3"/>
      <c r="D371" s="3"/>
      <c r="E371" s="3">
        <v>4</v>
      </c>
      <c r="F371" s="4" t="str">
        <f>HYPERLINK("http://141.218.60.56/~jnz1568/getInfo.php?workbook=02_01.xlsx&amp;sheet=U0&amp;row=371&amp;col=6&amp;number=4.3&amp;sourceID=22","4.3")</f>
        <v>4.3</v>
      </c>
      <c r="G371" s="4" t="str">
        <f>HYPERLINK("http://141.218.60.56/~jnz1568/getInfo.php?workbook=02_01.xlsx&amp;sheet=U0&amp;row=371&amp;col=7&amp;number=0.00443&amp;sourceID=22","0.00443")</f>
        <v>0.00443</v>
      </c>
    </row>
    <row r="372" spans="1:7">
      <c r="A372" s="3">
        <v>2</v>
      </c>
      <c r="B372" s="3">
        <v>1</v>
      </c>
      <c r="C372" s="3">
        <v>16</v>
      </c>
      <c r="D372" s="3">
        <v>2</v>
      </c>
      <c r="E372" s="3">
        <v>1</v>
      </c>
      <c r="F372" s="4" t="str">
        <f>HYPERLINK("http://141.218.60.56/~jnz1568/getInfo.php?workbook=02_01.xlsx&amp;sheet=U0&amp;row=372&amp;col=6&amp;number=3.2&amp;sourceID=22","3.2")</f>
        <v>3.2</v>
      </c>
      <c r="G372" s="4" t="str">
        <f>HYPERLINK("http://141.218.60.56/~jnz1568/getInfo.php?workbook=02_01.xlsx&amp;sheet=U0&amp;row=372&amp;col=7&amp;number=0.303&amp;sourceID=22","0.303")</f>
        <v>0.303</v>
      </c>
    </row>
    <row r="373" spans="1:7">
      <c r="A373" s="3"/>
      <c r="B373" s="3"/>
      <c r="C373" s="3"/>
      <c r="D373" s="3"/>
      <c r="E373" s="3">
        <v>2</v>
      </c>
      <c r="F373" s="4" t="str">
        <f>HYPERLINK("http://141.218.60.56/~jnz1568/getInfo.php?workbook=02_01.xlsx&amp;sheet=U0&amp;row=373&amp;col=6&amp;number=3.5&amp;sourceID=22","3.5")</f>
        <v>3.5</v>
      </c>
      <c r="G373" s="4" t="str">
        <f>HYPERLINK("http://141.218.60.56/~jnz1568/getInfo.php?workbook=02_01.xlsx&amp;sheet=U0&amp;row=373&amp;col=7&amp;number=0.312&amp;sourceID=22","0.312")</f>
        <v>0.312</v>
      </c>
    </row>
    <row r="374" spans="1:7">
      <c r="A374" s="3"/>
      <c r="B374" s="3"/>
      <c r="C374" s="3"/>
      <c r="D374" s="3"/>
      <c r="E374" s="3">
        <v>3</v>
      </c>
      <c r="F374" s="4" t="str">
        <f>HYPERLINK("http://141.218.60.56/~jnz1568/getInfo.php?workbook=02_01.xlsx&amp;sheet=U0&amp;row=374&amp;col=6&amp;number=4&amp;sourceID=22","4")</f>
        <v>4</v>
      </c>
      <c r="G374" s="4" t="str">
        <f>HYPERLINK("http://141.218.60.56/~jnz1568/getInfo.php?workbook=02_01.xlsx&amp;sheet=U0&amp;row=374&amp;col=7&amp;number=0.343&amp;sourceID=22","0.343")</f>
        <v>0.343</v>
      </c>
    </row>
    <row r="375" spans="1:7">
      <c r="A375" s="3"/>
      <c r="B375" s="3"/>
      <c r="C375" s="3"/>
      <c r="D375" s="3"/>
      <c r="E375" s="3">
        <v>4</v>
      </c>
      <c r="F375" s="4" t="str">
        <f>HYPERLINK("http://141.218.60.56/~jnz1568/getInfo.php?workbook=02_01.xlsx&amp;sheet=U0&amp;row=375&amp;col=6&amp;number=4.3&amp;sourceID=22","4.3")</f>
        <v>4.3</v>
      </c>
      <c r="G375" s="4" t="str">
        <f>HYPERLINK("http://141.218.60.56/~jnz1568/getInfo.php?workbook=02_01.xlsx&amp;sheet=U0&amp;row=375&amp;col=7&amp;number=0.313&amp;sourceID=22","0.313")</f>
        <v>0.313</v>
      </c>
    </row>
    <row r="376" spans="1:7">
      <c r="A376" s="3">
        <v>2</v>
      </c>
      <c r="B376" s="3">
        <v>1</v>
      </c>
      <c r="C376" s="3">
        <v>16</v>
      </c>
      <c r="D376" s="3">
        <v>3</v>
      </c>
      <c r="E376" s="3">
        <v>1</v>
      </c>
      <c r="F376" s="4" t="str">
        <f>HYPERLINK("http://141.218.60.56/~jnz1568/getInfo.php?workbook=02_01.xlsx&amp;sheet=U0&amp;row=376&amp;col=6&amp;number=3.2&amp;sourceID=22","3.2")</f>
        <v>3.2</v>
      </c>
      <c r="G376" s="4" t="str">
        <f>HYPERLINK("http://141.218.60.56/~jnz1568/getInfo.php?workbook=02_01.xlsx&amp;sheet=U0&amp;row=376&amp;col=7&amp;number=0.272&amp;sourceID=22","0.272")</f>
        <v>0.272</v>
      </c>
    </row>
    <row r="377" spans="1:7">
      <c r="A377" s="3"/>
      <c r="B377" s="3"/>
      <c r="C377" s="3"/>
      <c r="D377" s="3"/>
      <c r="E377" s="3">
        <v>2</v>
      </c>
      <c r="F377" s="4" t="str">
        <f>HYPERLINK("http://141.218.60.56/~jnz1568/getInfo.php?workbook=02_01.xlsx&amp;sheet=U0&amp;row=377&amp;col=6&amp;number=3.5&amp;sourceID=22","3.5")</f>
        <v>3.5</v>
      </c>
      <c r="G377" s="4" t="str">
        <f>HYPERLINK("http://141.218.60.56/~jnz1568/getInfo.php?workbook=02_01.xlsx&amp;sheet=U0&amp;row=377&amp;col=7&amp;number=0.272&amp;sourceID=22","0.272")</f>
        <v>0.272</v>
      </c>
    </row>
    <row r="378" spans="1:7">
      <c r="A378" s="3"/>
      <c r="B378" s="3"/>
      <c r="C378" s="3"/>
      <c r="D378" s="3"/>
      <c r="E378" s="3">
        <v>3</v>
      </c>
      <c r="F378" s="4" t="str">
        <f>HYPERLINK("http://141.218.60.56/~jnz1568/getInfo.php?workbook=02_01.xlsx&amp;sheet=U0&amp;row=378&amp;col=6&amp;number=4&amp;sourceID=22","4")</f>
        <v>4</v>
      </c>
      <c r="G378" s="4" t="str">
        <f>HYPERLINK("http://141.218.60.56/~jnz1568/getInfo.php?workbook=02_01.xlsx&amp;sheet=U0&amp;row=378&amp;col=7&amp;number=0.266&amp;sourceID=22","0.266")</f>
        <v>0.266</v>
      </c>
    </row>
    <row r="379" spans="1:7">
      <c r="A379" s="3"/>
      <c r="B379" s="3"/>
      <c r="C379" s="3"/>
      <c r="D379" s="3"/>
      <c r="E379" s="3">
        <v>4</v>
      </c>
      <c r="F379" s="4" t="str">
        <f>HYPERLINK("http://141.218.60.56/~jnz1568/getInfo.php?workbook=02_01.xlsx&amp;sheet=U0&amp;row=379&amp;col=6&amp;number=4.3&amp;sourceID=22","4.3")</f>
        <v>4.3</v>
      </c>
      <c r="G379" s="4" t="str">
        <f>HYPERLINK("http://141.218.60.56/~jnz1568/getInfo.php?workbook=02_01.xlsx&amp;sheet=U0&amp;row=379&amp;col=7&amp;number=0.259&amp;sourceID=22","0.259")</f>
        <v>0.259</v>
      </c>
    </row>
    <row r="380" spans="1:7">
      <c r="A380" s="3">
        <v>2</v>
      </c>
      <c r="B380" s="3">
        <v>1</v>
      </c>
      <c r="C380" s="3">
        <v>16</v>
      </c>
      <c r="D380" s="3">
        <v>4</v>
      </c>
      <c r="E380" s="3">
        <v>1</v>
      </c>
      <c r="F380" s="4" t="str">
        <f>HYPERLINK("http://141.218.60.56/~jnz1568/getInfo.php?workbook=02_01.xlsx&amp;sheet=U0&amp;row=380&amp;col=6&amp;number=3.2&amp;sourceID=22","3.2")</f>
        <v>3.2</v>
      </c>
      <c r="G380" s="4" t="str">
        <f>HYPERLINK("http://141.218.60.56/~jnz1568/getInfo.php?workbook=02_01.xlsx&amp;sheet=U0&amp;row=380&amp;col=7&amp;number=1.15&amp;sourceID=22","1.15")</f>
        <v>1.15</v>
      </c>
    </row>
    <row r="381" spans="1:7">
      <c r="A381" s="3"/>
      <c r="B381" s="3"/>
      <c r="C381" s="3"/>
      <c r="D381" s="3"/>
      <c r="E381" s="3">
        <v>2</v>
      </c>
      <c r="F381" s="4" t="str">
        <f>HYPERLINK("http://141.218.60.56/~jnz1568/getInfo.php?workbook=02_01.xlsx&amp;sheet=U0&amp;row=381&amp;col=6&amp;number=3.5&amp;sourceID=22","3.5")</f>
        <v>3.5</v>
      </c>
      <c r="G381" s="4" t="str">
        <f>HYPERLINK("http://141.218.60.56/~jnz1568/getInfo.php?workbook=02_01.xlsx&amp;sheet=U0&amp;row=381&amp;col=7&amp;number=1.2&amp;sourceID=22","1.2")</f>
        <v>1.2</v>
      </c>
    </row>
    <row r="382" spans="1:7">
      <c r="A382" s="3"/>
      <c r="B382" s="3"/>
      <c r="C382" s="3"/>
      <c r="D382" s="3"/>
      <c r="E382" s="3">
        <v>3</v>
      </c>
      <c r="F382" s="4" t="str">
        <f>HYPERLINK("http://141.218.60.56/~jnz1568/getInfo.php?workbook=02_01.xlsx&amp;sheet=U0&amp;row=382&amp;col=6&amp;number=4&amp;sourceID=22","4")</f>
        <v>4</v>
      </c>
      <c r="G382" s="4" t="str">
        <f>HYPERLINK("http://141.218.60.56/~jnz1568/getInfo.php?workbook=02_01.xlsx&amp;sheet=U0&amp;row=382&amp;col=7&amp;number=1.27&amp;sourceID=22","1.27")</f>
        <v>1.27</v>
      </c>
    </row>
    <row r="383" spans="1:7">
      <c r="A383" s="3"/>
      <c r="B383" s="3"/>
      <c r="C383" s="3"/>
      <c r="D383" s="3"/>
      <c r="E383" s="3">
        <v>4</v>
      </c>
      <c r="F383" s="4" t="str">
        <f>HYPERLINK("http://141.218.60.56/~jnz1568/getInfo.php?workbook=02_01.xlsx&amp;sheet=U0&amp;row=383&amp;col=6&amp;number=4.3&amp;sourceID=22","4.3")</f>
        <v>4.3</v>
      </c>
      <c r="G383" s="4" t="str">
        <f>HYPERLINK("http://141.218.60.56/~jnz1568/getInfo.php?workbook=02_01.xlsx&amp;sheet=U0&amp;row=383&amp;col=7&amp;number=1.23&amp;sourceID=22","1.23")</f>
        <v>1.23</v>
      </c>
    </row>
    <row r="384" spans="1:7">
      <c r="A384" s="3">
        <v>2</v>
      </c>
      <c r="B384" s="3">
        <v>1</v>
      </c>
      <c r="C384" s="3">
        <v>16</v>
      </c>
      <c r="D384" s="3">
        <v>5</v>
      </c>
      <c r="E384" s="3">
        <v>1</v>
      </c>
      <c r="F384" s="4" t="str">
        <f>HYPERLINK("http://141.218.60.56/~jnz1568/getInfo.php?workbook=02_01.xlsx&amp;sheet=U0&amp;row=384&amp;col=6&amp;number=3.2&amp;sourceID=22","3.2")</f>
        <v>3.2</v>
      </c>
      <c r="G384" s="4" t="str">
        <f>HYPERLINK("http://141.218.60.56/~jnz1568/getInfo.php?workbook=02_01.xlsx&amp;sheet=U0&amp;row=384&amp;col=7&amp;number=2.16&amp;sourceID=22","2.16")</f>
        <v>2.16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HYPERLINK("http://141.218.60.56/~jnz1568/getInfo.php?workbook=02_01.xlsx&amp;sheet=U0&amp;row=385&amp;col=6&amp;number=3.5&amp;sourceID=22","3.5")</f>
        <v>3.5</v>
      </c>
      <c r="G385" s="4" t="str">
        <f>HYPERLINK("http://141.218.60.56/~jnz1568/getInfo.php?workbook=02_01.xlsx&amp;sheet=U0&amp;row=385&amp;col=7&amp;number=2.18&amp;sourceID=22","2.18")</f>
        <v>2.18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HYPERLINK("http://141.218.60.56/~jnz1568/getInfo.php?workbook=02_01.xlsx&amp;sheet=U0&amp;row=386&amp;col=6&amp;number=4&amp;sourceID=22","4")</f>
        <v>4</v>
      </c>
      <c r="G386" s="4" t="str">
        <f>HYPERLINK("http://141.218.60.56/~jnz1568/getInfo.php?workbook=02_01.xlsx&amp;sheet=U0&amp;row=386&amp;col=7&amp;number=2.17&amp;sourceID=22","2.17")</f>
        <v>2.17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HYPERLINK("http://141.218.60.56/~jnz1568/getInfo.php?workbook=02_01.xlsx&amp;sheet=U0&amp;row=387&amp;col=6&amp;number=4.3&amp;sourceID=22","4.3")</f>
        <v>4.3</v>
      </c>
      <c r="G387" s="4" t="str">
        <f>HYPERLINK("http://141.218.60.56/~jnz1568/getInfo.php?workbook=02_01.xlsx&amp;sheet=U0&amp;row=387&amp;col=7&amp;number=2.01&amp;sourceID=22","2.01")</f>
        <v>2.01</v>
      </c>
    </row>
    <row r="388" spans="1:7">
      <c r="A388" s="3">
        <v>2</v>
      </c>
      <c r="B388" s="3">
        <v>1</v>
      </c>
      <c r="C388" s="3">
        <v>16</v>
      </c>
      <c r="D388" s="3">
        <v>6</v>
      </c>
      <c r="E388" s="3">
        <v>1</v>
      </c>
      <c r="F388" s="4" t="str">
        <f>HYPERLINK("http://141.218.60.56/~jnz1568/getInfo.php?workbook=02_01.xlsx&amp;sheet=U0&amp;row=388&amp;col=6&amp;number=3.2&amp;sourceID=22","3.2")</f>
        <v>3.2</v>
      </c>
      <c r="G388" s="4" t="str">
        <f>HYPERLINK("http://141.218.60.56/~jnz1568/getInfo.php?workbook=02_01.xlsx&amp;sheet=U0&amp;row=388&amp;col=7&amp;number=3.19&amp;sourceID=22","3.19")</f>
        <v>3.19</v>
      </c>
    </row>
    <row r="389" spans="1:7">
      <c r="A389" s="3"/>
      <c r="B389" s="3"/>
      <c r="C389" s="3"/>
      <c r="D389" s="3"/>
      <c r="E389" s="3">
        <v>2</v>
      </c>
      <c r="F389" s="4" t="str">
        <f>HYPERLINK("http://141.218.60.56/~jnz1568/getInfo.php?workbook=02_01.xlsx&amp;sheet=U0&amp;row=389&amp;col=6&amp;number=3.5&amp;sourceID=22","3.5")</f>
        <v>3.5</v>
      </c>
      <c r="G389" s="4" t="str">
        <f>HYPERLINK("http://141.218.60.56/~jnz1568/getInfo.php?workbook=02_01.xlsx&amp;sheet=U0&amp;row=389&amp;col=7&amp;number=3.2&amp;sourceID=22","3.2")</f>
        <v>3.2</v>
      </c>
    </row>
    <row r="390" spans="1:7">
      <c r="A390" s="3"/>
      <c r="B390" s="3"/>
      <c r="C390" s="3"/>
      <c r="D390" s="3"/>
      <c r="E390" s="3">
        <v>3</v>
      </c>
      <c r="F390" s="4" t="str">
        <f>HYPERLINK("http://141.218.60.56/~jnz1568/getInfo.php?workbook=02_01.xlsx&amp;sheet=U0&amp;row=390&amp;col=6&amp;number=4&amp;sourceID=22","4")</f>
        <v>4</v>
      </c>
      <c r="G390" s="4" t="str">
        <f>HYPERLINK("http://141.218.60.56/~jnz1568/getInfo.php?workbook=02_01.xlsx&amp;sheet=U0&amp;row=390&amp;col=7&amp;number=3.31&amp;sourceID=22","3.31")</f>
        <v>3.31</v>
      </c>
    </row>
    <row r="391" spans="1:7">
      <c r="A391" s="3"/>
      <c r="B391" s="3"/>
      <c r="C391" s="3"/>
      <c r="D391" s="3"/>
      <c r="E391" s="3">
        <v>4</v>
      </c>
      <c r="F391" s="4" t="str">
        <f>HYPERLINK("http://141.218.60.56/~jnz1568/getInfo.php?workbook=02_01.xlsx&amp;sheet=U0&amp;row=391&amp;col=6&amp;number=4.3&amp;sourceID=22","4.3")</f>
        <v>4.3</v>
      </c>
      <c r="G391" s="4" t="str">
        <f>HYPERLINK("http://141.218.60.56/~jnz1568/getInfo.php?workbook=02_01.xlsx&amp;sheet=U0&amp;row=391&amp;col=7&amp;number=3.51&amp;sourceID=22","3.51")</f>
        <v>3.51</v>
      </c>
    </row>
    <row r="392" spans="1:7">
      <c r="A392" s="3">
        <v>2</v>
      </c>
      <c r="B392" s="3">
        <v>1</v>
      </c>
      <c r="C392" s="3">
        <v>16</v>
      </c>
      <c r="D392" s="3">
        <v>7</v>
      </c>
      <c r="E392" s="3">
        <v>1</v>
      </c>
      <c r="F392" s="4" t="str">
        <f>HYPERLINK("http://141.218.60.56/~jnz1568/getInfo.php?workbook=02_01.xlsx&amp;sheet=U0&amp;row=392&amp;col=6&amp;number=3.2&amp;sourceID=22","3.2")</f>
        <v>3.2</v>
      </c>
      <c r="G392" s="4" t="str">
        <f>HYPERLINK("http://141.218.60.56/~jnz1568/getInfo.php?workbook=02_01.xlsx&amp;sheet=U0&amp;row=392&amp;col=7&amp;number=5.21&amp;sourceID=22","5.21")</f>
        <v>5.21</v>
      </c>
    </row>
    <row r="393" spans="1:7">
      <c r="A393" s="3"/>
      <c r="B393" s="3"/>
      <c r="C393" s="3"/>
      <c r="D393" s="3"/>
      <c r="E393" s="3">
        <v>2</v>
      </c>
      <c r="F393" s="4" t="str">
        <f>HYPERLINK("http://141.218.60.56/~jnz1568/getInfo.php?workbook=02_01.xlsx&amp;sheet=U0&amp;row=393&amp;col=6&amp;number=3.5&amp;sourceID=22","3.5")</f>
        <v>3.5</v>
      </c>
      <c r="G393" s="4" t="str">
        <f>HYPERLINK("http://141.218.60.56/~jnz1568/getInfo.php?workbook=02_01.xlsx&amp;sheet=U0&amp;row=393&amp;col=7&amp;number=5.78&amp;sourceID=22","5.78")</f>
        <v>5.78</v>
      </c>
    </row>
    <row r="394" spans="1:7">
      <c r="A394" s="3"/>
      <c r="B394" s="3"/>
      <c r="C394" s="3"/>
      <c r="D394" s="3"/>
      <c r="E394" s="3">
        <v>3</v>
      </c>
      <c r="F394" s="4" t="str">
        <f>HYPERLINK("http://141.218.60.56/~jnz1568/getInfo.php?workbook=02_01.xlsx&amp;sheet=U0&amp;row=394&amp;col=6&amp;number=4&amp;sourceID=22","4")</f>
        <v>4</v>
      </c>
      <c r="G394" s="4" t="str">
        <f>HYPERLINK("http://141.218.60.56/~jnz1568/getInfo.php?workbook=02_01.xlsx&amp;sheet=U0&amp;row=394&amp;col=7&amp;number=5.99&amp;sourceID=22","5.99")</f>
        <v>5.99</v>
      </c>
    </row>
    <row r="395" spans="1:7">
      <c r="A395" s="3"/>
      <c r="B395" s="3"/>
      <c r="C395" s="3"/>
      <c r="D395" s="3"/>
      <c r="E395" s="3">
        <v>4</v>
      </c>
      <c r="F395" s="4" t="str">
        <f>HYPERLINK("http://141.218.60.56/~jnz1568/getInfo.php?workbook=02_01.xlsx&amp;sheet=U0&amp;row=395&amp;col=6&amp;number=4.3&amp;sourceID=22","4.3")</f>
        <v>4.3</v>
      </c>
      <c r="G395" s="4" t="str">
        <f>HYPERLINK("http://141.218.60.56/~jnz1568/getInfo.php?workbook=02_01.xlsx&amp;sheet=U0&amp;row=395&amp;col=7&amp;number=5.45&amp;sourceID=22","5.45")</f>
        <v>5.45</v>
      </c>
    </row>
    <row r="396" spans="1:7">
      <c r="A396" s="3">
        <v>2</v>
      </c>
      <c r="B396" s="3">
        <v>1</v>
      </c>
      <c r="C396" s="3">
        <v>16</v>
      </c>
      <c r="D396" s="3">
        <v>8</v>
      </c>
      <c r="E396" s="3">
        <v>1</v>
      </c>
      <c r="F396" s="4" t="str">
        <f>HYPERLINK("http://141.218.60.56/~jnz1568/getInfo.php?workbook=02_01.xlsx&amp;sheet=U0&amp;row=396&amp;col=6&amp;number=3.2&amp;sourceID=22","3.2")</f>
        <v>3.2</v>
      </c>
      <c r="G396" s="4" t="str">
        <f>HYPERLINK("http://141.218.60.56/~jnz1568/getInfo.php?workbook=02_01.xlsx&amp;sheet=U0&amp;row=396&amp;col=7&amp;number=8.3&amp;sourceID=22","8.3")</f>
        <v>8.3</v>
      </c>
    </row>
    <row r="397" spans="1:7">
      <c r="A397" s="3"/>
      <c r="B397" s="3"/>
      <c r="C397" s="3"/>
      <c r="D397" s="3"/>
      <c r="E397" s="3">
        <v>2</v>
      </c>
      <c r="F397" s="4" t="str">
        <f>HYPERLINK("http://141.218.60.56/~jnz1568/getInfo.php?workbook=02_01.xlsx&amp;sheet=U0&amp;row=397&amp;col=6&amp;number=3.5&amp;sourceID=22","3.5")</f>
        <v>3.5</v>
      </c>
      <c r="G397" s="4" t="str">
        <f>HYPERLINK("http://141.218.60.56/~jnz1568/getInfo.php?workbook=02_01.xlsx&amp;sheet=U0&amp;row=397&amp;col=7&amp;number=8.35&amp;sourceID=22","8.35")</f>
        <v>8.35</v>
      </c>
    </row>
    <row r="398" spans="1:7">
      <c r="A398" s="3"/>
      <c r="B398" s="3"/>
      <c r="C398" s="3"/>
      <c r="D398" s="3"/>
      <c r="E398" s="3">
        <v>3</v>
      </c>
      <c r="F398" s="4" t="str">
        <f>HYPERLINK("http://141.218.60.56/~jnz1568/getInfo.php?workbook=02_01.xlsx&amp;sheet=U0&amp;row=398&amp;col=6&amp;number=4&amp;sourceID=22","4")</f>
        <v>4</v>
      </c>
      <c r="G398" s="4" t="str">
        <f>HYPERLINK("http://141.218.60.56/~jnz1568/getInfo.php?workbook=02_01.xlsx&amp;sheet=U0&amp;row=398&amp;col=7&amp;number=9.1&amp;sourceID=22","9.1")</f>
        <v>9.1</v>
      </c>
    </row>
    <row r="399" spans="1:7">
      <c r="A399" s="3"/>
      <c r="B399" s="3"/>
      <c r="C399" s="3"/>
      <c r="D399" s="3"/>
      <c r="E399" s="3">
        <v>4</v>
      </c>
      <c r="F399" s="4" t="str">
        <f>HYPERLINK("http://141.218.60.56/~jnz1568/getInfo.php?workbook=02_01.xlsx&amp;sheet=U0&amp;row=399&amp;col=6&amp;number=4.3&amp;sourceID=22","4.3")</f>
        <v>4.3</v>
      </c>
      <c r="G399" s="4" t="str">
        <f>HYPERLINK("http://141.218.60.56/~jnz1568/getInfo.php?workbook=02_01.xlsx&amp;sheet=U0&amp;row=399&amp;col=7&amp;number=10.5&amp;sourceID=22","10.5")</f>
        <v>10.5</v>
      </c>
    </row>
    <row r="400" spans="1:7">
      <c r="A400" s="3">
        <v>2</v>
      </c>
      <c r="B400" s="3">
        <v>1</v>
      </c>
      <c r="C400" s="3">
        <v>16</v>
      </c>
      <c r="D400" s="3">
        <v>9</v>
      </c>
      <c r="E400" s="3">
        <v>1</v>
      </c>
      <c r="F400" s="4" t="str">
        <f>HYPERLINK("http://141.218.60.56/~jnz1568/getInfo.php?workbook=02_01.xlsx&amp;sheet=U0&amp;row=400&amp;col=6&amp;number=3.2&amp;sourceID=22","3.2")</f>
        <v>3.2</v>
      </c>
      <c r="G400" s="4" t="str">
        <f>HYPERLINK("http://141.218.60.56/~jnz1568/getInfo.php?workbook=02_01.xlsx&amp;sheet=U0&amp;row=400&amp;col=7&amp;number=27.2&amp;sourceID=22","27.2")</f>
        <v>27.2</v>
      </c>
    </row>
    <row r="401" spans="1:7">
      <c r="A401" s="3"/>
      <c r="B401" s="3"/>
      <c r="C401" s="3"/>
      <c r="D401" s="3"/>
      <c r="E401" s="3">
        <v>2</v>
      </c>
      <c r="F401" s="4" t="str">
        <f>HYPERLINK("http://141.218.60.56/~jnz1568/getInfo.php?workbook=02_01.xlsx&amp;sheet=U0&amp;row=401&amp;col=6&amp;number=3.5&amp;sourceID=22","3.5")</f>
        <v>3.5</v>
      </c>
      <c r="G401" s="4" t="str">
        <f>HYPERLINK("http://141.218.60.56/~jnz1568/getInfo.php?workbook=02_01.xlsx&amp;sheet=U0&amp;row=401&amp;col=7&amp;number=28.8&amp;sourceID=22","28.8")</f>
        <v>28.8</v>
      </c>
    </row>
    <row r="402" spans="1:7">
      <c r="A402" s="3"/>
      <c r="B402" s="3"/>
      <c r="C402" s="3"/>
      <c r="D402" s="3"/>
      <c r="E402" s="3">
        <v>3</v>
      </c>
      <c r="F402" s="4" t="str">
        <f>HYPERLINK("http://141.218.60.56/~jnz1568/getInfo.php?workbook=02_01.xlsx&amp;sheet=U0&amp;row=402&amp;col=6&amp;number=4&amp;sourceID=22","4")</f>
        <v>4</v>
      </c>
      <c r="G402" s="4" t="str">
        <f>HYPERLINK("http://141.218.60.56/~jnz1568/getInfo.php?workbook=02_01.xlsx&amp;sheet=U0&amp;row=402&amp;col=7&amp;number=33.6&amp;sourceID=22","33.6")</f>
        <v>33.6</v>
      </c>
    </row>
    <row r="403" spans="1:7">
      <c r="A403" s="3"/>
      <c r="B403" s="3"/>
      <c r="C403" s="3"/>
      <c r="D403" s="3"/>
      <c r="E403" s="3">
        <v>4</v>
      </c>
      <c r="F403" s="4" t="str">
        <f>HYPERLINK("http://141.218.60.56/~jnz1568/getInfo.php?workbook=02_01.xlsx&amp;sheet=U0&amp;row=403&amp;col=6&amp;number=4.3&amp;sourceID=22","4.3")</f>
        <v>4.3</v>
      </c>
      <c r="G403" s="4" t="str">
        <f>HYPERLINK("http://141.218.60.56/~jnz1568/getInfo.php?workbook=02_01.xlsx&amp;sheet=U0&amp;row=403&amp;col=7&amp;number=41.2&amp;sourceID=22","41.2")</f>
        <v>41.2</v>
      </c>
    </row>
    <row r="404" spans="1:7">
      <c r="A404" s="3">
        <v>2</v>
      </c>
      <c r="B404" s="3">
        <v>1</v>
      </c>
      <c r="C404" s="3">
        <v>16</v>
      </c>
      <c r="D404" s="3">
        <v>10</v>
      </c>
      <c r="E404" s="3">
        <v>1</v>
      </c>
      <c r="F404" s="4" t="str">
        <f>HYPERLINK("http://141.218.60.56/~jnz1568/getInfo.php?workbook=02_01.xlsx&amp;sheet=U0&amp;row=404&amp;col=6&amp;number=3.2&amp;sourceID=22","3.2")</f>
        <v>3.2</v>
      </c>
      <c r="G404" s="4" t="str">
        <f>HYPERLINK("http://141.218.60.56/~jnz1568/getInfo.php?workbook=02_01.xlsx&amp;sheet=U0&amp;row=404&amp;col=7&amp;number=12&amp;sourceID=22","12")</f>
        <v>12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HYPERLINK("http://141.218.60.56/~jnz1568/getInfo.php?workbook=02_01.xlsx&amp;sheet=U0&amp;row=405&amp;col=6&amp;number=3.5&amp;sourceID=22","3.5")</f>
        <v>3.5</v>
      </c>
      <c r="G405" s="4" t="str">
        <f>HYPERLINK("http://141.218.60.56/~jnz1568/getInfo.php?workbook=02_01.xlsx&amp;sheet=U0&amp;row=405&amp;col=7&amp;number=10.9&amp;sourceID=22","10.9")</f>
        <v>10.9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HYPERLINK("http://141.218.60.56/~jnz1568/getInfo.php?workbook=02_01.xlsx&amp;sheet=U0&amp;row=406&amp;col=6&amp;number=4&amp;sourceID=22","4")</f>
        <v>4</v>
      </c>
      <c r="G406" s="4" t="str">
        <f>HYPERLINK("http://141.218.60.56/~jnz1568/getInfo.php?workbook=02_01.xlsx&amp;sheet=U0&amp;row=406&amp;col=7&amp;number=9.15&amp;sourceID=22","9.15")</f>
        <v>9.15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HYPERLINK("http://141.218.60.56/~jnz1568/getInfo.php?workbook=02_01.xlsx&amp;sheet=U0&amp;row=407&amp;col=6&amp;number=4.3&amp;sourceID=22","4.3")</f>
        <v>4.3</v>
      </c>
      <c r="G407" s="4" t="str">
        <f>HYPERLINK("http://141.218.60.56/~jnz1568/getInfo.php?workbook=02_01.xlsx&amp;sheet=U0&amp;row=407&amp;col=7&amp;number=7.48&amp;sourceID=22","7.48")</f>
        <v>7.48</v>
      </c>
    </row>
    <row r="408" spans="1:7">
      <c r="A408" s="3">
        <v>2</v>
      </c>
      <c r="B408" s="3">
        <v>1</v>
      </c>
      <c r="C408" s="3">
        <v>16</v>
      </c>
      <c r="D408" s="3">
        <v>11</v>
      </c>
      <c r="E408" s="3">
        <v>1</v>
      </c>
      <c r="F408" s="4" t="str">
        <f>HYPERLINK("http://141.218.60.56/~jnz1568/getInfo.php?workbook=02_01.xlsx&amp;sheet=U0&amp;row=408&amp;col=6&amp;number=3.2&amp;sourceID=22","3.2")</f>
        <v>3.2</v>
      </c>
      <c r="G408" s="4" t="str">
        <f>HYPERLINK("http://141.218.60.56/~jnz1568/getInfo.php?workbook=02_01.xlsx&amp;sheet=U0&amp;row=408&amp;col=7&amp;number=20&amp;sourceID=22","20")</f>
        <v>20</v>
      </c>
    </row>
    <row r="409" spans="1:7">
      <c r="A409" s="3"/>
      <c r="B409" s="3"/>
      <c r="C409" s="3"/>
      <c r="D409" s="3"/>
      <c r="E409" s="3">
        <v>2</v>
      </c>
      <c r="F409" s="4" t="str">
        <f>HYPERLINK("http://141.218.60.56/~jnz1568/getInfo.php?workbook=02_01.xlsx&amp;sheet=U0&amp;row=409&amp;col=6&amp;number=3.5&amp;sourceID=22","3.5")</f>
        <v>3.5</v>
      </c>
      <c r="G409" s="4" t="str">
        <f>HYPERLINK("http://141.218.60.56/~jnz1568/getInfo.php?workbook=02_01.xlsx&amp;sheet=U0&amp;row=409&amp;col=7&amp;number=17.5&amp;sourceID=22","17.5")</f>
        <v>17.5</v>
      </c>
    </row>
    <row r="410" spans="1:7">
      <c r="A410" s="3"/>
      <c r="B410" s="3"/>
      <c r="C410" s="3"/>
      <c r="D410" s="3"/>
      <c r="E410" s="3">
        <v>3</v>
      </c>
      <c r="F410" s="4" t="str">
        <f>HYPERLINK("http://141.218.60.56/~jnz1568/getInfo.php?workbook=02_01.xlsx&amp;sheet=U0&amp;row=410&amp;col=6&amp;number=4&amp;sourceID=22","4")</f>
        <v>4</v>
      </c>
      <c r="G410" s="4" t="str">
        <f>HYPERLINK("http://141.218.60.56/~jnz1568/getInfo.php?workbook=02_01.xlsx&amp;sheet=U0&amp;row=410&amp;col=7&amp;number=14.5&amp;sourceID=22","14.5")</f>
        <v>14.5</v>
      </c>
    </row>
    <row r="411" spans="1:7">
      <c r="A411" s="3"/>
      <c r="B411" s="3"/>
      <c r="C411" s="3"/>
      <c r="D411" s="3"/>
      <c r="E411" s="3">
        <v>4</v>
      </c>
      <c r="F411" s="4" t="str">
        <f>HYPERLINK("http://141.218.60.56/~jnz1568/getInfo.php?workbook=02_01.xlsx&amp;sheet=U0&amp;row=411&amp;col=6&amp;number=4.3&amp;sourceID=22","4.3")</f>
        <v>4.3</v>
      </c>
      <c r="G411" s="4" t="str">
        <f>HYPERLINK("http://141.218.60.56/~jnz1568/getInfo.php?workbook=02_01.xlsx&amp;sheet=U0&amp;row=411&amp;col=7&amp;number=12.6&amp;sourceID=22","12.6")</f>
        <v>12.6</v>
      </c>
    </row>
    <row r="412" spans="1:7">
      <c r="A412" s="3">
        <v>2</v>
      </c>
      <c r="B412" s="3">
        <v>1</v>
      </c>
      <c r="C412" s="3">
        <v>16</v>
      </c>
      <c r="D412" s="3">
        <v>12</v>
      </c>
      <c r="E412" s="3">
        <v>1</v>
      </c>
      <c r="F412" s="4" t="str">
        <f>HYPERLINK("http://141.218.60.56/~jnz1568/getInfo.php?workbook=02_01.xlsx&amp;sheet=U0&amp;row=412&amp;col=6&amp;number=3.2&amp;sourceID=22","3.2")</f>
        <v>3.2</v>
      </c>
      <c r="G412" s="4" t="str">
        <f>HYPERLINK("http://141.218.60.56/~jnz1568/getInfo.php?workbook=02_01.xlsx&amp;sheet=U0&amp;row=412&amp;col=7&amp;number=24.1&amp;sourceID=22","24.1")</f>
        <v>24.1</v>
      </c>
    </row>
    <row r="413" spans="1:7">
      <c r="A413" s="3"/>
      <c r="B413" s="3"/>
      <c r="C413" s="3"/>
      <c r="D413" s="3"/>
      <c r="E413" s="3">
        <v>2</v>
      </c>
      <c r="F413" s="4" t="str">
        <f>HYPERLINK("http://141.218.60.56/~jnz1568/getInfo.php?workbook=02_01.xlsx&amp;sheet=U0&amp;row=413&amp;col=6&amp;number=3.5&amp;sourceID=22","3.5")</f>
        <v>3.5</v>
      </c>
      <c r="G413" s="4" t="str">
        <f>HYPERLINK("http://141.218.60.56/~jnz1568/getInfo.php?workbook=02_01.xlsx&amp;sheet=U0&amp;row=413&amp;col=7&amp;number=22.4&amp;sourceID=22","22.4")</f>
        <v>22.4</v>
      </c>
    </row>
    <row r="414" spans="1:7">
      <c r="A414" s="3"/>
      <c r="B414" s="3"/>
      <c r="C414" s="3"/>
      <c r="D414" s="3"/>
      <c r="E414" s="3">
        <v>3</v>
      </c>
      <c r="F414" s="4" t="str">
        <f>HYPERLINK("http://141.218.60.56/~jnz1568/getInfo.php?workbook=02_01.xlsx&amp;sheet=U0&amp;row=414&amp;col=6&amp;number=4&amp;sourceID=22","4")</f>
        <v>4</v>
      </c>
      <c r="G414" s="4" t="str">
        <f>HYPERLINK("http://141.218.60.56/~jnz1568/getInfo.php?workbook=02_01.xlsx&amp;sheet=U0&amp;row=414&amp;col=7&amp;number=19.3&amp;sourceID=22","19.3")</f>
        <v>19.3</v>
      </c>
    </row>
    <row r="415" spans="1:7">
      <c r="A415" s="3"/>
      <c r="B415" s="3"/>
      <c r="C415" s="3"/>
      <c r="D415" s="3"/>
      <c r="E415" s="3">
        <v>4</v>
      </c>
      <c r="F415" s="4" t="str">
        <f>HYPERLINK("http://141.218.60.56/~jnz1568/getInfo.php?workbook=02_01.xlsx&amp;sheet=U0&amp;row=415&amp;col=6&amp;number=4.3&amp;sourceID=22","4.3")</f>
        <v>4.3</v>
      </c>
      <c r="G415" s="4" t="str">
        <f>HYPERLINK("http://141.218.60.56/~jnz1568/getInfo.php?workbook=02_01.xlsx&amp;sheet=U0&amp;row=415&amp;col=7&amp;number=16&amp;sourceID=22","16")</f>
        <v>16</v>
      </c>
    </row>
    <row r="416" spans="1:7">
      <c r="A416" s="3">
        <v>2</v>
      </c>
      <c r="B416" s="3">
        <v>1</v>
      </c>
      <c r="C416" s="3">
        <v>16</v>
      </c>
      <c r="D416" s="3">
        <v>13</v>
      </c>
      <c r="E416" s="3">
        <v>1</v>
      </c>
      <c r="F416" s="4" t="str">
        <f>HYPERLINK("http://141.218.60.56/~jnz1568/getInfo.php?workbook=02_01.xlsx&amp;sheet=U0&amp;row=416&amp;col=6&amp;number=3.2&amp;sourceID=22","3.2")</f>
        <v>3.2</v>
      </c>
      <c r="G416" s="4" t="str">
        <f>HYPERLINK("http://141.218.60.56/~jnz1568/getInfo.php?workbook=02_01.xlsx&amp;sheet=U0&amp;row=416&amp;col=7&amp;number=56.2&amp;sourceID=22","56.2")</f>
        <v>56.2</v>
      </c>
    </row>
    <row r="417" spans="1:7">
      <c r="A417" s="3"/>
      <c r="B417" s="3"/>
      <c r="C417" s="3"/>
      <c r="D417" s="3"/>
      <c r="E417" s="3">
        <v>2</v>
      </c>
      <c r="F417" s="4" t="str">
        <f>HYPERLINK("http://141.218.60.56/~jnz1568/getInfo.php?workbook=02_01.xlsx&amp;sheet=U0&amp;row=417&amp;col=6&amp;number=3.5&amp;sourceID=22","3.5")</f>
        <v>3.5</v>
      </c>
      <c r="G417" s="4" t="str">
        <f>HYPERLINK("http://141.218.60.56/~jnz1568/getInfo.php?workbook=02_01.xlsx&amp;sheet=U0&amp;row=417&amp;col=7&amp;number=53.7&amp;sourceID=22","53.7")</f>
        <v>53.7</v>
      </c>
    </row>
    <row r="418" spans="1:7">
      <c r="A418" s="3"/>
      <c r="B418" s="3"/>
      <c r="C418" s="3"/>
      <c r="D418" s="3"/>
      <c r="E418" s="3">
        <v>3</v>
      </c>
      <c r="F418" s="4" t="str">
        <f>HYPERLINK("http://141.218.60.56/~jnz1568/getInfo.php?workbook=02_01.xlsx&amp;sheet=U0&amp;row=418&amp;col=6&amp;number=4&amp;sourceID=22","4")</f>
        <v>4</v>
      </c>
      <c r="G418" s="4" t="str">
        <f>HYPERLINK("http://141.218.60.56/~jnz1568/getInfo.php?workbook=02_01.xlsx&amp;sheet=U0&amp;row=418&amp;col=7&amp;number=54.1&amp;sourceID=22","54.1")</f>
        <v>54.1</v>
      </c>
    </row>
    <row r="419" spans="1:7">
      <c r="A419" s="3"/>
      <c r="B419" s="3"/>
      <c r="C419" s="3"/>
      <c r="D419" s="3"/>
      <c r="E419" s="3">
        <v>4</v>
      </c>
      <c r="F419" s="4" t="str">
        <f>HYPERLINK("http://141.218.60.56/~jnz1568/getInfo.php?workbook=02_01.xlsx&amp;sheet=U0&amp;row=419&amp;col=6&amp;number=4.3&amp;sourceID=22","4.3")</f>
        <v>4.3</v>
      </c>
      <c r="G419" s="4" t="str">
        <f>HYPERLINK("http://141.218.60.56/~jnz1568/getInfo.php?workbook=02_01.xlsx&amp;sheet=U0&amp;row=419&amp;col=7&amp;number=54.6&amp;sourceID=22","54.6")</f>
        <v>54.6</v>
      </c>
    </row>
    <row r="420" spans="1:7">
      <c r="A420" s="3">
        <v>2</v>
      </c>
      <c r="B420" s="3">
        <v>1</v>
      </c>
      <c r="C420" s="3">
        <v>16</v>
      </c>
      <c r="D420" s="3">
        <v>14</v>
      </c>
      <c r="E420" s="3">
        <v>1</v>
      </c>
      <c r="F420" s="4" t="str">
        <f>HYPERLINK("http://141.218.60.56/~jnz1568/getInfo.php?workbook=02_01.xlsx&amp;sheet=U0&amp;row=420&amp;col=6&amp;number=3.2&amp;sourceID=22","3.2")</f>
        <v>3.2</v>
      </c>
      <c r="G420" s="4" t="str">
        <f>HYPERLINK("http://141.218.60.56/~jnz1568/getInfo.php?workbook=02_01.xlsx&amp;sheet=U0&amp;row=420&amp;col=7&amp;number=1270&amp;sourceID=22","1270")</f>
        <v>1270</v>
      </c>
    </row>
    <row r="421" spans="1:7">
      <c r="A421" s="3"/>
      <c r="B421" s="3"/>
      <c r="C421" s="3"/>
      <c r="D421" s="3"/>
      <c r="E421" s="3">
        <v>2</v>
      </c>
      <c r="F421" s="4" t="str">
        <f>HYPERLINK("http://141.218.60.56/~jnz1568/getInfo.php?workbook=02_01.xlsx&amp;sheet=U0&amp;row=421&amp;col=6&amp;number=3.5&amp;sourceID=22","3.5")</f>
        <v>3.5</v>
      </c>
      <c r="G421" s="4" t="str">
        <f>HYPERLINK("http://141.218.60.56/~jnz1568/getInfo.php?workbook=02_01.xlsx&amp;sheet=U0&amp;row=421&amp;col=7&amp;number=1290&amp;sourceID=22","1290")</f>
        <v>1290</v>
      </c>
    </row>
    <row r="422" spans="1:7">
      <c r="A422" s="3"/>
      <c r="B422" s="3"/>
      <c r="C422" s="3"/>
      <c r="D422" s="3"/>
      <c r="E422" s="3">
        <v>3</v>
      </c>
      <c r="F422" s="4" t="str">
        <f>HYPERLINK("http://141.218.60.56/~jnz1568/getInfo.php?workbook=02_01.xlsx&amp;sheet=U0&amp;row=422&amp;col=6&amp;number=4&amp;sourceID=22","4")</f>
        <v>4</v>
      </c>
      <c r="G422" s="4" t="str">
        <f>HYPERLINK("http://141.218.60.56/~jnz1568/getInfo.php?workbook=02_01.xlsx&amp;sheet=U0&amp;row=422&amp;col=7&amp;number=1320&amp;sourceID=22","1320")</f>
        <v>1320</v>
      </c>
    </row>
    <row r="423" spans="1:7">
      <c r="A423" s="3"/>
      <c r="B423" s="3"/>
      <c r="C423" s="3"/>
      <c r="D423" s="3"/>
      <c r="E423" s="3">
        <v>4</v>
      </c>
      <c r="F423" s="4" t="str">
        <f>HYPERLINK("http://141.218.60.56/~jnz1568/getInfo.php?workbook=02_01.xlsx&amp;sheet=U0&amp;row=423&amp;col=6&amp;number=4.3&amp;sourceID=22","4.3")</f>
        <v>4.3</v>
      </c>
      <c r="G423" s="4" t="str">
        <f>HYPERLINK("http://141.218.60.56/~jnz1568/getInfo.php?workbook=02_01.xlsx&amp;sheet=U0&amp;row=423&amp;col=7&amp;number=1310&amp;sourceID=22","1310")</f>
        <v>1310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2015-04-13T05:00:13Z</dcterms:created>
  <dcterms:modified xsi:type="dcterms:W3CDTF">2015-04-13T05:00:13Z</dcterms:modified>
</cp:coreProperties>
</file>