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E1" sheetId="2" r:id="rId2"/>
    <sheet name="A0" sheetId="3" r:id="rId3"/>
    <sheet name="A1" sheetId="4" r:id="rId4"/>
    <sheet name="U0" sheetId="5" r:id="rId5"/>
  </sheets>
  <calcPr calcId="124519" fullCalcOnLoad="1"/>
</workbook>
</file>

<file path=xl/sharedStrings.xml><?xml version="1.0" encoding="utf-8"?>
<sst xmlns="http://schemas.openxmlformats.org/spreadsheetml/2006/main" count="239" uniqueCount="61">
  <si>
    <t>Fine-Structure Energy Levels for  He I</t>
  </si>
  <si>
    <t>S2</t>
  </si>
  <si>
    <t>S23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</si>
  <si>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</si>
  <si>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</si>
  <si>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</si>
  <si>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</si>
  <si>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</si>
  <si>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</si>
  <si>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</si>
  <si>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</si>
  <si>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</si>
  <si>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</si>
  <si>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</si>
  <si>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</t>
  </si>
  <si>
    <t>1s.2s</t>
  </si>
  <si>
    <t>3S</t>
  </si>
  <si>
    <t>1s.2p</t>
  </si>
  <si>
    <t>3P*</t>
  </si>
  <si>
    <t>1P*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</si>
  <si>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</si>
  <si>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</si>
  <si>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</si>
  <si>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</si>
  <si>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</si>
  <si>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</si>
  <si>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</si>
  <si>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</si>
  <si>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</si>
  <si>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3F*</t>
  </si>
  <si>
    <t>1F*</t>
  </si>
  <si>
    <t>1s.5s</t>
  </si>
  <si>
    <t>1s.5p</t>
  </si>
  <si>
    <t>1s.5d</t>
  </si>
  <si>
    <t>1s.5f</t>
  </si>
  <si>
    <t>1s.5g</t>
  </si>
  <si>
    <t>3G</t>
  </si>
  <si>
    <t>1G</t>
  </si>
  <si>
    <t>LS Energy Terms for  He I</t>
  </si>
  <si>
    <t>S24</t>
  </si>
  <si>
    <t>S25</t>
  </si>
  <si>
    <t>E (cm-1)</t>
  </si>
  <si>
    <t>A-values for  fine-structure transitions in He I</t>
  </si>
  <si>
    <t>S27</t>
  </si>
  <si>
    <t>S26</t>
  </si>
  <si>
    <t>S15</t>
  </si>
  <si>
    <t>k</t>
  </si>
  <si>
    <t>WLVac (A)</t>
  </si>
  <si>
    <t>A2E1 (s-1)</t>
  </si>
  <si>
    <t>AE1 (s-1)</t>
  </si>
  <si>
    <t>AM1 (s-1)</t>
  </si>
  <si>
    <t>AE2 (s-1)</t>
  </si>
  <si>
    <t>AM2 (s-1)</t>
  </si>
  <si>
    <t>A-values for LS Transitions in He II</t>
  </si>
  <si>
    <t>ATotal (s-1)</t>
  </si>
  <si>
    <t>Effective Collision Strengths for LS Transitions of He I</t>
  </si>
  <si>
    <t>S28</t>
  </si>
  <si>
    <t>S29</t>
  </si>
  <si>
    <t>np</t>
  </si>
  <si>
    <t>LogT 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</si>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</sst>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4.7109375" customWidth="1"/>
    <col min="11" max="11" width="9.710937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</row>
    <row r="3" spans="1:1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12</v>
      </c>
    </row>
    <row r="4" spans="1:11">
      <c r="A4" s="3">
        <v>2</v>
      </c>
      <c r="B4" s="3">
        <v>2</v>
      </c>
      <c r="C4" s="3">
        <v>1</v>
      </c>
      <c r="D4" s="3" t="s">
        <v>13</v>
      </c>
      <c r="E4" s="3" t="s">
        <v>14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HYPERLINK("http://141.218.60.56/~jnz1568/getInfo.php?workbook=02_02.xlsx&amp;sheet=E0&amp;row=4&amp;col=10&amp;number=0&amp;sourceID=2","0")</f>
        <v>0</v>
      </c>
      <c r="K4" s="4" t="str">
        <f>HYPERLINK("http://141.218.60.56/~jnz1568/getInfo.php?workbook=02_02.xlsx&amp;sheet=E0&amp;row=4&amp;col=11&amp;number=0&amp;sourceID=23","0")</f>
        <v>0</v>
      </c>
    </row>
    <row r="5" spans="1:11">
      <c r="A5" s="3">
        <v>2</v>
      </c>
      <c r="B5" s="3">
        <v>2</v>
      </c>
      <c r="C5" s="3">
        <f>+C4+1</f>
        <v>0</v>
      </c>
      <c r="D5" s="3" t="s">
        <v>15</v>
      </c>
      <c r="E5" s="3" t="s">
        <v>16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HYPERLINK("http://141.218.60.56/~jnz1568/getInfo.php?workbook=02_02.xlsx&amp;sheet=E0&amp;row=5&amp;col=10&amp;number=159855.97433&amp;sourceID=2","159855.97433")</f>
        <v>159855.97433</v>
      </c>
      <c r="K5" s="4" t="str">
        <f>HYPERLINK("http://141.218.60.56/~jnz1568/getInfo.php?workbook=02_02.xlsx&amp;sheet=E0&amp;row=5&amp;col=11&amp;number=159831&amp;sourceID=23","159831")</f>
        <v>159831</v>
      </c>
    </row>
    <row r="6" spans="1:11">
      <c r="A6" s="3">
        <v>2</v>
      </c>
      <c r="B6" s="3">
        <v>2</v>
      </c>
      <c r="C6" s="3">
        <f/>
        <v>0</v>
      </c>
      <c r="D6" s="3" t="s">
        <v>15</v>
      </c>
      <c r="E6" s="3" t="s">
        <v>14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HYPERLINK("http://141.218.60.56/~jnz1568/getInfo.php?workbook=02_02.xlsx&amp;sheet=E0&amp;row=6&amp;col=10&amp;number=166277.440141&amp;sourceID=2","166277.440141")</f>
        <v>166277.440141</v>
      </c>
      <c r="K6" s="4" t="str">
        <f>HYPERLINK("http://141.218.60.56/~jnz1568/getInfo.php?workbook=02_02.xlsx&amp;sheet=E0&amp;row=6&amp;col=11&amp;number=166259&amp;sourceID=23","166259")</f>
        <v>166259</v>
      </c>
    </row>
    <row r="7" spans="1:11">
      <c r="A7" s="3">
        <v>2</v>
      </c>
      <c r="B7" s="3">
        <v>2</v>
      </c>
      <c r="C7" s="3">
        <f/>
        <v>0</v>
      </c>
      <c r="D7" s="3" t="s">
        <v>17</v>
      </c>
      <c r="E7" s="3" t="s">
        <v>18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HYPERLINK("http://141.218.60.56/~jnz1568/getInfo.php?workbook=02_02.xlsx&amp;sheet=E0&amp;row=7&amp;col=10&amp;number=169086.766472&amp;sourceID=2","169086.766472")</f>
        <v>169086.766472</v>
      </c>
      <c r="K7" s="4" t="str">
        <f>HYPERLINK("http://141.218.60.56/~jnz1568/getInfo.php?workbook=02_02.xlsx&amp;sheet=E0&amp;row=7&amp;col=11&amp;number=169064.9&amp;sourceID=23","169064.9")</f>
        <v>169064.9</v>
      </c>
    </row>
    <row r="8" spans="1:11">
      <c r="A8" s="3">
        <v>2</v>
      </c>
      <c r="B8" s="3">
        <v>2</v>
      </c>
      <c r="C8" s="3">
        <f/>
        <v>0</v>
      </c>
      <c r="D8" s="3" t="s">
        <v>17</v>
      </c>
      <c r="E8" s="3" t="s">
        <v>18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HYPERLINK("http://141.218.60.56/~jnz1568/getInfo.php?workbook=02_02.xlsx&amp;sheet=E0&amp;row=8&amp;col=10&amp;number=169086.842898&amp;sourceID=2","169086.842898")</f>
        <v>169086.842898</v>
      </c>
      <c r="K8" s="4" t="str">
        <f>HYPERLINK("http://141.218.60.56/~jnz1568/getInfo.php?workbook=02_02.xlsx&amp;sheet=E0&amp;row=8&amp;col=11&amp;number=169065&amp;sourceID=23","169065")</f>
        <v>169065</v>
      </c>
    </row>
    <row r="9" spans="1:11">
      <c r="A9" s="3">
        <v>2</v>
      </c>
      <c r="B9" s="3">
        <v>2</v>
      </c>
      <c r="C9" s="3">
        <f/>
        <v>0</v>
      </c>
      <c r="D9" s="3" t="s">
        <v>17</v>
      </c>
      <c r="E9" s="3" t="s">
        <v>18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HYPERLINK("http://141.218.60.56/~jnz1568/getInfo.php?workbook=02_02.xlsx&amp;sheet=E0&amp;row=9&amp;col=10&amp;number=169087.830813&amp;sourceID=2","169087.830813")</f>
        <v>169087.830813</v>
      </c>
      <c r="K9" s="4" t="str">
        <f>HYPERLINK("http://141.218.60.56/~jnz1568/getInfo.php?workbook=02_02.xlsx&amp;sheet=E0&amp;row=9&amp;col=11&amp;number=169066&amp;sourceID=23","169066")</f>
        <v>169066</v>
      </c>
    </row>
    <row r="10" spans="1:11">
      <c r="A10" s="3">
        <v>2</v>
      </c>
      <c r="B10" s="3">
        <v>2</v>
      </c>
      <c r="C10" s="3">
        <f/>
        <v>0</v>
      </c>
      <c r="D10" s="3" t="s">
        <v>17</v>
      </c>
      <c r="E10" s="3" t="s">
        <v>19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HYPERLINK("http://141.218.60.56/~jnz1568/getInfo.php?workbook=02_02.xlsx&amp;sheet=E0&amp;row=10&amp;col=10&amp;number=171134.896946&amp;sourceID=2","171134.896946")</f>
        <v>171134.896946</v>
      </c>
      <c r="K10" s="4" t="str">
        <f>HYPERLINK("http://141.218.60.56/~jnz1568/getInfo.php?workbook=02_02.xlsx&amp;sheet=E0&amp;row=10&amp;col=11&amp;number=171113.8&amp;sourceID=23","171113.8")</f>
        <v>171113.8</v>
      </c>
    </row>
    <row r="11" spans="1:11">
      <c r="A11" s="3">
        <v>2</v>
      </c>
      <c r="B11" s="3">
        <v>2</v>
      </c>
      <c r="C11" s="3">
        <f/>
        <v>0</v>
      </c>
      <c r="D11" s="3" t="s">
        <v>20</v>
      </c>
      <c r="E11" s="3" t="s">
        <v>16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HYPERLINK("http://141.218.60.56/~jnz1568/getInfo.php?workbook=02_02.xlsx&amp;sheet=E0&amp;row=11&amp;col=10&amp;number=183236.7917&amp;sourceID=2","183236.7917")</f>
        <v>183236.7917</v>
      </c>
      <c r="K11" s="4" t="str">
        <f>HYPERLINK("http://141.218.60.56/~jnz1568/getInfo.php?workbook=02_02.xlsx&amp;sheet=E0&amp;row=11&amp;col=11&amp;number=183216.9&amp;sourceID=23","183216.9")</f>
        <v>183216.9</v>
      </c>
    </row>
    <row r="12" spans="1:11">
      <c r="A12" s="3">
        <v>2</v>
      </c>
      <c r="B12" s="3">
        <v>2</v>
      </c>
      <c r="C12" s="3">
        <f/>
        <v>0</v>
      </c>
      <c r="D12" s="3" t="s">
        <v>20</v>
      </c>
      <c r="E12" s="3" t="s">
        <v>14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HYPERLINK("http://141.218.60.56/~jnz1568/getInfo.php?workbook=02_02.xlsx&amp;sheet=E0&amp;row=12&amp;col=10&amp;number=184864.82932&amp;sourceID=2","184864.82932")</f>
        <v>184864.82932</v>
      </c>
      <c r="K12" s="4" t="str">
        <f>HYPERLINK("http://141.218.60.56/~jnz1568/getInfo.php?workbook=02_02.xlsx&amp;sheet=E0&amp;row=12&amp;col=11&amp;number=184848&amp;sourceID=23","184848")</f>
        <v>184848</v>
      </c>
    </row>
    <row r="13" spans="1:11">
      <c r="A13" s="3">
        <v>2</v>
      </c>
      <c r="B13" s="3">
        <v>2</v>
      </c>
      <c r="C13" s="3">
        <f/>
        <v>0</v>
      </c>
      <c r="D13" s="3" t="s">
        <v>21</v>
      </c>
      <c r="E13" s="3" t="s">
        <v>18</v>
      </c>
      <c r="F13" s="3">
        <v>3</v>
      </c>
      <c r="G13" s="3">
        <v>1</v>
      </c>
      <c r="H13" s="3">
        <v>1</v>
      </c>
      <c r="I13" s="3">
        <v>2</v>
      </c>
      <c r="J13" s="4" t="str">
        <f>HYPERLINK("http://141.218.60.56/~jnz1568/getInfo.php?workbook=02_02.xlsx&amp;sheet=E0&amp;row=13&amp;col=10&amp;number=185564.56192&amp;sourceID=2","185564.56192")</f>
        <v>185564.56192</v>
      </c>
      <c r="K13" s="4" t="str">
        <f>HYPERLINK("http://141.218.60.56/~jnz1568/getInfo.php?workbook=02_02.xlsx&amp;sheet=E0&amp;row=13&amp;col=11&amp;number=185546.5&amp;sourceID=23","185546.5")</f>
        <v>185546.5</v>
      </c>
    </row>
    <row r="14" spans="1:11">
      <c r="A14" s="3">
        <v>2</v>
      </c>
      <c r="B14" s="3">
        <v>2</v>
      </c>
      <c r="C14" s="3">
        <f/>
        <v>0</v>
      </c>
      <c r="D14" s="3" t="s">
        <v>21</v>
      </c>
      <c r="E14" s="3" t="s">
        <v>18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HYPERLINK("http://141.218.60.56/~jnz1568/getInfo.php?workbook=02_02.xlsx&amp;sheet=E0&amp;row=14&amp;col=10&amp;number=185564.583895&amp;sourceID=2","185564.583895")</f>
        <v>185564.583895</v>
      </c>
      <c r="K14" s="4" t="str">
        <f>HYPERLINK("http://141.218.60.56/~jnz1568/getInfo.php?workbook=02_02.xlsx&amp;sheet=E0&amp;row=14&amp;col=11&amp;number=185546.5&amp;sourceID=23","185546.5")</f>
        <v>185546.5</v>
      </c>
    </row>
    <row r="15" spans="1:11">
      <c r="A15" s="3">
        <v>2</v>
      </c>
      <c r="B15" s="3">
        <v>2</v>
      </c>
      <c r="C15" s="3">
        <f/>
        <v>0</v>
      </c>
      <c r="D15" s="3" t="s">
        <v>21</v>
      </c>
      <c r="E15" s="3" t="s">
        <v>18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HYPERLINK("http://141.218.60.56/~jnz1568/getInfo.php?workbook=02_02.xlsx&amp;sheet=E0&amp;row=15&amp;col=10&amp;number=185564.85454&amp;sourceID=2","185564.85454")</f>
        <v>185564.85454</v>
      </c>
      <c r="K15" s="4" t="str">
        <f>HYPERLINK("http://141.218.60.56/~jnz1568/getInfo.php?workbook=02_02.xlsx&amp;sheet=E0&amp;row=15&amp;col=11&amp;number=185546.8&amp;sourceID=23","185546.8")</f>
        <v>185546.8</v>
      </c>
    </row>
    <row r="16" spans="1:11">
      <c r="A16" s="3">
        <v>2</v>
      </c>
      <c r="B16" s="3">
        <v>2</v>
      </c>
      <c r="C16" s="3">
        <f/>
        <v>0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3</v>
      </c>
      <c r="J16" s="4" t="str">
        <f>HYPERLINK("http://141.218.60.56/~jnz1568/getInfo.php?workbook=02_02.xlsx&amp;sheet=E0&amp;row=16&amp;col=10&amp;number=186101.546177&amp;sourceID=2","186101.546177")</f>
        <v>186101.546177</v>
      </c>
      <c r="K16" s="4" t="str">
        <f>HYPERLINK("http://141.218.60.56/~jnz1568/getInfo.php?workbook=02_02.xlsx&amp;sheet=E0&amp;row=16&amp;col=11&amp;number=186084.7&amp;sourceID=23","186084.7")</f>
        <v>186084.7</v>
      </c>
    </row>
    <row r="17" spans="1:11">
      <c r="A17" s="3">
        <v>2</v>
      </c>
      <c r="B17" s="3">
        <v>2</v>
      </c>
      <c r="C17" s="3">
        <f/>
        <v>0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HYPERLINK("http://141.218.60.56/~jnz1568/getInfo.php?workbook=02_02.xlsx&amp;sheet=E0&amp;row=17&amp;col=10&amp;number=186101.548689&amp;sourceID=2","186101.548689")</f>
        <v>186101.548689</v>
      </c>
      <c r="K17" s="4" t="str">
        <f>HYPERLINK("http://141.218.60.56/~jnz1568/getInfo.php?workbook=02_02.xlsx&amp;sheet=E0&amp;row=17&amp;col=11&amp;number=186084.7&amp;sourceID=23","186084.7")</f>
        <v>186084.7</v>
      </c>
    </row>
    <row r="18" spans="1:11">
      <c r="A18" s="3">
        <v>2</v>
      </c>
      <c r="B18" s="3">
        <v>2</v>
      </c>
      <c r="C18" s="3">
        <f/>
        <v>0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1</v>
      </c>
      <c r="J18" s="4" t="str">
        <f>HYPERLINK("http://141.218.60.56/~jnz1568/getInfo.php?workbook=02_02.xlsx&amp;sheet=E0&amp;row=18&amp;col=10&amp;number=186101.59289&amp;sourceID=2","186101.59289")</f>
        <v>186101.59289</v>
      </c>
      <c r="K18" s="4" t="str">
        <f>HYPERLINK("http://141.218.60.56/~jnz1568/getInfo.php?workbook=02_02.xlsx&amp;sheet=E0&amp;row=18&amp;col=11&amp;number=186084.7&amp;sourceID=23","186084.7")</f>
        <v>186084.7</v>
      </c>
    </row>
    <row r="19" spans="1:11">
      <c r="A19" s="3">
        <v>2</v>
      </c>
      <c r="B19" s="3">
        <v>2</v>
      </c>
      <c r="C19" s="3">
        <f/>
        <v>0</v>
      </c>
      <c r="D19" s="3" t="s">
        <v>22</v>
      </c>
      <c r="E19" s="3" t="s">
        <v>24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HYPERLINK("http://141.218.60.56/~jnz1568/getInfo.php?workbook=02_02.xlsx&amp;sheet=E0&amp;row=19&amp;col=10&amp;number=186104.966689&amp;sourceID=2","186104.966689")</f>
        <v>186104.966689</v>
      </c>
      <c r="K19" s="4" t="str">
        <f>HYPERLINK("http://141.218.60.56/~jnz1568/getInfo.php?workbook=02_02.xlsx&amp;sheet=E0&amp;row=19&amp;col=11&amp;number=186088&amp;sourceID=23","186088")</f>
        <v>186088</v>
      </c>
    </row>
    <row r="20" spans="1:11">
      <c r="A20" s="3">
        <v>2</v>
      </c>
      <c r="B20" s="3">
        <v>2</v>
      </c>
      <c r="C20" s="3">
        <f/>
        <v>0</v>
      </c>
      <c r="D20" s="3" t="s">
        <v>21</v>
      </c>
      <c r="E20" s="3" t="s">
        <v>19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HYPERLINK("http://141.218.60.56/~jnz1568/getInfo.php?workbook=02_02.xlsx&amp;sheet=E0&amp;row=20&amp;col=10&amp;number=186209.36494&amp;sourceID=2","186209.36494")</f>
        <v>186209.36494</v>
      </c>
      <c r="K20" s="4" t="str">
        <f>HYPERLINK("http://141.218.60.56/~jnz1568/getInfo.php?workbook=02_02.xlsx&amp;sheet=E0&amp;row=20&amp;col=11&amp;number=186192&amp;sourceID=23","186192")</f>
        <v>186192</v>
      </c>
    </row>
    <row r="21" spans="1:11">
      <c r="A21" s="3">
        <v>2</v>
      </c>
      <c r="B21" s="3">
        <v>2</v>
      </c>
      <c r="C21" s="3">
        <f/>
        <v>0</v>
      </c>
      <c r="D21" s="3" t="s">
        <v>25</v>
      </c>
      <c r="E21" s="3" t="s">
        <v>16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HYPERLINK("http://141.218.60.56/~jnz1568/getInfo.php?workbook=02_02.xlsx&amp;sheet=E0&amp;row=21&amp;col=10&amp;number=190298.11326&amp;sourceID=2","190298.11326")</f>
        <v>190298.11326</v>
      </c>
      <c r="K21" s="4" t="str">
        <f>HYPERLINK("http://141.218.60.56/~jnz1568/getInfo.php?workbook=02_02.xlsx&amp;sheet=E0&amp;row=21&amp;col=11&amp;number=190280.7&amp;sourceID=23","190280.7")</f>
        <v>190280.7</v>
      </c>
    </row>
    <row r="22" spans="1:11">
      <c r="A22" s="3">
        <v>2</v>
      </c>
      <c r="B22" s="3">
        <v>2</v>
      </c>
      <c r="C22" s="3">
        <f/>
        <v>0</v>
      </c>
      <c r="D22" s="3" t="s">
        <v>25</v>
      </c>
      <c r="E22" s="3" t="s">
        <v>14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HYPERLINK("http://141.218.60.56/~jnz1568/getInfo.php?workbook=02_02.xlsx&amp;sheet=E0&amp;row=22&amp;col=10&amp;number=190940.226355&amp;sourceID=2","190940.226355")</f>
        <v>190940.226355</v>
      </c>
      <c r="K22" s="4" t="str">
        <f>HYPERLINK("http://141.218.60.56/~jnz1568/getInfo.php?workbook=02_02.xlsx&amp;sheet=E0&amp;row=22&amp;col=11&amp;number=190923.7&amp;sourceID=23","190923.7")</f>
        <v>190923.7</v>
      </c>
    </row>
    <row r="23" spans="1:11">
      <c r="A23" s="3">
        <v>2</v>
      </c>
      <c r="B23" s="3">
        <v>2</v>
      </c>
      <c r="C23" s="3">
        <f/>
        <v>0</v>
      </c>
      <c r="D23" s="3" t="s">
        <v>26</v>
      </c>
      <c r="E23" s="3" t="s">
        <v>18</v>
      </c>
      <c r="F23" s="3">
        <v>3</v>
      </c>
      <c r="G23" s="3">
        <v>1</v>
      </c>
      <c r="H23" s="3">
        <v>1</v>
      </c>
      <c r="I23" s="3">
        <v>2</v>
      </c>
      <c r="J23" s="4" t="str">
        <f>HYPERLINK("http://141.218.60.56/~jnz1568/getInfo.php?workbook=02_02.xlsx&amp;sheet=E0&amp;row=23&amp;col=10&amp;number=191217.040967&amp;sourceID=2","191217.040967")</f>
        <v>191217.040967</v>
      </c>
      <c r="K23" s="4" t="str">
        <f>HYPERLINK("http://141.218.60.56/~jnz1568/getInfo.php?workbook=02_02.xlsx&amp;sheet=E0&amp;row=23&amp;col=11&amp;number=191200&amp;sourceID=23","191200")</f>
        <v>191200</v>
      </c>
    </row>
    <row r="24" spans="1:11">
      <c r="A24" s="3">
        <v>2</v>
      </c>
      <c r="B24" s="3">
        <v>2</v>
      </c>
      <c r="C24" s="3">
        <f/>
        <v>0</v>
      </c>
      <c r="D24" s="3" t="s">
        <v>26</v>
      </c>
      <c r="E24" s="3" t="s">
        <v>18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HYPERLINK("http://141.218.60.56/~jnz1568/getInfo.php?workbook=02_02.xlsx&amp;sheet=E0&amp;row=24&amp;col=10&amp;number=191217.049963&amp;sourceID=2","191217.049963")</f>
        <v>191217.049963</v>
      </c>
      <c r="K24" s="4" t="str">
        <f>HYPERLINK("http://141.218.60.56/~jnz1568/getInfo.php?workbook=02_02.xlsx&amp;sheet=E0&amp;row=24&amp;col=11&amp;number=191200&amp;sourceID=23","191200")</f>
        <v>191200</v>
      </c>
    </row>
    <row r="25" spans="1:11">
      <c r="A25" s="3">
        <v>2</v>
      </c>
      <c r="B25" s="3">
        <v>2</v>
      </c>
      <c r="C25" s="3">
        <f/>
        <v>0</v>
      </c>
      <c r="D25" s="3" t="s">
        <v>26</v>
      </c>
      <c r="E25" s="3" t="s">
        <v>18</v>
      </c>
      <c r="F25" s="3">
        <v>3</v>
      </c>
      <c r="G25" s="3">
        <v>1</v>
      </c>
      <c r="H25" s="3">
        <v>1</v>
      </c>
      <c r="I25" s="3">
        <v>0</v>
      </c>
      <c r="J25" s="4" t="str">
        <f>HYPERLINK("http://141.218.60.56/~jnz1568/getInfo.php?workbook=02_02.xlsx&amp;sheet=E0&amp;row=25&amp;col=10&amp;number=191217.16029&amp;sourceID=2","191217.16029")</f>
        <v>191217.16029</v>
      </c>
      <c r="K25" s="4" t="str">
        <f>HYPERLINK("http://141.218.60.56/~jnz1568/getInfo.php?workbook=02_02.xlsx&amp;sheet=E0&amp;row=25&amp;col=11&amp;number=191200.1&amp;sourceID=23","191200.1")</f>
        <v>191200.1</v>
      </c>
    </row>
    <row r="26" spans="1:11">
      <c r="A26" s="3">
        <v>2</v>
      </c>
      <c r="B26" s="3">
        <v>2</v>
      </c>
      <c r="C26" s="3">
        <f/>
        <v>0</v>
      </c>
      <c r="D26" s="3" t="s">
        <v>27</v>
      </c>
      <c r="E26" s="3" t="s">
        <v>23</v>
      </c>
      <c r="F26" s="3">
        <v>3</v>
      </c>
      <c r="G26" s="3">
        <v>2</v>
      </c>
      <c r="H26" s="3">
        <v>0</v>
      </c>
      <c r="I26" s="3">
        <v>3</v>
      </c>
      <c r="J26" s="4" t="str">
        <f>HYPERLINK("http://141.218.60.56/~jnz1568/getInfo.php?workbook=02_02.xlsx&amp;sheet=E0&amp;row=26&amp;col=10&amp;number=191444.480929&amp;sourceID=2","191444.480929")</f>
        <v>191444.480929</v>
      </c>
      <c r="K26" s="4" t="str">
        <f>HYPERLINK("http://141.218.60.56/~jnz1568/getInfo.php?workbook=02_02.xlsx&amp;sheet=E0&amp;row=26&amp;col=11&amp;number=191428.3&amp;sourceID=23","191428.3")</f>
        <v>191428.3</v>
      </c>
    </row>
    <row r="27" spans="1:11">
      <c r="A27" s="3">
        <v>2</v>
      </c>
      <c r="B27" s="3">
        <v>2</v>
      </c>
      <c r="C27" s="3">
        <f/>
        <v>0</v>
      </c>
      <c r="D27" s="3" t="s">
        <v>27</v>
      </c>
      <c r="E27" s="3" t="s">
        <v>23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HYPERLINK("http://141.218.60.56/~jnz1568/getInfo.php?workbook=02_02.xlsx&amp;sheet=E0&amp;row=27&amp;col=10&amp;number=191444.482131&amp;sourceID=2","191444.482131")</f>
        <v>191444.482131</v>
      </c>
      <c r="K27" s="4" t="str">
        <f>HYPERLINK("http://141.218.60.56/~jnz1568/getInfo.php?workbook=02_02.xlsx&amp;sheet=E0&amp;row=27&amp;col=11&amp;number=191428.3&amp;sourceID=23","191428.3")</f>
        <v>191428.3</v>
      </c>
    </row>
    <row r="28" spans="1:11">
      <c r="A28" s="3">
        <v>2</v>
      </c>
      <c r="B28" s="3">
        <v>2</v>
      </c>
      <c r="C28" s="3">
        <f/>
        <v>0</v>
      </c>
      <c r="D28" s="3" t="s">
        <v>27</v>
      </c>
      <c r="E28" s="3" t="s">
        <v>23</v>
      </c>
      <c r="F28" s="3">
        <v>3</v>
      </c>
      <c r="G28" s="3">
        <v>2</v>
      </c>
      <c r="H28" s="3">
        <v>0</v>
      </c>
      <c r="I28" s="3">
        <v>1</v>
      </c>
      <c r="J28" s="4" t="str">
        <f>HYPERLINK("http://141.218.60.56/~jnz1568/getInfo.php?workbook=02_02.xlsx&amp;sheet=E0&amp;row=28&amp;col=10&amp;number=191444.500651&amp;sourceID=2","191444.500651")</f>
        <v>191444.500651</v>
      </c>
      <c r="K28" s="4" t="str">
        <f>HYPERLINK("http://141.218.60.56/~jnz1568/getInfo.php?workbook=02_02.xlsx&amp;sheet=E0&amp;row=28&amp;col=11&amp;number=191428.3&amp;sourceID=23","191428.3")</f>
        <v>191428.3</v>
      </c>
    </row>
    <row r="29" spans="1:11">
      <c r="A29" s="3">
        <v>2</v>
      </c>
      <c r="B29" s="3">
        <v>2</v>
      </c>
      <c r="C29" s="3">
        <f/>
        <v>0</v>
      </c>
      <c r="D29" s="3" t="s">
        <v>27</v>
      </c>
      <c r="E29" s="3" t="s">
        <v>24</v>
      </c>
      <c r="F29" s="3">
        <v>1</v>
      </c>
      <c r="G29" s="3">
        <v>2</v>
      </c>
      <c r="H29" s="3">
        <v>0</v>
      </c>
      <c r="I29" s="3">
        <v>2</v>
      </c>
      <c r="J29" s="4" t="str">
        <f>HYPERLINK("http://141.218.60.56/~jnz1568/getInfo.php?workbook=02_02.xlsx&amp;sheet=E0&amp;row=29&amp;col=10&amp;number=191446.455741&amp;sourceID=2","191446.455741")</f>
        <v>191446.455741</v>
      </c>
      <c r="K29" s="4" t="str">
        <f>HYPERLINK("http://141.218.60.56/~jnz1568/getInfo.php?workbook=02_02.xlsx&amp;sheet=E0&amp;row=29&amp;col=11&amp;number=191430.3&amp;sourceID=23","191430.3")</f>
        <v>191430.3</v>
      </c>
    </row>
    <row r="30" spans="1:11">
      <c r="A30" s="3">
        <v>2</v>
      </c>
      <c r="B30" s="3">
        <v>2</v>
      </c>
      <c r="C30" s="3">
        <f/>
        <v>0</v>
      </c>
      <c r="D30" s="3" t="s">
        <v>28</v>
      </c>
      <c r="E30" s="3" t="s">
        <v>29</v>
      </c>
      <c r="F30" s="3">
        <v>3</v>
      </c>
      <c r="G30" s="3">
        <v>3</v>
      </c>
      <c r="H30" s="3">
        <v>1</v>
      </c>
      <c r="I30" s="3">
        <v>3</v>
      </c>
      <c r="J30" s="4" t="str">
        <f>HYPERLINK("http://141.218.60.56/~jnz1568/getInfo.php?workbook=02_02.xlsx&amp;sheet=E0&amp;row=30&amp;col=10&amp;number=191451.873949&amp;sourceID=2","191451.873949")</f>
        <v>191451.873949</v>
      </c>
      <c r="K30" s="4" t="str">
        <f>HYPERLINK("http://141.218.60.56/~jnz1568/getInfo.php?workbook=02_02.xlsx&amp;sheet=E0&amp;row=30&amp;col=11&amp;number=&amp;sourceID=23","")</f>
        <v/>
      </c>
    </row>
    <row r="31" spans="1:11">
      <c r="A31" s="3">
        <v>2</v>
      </c>
      <c r="B31" s="3">
        <v>2</v>
      </c>
      <c r="C31" s="3">
        <f/>
        <v>0</v>
      </c>
      <c r="D31" s="3" t="s">
        <v>28</v>
      </c>
      <c r="E31" s="3" t="s">
        <v>29</v>
      </c>
      <c r="F31" s="3">
        <v>3</v>
      </c>
      <c r="G31" s="3">
        <v>3</v>
      </c>
      <c r="H31" s="3">
        <v>1</v>
      </c>
      <c r="I31" s="3">
        <v>4</v>
      </c>
      <c r="J31" s="4" t="str">
        <f>HYPERLINK("http://141.218.60.56/~jnz1568/getInfo.php?workbook=02_02.xlsx&amp;sheet=E0&amp;row=31&amp;col=10&amp;number=191451.881089&amp;sourceID=2","191451.881089")</f>
        <v>191451.881089</v>
      </c>
      <c r="K31" s="4" t="str">
        <f>HYPERLINK("http://141.218.60.56/~jnz1568/getInfo.php?workbook=02_02.xlsx&amp;sheet=E0&amp;row=31&amp;col=11&amp;number=&amp;sourceID=23","")</f>
        <v/>
      </c>
    </row>
    <row r="32" spans="1:11">
      <c r="A32" s="3">
        <v>2</v>
      </c>
      <c r="B32" s="3">
        <v>2</v>
      </c>
      <c r="C32" s="3">
        <f/>
        <v>0</v>
      </c>
      <c r="D32" s="3" t="s">
        <v>28</v>
      </c>
      <c r="E32" s="3" t="s">
        <v>29</v>
      </c>
      <c r="F32" s="3">
        <v>3</v>
      </c>
      <c r="G32" s="3">
        <v>3</v>
      </c>
      <c r="H32" s="3">
        <v>1</v>
      </c>
      <c r="I32" s="3">
        <v>2</v>
      </c>
      <c r="J32" s="4" t="str">
        <f>HYPERLINK("http://141.218.60.56/~jnz1568/getInfo.php?workbook=02_02.xlsx&amp;sheet=E0&amp;row=32&amp;col=10&amp;number=191451.889707&amp;sourceID=2","191451.889707")</f>
        <v>191451.889707</v>
      </c>
      <c r="K32" s="4" t="str">
        <f>HYPERLINK("http://141.218.60.56/~jnz1568/getInfo.php?workbook=02_02.xlsx&amp;sheet=E0&amp;row=32&amp;col=11&amp;number=191435.2&amp;sourceID=23","191435.2")</f>
        <v>191435.2</v>
      </c>
    </row>
    <row r="33" spans="1:11">
      <c r="A33" s="3">
        <v>2</v>
      </c>
      <c r="B33" s="3">
        <v>2</v>
      </c>
      <c r="C33" s="3">
        <f/>
        <v>0</v>
      </c>
      <c r="D33" s="3" t="s">
        <v>28</v>
      </c>
      <c r="E33" s="3" t="s">
        <v>30</v>
      </c>
      <c r="F33" s="3">
        <v>1</v>
      </c>
      <c r="G33" s="3">
        <v>3</v>
      </c>
      <c r="H33" s="3">
        <v>1</v>
      </c>
      <c r="I33" s="3">
        <v>3</v>
      </c>
      <c r="J33" s="4" t="str">
        <f>HYPERLINK("http://141.218.60.56/~jnz1568/getInfo.php?workbook=02_02.xlsx&amp;sheet=E0&amp;row=33&amp;col=10&amp;number=191451.897461&amp;sourceID=2","191451.897461")</f>
        <v>191451.897461</v>
      </c>
      <c r="K33" s="4" t="str">
        <f>HYPERLINK("http://141.218.60.56/~jnz1568/getInfo.php?workbook=02_02.xlsx&amp;sheet=E0&amp;row=33&amp;col=11&amp;number=&amp;sourceID=23","")</f>
        <v/>
      </c>
    </row>
    <row r="34" spans="1:11">
      <c r="A34" s="3">
        <v>2</v>
      </c>
      <c r="B34" s="3">
        <v>2</v>
      </c>
      <c r="C34" s="3">
        <f/>
        <v>0</v>
      </c>
      <c r="D34" s="3" t="s">
        <v>26</v>
      </c>
      <c r="E34" s="3" t="s">
        <v>19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HYPERLINK("http://141.218.60.56/~jnz1568/getInfo.php?workbook=02_02.xlsx&amp;sheet=E0&amp;row=34&amp;col=10&amp;number=191492.711909&amp;sourceID=2","191492.711909")</f>
        <v>191492.711909</v>
      </c>
      <c r="K34" s="4" t="str">
        <f>HYPERLINK("http://141.218.60.56/~jnz1568/getInfo.php?workbook=02_02.xlsx&amp;sheet=E0&amp;row=34&amp;col=11&amp;number=191476&amp;sourceID=23","191476")</f>
        <v>191476</v>
      </c>
    </row>
    <row r="35" spans="1:11">
      <c r="A35" s="3">
        <v>2</v>
      </c>
      <c r="B35" s="3">
        <v>2</v>
      </c>
      <c r="C35" s="3">
        <f/>
        <v>0</v>
      </c>
      <c r="D35" s="3" t="s">
        <v>31</v>
      </c>
      <c r="E35" s="3" t="s">
        <v>16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HYPERLINK("http://141.218.60.56/~jnz1568/getInfo.php?workbook=02_02.xlsx&amp;sheet=E0&amp;row=35&amp;col=10&amp;number=193346.991344&amp;sourceID=2","193346.991344")</f>
        <v>193346.991344</v>
      </c>
      <c r="K35" s="4" t="str">
        <f>HYPERLINK("http://141.218.60.56/~jnz1568/getInfo.php?workbook=02_02.xlsx&amp;sheet=E0&amp;row=35&amp;col=11&amp;number=193330.2&amp;sourceID=23","193330.2")</f>
        <v>193330.2</v>
      </c>
    </row>
    <row r="36" spans="1:11">
      <c r="A36" s="3">
        <v>2</v>
      </c>
      <c r="B36" s="3">
        <v>2</v>
      </c>
      <c r="C36" s="3">
        <f/>
        <v>0</v>
      </c>
      <c r="D36" s="3" t="s">
        <v>31</v>
      </c>
      <c r="E36" s="3" t="s">
        <v>14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HYPERLINK("http://141.218.60.56/~jnz1568/getInfo.php?workbook=02_02.xlsx&amp;sheet=E0&amp;row=36&amp;col=10&amp;number=193663.512095&amp;sourceID=2","193663.512095")</f>
        <v>193663.512095</v>
      </c>
      <c r="K36" s="4" t="str">
        <f>HYPERLINK("http://141.218.60.56/~jnz1568/getInfo.php?workbook=02_02.xlsx&amp;sheet=E0&amp;row=36&amp;col=11&amp;number=193647.2&amp;sourceID=23","193647.2")</f>
        <v>193647.2</v>
      </c>
    </row>
    <row r="37" spans="1:11">
      <c r="A37" s="3">
        <v>2</v>
      </c>
      <c r="B37" s="3">
        <v>2</v>
      </c>
      <c r="C37" s="3">
        <f/>
        <v>0</v>
      </c>
      <c r="D37" s="3" t="s">
        <v>32</v>
      </c>
      <c r="E37" s="3" t="s">
        <v>18</v>
      </c>
      <c r="F37" s="3">
        <v>3</v>
      </c>
      <c r="G37" s="3">
        <v>1</v>
      </c>
      <c r="H37" s="3">
        <v>1</v>
      </c>
      <c r="I37" s="3">
        <v>2</v>
      </c>
      <c r="J37" s="4" t="str">
        <f>HYPERLINK("http://141.218.60.56/~jnz1568/getInfo.php?workbook=02_02.xlsx&amp;sheet=E0&amp;row=37&amp;col=10&amp;number=193800.707595&amp;sourceID=2","193800.707595")</f>
        <v>193800.707595</v>
      </c>
      <c r="K37" s="4" t="str">
        <f>HYPERLINK("http://141.218.60.56/~jnz1568/getInfo.php?workbook=02_02.xlsx&amp;sheet=E0&amp;row=37&amp;col=11&amp;number=193784.1&amp;sourceID=23","193784.1")</f>
        <v>193784.1</v>
      </c>
    </row>
    <row r="38" spans="1:11">
      <c r="A38" s="3">
        <v>2</v>
      </c>
      <c r="B38" s="3">
        <v>2</v>
      </c>
      <c r="C38" s="3">
        <f/>
        <v>0</v>
      </c>
      <c r="D38" s="3" t="s">
        <v>32</v>
      </c>
      <c r="E38" s="3" t="s">
        <v>18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HYPERLINK("http://141.218.60.56/~jnz1568/getInfo.php?workbook=02_02.xlsx&amp;sheet=E0&amp;row=38&amp;col=10&amp;number=193800.712118&amp;sourceID=2","193800.712118")</f>
        <v>193800.712118</v>
      </c>
      <c r="K38" s="4" t="str">
        <f>HYPERLINK("http://141.218.60.56/~jnz1568/getInfo.php?workbook=02_02.xlsx&amp;sheet=E0&amp;row=38&amp;col=11&amp;number=193784.1&amp;sourceID=23","193784.1")</f>
        <v>193784.1</v>
      </c>
    </row>
    <row r="39" spans="1:11">
      <c r="A39" s="3">
        <v>2</v>
      </c>
      <c r="B39" s="3">
        <v>2</v>
      </c>
      <c r="C39" s="3">
        <f/>
        <v>0</v>
      </c>
      <c r="D39" s="3" t="s">
        <v>32</v>
      </c>
      <c r="E39" s="3" t="s">
        <v>18</v>
      </c>
      <c r="F39" s="3">
        <v>3</v>
      </c>
      <c r="G39" s="3">
        <v>1</v>
      </c>
      <c r="H39" s="3">
        <v>1</v>
      </c>
      <c r="I39" s="3">
        <v>0</v>
      </c>
      <c r="J39" s="4" t="str">
        <f>HYPERLINK("http://141.218.60.56/~jnz1568/getInfo.php?workbook=02_02.xlsx&amp;sheet=E0&amp;row=39&amp;col=10&amp;number=193800.767563&amp;sourceID=2","193800.767563")</f>
        <v>193800.767563</v>
      </c>
      <c r="K39" s="4" t="str">
        <f>HYPERLINK("http://141.218.60.56/~jnz1568/getInfo.php?workbook=02_02.xlsx&amp;sheet=E0&amp;row=39&amp;col=11&amp;number=193784.2&amp;sourceID=23","193784.2")</f>
        <v>193784.2</v>
      </c>
    </row>
    <row r="40" spans="1:11">
      <c r="A40" s="3">
        <v>2</v>
      </c>
      <c r="B40" s="3">
        <v>2</v>
      </c>
      <c r="C40" s="3">
        <f/>
        <v>0</v>
      </c>
      <c r="D40" s="3" t="s">
        <v>33</v>
      </c>
      <c r="E40" s="3" t="s">
        <v>23</v>
      </c>
      <c r="F40" s="3">
        <v>3</v>
      </c>
      <c r="G40" s="3">
        <v>2</v>
      </c>
      <c r="H40" s="3">
        <v>0</v>
      </c>
      <c r="I40" s="3">
        <v>3</v>
      </c>
      <c r="J40" s="4" t="str">
        <f>HYPERLINK("http://141.218.60.56/~jnz1568/getInfo.php?workbook=02_02.xlsx&amp;sheet=E0&amp;row=40&amp;col=10&amp;number=193917.151287&amp;sourceID=2","193917.151287")</f>
        <v>193917.151287</v>
      </c>
      <c r="K40" s="4" t="str">
        <f>HYPERLINK("http://141.218.60.56/~jnz1568/getInfo.php?workbook=02_02.xlsx&amp;sheet=E0&amp;row=40&amp;col=11&amp;number=193901&amp;sourceID=23","193901")</f>
        <v>193901</v>
      </c>
    </row>
    <row r="41" spans="1:11">
      <c r="A41" s="3">
        <v>2</v>
      </c>
      <c r="B41" s="3">
        <v>2</v>
      </c>
      <c r="C41" s="3">
        <f/>
        <v>0</v>
      </c>
      <c r="D41" s="3" t="s">
        <v>33</v>
      </c>
      <c r="E41" s="3" t="s">
        <v>23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HYPERLINK("http://141.218.60.56/~jnz1568/getInfo.php?workbook=02_02.xlsx&amp;sheet=E0&amp;row=41&amp;col=10&amp;number=193917.151929&amp;sourceID=2","193917.151929")</f>
        <v>193917.151929</v>
      </c>
      <c r="K41" s="4" t="str">
        <f>HYPERLINK("http://141.218.60.56/~jnz1568/getInfo.php?workbook=02_02.xlsx&amp;sheet=E0&amp;row=41&amp;col=11&amp;number=193901&amp;sourceID=23","193901")</f>
        <v>193901</v>
      </c>
    </row>
    <row r="42" spans="1:11">
      <c r="A42" s="3">
        <v>2</v>
      </c>
      <c r="B42" s="3">
        <v>2</v>
      </c>
      <c r="C42" s="3">
        <f/>
        <v>0</v>
      </c>
      <c r="D42" s="3" t="s">
        <v>33</v>
      </c>
      <c r="E42" s="3" t="s">
        <v>23</v>
      </c>
      <c r="F42" s="3">
        <v>3</v>
      </c>
      <c r="G42" s="3">
        <v>2</v>
      </c>
      <c r="H42" s="3">
        <v>0</v>
      </c>
      <c r="I42" s="3">
        <v>1</v>
      </c>
      <c r="J42" s="4" t="str">
        <f>HYPERLINK("http://141.218.60.56/~jnz1568/getInfo.php?workbook=02_02.xlsx&amp;sheet=E0&amp;row=42&amp;col=10&amp;number=193917.161387&amp;sourceID=2","193917.161387")</f>
        <v>193917.161387</v>
      </c>
      <c r="K42" s="4" t="str">
        <f>HYPERLINK("http://141.218.60.56/~jnz1568/getInfo.php?workbook=02_02.xlsx&amp;sheet=E0&amp;row=42&amp;col=11&amp;number=193901.1&amp;sourceID=23","193901.1")</f>
        <v>193901.1</v>
      </c>
    </row>
    <row r="43" spans="1:11">
      <c r="A43" s="3">
        <v>2</v>
      </c>
      <c r="B43" s="3">
        <v>2</v>
      </c>
      <c r="C43" s="3">
        <f/>
        <v>0</v>
      </c>
      <c r="D43" s="3" t="s">
        <v>33</v>
      </c>
      <c r="E43" s="3" t="s">
        <v>24</v>
      </c>
      <c r="F43" s="3">
        <v>1</v>
      </c>
      <c r="G43" s="3">
        <v>2</v>
      </c>
      <c r="H43" s="3">
        <v>0</v>
      </c>
      <c r="I43" s="3">
        <v>2</v>
      </c>
      <c r="J43" s="4" t="str">
        <f>HYPERLINK("http://141.218.60.56/~jnz1568/getInfo.php?workbook=02_02.xlsx&amp;sheet=E0&amp;row=43&amp;col=10&amp;number=193918.289901&amp;sourceID=2","193918.289901")</f>
        <v>193918.289901</v>
      </c>
      <c r="K43" s="4" t="str">
        <f>HYPERLINK("http://141.218.60.56/~jnz1568/getInfo.php?workbook=02_02.xlsx&amp;sheet=E0&amp;row=43&amp;col=11&amp;number=193902.2&amp;sourceID=23","193902.2")</f>
        <v>193902.2</v>
      </c>
    </row>
    <row r="44" spans="1:11">
      <c r="A44" s="3">
        <v>2</v>
      </c>
      <c r="B44" s="3">
        <v>2</v>
      </c>
      <c r="C44" s="3">
        <f/>
        <v>0</v>
      </c>
      <c r="D44" s="3" t="s">
        <v>34</v>
      </c>
      <c r="E44" s="3" t="s">
        <v>29</v>
      </c>
      <c r="F44" s="3">
        <v>3</v>
      </c>
      <c r="G44" s="3">
        <v>3</v>
      </c>
      <c r="H44" s="3">
        <v>1</v>
      </c>
      <c r="I44" s="3">
        <v>3</v>
      </c>
      <c r="J44" s="4" t="str">
        <f>HYPERLINK("http://141.218.60.56/~jnz1568/getInfo.php?workbook=02_02.xlsx&amp;sheet=E0&amp;row=44&amp;col=10&amp;number=193921.118264&amp;sourceID=2","193921.118264")</f>
        <v>193921.118264</v>
      </c>
      <c r="K44" s="4" t="str">
        <f>HYPERLINK("http://141.218.60.56/~jnz1568/getInfo.php?workbook=02_02.xlsx&amp;sheet=E0&amp;row=44&amp;col=11&amp;number=&amp;sourceID=23","")</f>
        <v/>
      </c>
    </row>
    <row r="45" spans="1:11">
      <c r="A45" s="3">
        <v>2</v>
      </c>
      <c r="B45" s="3">
        <v>2</v>
      </c>
      <c r="C45" s="3">
        <f/>
        <v>0</v>
      </c>
      <c r="D45" s="3" t="s">
        <v>34</v>
      </c>
      <c r="E45" s="3" t="s">
        <v>29</v>
      </c>
      <c r="F45" s="3">
        <v>3</v>
      </c>
      <c r="G45" s="3">
        <v>3</v>
      </c>
      <c r="H45" s="3">
        <v>1</v>
      </c>
      <c r="I45" s="3">
        <v>4</v>
      </c>
      <c r="J45" s="4" t="str">
        <f>HYPERLINK("http://141.218.60.56/~jnz1568/getInfo.php?workbook=02_02.xlsx&amp;sheet=E0&amp;row=45&amp;col=10&amp;number=193921.121343&amp;sourceID=2","193921.121343")</f>
        <v>193921.121343</v>
      </c>
      <c r="K45" s="4" t="str">
        <f>HYPERLINK("http://141.218.60.56/~jnz1568/getInfo.php?workbook=02_02.xlsx&amp;sheet=E0&amp;row=45&amp;col=11&amp;number=&amp;sourceID=23","")</f>
        <v/>
      </c>
    </row>
    <row r="46" spans="1:11">
      <c r="A46" s="3">
        <v>2</v>
      </c>
      <c r="B46" s="3">
        <v>2</v>
      </c>
      <c r="C46" s="3">
        <f/>
        <v>0</v>
      </c>
      <c r="D46" s="3" t="s">
        <v>34</v>
      </c>
      <c r="E46" s="3" t="s">
        <v>29</v>
      </c>
      <c r="F46" s="3">
        <v>3</v>
      </c>
      <c r="G46" s="3">
        <v>3</v>
      </c>
      <c r="H46" s="3">
        <v>1</v>
      </c>
      <c r="I46" s="3">
        <v>2</v>
      </c>
      <c r="J46" s="4" t="str">
        <f>HYPERLINK("http://141.218.60.56/~jnz1568/getInfo.php?workbook=02_02.xlsx&amp;sheet=E0&amp;row=46&amp;col=10&amp;number=193921.125753&amp;sourceID=2","193921.125753")</f>
        <v>193921.125753</v>
      </c>
      <c r="K46" s="4" t="str">
        <f>HYPERLINK("http://141.218.60.56/~jnz1568/getInfo.php?workbook=02_02.xlsx&amp;sheet=E0&amp;row=46&amp;col=11&amp;number=193904.7&amp;sourceID=23","193904.7")</f>
        <v>193904.7</v>
      </c>
    </row>
    <row r="47" spans="1:11">
      <c r="A47" s="3">
        <v>2</v>
      </c>
      <c r="B47" s="3">
        <v>2</v>
      </c>
      <c r="C47" s="3">
        <f/>
        <v>0</v>
      </c>
      <c r="D47" s="3" t="s">
        <v>34</v>
      </c>
      <c r="E47" s="3" t="s">
        <v>30</v>
      </c>
      <c r="F47" s="3">
        <v>1</v>
      </c>
      <c r="G47" s="3">
        <v>3</v>
      </c>
      <c r="H47" s="3">
        <v>1</v>
      </c>
      <c r="I47" s="3">
        <v>3</v>
      </c>
      <c r="J47" s="4" t="str">
        <f>HYPERLINK("http://141.218.60.56/~jnz1568/getInfo.php?workbook=02_02.xlsx&amp;sheet=E0&amp;row=47&amp;col=10&amp;number=193921.130881&amp;sourceID=2","193921.130881")</f>
        <v>193921.130881</v>
      </c>
      <c r="K47" s="4" t="str">
        <f>HYPERLINK("http://141.218.60.56/~jnz1568/getInfo.php?workbook=02_02.xlsx&amp;sheet=E0&amp;row=47&amp;col=11&amp;number=&amp;sourceID=23","")</f>
        <v/>
      </c>
    </row>
    <row r="48" spans="1:11">
      <c r="A48" s="3">
        <v>2</v>
      </c>
      <c r="B48" s="3">
        <v>2</v>
      </c>
      <c r="C48" s="3">
        <f/>
        <v>0</v>
      </c>
      <c r="D48" s="3" t="s">
        <v>35</v>
      </c>
      <c r="E48" s="3" t="s">
        <v>36</v>
      </c>
      <c r="F48" s="3">
        <v>3</v>
      </c>
      <c r="G48" s="3">
        <v>4</v>
      </c>
      <c r="H48" s="3">
        <v>0</v>
      </c>
      <c r="I48" s="3">
        <v>4</v>
      </c>
      <c r="J48" s="4" t="str">
        <f>HYPERLINK("http://141.218.60.56/~jnz1568/getInfo.php?workbook=02_02.xlsx&amp;sheet=E0&amp;row=48&amp;col=10&amp;number=193921.614949&amp;sourceID=2","193921.614949")</f>
        <v>193921.614949</v>
      </c>
      <c r="K48" s="4" t="str">
        <f>HYPERLINK("http://141.218.60.56/~jnz1568/getInfo.php?workbook=02_02.xlsx&amp;sheet=E0&amp;row=48&amp;col=11&amp;number=&amp;sourceID=23","")</f>
        <v/>
      </c>
    </row>
    <row r="49" spans="1:11">
      <c r="A49" s="3">
        <v>2</v>
      </c>
      <c r="B49" s="3">
        <v>2</v>
      </c>
      <c r="C49" s="3">
        <f/>
        <v>0</v>
      </c>
      <c r="D49" s="3" t="s">
        <v>35</v>
      </c>
      <c r="E49" s="3" t="s">
        <v>36</v>
      </c>
      <c r="F49" s="3">
        <v>3</v>
      </c>
      <c r="G49" s="3">
        <v>4</v>
      </c>
      <c r="H49" s="3">
        <v>0</v>
      </c>
      <c r="I49" s="3">
        <v>5</v>
      </c>
      <c r="J49" s="4" t="str">
        <f>HYPERLINK("http://141.218.60.56/~jnz1568/getInfo.php?workbook=02_02.xlsx&amp;sheet=E0&amp;row=49&amp;col=10&amp;number=193921.617719&amp;sourceID=2","193921.617719")</f>
        <v>193921.617719</v>
      </c>
      <c r="K49" s="4" t="str">
        <f>HYPERLINK("http://141.218.60.56/~jnz1568/getInfo.php?workbook=02_02.xlsx&amp;sheet=E0&amp;row=49&amp;col=11&amp;number=&amp;sourceID=23","")</f>
        <v/>
      </c>
    </row>
    <row r="50" spans="1:11">
      <c r="A50" s="3">
        <v>2</v>
      </c>
      <c r="B50" s="3">
        <v>2</v>
      </c>
      <c r="C50" s="3">
        <f/>
        <v>0</v>
      </c>
      <c r="D50" s="3" t="s">
        <v>35</v>
      </c>
      <c r="E50" s="3" t="s">
        <v>36</v>
      </c>
      <c r="F50" s="3">
        <v>3</v>
      </c>
      <c r="G50" s="3">
        <v>4</v>
      </c>
      <c r="H50" s="3">
        <v>0</v>
      </c>
      <c r="I50" s="3">
        <v>3</v>
      </c>
      <c r="J50" s="4" t="str">
        <f>HYPERLINK("http://141.218.60.56/~jnz1568/getInfo.php?workbook=02_02.xlsx&amp;sheet=E0&amp;row=50&amp;col=10&amp;number=193921.620238&amp;sourceID=2","193921.620238")</f>
        <v>193921.620238</v>
      </c>
      <c r="K50" s="4" t="str">
        <f>HYPERLINK("http://141.218.60.56/~jnz1568/getInfo.php?workbook=02_02.xlsx&amp;sheet=E0&amp;row=50&amp;col=11&amp;number=&amp;sourceID=23","")</f>
        <v/>
      </c>
    </row>
    <row r="51" spans="1:11">
      <c r="A51" s="3">
        <v>2</v>
      </c>
      <c r="B51" s="3">
        <v>2</v>
      </c>
      <c r="C51" s="3">
        <f/>
        <v>0</v>
      </c>
      <c r="D51" s="3" t="s">
        <v>35</v>
      </c>
      <c r="E51" s="3" t="s">
        <v>37</v>
      </c>
      <c r="F51" s="3">
        <v>1</v>
      </c>
      <c r="G51" s="3">
        <v>4</v>
      </c>
      <c r="H51" s="3">
        <v>0</v>
      </c>
      <c r="I51" s="3">
        <v>4</v>
      </c>
      <c r="J51" s="4" t="str">
        <f>HYPERLINK("http://141.218.60.56/~jnz1568/getInfo.php?workbook=02_02.xlsx&amp;sheet=E0&amp;row=51&amp;col=10&amp;number=193921.621933&amp;sourceID=2","193921.621933")</f>
        <v>193921.621933</v>
      </c>
      <c r="K51" s="4" t="str">
        <f>HYPERLINK("http://141.218.60.56/~jnz1568/getInfo.php?workbook=02_02.xlsx&amp;sheet=E0&amp;row=51&amp;col=11&amp;number=&amp;sourceID=23","")</f>
        <v/>
      </c>
    </row>
    <row r="52" spans="1:11">
      <c r="A52" s="3">
        <v>2</v>
      </c>
      <c r="B52" s="3">
        <v>2</v>
      </c>
      <c r="C52" s="3">
        <f/>
        <v>0</v>
      </c>
      <c r="D52" s="3" t="s">
        <v>32</v>
      </c>
      <c r="E52" s="3" t="s">
        <v>19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HYPERLINK("http://141.218.60.56/~jnz1568/getInfo.php?workbook=02_02.xlsx&amp;sheet=E0&amp;row=52&amp;col=10&amp;number=193942.462294&amp;sourceID=2","193942.462294")</f>
        <v>193942.462294</v>
      </c>
      <c r="K52" s="4" t="str">
        <f>HYPERLINK("http://141.218.60.56/~jnz1568/getInfo.php?workbook=02_02.xlsx&amp;sheet=E0&amp;row=52&amp;col=11&amp;number=193926&amp;sourceID=23","193926")</f>
        <v>193926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14.7109375" customWidth="1"/>
    <col min="10" max="10" width="14.7109375" customWidth="1"/>
    <col min="11" max="11" width="14.7109375" customWidth="1"/>
  </cols>
  <sheetData>
    <row r="1" spans="1:1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 t="s">
        <v>1</v>
      </c>
      <c r="J2" s="2" t="s">
        <v>39</v>
      </c>
      <c r="K2" s="2" t="s">
        <v>40</v>
      </c>
    </row>
    <row r="3" spans="1:1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41</v>
      </c>
      <c r="J3" s="2" t="s">
        <v>41</v>
      </c>
      <c r="K3" s="2" t="s">
        <v>41</v>
      </c>
    </row>
    <row r="4" spans="1:11">
      <c r="A4" s="3">
        <v>2</v>
      </c>
      <c r="B4" s="3">
        <v>2</v>
      </c>
      <c r="C4" s="3">
        <v>1</v>
      </c>
      <c r="D4" s="3" t="s">
        <v>13</v>
      </c>
      <c r="E4" s="3" t="s">
        <v>14</v>
      </c>
      <c r="F4" s="3">
        <v>1</v>
      </c>
      <c r="G4" s="3">
        <v>0</v>
      </c>
      <c r="H4" s="3">
        <v>0</v>
      </c>
      <c r="I4" s="4" t="str">
        <f>HYPERLINK("http://141.218.60.56/~jnz1568/getInfo.php?workbook=02_02.xlsx&amp;sheet=E1&amp;row=4&amp;col=9&amp;number=0&amp;sourceID=2","0")</f>
        <v>0</v>
      </c>
      <c r="J4" s="4" t="str">
        <f>HYPERLINK("http://141.218.60.56/~jnz1568/getInfo.php?workbook=02_02.xlsx&amp;sheet=E1&amp;row=4&amp;col=10&amp;number=0&amp;sourceID=24","0")</f>
        <v>0</v>
      </c>
      <c r="K4" s="4" t="str">
        <f>HYPERLINK("http://141.218.60.56/~jnz1568/getInfo.php?workbook=02_02.xlsx&amp;sheet=E1&amp;row=4&amp;col=11&amp;number=0&amp;sourceID=25","0")</f>
        <v>0</v>
      </c>
    </row>
    <row r="5" spans="1:11">
      <c r="A5" s="3">
        <v>2</v>
      </c>
      <c r="B5" s="3">
        <v>2</v>
      </c>
      <c r="C5" s="3">
        <f>+C4+1</f>
        <v>0</v>
      </c>
      <c r="D5" s="3" t="s">
        <v>15</v>
      </c>
      <c r="E5" s="3" t="s">
        <v>16</v>
      </c>
      <c r="F5" s="3">
        <v>3</v>
      </c>
      <c r="G5" s="3">
        <v>0</v>
      </c>
      <c r="H5" s="3">
        <v>0</v>
      </c>
      <c r="I5" s="4" t="str">
        <f>HYPERLINK("http://141.218.60.56/~jnz1568/getInfo.php?workbook=02_02.xlsx&amp;sheet=E1&amp;row=5&amp;col=9&amp;number=159855.97433&amp;sourceID=2","159855.97433")</f>
        <v>159855.97433</v>
      </c>
      <c r="J5" s="4" t="str">
        <f>HYPERLINK("http://141.218.60.56/~jnz1568/getInfo.php?workbook=02_02.xlsx&amp;sheet=E1&amp;row=5&amp;col=10&amp;number=156206.459911&amp;sourceID=24","156206.459911")</f>
        <v>156206.459911</v>
      </c>
      <c r="K5" s="4" t="str">
        <f>HYPERLINK("http://141.218.60.56/~jnz1568/getInfo.php?workbook=02_02.xlsx&amp;sheet=E1&amp;row=5&amp;col=11&amp;number=157633.264489&amp;sourceID=25","157633.264489")</f>
        <v>157633.264489</v>
      </c>
    </row>
    <row r="6" spans="1:11">
      <c r="A6" s="3">
        <v>2</v>
      </c>
      <c r="B6" s="3">
        <v>2</v>
      </c>
      <c r="C6" s="3">
        <f/>
        <v>0</v>
      </c>
      <c r="D6" s="3" t="s">
        <v>15</v>
      </c>
      <c r="E6" s="3" t="s">
        <v>14</v>
      </c>
      <c r="F6" s="3">
        <v>1</v>
      </c>
      <c r="G6" s="3">
        <v>0</v>
      </c>
      <c r="H6" s="3">
        <v>0</v>
      </c>
      <c r="I6" s="4" t="str">
        <f>HYPERLINK("http://141.218.60.56/~jnz1568/getInfo.php?workbook=02_02.xlsx&amp;sheet=E1&amp;row=6&amp;col=9&amp;number=166277.440141&amp;sourceID=2","166277.440141")</f>
        <v>166277.440141</v>
      </c>
      <c r="J6" s="4" t="str">
        <f>HYPERLINK("http://141.218.60.56/~jnz1568/getInfo.php?workbook=02_02.xlsx&amp;sheet=E1&amp;row=6&amp;col=10&amp;number=162933.4671&amp;sourceID=24","162933.4671")</f>
        <v>162933.4671</v>
      </c>
      <c r="K6" s="4" t="str">
        <f>HYPERLINK("http://141.218.60.56/~jnz1568/getInfo.php?workbook=02_02.xlsx&amp;sheet=E1&amp;row=6&amp;col=11&amp;number=164285.540566&amp;sourceID=25","164285.540566")</f>
        <v>164285.540566</v>
      </c>
    </row>
    <row r="7" spans="1:11">
      <c r="A7" s="3">
        <v>2</v>
      </c>
      <c r="B7" s="3">
        <v>2</v>
      </c>
      <c r="C7" s="3">
        <f/>
        <v>0</v>
      </c>
      <c r="D7" s="3" t="s">
        <v>17</v>
      </c>
      <c r="E7" s="3" t="s">
        <v>18</v>
      </c>
      <c r="F7" s="3">
        <v>3</v>
      </c>
      <c r="G7" s="3">
        <v>1</v>
      </c>
      <c r="H7" s="3">
        <v>1</v>
      </c>
      <c r="I7" s="4" t="str">
        <f>HYPERLINK("http://141.218.60.56/~jnz1568/getInfo.php?workbook=02_02.xlsx&amp;sheet=E1&amp;row=7&amp;col=9&amp;number=169086.910208&amp;sourceID=2","169086.910208")</f>
        <v>169086.910208</v>
      </c>
      <c r="J7" s="4" t="str">
        <f>HYPERLINK("http://141.218.60.56/~jnz1568/getInfo.php?workbook=02_02.xlsx&amp;sheet=E1&amp;row=7&amp;col=10&amp;number=165504.173457&amp;sourceID=24","165504.173457")</f>
        <v>165504.173457</v>
      </c>
      <c r="K7" s="4" t="str">
        <f>HYPERLINK("http://141.218.60.56/~jnz1568/getInfo.php?workbook=02_02.xlsx&amp;sheet=E1&amp;row=7&amp;col=11&amp;number=166868.756978&amp;sourceID=25","166868.756978")</f>
        <v>166868.756978</v>
      </c>
    </row>
    <row r="8" spans="1:11">
      <c r="A8" s="3">
        <v>2</v>
      </c>
      <c r="B8" s="3">
        <v>2</v>
      </c>
      <c r="C8" s="3">
        <f/>
        <v>0</v>
      </c>
      <c r="D8" s="3" t="s">
        <v>17</v>
      </c>
      <c r="E8" s="3" t="s">
        <v>19</v>
      </c>
      <c r="F8" s="3">
        <v>1</v>
      </c>
      <c r="G8" s="3">
        <v>1</v>
      </c>
      <c r="H8" s="3">
        <v>1</v>
      </c>
      <c r="I8" s="4" t="str">
        <f>HYPERLINK("http://141.218.60.56/~jnz1568/getInfo.php?workbook=02_02.xlsx&amp;sheet=E1&amp;row=8&amp;col=9&amp;number=171134.896946&amp;sourceID=2","171134.896946")</f>
        <v>171134.896946</v>
      </c>
      <c r="J8" s="4" t="str">
        <f>HYPERLINK("http://141.218.60.56/~jnz1568/getInfo.php?workbook=02_02.xlsx&amp;sheet=E1&amp;row=8&amp;col=10&amp;number=167546.275165&amp;sourceID=24","167546.275165")</f>
        <v>167546.275165</v>
      </c>
      <c r="K8" s="4" t="str">
        <f>HYPERLINK("http://141.218.60.56/~jnz1568/getInfo.php?workbook=02_02.xlsx&amp;sheet=E1&amp;row=8&amp;col=11&amp;number=168918.650035&amp;sourceID=25","168918.650035")</f>
        <v>168918.650035</v>
      </c>
    </row>
    <row r="9" spans="1:11">
      <c r="A9" s="3">
        <v>2</v>
      </c>
      <c r="B9" s="3">
        <v>2</v>
      </c>
      <c r="C9" s="3">
        <f/>
        <v>0</v>
      </c>
      <c r="D9" s="3" t="s">
        <v>20</v>
      </c>
      <c r="E9" s="3" t="s">
        <v>16</v>
      </c>
      <c r="F9" s="3">
        <v>3</v>
      </c>
      <c r="G9" s="3">
        <v>0</v>
      </c>
      <c r="H9" s="3">
        <v>0</v>
      </c>
      <c r="I9" s="4" t="str">
        <f>HYPERLINK("http://141.218.60.56/~jnz1568/getInfo.php?workbook=02_02.xlsx&amp;sheet=E1&amp;row=9&amp;col=9&amp;number=183236.7917&amp;sourceID=2","183236.7917")</f>
        <v>183236.7917</v>
      </c>
      <c r="J9" s="4" t="str">
        <f>HYPERLINK("http://141.218.60.56/~jnz1568/getInfo.php?workbook=02_02.xlsx&amp;sheet=E1&amp;row=9&amp;col=10&amp;number=179576.777083&amp;sourceID=24","179576.777083")</f>
        <v>179576.777083</v>
      </c>
      <c r="K9" s="4" t="str">
        <f>HYPERLINK("http://141.218.60.56/~jnz1568/getInfo.php?workbook=02_02.xlsx&amp;sheet=E1&amp;row=9&amp;col=11&amp;number=181002.923238&amp;sourceID=25","181002.923238")</f>
        <v>181002.923238</v>
      </c>
    </row>
    <row r="10" spans="1:11">
      <c r="A10" s="3">
        <v>2</v>
      </c>
      <c r="B10" s="3">
        <v>2</v>
      </c>
      <c r="C10" s="3">
        <f/>
        <v>0</v>
      </c>
      <c r="D10" s="3" t="s">
        <v>20</v>
      </c>
      <c r="E10" s="3" t="s">
        <v>14</v>
      </c>
      <c r="F10" s="3">
        <v>1</v>
      </c>
      <c r="G10" s="3">
        <v>0</v>
      </c>
      <c r="H10" s="3">
        <v>0</v>
      </c>
      <c r="I10" s="4" t="str">
        <f>HYPERLINK("http://141.218.60.56/~jnz1568/getInfo.php?workbook=02_02.xlsx&amp;sheet=E1&amp;row=10&amp;col=9&amp;number=184864.82932&amp;sourceID=2","184864.82932")</f>
        <v>184864.82932</v>
      </c>
      <c r="J10" s="4" t="str">
        <f>HYPERLINK("http://141.218.60.56/~jnz1568/getInfo.php?workbook=02_02.xlsx&amp;sheet=E1&amp;row=10&amp;col=10&amp;number=181292.300539&amp;sourceID=24","181292.300539")</f>
        <v>181292.300539</v>
      </c>
      <c r="K10" s="4" t="str">
        <f>HYPERLINK("http://141.218.60.56/~jnz1568/getInfo.php?workbook=02_02.xlsx&amp;sheet=E1&amp;row=10&amp;col=11&amp;number=182695.072646&amp;sourceID=25","182695.072646")</f>
        <v>182695.072646</v>
      </c>
    </row>
    <row r="11" spans="1:11">
      <c r="A11" s="3">
        <v>2</v>
      </c>
      <c r="B11" s="3">
        <v>2</v>
      </c>
      <c r="C11" s="3">
        <f/>
        <v>0</v>
      </c>
      <c r="D11" s="3" t="s">
        <v>21</v>
      </c>
      <c r="E11" s="3" t="s">
        <v>18</v>
      </c>
      <c r="F11" s="3">
        <v>3</v>
      </c>
      <c r="G11" s="3">
        <v>1</v>
      </c>
      <c r="H11" s="3">
        <v>1</v>
      </c>
      <c r="I11" s="4" t="str">
        <f>HYPERLINK("http://141.218.60.56/~jnz1568/getInfo.php?workbook=02_02.xlsx&amp;sheet=E1&amp;row=11&amp;col=9&amp;number=185564.601758&amp;sourceID=2","185564.601758")</f>
        <v>185564.601758</v>
      </c>
      <c r="J11" s="4" t="str">
        <f>HYPERLINK("http://141.218.60.56/~jnz1568/getInfo.php?workbook=02_02.xlsx&amp;sheet=E1&amp;row=11&amp;col=10&amp;number=181926.472487&amp;sourceID=24","181926.472487")</f>
        <v>181926.472487</v>
      </c>
      <c r="K11" s="4" t="str">
        <f>HYPERLINK("http://141.218.60.56/~jnz1568/getInfo.php?workbook=02_02.xlsx&amp;sheet=E1&amp;row=11&amp;col=11&amp;number=183334.841196&amp;sourceID=25","183334.841196")</f>
        <v>183334.841196</v>
      </c>
    </row>
    <row r="12" spans="1:11">
      <c r="A12" s="3">
        <v>2</v>
      </c>
      <c r="B12" s="3">
        <v>2</v>
      </c>
      <c r="C12" s="3">
        <f/>
        <v>0</v>
      </c>
      <c r="D12" s="3" t="s">
        <v>22</v>
      </c>
      <c r="E12" s="3" t="s">
        <v>23</v>
      </c>
      <c r="F12" s="3">
        <v>3</v>
      </c>
      <c r="G12" s="3">
        <v>2</v>
      </c>
      <c r="H12" s="3">
        <v>0</v>
      </c>
      <c r="I12" s="4" t="str">
        <f>HYPERLINK("http://141.218.60.56/~jnz1568/getInfo.php?workbook=02_02.xlsx&amp;sheet=E1&amp;row=12&amp;col=9&amp;number=186101.556357&amp;sourceID=2","186101.556357")</f>
        <v>186101.556357</v>
      </c>
      <c r="J12" s="4" t="str">
        <f>HYPERLINK("http://141.218.60.56/~jnz1568/getInfo.php?workbook=02_02.xlsx&amp;sheet=E1&amp;row=12&amp;col=10&amp;number=182438.17759&amp;sourceID=24","182438.17759")</f>
        <v>182438.17759</v>
      </c>
      <c r="K12" s="4" t="str">
        <f>HYPERLINK("http://141.218.60.56/~jnz1568/getInfo.php?workbook=02_02.xlsx&amp;sheet=E1&amp;row=12&amp;col=11&amp;number=183865.969804&amp;sourceID=25","183865.969804")</f>
        <v>183865.969804</v>
      </c>
    </row>
    <row r="13" spans="1:11">
      <c r="A13" s="3">
        <v>2</v>
      </c>
      <c r="B13" s="3">
        <v>2</v>
      </c>
      <c r="C13" s="3">
        <f/>
        <v>0</v>
      </c>
      <c r="D13" s="3" t="s">
        <v>22</v>
      </c>
      <c r="E13" s="3" t="s">
        <v>24</v>
      </c>
      <c r="F13" s="3">
        <v>1</v>
      </c>
      <c r="G13" s="3">
        <v>2</v>
      </c>
      <c r="H13" s="3">
        <v>0</v>
      </c>
      <c r="I13" s="4" t="str">
        <f>HYPERLINK("http://141.218.60.56/~jnz1568/getInfo.php?workbook=02_02.xlsx&amp;sheet=E1&amp;row=13&amp;col=9&amp;number=186104.966689&amp;sourceID=2","186104.966689")</f>
        <v>186104.966689</v>
      </c>
      <c r="J13" s="4" t="str">
        <f>HYPERLINK("http://141.218.60.56/~jnz1568/getInfo.php?workbook=02_02.xlsx&amp;sheet=E1&amp;row=13&amp;col=10&amp;number=182441.689184&amp;sourceID=24","182441.689184")</f>
        <v>182441.689184</v>
      </c>
      <c r="K13" s="4" t="str">
        <f>HYPERLINK("http://141.218.60.56/~jnz1568/getInfo.php?workbook=02_02.xlsx&amp;sheet=E1&amp;row=13&amp;col=11&amp;number=183869.261923&amp;sourceID=25","183869.261923")</f>
        <v>183869.261923</v>
      </c>
    </row>
    <row r="14" spans="1:11">
      <c r="A14" s="3">
        <v>2</v>
      </c>
      <c r="B14" s="3">
        <v>2</v>
      </c>
      <c r="C14" s="3">
        <f/>
        <v>0</v>
      </c>
      <c r="D14" s="3" t="s">
        <v>21</v>
      </c>
      <c r="E14" s="3" t="s">
        <v>19</v>
      </c>
      <c r="F14" s="3">
        <v>1</v>
      </c>
      <c r="G14" s="3">
        <v>1</v>
      </c>
      <c r="H14" s="3">
        <v>1</v>
      </c>
      <c r="I14" s="4" t="str">
        <f>HYPERLINK("http://141.218.60.56/~jnz1568/getInfo.php?workbook=02_02.xlsx&amp;sheet=E1&amp;row=14&amp;col=9&amp;number=186209.36494&amp;sourceID=2","186209.36494")</f>
        <v>186209.36494</v>
      </c>
      <c r="J14" s="4" t="str">
        <f>HYPERLINK("http://141.218.60.56/~jnz1568/getInfo.php?workbook=02_02.xlsx&amp;sheet=E1&amp;row=14&amp;col=10&amp;number=182571.618166&amp;sourceID=24","182571.618166")</f>
        <v>182571.618166</v>
      </c>
      <c r="K14" s="4" t="str">
        <f>HYPERLINK("http://141.218.60.56/~jnz1568/getInfo.php?workbook=02_02.xlsx&amp;sheet=E1&amp;row=14&amp;col=11&amp;number=183981.193985&amp;sourceID=25","183981.193985")</f>
        <v>183981.193985</v>
      </c>
    </row>
    <row r="15" spans="1:11">
      <c r="A15" s="3">
        <v>2</v>
      </c>
      <c r="B15" s="3">
        <v>2</v>
      </c>
      <c r="C15" s="3">
        <f/>
        <v>0</v>
      </c>
      <c r="D15" s="3" t="s">
        <v>25</v>
      </c>
      <c r="E15" s="3" t="s">
        <v>16</v>
      </c>
      <c r="F15" s="3">
        <v>3</v>
      </c>
      <c r="G15" s="3">
        <v>0</v>
      </c>
      <c r="H15" s="3">
        <v>0</v>
      </c>
      <c r="I15" s="4" t="str">
        <f>HYPERLINK("http://141.218.60.56/~jnz1568/getInfo.php?workbook=02_02.xlsx&amp;sheet=E1&amp;row=15&amp;col=9&amp;number=190298.11326&amp;sourceID=2","190298.11326")</f>
        <v>190298.11326</v>
      </c>
      <c r="J15" s="4" t="str">
        <f>HYPERLINK("http://141.218.60.56/~jnz1568/getInfo.php?workbook=02_02.xlsx&amp;sheet=E1&amp;row=15&amp;col=10&amp;number=186636.573656&amp;sourceID=24","186636.573656")</f>
        <v>186636.573656</v>
      </c>
      <c r="K15" s="4" t="str">
        <f>HYPERLINK("http://141.218.60.56/~jnz1568/getInfo.php?workbook=02_02.xlsx&amp;sheet=E1&amp;row=15&amp;col=11&amp;number=188063.422129&amp;sourceID=25","188063.422129")</f>
        <v>188063.422129</v>
      </c>
    </row>
    <row r="16" spans="1:11">
      <c r="A16" s="3">
        <v>2</v>
      </c>
      <c r="B16" s="3">
        <v>2</v>
      </c>
      <c r="C16" s="3">
        <f/>
        <v>0</v>
      </c>
      <c r="D16" s="3" t="s">
        <v>25</v>
      </c>
      <c r="E16" s="3" t="s">
        <v>14</v>
      </c>
      <c r="F16" s="3">
        <v>1</v>
      </c>
      <c r="G16" s="3">
        <v>0</v>
      </c>
      <c r="H16" s="3">
        <v>0</v>
      </c>
      <c r="I16" s="4" t="str">
        <f>HYPERLINK("http://141.218.60.56/~jnz1568/getInfo.php?workbook=02_02.xlsx&amp;sheet=E1&amp;row=16&amp;col=9&amp;number=190940.226355&amp;sourceID=2","190940.226355")</f>
        <v>190940.226355</v>
      </c>
      <c r="J16" s="4" t="str">
        <f>HYPERLINK("http://141.218.60.56/~jnz1568/getInfo.php?workbook=02_02.xlsx&amp;sheet=E1&amp;row=16&amp;col=10&amp;number=187315.277006&amp;sourceID=24","187315.277006")</f>
        <v>187315.277006</v>
      </c>
      <c r="K16" s="4" t="str">
        <f>HYPERLINK("http://141.218.60.56/~jnz1568/getInfo.php?workbook=02_02.xlsx&amp;sheet=E1&amp;row=16&amp;col=11&amp;number=188732.819755&amp;sourceID=25","188732.819755")</f>
        <v>188732.819755</v>
      </c>
    </row>
    <row r="17" spans="1:11">
      <c r="A17" s="3">
        <v>2</v>
      </c>
      <c r="B17" s="3">
        <v>2</v>
      </c>
      <c r="C17" s="3">
        <f/>
        <v>0</v>
      </c>
      <c r="D17" s="3" t="s">
        <v>26</v>
      </c>
      <c r="E17" s="3" t="s">
        <v>18</v>
      </c>
      <c r="F17" s="3">
        <v>3</v>
      </c>
      <c r="G17" s="3">
        <v>1</v>
      </c>
      <c r="H17" s="3">
        <v>1</v>
      </c>
      <c r="I17" s="4" t="str">
        <f>HYPERLINK("http://141.218.60.56/~jnz1568/getInfo.php?workbook=02_02.xlsx&amp;sheet=E1&amp;row=17&amp;col=9&amp;number=191217.057224&amp;sourceID=2","191217.057224")</f>
        <v>191217.057224</v>
      </c>
      <c r="J17" s="4" t="str">
        <f>HYPERLINK("http://141.218.60.56/~jnz1568/getInfo.php?workbook=02_02.xlsx&amp;sheet=E1&amp;row=17&amp;col=10&amp;number=187564.633108&amp;sourceID=24","187564.633108")</f>
        <v>187564.633108</v>
      </c>
      <c r="K17" s="4" t="str">
        <f>HYPERLINK("http://141.218.60.56/~jnz1568/getInfo.php?workbook=02_02.xlsx&amp;sheet=E1&amp;row=17&amp;col=11&amp;number=188984.118208&amp;sourceID=25","188984.118208")</f>
        <v>188984.118208</v>
      </c>
    </row>
    <row r="18" spans="1:11">
      <c r="A18" s="3">
        <v>2</v>
      </c>
      <c r="B18" s="3">
        <v>2</v>
      </c>
      <c r="C18" s="3">
        <f/>
        <v>0</v>
      </c>
      <c r="D18" s="3" t="s">
        <v>27</v>
      </c>
      <c r="E18" s="3" t="s">
        <v>23</v>
      </c>
      <c r="F18" s="3">
        <v>3</v>
      </c>
      <c r="G18" s="3">
        <v>2</v>
      </c>
      <c r="H18" s="3">
        <v>0</v>
      </c>
      <c r="I18" s="4" t="str">
        <f>HYPERLINK("http://141.218.60.56/~jnz1568/getInfo.php?workbook=02_02.xlsx&amp;sheet=E1&amp;row=18&amp;col=9&amp;number=191444.485274&amp;sourceID=2","191444.485274")</f>
        <v>191444.485274</v>
      </c>
      <c r="J18" s="4" t="str">
        <f>HYPERLINK("http://141.218.60.56/~jnz1568/getInfo.php?workbook=02_02.xlsx&amp;sheet=E1&amp;row=18&amp;col=10&amp;number=187781.55086&amp;sourceID=24","187781.55086")</f>
        <v>187781.55086</v>
      </c>
      <c r="K18" s="4" t="str">
        <f>HYPERLINK("http://141.218.60.56/~jnz1568/getInfo.php?workbook=02_02.xlsx&amp;sheet=E1&amp;row=18&amp;col=11&amp;number=189209.079705&amp;sourceID=25","189209.079705")</f>
        <v>189209.079705</v>
      </c>
    </row>
    <row r="19" spans="1:11">
      <c r="A19" s="3">
        <v>2</v>
      </c>
      <c r="B19" s="3">
        <v>2</v>
      </c>
      <c r="C19" s="3">
        <f/>
        <v>0</v>
      </c>
      <c r="D19" s="3" t="s">
        <v>27</v>
      </c>
      <c r="E19" s="3" t="s">
        <v>24</v>
      </c>
      <c r="F19" s="3">
        <v>1</v>
      </c>
      <c r="G19" s="3">
        <v>2</v>
      </c>
      <c r="H19" s="3">
        <v>0</v>
      </c>
      <c r="I19" s="4" t="str">
        <f>HYPERLINK("http://141.218.60.56/~jnz1568/getInfo.php?workbook=02_02.xlsx&amp;sheet=E1&amp;row=19&amp;col=9&amp;number=191446.455741&amp;sourceID=2","191446.455741")</f>
        <v>191446.455741</v>
      </c>
      <c r="J19" s="4" t="str">
        <f>HYPERLINK("http://141.218.60.56/~jnz1568/getInfo.php?workbook=02_02.xlsx&amp;sheet=E1&amp;row=19&amp;col=10&amp;number=187783.537105&amp;sourceID=24","187783.537105")</f>
        <v>187783.537105</v>
      </c>
      <c r="K19" s="4" t="str">
        <f>HYPERLINK("http://141.218.60.56/~jnz1568/getInfo.php?workbook=02_02.xlsx&amp;sheet=E1&amp;row=19&amp;col=11&amp;number=189211.274451&amp;sourceID=25","189211.274451")</f>
        <v>189211.274451</v>
      </c>
    </row>
    <row r="20" spans="1:11">
      <c r="A20" s="3">
        <v>2</v>
      </c>
      <c r="B20" s="3">
        <v>2</v>
      </c>
      <c r="C20" s="3">
        <f/>
        <v>0</v>
      </c>
      <c r="D20" s="3" t="s">
        <v>28</v>
      </c>
      <c r="E20" s="3" t="s">
        <v>29</v>
      </c>
      <c r="F20" s="3">
        <v>3</v>
      </c>
      <c r="G20" s="3">
        <v>3</v>
      </c>
      <c r="H20" s="3">
        <v>1</v>
      </c>
      <c r="I20" s="4" t="str">
        <f>HYPERLINK("http://141.218.60.56/~jnz1568/getInfo.php?workbook=02_02.xlsx&amp;sheet=E1&amp;row=20&amp;col=9&amp;number=191451.880761&amp;sourceID=2","191451.880761")</f>
        <v>191451.880761</v>
      </c>
      <c r="J20" s="4" t="str">
        <f>HYPERLINK("http://141.218.60.56/~jnz1568/getInfo.php?workbook=02_02.xlsx&amp;sheet=E1&amp;row=20&amp;col=10&amp;number=187788.222889&amp;sourceID=24","187788.222889")</f>
        <v>187788.222889</v>
      </c>
      <c r="K20" s="4" t="str">
        <f>HYPERLINK("http://141.218.60.56/~jnz1568/getInfo.php?workbook=02_02.xlsx&amp;sheet=E1&amp;row=20&amp;col=11&amp;number=&amp;sourceID=25","")</f>
        <v/>
      </c>
    </row>
    <row r="21" spans="1:11">
      <c r="A21" s="3">
        <v>2</v>
      </c>
      <c r="B21" s="3">
        <v>2</v>
      </c>
      <c r="C21" s="3">
        <f/>
        <v>0</v>
      </c>
      <c r="D21" s="3" t="s">
        <v>28</v>
      </c>
      <c r="E21" s="3" t="s">
        <v>30</v>
      </c>
      <c r="F21" s="3">
        <v>1</v>
      </c>
      <c r="G21" s="3">
        <v>3</v>
      </c>
      <c r="H21" s="3">
        <v>1</v>
      </c>
      <c r="I21" s="4" t="str">
        <f>HYPERLINK("http://141.218.60.56/~jnz1568/getInfo.php?workbook=02_02.xlsx&amp;sheet=E1&amp;row=21&amp;col=9&amp;number=191451.897461&amp;sourceID=2","191451.897461")</f>
        <v>191451.897461</v>
      </c>
      <c r="J21" s="4" t="str">
        <f>HYPERLINK("http://141.218.60.56/~jnz1568/getInfo.php?workbook=02_02.xlsx&amp;sheet=E1&amp;row=21&amp;col=10&amp;number=187788.222889&amp;sourceID=24","187788.222889")</f>
        <v>187788.222889</v>
      </c>
      <c r="K21" s="4" t="str">
        <f>HYPERLINK("http://141.218.60.56/~jnz1568/getInfo.php?workbook=02_02.xlsx&amp;sheet=E1&amp;row=21&amp;col=11&amp;number=&amp;sourceID=25","")</f>
        <v/>
      </c>
    </row>
    <row r="22" spans="1:11">
      <c r="A22" s="3">
        <v>2</v>
      </c>
      <c r="B22" s="3">
        <v>2</v>
      </c>
      <c r="C22" s="3">
        <f/>
        <v>0</v>
      </c>
      <c r="D22" s="3" t="s">
        <v>26</v>
      </c>
      <c r="E22" s="3" t="s">
        <v>19</v>
      </c>
      <c r="F22" s="3">
        <v>1</v>
      </c>
      <c r="G22" s="3">
        <v>1</v>
      </c>
      <c r="H22" s="3">
        <v>1</v>
      </c>
      <c r="I22" s="4" t="str">
        <f>HYPERLINK("http://141.218.60.56/~jnz1568/getInfo.php?workbook=02_02.xlsx&amp;sheet=E1&amp;row=22&amp;col=9&amp;number=191492.711909&amp;sourceID=2","191492.711909")</f>
        <v>191492.711909</v>
      </c>
      <c r="J22" s="4" t="str">
        <f>HYPERLINK("http://141.218.60.56/~jnz1568/getInfo.php?workbook=02_02.xlsx&amp;sheet=E1&amp;row=22&amp;col=10&amp;number=187840.819984&amp;sourceID=24","187840.819984")</f>
        <v>187840.819984</v>
      </c>
      <c r="K22" s="4" t="str">
        <f>HYPERLINK("http://141.218.60.56/~jnz1568/getInfo.php?workbook=02_02.xlsx&amp;sheet=E1&amp;row=22&amp;col=11&amp;number=189260.656243&amp;sourceID=25","189260.656243")</f>
        <v>189260.656243</v>
      </c>
    </row>
    <row r="23" spans="1:11">
      <c r="A23" s="3">
        <v>2</v>
      </c>
      <c r="B23" s="3">
        <v>2</v>
      </c>
      <c r="C23" s="3">
        <f/>
        <v>0</v>
      </c>
      <c r="D23" s="3" t="s">
        <v>31</v>
      </c>
      <c r="E23" s="3" t="s">
        <v>16</v>
      </c>
      <c r="F23" s="3">
        <v>3</v>
      </c>
      <c r="G23" s="3">
        <v>0</v>
      </c>
      <c r="H23" s="3">
        <v>0</v>
      </c>
      <c r="I23" s="4" t="str">
        <f>HYPERLINK("http://141.218.60.56/~jnz1568/getInfo.php?workbook=02_02.xlsx&amp;sheet=E1&amp;row=23&amp;col=9&amp;number=193346.991344&amp;sourceID=2","193346.991344")</f>
        <v>193346.991344</v>
      </c>
      <c r="J23" s="4" t="str">
        <f>HYPERLINK("http://141.218.60.56/~jnz1568/getInfo.php?workbook=02_02.xlsx&amp;sheet=E1&amp;row=23&amp;col=10&amp;number=189683.068092&amp;sourceID=24","189683.068092")</f>
        <v>189683.068092</v>
      </c>
      <c r="K23" s="4" t="str">
        <f>HYPERLINK("http://141.218.60.56/~jnz1568/getInfo.php?workbook=02_02.xlsx&amp;sheet=E1&amp;row=23&amp;col=11&amp;number=191113.022132&amp;sourceID=25","191113.022132")</f>
        <v>191113.022132</v>
      </c>
    </row>
    <row r="24" spans="1:11">
      <c r="A24" s="3">
        <v>2</v>
      </c>
      <c r="B24" s="3">
        <v>2</v>
      </c>
      <c r="C24" s="3">
        <f/>
        <v>0</v>
      </c>
      <c r="D24" s="3" t="s">
        <v>31</v>
      </c>
      <c r="E24" s="3" t="s">
        <v>14</v>
      </c>
      <c r="F24" s="3">
        <v>1</v>
      </c>
      <c r="G24" s="3">
        <v>0</v>
      </c>
      <c r="H24" s="3">
        <v>0</v>
      </c>
      <c r="I24" s="4" t="str">
        <f>HYPERLINK("http://141.218.60.56/~jnz1568/getInfo.php?workbook=02_02.xlsx&amp;sheet=E1&amp;row=24&amp;col=9&amp;number=193663.512095&amp;sourceID=2","193663.512095")</f>
        <v>193663.512095</v>
      </c>
      <c r="J24" s="4" t="str">
        <f>HYPERLINK("http://141.218.60.56/~jnz1568/getInfo.php?workbook=02_02.xlsx&amp;sheet=E1&amp;row=24&amp;col=10&amp;number=190019.094727&amp;sourceID=24","190019.094727")</f>
        <v>190019.094727</v>
      </c>
      <c r="K24" s="4" t="str">
        <f>HYPERLINK("http://141.218.60.56/~jnz1568/getInfo.php?workbook=02_02.xlsx&amp;sheet=E1&amp;row=24&amp;col=11&amp;number=191442.234079&amp;sourceID=25","191442.234079")</f>
        <v>191442.234079</v>
      </c>
    </row>
    <row r="25" spans="1:11">
      <c r="A25" s="3">
        <v>2</v>
      </c>
      <c r="B25" s="3">
        <v>2</v>
      </c>
      <c r="C25" s="3">
        <f/>
        <v>0</v>
      </c>
      <c r="D25" s="3" t="s">
        <v>32</v>
      </c>
      <c r="E25" s="3" t="s">
        <v>18</v>
      </c>
      <c r="F25" s="3">
        <v>3</v>
      </c>
      <c r="G25" s="3">
        <v>1</v>
      </c>
      <c r="H25" s="3">
        <v>1</v>
      </c>
      <c r="I25" s="4" t="str">
        <f>HYPERLINK("http://141.218.60.56/~jnz1568/getInfo.php?workbook=02_02.xlsx&amp;sheet=E1&amp;row=25&amp;col=9&amp;number=193800.715766&amp;sourceID=2","193800.715766")</f>
        <v>193800.715766</v>
      </c>
      <c r="J25" s="4" t="str">
        <f>HYPERLINK("http://141.218.60.56/~jnz1568/getInfo.php?workbook=02_02.xlsx&amp;sheet=E1&amp;row=25&amp;col=10&amp;number=190142.560181&amp;sourceID=24","190142.560181")</f>
        <v>190142.560181</v>
      </c>
      <c r="K25" s="4" t="str">
        <f>HYPERLINK("http://141.218.60.56/~jnz1568/getInfo.php?workbook=02_02.xlsx&amp;sheet=E1&amp;row=25&amp;col=11&amp;number=191567.334619&amp;sourceID=25","191567.334619")</f>
        <v>191567.334619</v>
      </c>
    </row>
    <row r="26" spans="1:11">
      <c r="A26" s="3">
        <v>2</v>
      </c>
      <c r="B26" s="3">
        <v>2</v>
      </c>
      <c r="C26" s="3">
        <f/>
        <v>0</v>
      </c>
      <c r="D26" s="3" t="s">
        <v>33</v>
      </c>
      <c r="E26" s="3" t="s">
        <v>23</v>
      </c>
      <c r="F26" s="3">
        <v>3</v>
      </c>
      <c r="G26" s="3">
        <v>2</v>
      </c>
      <c r="H26" s="3">
        <v>0</v>
      </c>
      <c r="I26" s="4" t="str">
        <f>HYPERLINK("http://141.218.60.56/~jnz1568/getInfo.php?workbook=02_02.xlsx&amp;sheet=E1&amp;row=26&amp;col=9&amp;number=193917.153521&amp;sourceID=2","193917.153521")</f>
        <v>193917.153521</v>
      </c>
      <c r="J26" s="4" t="str">
        <f>HYPERLINK("http://141.218.60.56/~jnz1568/getInfo.php?workbook=02_02.xlsx&amp;sheet=E1&amp;row=26&amp;col=10&amp;number=190253.471686&amp;sourceID=24","190253.471686")</f>
        <v>190253.471686</v>
      </c>
      <c r="K26" s="4" t="str">
        <f>HYPERLINK("http://141.218.60.56/~jnz1568/getInfo.php?workbook=02_02.xlsx&amp;sheet=E1&amp;row=26&amp;col=11&amp;number=191682.5588&amp;sourceID=25","191682.5588")</f>
        <v>191682.5588</v>
      </c>
    </row>
    <row r="27" spans="1:11">
      <c r="A27" s="3">
        <v>2</v>
      </c>
      <c r="B27" s="3">
        <v>2</v>
      </c>
      <c r="C27" s="3">
        <f/>
        <v>0</v>
      </c>
      <c r="D27" s="3" t="s">
        <v>33</v>
      </c>
      <c r="E27" s="3" t="s">
        <v>24</v>
      </c>
      <c r="F27" s="3">
        <v>1</v>
      </c>
      <c r="G27" s="3">
        <v>2</v>
      </c>
      <c r="H27" s="3">
        <v>0</v>
      </c>
      <c r="I27" s="4" t="str">
        <f>HYPERLINK("http://141.218.60.56/~jnz1568/getInfo.php?workbook=02_02.xlsx&amp;sheet=E1&amp;row=27&amp;col=9&amp;number=193918.289901&amp;sourceID=2","193918.289901")</f>
        <v>193918.289901</v>
      </c>
      <c r="J27" s="4" t="str">
        <f>HYPERLINK("http://141.218.60.56/~jnz1568/getInfo.php?workbook=02_02.xlsx&amp;sheet=E1&amp;row=27&amp;col=10&amp;number=190254.634901&amp;sourceID=24","190254.634901")</f>
        <v>190254.634901</v>
      </c>
      <c r="K27" s="4" t="str">
        <f>HYPERLINK("http://141.218.60.56/~jnz1568/getInfo.php?workbook=02_02.xlsx&amp;sheet=E1&amp;row=27&amp;col=11&amp;number=191683.656173&amp;sourceID=25","191683.656173")</f>
        <v>191683.656173</v>
      </c>
    </row>
    <row r="28" spans="1:11">
      <c r="A28" s="3">
        <v>2</v>
      </c>
      <c r="B28" s="3">
        <v>2</v>
      </c>
      <c r="C28" s="3">
        <f/>
        <v>0</v>
      </c>
      <c r="D28" s="3" t="s">
        <v>34</v>
      </c>
      <c r="E28" s="3" t="s">
        <v>29</v>
      </c>
      <c r="F28" s="3">
        <v>3</v>
      </c>
      <c r="G28" s="3">
        <v>3</v>
      </c>
      <c r="H28" s="3">
        <v>1</v>
      </c>
      <c r="I28" s="4" t="str">
        <f>HYPERLINK("http://141.218.60.56/~jnz1568/getInfo.php?workbook=02_02.xlsx&amp;sheet=E1&amp;row=28&amp;col=9&amp;number=193921.121367&amp;sourceID=2","193921.121367")</f>
        <v>193921.121367</v>
      </c>
      <c r="J28" s="4" t="str">
        <f>HYPERLINK("http://141.218.60.56/~jnz1568/getInfo.php?workbook=02_02.xlsx&amp;sheet=E1&amp;row=28&amp;col=10&amp;number=190257.082043&amp;sourceID=24","190257.082043")</f>
        <v>190257.082043</v>
      </c>
      <c r="K28" s="4" t="str">
        <f>HYPERLINK("http://141.218.60.56/~jnz1568/getInfo.php?workbook=02_02.xlsx&amp;sheet=E1&amp;row=28&amp;col=11&amp;number=&amp;sourceID=25","")</f>
        <v/>
      </c>
    </row>
    <row r="29" spans="1:11">
      <c r="A29" s="3">
        <v>2</v>
      </c>
      <c r="B29" s="3">
        <v>2</v>
      </c>
      <c r="C29" s="3">
        <f/>
        <v>0</v>
      </c>
      <c r="D29" s="3" t="s">
        <v>34</v>
      </c>
      <c r="E29" s="3" t="s">
        <v>30</v>
      </c>
      <c r="F29" s="3">
        <v>1</v>
      </c>
      <c r="G29" s="3">
        <v>3</v>
      </c>
      <c r="H29" s="3">
        <v>1</v>
      </c>
      <c r="I29" s="4" t="str">
        <f>HYPERLINK("http://141.218.60.56/~jnz1568/getInfo.php?workbook=02_02.xlsx&amp;sheet=E1&amp;row=29&amp;col=9&amp;number=193921.130881&amp;sourceID=2","193921.130881")</f>
        <v>193921.130881</v>
      </c>
      <c r="J29" s="4" t="str">
        <f>HYPERLINK("http://141.218.60.56/~jnz1568/getInfo.php?workbook=02_02.xlsx&amp;sheet=E1&amp;row=29&amp;col=10&amp;number=190257.082043&amp;sourceID=24","190257.082043")</f>
        <v>190257.082043</v>
      </c>
      <c r="K29" s="4" t="str">
        <f>HYPERLINK("http://141.218.60.56/~jnz1568/getInfo.php?workbook=02_02.xlsx&amp;sheet=E1&amp;row=29&amp;col=11&amp;number=&amp;sourceID=25","")</f>
        <v/>
      </c>
    </row>
    <row r="30" spans="1:11">
      <c r="A30" s="3">
        <v>2</v>
      </c>
      <c r="B30" s="3">
        <v>2</v>
      </c>
      <c r="C30" s="3">
        <f/>
        <v>0</v>
      </c>
      <c r="D30" s="3" t="s">
        <v>35</v>
      </c>
      <c r="E30" s="3" t="s">
        <v>36</v>
      </c>
      <c r="F30" s="3">
        <v>3</v>
      </c>
      <c r="G30" s="3">
        <v>4</v>
      </c>
      <c r="H30" s="3">
        <v>0</v>
      </c>
      <c r="I30" s="4" t="str">
        <f>HYPERLINK("http://141.218.60.56/~jnz1568/getInfo.php?workbook=02_02.xlsx&amp;sheet=E1&amp;row=30&amp;col=9&amp;number=193921.617449&amp;sourceID=2","193921.617449")</f>
        <v>193921.617449</v>
      </c>
      <c r="J30" s="4" t="str">
        <f>HYPERLINK("http://141.218.60.56/~jnz1568/getInfo.php?workbook=02_02.xlsx&amp;sheet=E1&amp;row=30&amp;col=10&amp;number=190258.047732&amp;sourceID=24","190258.047732")</f>
        <v>190258.047732</v>
      </c>
      <c r="K30" s="4" t="str">
        <f>HYPERLINK("http://141.218.60.56/~jnz1568/getInfo.php?workbook=02_02.xlsx&amp;sheet=E1&amp;row=30&amp;col=11&amp;number=&amp;sourceID=25","")</f>
        <v/>
      </c>
    </row>
    <row r="31" spans="1:11">
      <c r="A31" s="3">
        <v>2</v>
      </c>
      <c r="B31" s="3">
        <v>2</v>
      </c>
      <c r="C31" s="3">
        <f/>
        <v>0</v>
      </c>
      <c r="D31" s="3" t="s">
        <v>35</v>
      </c>
      <c r="E31" s="3" t="s">
        <v>37</v>
      </c>
      <c r="F31" s="3">
        <v>1</v>
      </c>
      <c r="G31" s="3">
        <v>4</v>
      </c>
      <c r="H31" s="3">
        <v>0</v>
      </c>
      <c r="I31" s="4" t="str">
        <f>HYPERLINK("http://141.218.60.56/~jnz1568/getInfo.php?workbook=02_02.xlsx&amp;sheet=E1&amp;row=31&amp;col=9&amp;number=193921.621933&amp;sourceID=2","193921.621933")</f>
        <v>193921.621933</v>
      </c>
      <c r="J31" s="4" t="str">
        <f>HYPERLINK("http://141.218.60.56/~jnz1568/getInfo.php?workbook=02_02.xlsx&amp;sheet=E1&amp;row=31&amp;col=10&amp;number=190258.047732&amp;sourceID=24","190258.047732")</f>
        <v>190258.047732</v>
      </c>
      <c r="K31" s="4" t="str">
        <f>HYPERLINK("http://141.218.60.56/~jnz1568/getInfo.php?workbook=02_02.xlsx&amp;sheet=E1&amp;row=31&amp;col=11&amp;number=&amp;sourceID=25","")</f>
        <v/>
      </c>
    </row>
    <row r="32" spans="1:11">
      <c r="A32" s="3">
        <v>2</v>
      </c>
      <c r="B32" s="3">
        <v>2</v>
      </c>
      <c r="C32" s="3">
        <f/>
        <v>0</v>
      </c>
      <c r="D32" s="3" t="s">
        <v>32</v>
      </c>
      <c r="E32" s="3" t="s">
        <v>19</v>
      </c>
      <c r="F32" s="3">
        <v>1</v>
      </c>
      <c r="G32" s="3">
        <v>1</v>
      </c>
      <c r="H32" s="3">
        <v>1</v>
      </c>
      <c r="I32" s="4" t="str">
        <f>HYPERLINK("http://141.218.60.56/~jnz1568/getInfo.php?workbook=02_02.xlsx&amp;sheet=E1&amp;row=32&amp;col=9&amp;number=193942.462294&amp;sourceID=2","193942.462294")</f>
        <v>193942.462294</v>
      </c>
      <c r="J32" s="4" t="str">
        <f>HYPERLINK("http://141.218.60.56/~jnz1568/getInfo.php?workbook=02_02.xlsx&amp;sheet=E1&amp;row=32&amp;col=10&amp;number=190285.207717&amp;sourceID=24","190285.207717")</f>
        <v>190285.207717</v>
      </c>
      <c r="K32" s="4" t="str">
        <f>HYPERLINK("http://141.218.60.56/~jnz1568/getInfo.php?workbook=02_02.xlsx&amp;sheet=E1&amp;row=32&amp;col=11&amp;number=191708.895756&amp;sourceID=25","191708.895756")</f>
        <v>191708.895756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0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1.7109375" customWidth="1"/>
    <col min="8" max="8" width="15.7109375" customWidth="1"/>
    <col min="9" max="9" width="11.7109375" customWidth="1"/>
    <col min="10" max="10" width="11.7109375" customWidth="1"/>
    <col min="11" max="11" width="10.7109375" customWidth="1"/>
    <col min="12" max="12" width="10.7109375" customWidth="1"/>
    <col min="13" max="13" width="11.7109375" customWidth="1"/>
  </cols>
  <sheetData>
    <row r="1" spans="1:13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 t="s">
        <v>43</v>
      </c>
      <c r="G2" s="2" t="s">
        <v>44</v>
      </c>
      <c r="H2" s="2" t="s">
        <v>44</v>
      </c>
      <c r="I2" s="2" t="s">
        <v>45</v>
      </c>
      <c r="J2" s="2" t="s">
        <v>45</v>
      </c>
      <c r="K2" s="2" t="s">
        <v>45</v>
      </c>
      <c r="L2" s="2" t="s">
        <v>45</v>
      </c>
      <c r="M2" s="2" t="s">
        <v>2</v>
      </c>
    </row>
    <row r="3" spans="1:13">
      <c r="A3" s="2" t="s">
        <v>3</v>
      </c>
      <c r="B3" s="2" t="s">
        <v>4</v>
      </c>
      <c r="C3" s="2" t="s">
        <v>46</v>
      </c>
      <c r="D3" s="2" t="s">
        <v>5</v>
      </c>
      <c r="E3" s="2" t="s">
        <v>47</v>
      </c>
      <c r="F3" s="2" t="s">
        <v>48</v>
      </c>
      <c r="G3" s="2" t="s">
        <v>49</v>
      </c>
      <c r="H3" s="2" t="s">
        <v>50</v>
      </c>
      <c r="I3" s="2" t="s">
        <v>49</v>
      </c>
      <c r="J3" s="2" t="s">
        <v>51</v>
      </c>
      <c r="K3" s="2" t="s">
        <v>50</v>
      </c>
      <c r="L3" s="2" t="s">
        <v>52</v>
      </c>
      <c r="M3" s="2" t="s">
        <v>49</v>
      </c>
    </row>
    <row r="4" spans="1:13">
      <c r="A4" s="3">
        <v>2</v>
      </c>
      <c r="B4" s="3">
        <v>2</v>
      </c>
      <c r="C4" s="3">
        <v>2</v>
      </c>
      <c r="D4" s="3">
        <v>1</v>
      </c>
      <c r="E4" s="3">
        <f>((1/(INDEX(E0!J$4:J$52,C4,1)-INDEX(E0!J$4:J$52,D4,1))))*100000000</f>
        <v>0</v>
      </c>
      <c r="F4" s="4" t="str">
        <f>HYPERLINK("http://141.218.60.56/~jnz1568/getInfo.php?workbook=02_02.xlsx&amp;sheet=A0&amp;row=4&amp;col=6&amp;number=&amp;sourceID=27","")</f>
        <v/>
      </c>
      <c r="G4" s="4" t="str">
        <f>HYPERLINK("http://141.218.60.56/~jnz1568/getInfo.php?workbook=02_02.xlsx&amp;sheet=A0&amp;row=4&amp;col=7&amp;number=&amp;sourceID=26","")</f>
        <v/>
      </c>
      <c r="H4" s="4" t="str">
        <f>HYPERLINK("http://141.218.60.56/~jnz1568/getInfo.php?workbook=02_02.xlsx&amp;sheet=A0&amp;row=4&amp;col=8&amp;number=&amp;sourceID=26","")</f>
        <v/>
      </c>
      <c r="I4" s="4" t="str">
        <f>HYPERLINK("http://141.218.60.56/~jnz1568/getInfo.php?workbook=02_02.xlsx&amp;sheet=A0&amp;row=4&amp;col=9&amp;number=&amp;sourceID=15","")</f>
        <v/>
      </c>
      <c r="J4" s="4" t="str">
        <f>HYPERLINK("http://141.218.60.56/~jnz1568/getInfo.php?workbook=02_02.xlsx&amp;sheet=A0&amp;row=4&amp;col=10&amp;number=&amp;sourceID=15","")</f>
        <v/>
      </c>
      <c r="K4" s="4" t="str">
        <f>HYPERLINK("http://141.218.60.56/~jnz1568/getInfo.php?workbook=02_02.xlsx&amp;sheet=A0&amp;row=4&amp;col=11&amp;number=0.0001272&amp;sourceID=15","0.0001272")</f>
        <v>0.0001272</v>
      </c>
      <c r="L4" s="4" t="str">
        <f>HYPERLINK("http://141.218.60.56/~jnz1568/getInfo.php?workbook=02_02.xlsx&amp;sheet=A0&amp;row=4&amp;col=12&amp;number=&amp;sourceID=15","")</f>
        <v/>
      </c>
      <c r="M4" s="4" t="str">
        <f>HYPERLINK("http://141.218.60.56/~jnz1568/getInfo.php?workbook=02_02.xlsx&amp;sheet=A0&amp;row=4&amp;col=13&amp;number=&amp;sourceID=23","")</f>
        <v/>
      </c>
    </row>
    <row r="5" spans="1:13">
      <c r="A5" s="3">
        <v>2</v>
      </c>
      <c r="B5" s="3">
        <v>2</v>
      </c>
      <c r="C5" s="3">
        <v>3</v>
      </c>
      <c r="D5" s="3">
        <v>1</v>
      </c>
      <c r="E5" s="3"/>
      <c r="F5" s="4" t="str">
        <f>HYPERLINK("http://141.218.60.56/~jnz1568/getInfo.php?workbook=02_02.xlsx&amp;sheet=A0&amp;row=5&amp;col=6&amp;number=50.944&amp;sourceID=27","50.944")</f>
        <v>50.944</v>
      </c>
      <c r="G5" s="4" t="str">
        <f>HYPERLINK("http://141.218.60.56/~jnz1568/getInfo.php?workbook=02_02.xlsx&amp;sheet=A0&amp;row=5&amp;col=7&amp;number=&amp;sourceID=26","")</f>
        <v/>
      </c>
      <c r="H5" s="4" t="str">
        <f>HYPERLINK("http://141.218.60.56/~jnz1568/getInfo.php?workbook=02_02.xlsx&amp;sheet=A0&amp;row=5&amp;col=8&amp;number=&amp;sourceID=26","")</f>
        <v/>
      </c>
      <c r="I5" s="4" t="str">
        <f>HYPERLINK("http://141.218.60.56/~jnz1568/getInfo.php?workbook=02_02.xlsx&amp;sheet=A0&amp;row=5&amp;col=9&amp;number=&amp;sourceID=15","")</f>
        <v/>
      </c>
      <c r="J5" s="4" t="str">
        <f>HYPERLINK("http://141.218.60.56/~jnz1568/getInfo.php?workbook=02_02.xlsx&amp;sheet=A0&amp;row=5&amp;col=10&amp;number=&amp;sourceID=15","")</f>
        <v/>
      </c>
      <c r="K5" s="4" t="str">
        <f>HYPERLINK("http://141.218.60.56/~jnz1568/getInfo.php?workbook=02_02.xlsx&amp;sheet=A0&amp;row=5&amp;col=11&amp;number=&amp;sourceID=15","")</f>
        <v/>
      </c>
      <c r="L5" s="4" t="str">
        <f>HYPERLINK("http://141.218.60.56/~jnz1568/getInfo.php?workbook=02_02.xlsx&amp;sheet=A0&amp;row=5&amp;col=12&amp;number=&amp;sourceID=15","")</f>
        <v/>
      </c>
      <c r="M5" s="4" t="str">
        <f>HYPERLINK("http://141.218.60.56/~jnz1568/getInfo.php?workbook=02_02.xlsx&amp;sheet=A0&amp;row=5&amp;col=13&amp;number=&amp;sourceID=23","")</f>
        <v/>
      </c>
    </row>
    <row r="6" spans="1:13">
      <c r="A6" s="3">
        <v>2</v>
      </c>
      <c r="B6" s="3">
        <v>2</v>
      </c>
      <c r="C6" s="3">
        <v>4</v>
      </c>
      <c r="D6" s="3">
        <v>1</v>
      </c>
      <c r="E6" s="3">
        <f>((1/(INDEX(E0!J$4:J$52,C6,1)-INDEX(E0!J$4:J$52,D6,1))))*100000000</f>
        <v>0</v>
      </c>
      <c r="F6" s="4" t="str">
        <f>HYPERLINK("http://141.218.60.56/~jnz1568/getInfo.php?workbook=02_02.xlsx&amp;sheet=A0&amp;row=6&amp;col=6&amp;number=&amp;sourceID=27","")</f>
        <v/>
      </c>
      <c r="G6" s="4" t="str">
        <f>HYPERLINK("http://141.218.60.56/~jnz1568/getInfo.php?workbook=02_02.xlsx&amp;sheet=A0&amp;row=6&amp;col=7&amp;number=&amp;sourceID=26","")</f>
        <v/>
      </c>
      <c r="H6" s="4" t="str">
        <f>HYPERLINK("http://141.218.60.56/~jnz1568/getInfo.php?workbook=02_02.xlsx&amp;sheet=A0&amp;row=6&amp;col=8&amp;number=&amp;sourceID=26","")</f>
        <v/>
      </c>
      <c r="I6" s="4" t="str">
        <f>HYPERLINK("http://141.218.60.56/~jnz1568/getInfo.php?workbook=02_02.xlsx&amp;sheet=A0&amp;row=6&amp;col=9&amp;number=&amp;sourceID=15","")</f>
        <v/>
      </c>
      <c r="J6" s="4" t="str">
        <f>HYPERLINK("http://141.218.60.56/~jnz1568/getInfo.php?workbook=02_02.xlsx&amp;sheet=A0&amp;row=6&amp;col=10&amp;number=&amp;sourceID=15","")</f>
        <v/>
      </c>
      <c r="K6" s="4" t="str">
        <f>HYPERLINK("http://141.218.60.56/~jnz1568/getInfo.php?workbook=02_02.xlsx&amp;sheet=A0&amp;row=6&amp;col=11&amp;number=&amp;sourceID=15","")</f>
        <v/>
      </c>
      <c r="L6" s="4" t="str">
        <f>HYPERLINK("http://141.218.60.56/~jnz1568/getInfo.php?workbook=02_02.xlsx&amp;sheet=A0&amp;row=6&amp;col=12&amp;number=0.327&amp;sourceID=15","0.327")</f>
        <v>0.327</v>
      </c>
      <c r="M6" s="4" t="str">
        <f>HYPERLINK("http://141.218.60.56/~jnz1568/getInfo.php?workbook=02_02.xlsx&amp;sheet=A0&amp;row=6&amp;col=13&amp;number=&amp;sourceID=23","")</f>
        <v/>
      </c>
    </row>
    <row r="7" spans="1:13">
      <c r="A7" s="3">
        <v>2</v>
      </c>
      <c r="B7" s="3">
        <v>2</v>
      </c>
      <c r="C7" s="3">
        <v>4</v>
      </c>
      <c r="D7" s="3">
        <v>2</v>
      </c>
      <c r="E7" s="3">
        <f>((1/(INDEX(E0!J$4:J$52,C7,1)-INDEX(E0!J$4:J$52,D7,1))))*100000000</f>
        <v>0</v>
      </c>
      <c r="F7" s="4" t="str">
        <f>HYPERLINK("http://141.218.60.56/~jnz1568/getInfo.php?workbook=02_02.xlsx&amp;sheet=A0&amp;row=7&amp;col=6&amp;number=&amp;sourceID=27","")</f>
        <v/>
      </c>
      <c r="G7" s="4" t="str">
        <f>HYPERLINK("http://141.218.60.56/~jnz1568/getInfo.php?workbook=02_02.xlsx&amp;sheet=A0&amp;row=7&amp;col=7&amp;number=10213000&amp;sourceID=26","10213000")</f>
        <v>10213000</v>
      </c>
      <c r="H7" s="4" t="str">
        <f>HYPERLINK("http://141.218.60.56/~jnz1568/getInfo.php?workbook=02_02.xlsx&amp;sheet=A0&amp;row=7&amp;col=8&amp;number=&amp;sourceID=26","")</f>
        <v/>
      </c>
      <c r="I7" s="4" t="str">
        <f>HYPERLINK("http://141.218.60.56/~jnz1568/getInfo.php?workbook=02_02.xlsx&amp;sheet=A0&amp;row=7&amp;col=9&amp;number=10216000&amp;sourceID=15","10216000")</f>
        <v>10216000</v>
      </c>
      <c r="J7" s="4" t="str">
        <f>HYPERLINK("http://141.218.60.56/~jnz1568/getInfo.php?workbook=02_02.xlsx&amp;sheet=A0&amp;row=7&amp;col=10&amp;number=&amp;sourceID=15","")</f>
        <v/>
      </c>
      <c r="K7" s="4" t="str">
        <f>HYPERLINK("http://141.218.60.56/~jnz1568/getInfo.php?workbook=02_02.xlsx&amp;sheet=A0&amp;row=7&amp;col=11&amp;number=&amp;sourceID=15","")</f>
        <v/>
      </c>
      <c r="L7" s="4" t="str">
        <f>HYPERLINK("http://141.218.60.56/~jnz1568/getInfo.php?workbook=02_02.xlsx&amp;sheet=A0&amp;row=7&amp;col=12&amp;number=&amp;sourceID=15","")</f>
        <v/>
      </c>
      <c r="M7" s="4" t="str">
        <f>HYPERLINK("http://141.218.60.56/~jnz1568/getInfo.php?workbook=02_02.xlsx&amp;sheet=A0&amp;row=7&amp;col=13&amp;number=10222000&amp;sourceID=23","10222000")</f>
        <v>10222000</v>
      </c>
    </row>
    <row r="8" spans="1:13">
      <c r="A8" s="3">
        <v>2</v>
      </c>
      <c r="B8" s="3">
        <v>2</v>
      </c>
      <c r="C8" s="3">
        <v>5</v>
      </c>
      <c r="D8" s="3">
        <v>1</v>
      </c>
      <c r="E8" s="3">
        <f>((1/(INDEX(E0!J$4:J$52,C8,1)-INDEX(E0!J$4:J$52,D8,1))))*100000000</f>
        <v>0</v>
      </c>
      <c r="F8" s="4" t="str">
        <f>HYPERLINK("http://141.218.60.56/~jnz1568/getInfo.php?workbook=02_02.xlsx&amp;sheet=A0&amp;row=8&amp;col=6&amp;number=&amp;sourceID=27","")</f>
        <v/>
      </c>
      <c r="G8" s="4" t="str">
        <f>HYPERLINK("http://141.218.60.56/~jnz1568/getInfo.php?workbook=02_02.xlsx&amp;sheet=A0&amp;row=8&amp;col=7&amp;number=177.578&amp;sourceID=26","177.578")</f>
        <v>177.578</v>
      </c>
      <c r="H8" s="4" t="str">
        <f>HYPERLINK("http://141.218.60.56/~jnz1568/getInfo.php?workbook=02_02.xlsx&amp;sheet=A0&amp;row=8&amp;col=8&amp;number=&amp;sourceID=26","")</f>
        <v/>
      </c>
      <c r="I8" s="4" t="str">
        <f>HYPERLINK("http://141.218.60.56/~jnz1568/getInfo.php?workbook=02_02.xlsx&amp;sheet=A0&amp;row=8&amp;col=9&amp;number=176.4&amp;sourceID=15","176.4")</f>
        <v>176.4</v>
      </c>
      <c r="J8" s="4" t="str">
        <f>HYPERLINK("http://141.218.60.56/~jnz1568/getInfo.php?workbook=02_02.xlsx&amp;sheet=A0&amp;row=8&amp;col=10&amp;number=&amp;sourceID=15","")</f>
        <v/>
      </c>
      <c r="K8" s="4" t="str">
        <f>HYPERLINK("http://141.218.60.56/~jnz1568/getInfo.php?workbook=02_02.xlsx&amp;sheet=A0&amp;row=8&amp;col=11&amp;number=&amp;sourceID=15","")</f>
        <v/>
      </c>
      <c r="L8" s="4" t="str">
        <f>HYPERLINK("http://141.218.60.56/~jnz1568/getInfo.php?workbook=02_02.xlsx&amp;sheet=A0&amp;row=8&amp;col=12&amp;number=&amp;sourceID=15","")</f>
        <v/>
      </c>
      <c r="M8" s="4" t="str">
        <f>HYPERLINK("http://141.218.60.56/~jnz1568/getInfo.php?workbook=02_02.xlsx&amp;sheet=A0&amp;row=8&amp;col=13&amp;number=173.06&amp;sourceID=23","173.06")</f>
        <v>173.06</v>
      </c>
    </row>
    <row r="9" spans="1:13">
      <c r="A9" s="3">
        <v>2</v>
      </c>
      <c r="B9" s="3">
        <v>2</v>
      </c>
      <c r="C9" s="3">
        <v>5</v>
      </c>
      <c r="D9" s="3">
        <v>2</v>
      </c>
      <c r="E9" s="3">
        <f>((1/(INDEX(E0!J$4:J$52,C9,1)-INDEX(E0!J$4:J$52,D9,1))))*100000000</f>
        <v>0</v>
      </c>
      <c r="F9" s="4" t="str">
        <f>HYPERLINK("http://141.218.60.56/~jnz1568/getInfo.php?workbook=02_02.xlsx&amp;sheet=A0&amp;row=9&amp;col=6&amp;number=&amp;sourceID=27","")</f>
        <v/>
      </c>
      <c r="G9" s="4" t="str">
        <f>HYPERLINK("http://141.218.60.56/~jnz1568/getInfo.php?workbook=02_02.xlsx&amp;sheet=A0&amp;row=9&amp;col=7&amp;number=10213000&amp;sourceID=26","10213000")</f>
        <v>10213000</v>
      </c>
      <c r="H9" s="4" t="str">
        <f>HYPERLINK("http://141.218.60.56/~jnz1568/getInfo.php?workbook=02_02.xlsx&amp;sheet=A0&amp;row=9&amp;col=8&amp;number=&amp;sourceID=26","")</f>
        <v/>
      </c>
      <c r="I9" s="4" t="str">
        <f>HYPERLINK("http://141.218.60.56/~jnz1568/getInfo.php?workbook=02_02.xlsx&amp;sheet=A0&amp;row=9&amp;col=9&amp;number=10216000&amp;sourceID=15","10216000")</f>
        <v>10216000</v>
      </c>
      <c r="J9" s="4" t="str">
        <f>HYPERLINK("http://141.218.60.56/~jnz1568/getInfo.php?workbook=02_02.xlsx&amp;sheet=A0&amp;row=9&amp;col=10&amp;number=&amp;sourceID=15","")</f>
        <v/>
      </c>
      <c r="K9" s="4" t="str">
        <f>HYPERLINK("http://141.218.60.56/~jnz1568/getInfo.php?workbook=02_02.xlsx&amp;sheet=A0&amp;row=9&amp;col=11&amp;number=&amp;sourceID=15","")</f>
        <v/>
      </c>
      <c r="L9" s="4" t="str">
        <f>HYPERLINK("http://141.218.60.56/~jnz1568/getInfo.php?workbook=02_02.xlsx&amp;sheet=A0&amp;row=9&amp;col=12&amp;number=&amp;sourceID=15","")</f>
        <v/>
      </c>
      <c r="M9" s="4" t="str">
        <f>HYPERLINK("http://141.218.60.56/~jnz1568/getInfo.php?workbook=02_02.xlsx&amp;sheet=A0&amp;row=9&amp;col=13&amp;number=10222000&amp;sourceID=23","10222000")</f>
        <v>10222000</v>
      </c>
    </row>
    <row r="10" spans="1:13">
      <c r="A10" s="3">
        <v>2</v>
      </c>
      <c r="B10" s="3">
        <v>2</v>
      </c>
      <c r="C10" s="3">
        <v>5</v>
      </c>
      <c r="D10" s="3">
        <v>3</v>
      </c>
      <c r="E10" s="3">
        <f>((1/(INDEX(E0!J$4:J$52,C10,1)-INDEX(E0!J$4:J$52,D10,1))))*100000000</f>
        <v>0</v>
      </c>
      <c r="F10" s="4" t="str">
        <f>HYPERLINK("http://141.218.60.56/~jnz1568/getInfo.php?workbook=02_02.xlsx&amp;sheet=A0&amp;row=10&amp;col=6&amp;number=&amp;sourceID=27","")</f>
        <v/>
      </c>
      <c r="G10" s="4" t="str">
        <f>HYPERLINK("http://141.218.60.56/~jnz1568/getInfo.php?workbook=02_02.xlsx&amp;sheet=A0&amp;row=10&amp;col=7&amp;number=0.026897&amp;sourceID=26","0.026897")</f>
        <v>0.026897</v>
      </c>
      <c r="H10" s="4" t="str">
        <f>HYPERLINK("http://141.218.60.56/~jnz1568/getInfo.php?workbook=02_02.xlsx&amp;sheet=A0&amp;row=10&amp;col=8&amp;number=&amp;sourceID=26","")</f>
        <v/>
      </c>
      <c r="I10" s="4" t="str">
        <f>HYPERLINK("http://141.218.60.56/~jnz1568/getInfo.php?workbook=02_02.xlsx&amp;sheet=A0&amp;row=10&amp;col=9&amp;number=0.02966&amp;sourceID=15","0.02966")</f>
        <v>0.02966</v>
      </c>
      <c r="J10" s="4" t="str">
        <f>HYPERLINK("http://141.218.60.56/~jnz1568/getInfo.php?workbook=02_02.xlsx&amp;sheet=A0&amp;row=10&amp;col=10&amp;number=&amp;sourceID=15","")</f>
        <v/>
      </c>
      <c r="K10" s="4" t="str">
        <f>HYPERLINK("http://141.218.60.56/~jnz1568/getInfo.php?workbook=02_02.xlsx&amp;sheet=A0&amp;row=10&amp;col=11&amp;number=&amp;sourceID=15","")</f>
        <v/>
      </c>
      <c r="L10" s="4" t="str">
        <f>HYPERLINK("http://141.218.60.56/~jnz1568/getInfo.php?workbook=02_02.xlsx&amp;sheet=A0&amp;row=10&amp;col=12&amp;number=&amp;sourceID=15","")</f>
        <v/>
      </c>
      <c r="M10" s="4" t="str">
        <f>HYPERLINK("http://141.218.60.56/~jnz1568/getInfo.php?workbook=02_02.xlsx&amp;sheet=A0&amp;row=10&amp;col=13&amp;number=0.02691&amp;sourceID=23","0.02691")</f>
        <v>0.02691</v>
      </c>
    </row>
    <row r="11" spans="1:13">
      <c r="A11" s="3">
        <v>2</v>
      </c>
      <c r="B11" s="3">
        <v>2</v>
      </c>
      <c r="C11" s="3">
        <v>6</v>
      </c>
      <c r="D11" s="3">
        <v>2</v>
      </c>
      <c r="E11" s="3">
        <f>((1/(INDEX(E0!J$4:J$52,C11,1)-INDEX(E0!J$4:J$52,D11,1))))*100000000</f>
        <v>0</v>
      </c>
      <c r="F11" s="4" t="str">
        <f>HYPERLINK("http://141.218.60.56/~jnz1568/getInfo.php?workbook=02_02.xlsx&amp;sheet=A0&amp;row=11&amp;col=6&amp;number=&amp;sourceID=27","")</f>
        <v/>
      </c>
      <c r="G11" s="4" t="str">
        <f>HYPERLINK("http://141.218.60.56/~jnz1568/getInfo.php?workbook=02_02.xlsx&amp;sheet=A0&amp;row=11&amp;col=7&amp;number=10213000&amp;sourceID=26","10213000")</f>
        <v>10213000</v>
      </c>
      <c r="H11" s="4" t="str">
        <f>HYPERLINK("http://141.218.60.56/~jnz1568/getInfo.php?workbook=02_02.xlsx&amp;sheet=A0&amp;row=11&amp;col=8&amp;number=&amp;sourceID=26","")</f>
        <v/>
      </c>
      <c r="I11" s="4" t="str">
        <f>HYPERLINK("http://141.218.60.56/~jnz1568/getInfo.php?workbook=02_02.xlsx&amp;sheet=A0&amp;row=11&amp;col=9&amp;number=10216000&amp;sourceID=15","10216000")</f>
        <v>10216000</v>
      </c>
      <c r="J11" s="4" t="str">
        <f>HYPERLINK("http://141.218.60.56/~jnz1568/getInfo.php?workbook=02_02.xlsx&amp;sheet=A0&amp;row=11&amp;col=10&amp;number=&amp;sourceID=15","")</f>
        <v/>
      </c>
      <c r="K11" s="4" t="str">
        <f>HYPERLINK("http://141.218.60.56/~jnz1568/getInfo.php?workbook=02_02.xlsx&amp;sheet=A0&amp;row=11&amp;col=11&amp;number=&amp;sourceID=15","")</f>
        <v/>
      </c>
      <c r="L11" s="4" t="str">
        <f>HYPERLINK("http://141.218.60.56/~jnz1568/getInfo.php?workbook=02_02.xlsx&amp;sheet=A0&amp;row=11&amp;col=12&amp;number=&amp;sourceID=15","")</f>
        <v/>
      </c>
      <c r="M11" s="4" t="str">
        <f>HYPERLINK("http://141.218.60.56/~jnz1568/getInfo.php?workbook=02_02.xlsx&amp;sheet=A0&amp;row=11&amp;col=13&amp;number=10225000&amp;sourceID=23","10225000")</f>
        <v>10225000</v>
      </c>
    </row>
    <row r="12" spans="1:13">
      <c r="A12" s="3">
        <v>2</v>
      </c>
      <c r="B12" s="3">
        <v>2</v>
      </c>
      <c r="C12" s="3">
        <v>7</v>
      </c>
      <c r="D12" s="3">
        <v>1</v>
      </c>
      <c r="E12" s="3">
        <f>((1/(INDEX(E0!J$4:J$52,C12,1)-INDEX(E0!J$4:J$52,D12,1))))*100000000</f>
        <v>0</v>
      </c>
      <c r="F12" s="4" t="str">
        <f>HYPERLINK("http://141.218.60.56/~jnz1568/getInfo.php?workbook=02_02.xlsx&amp;sheet=A0&amp;row=12&amp;col=6&amp;number=&amp;sourceID=27","")</f>
        <v/>
      </c>
      <c r="G12" s="4" t="str">
        <f>HYPERLINK("http://141.218.60.56/~jnz1568/getInfo.php?workbook=02_02.xlsx&amp;sheet=A0&amp;row=12&amp;col=7&amp;number=1798320000&amp;sourceID=26","1798320000")</f>
        <v>1798320000</v>
      </c>
      <c r="H12" s="4" t="str">
        <f>HYPERLINK("http://141.218.60.56/~jnz1568/getInfo.php?workbook=02_02.xlsx&amp;sheet=A0&amp;row=12&amp;col=8&amp;number=&amp;sourceID=26","")</f>
        <v/>
      </c>
      <c r="I12" s="4" t="str">
        <f>HYPERLINK("http://141.218.60.56/~jnz1568/getInfo.php?workbook=02_02.xlsx&amp;sheet=A0&amp;row=12&amp;col=9&amp;number=1798900000&amp;sourceID=15","1798900000")</f>
        <v>1798900000</v>
      </c>
      <c r="J12" s="4" t="str">
        <f>HYPERLINK("http://141.218.60.56/~jnz1568/getInfo.php?workbook=02_02.xlsx&amp;sheet=A0&amp;row=12&amp;col=10&amp;number=&amp;sourceID=15","")</f>
        <v/>
      </c>
      <c r="K12" s="4" t="str">
        <f>HYPERLINK("http://141.218.60.56/~jnz1568/getInfo.php?workbook=02_02.xlsx&amp;sheet=A0&amp;row=12&amp;col=11&amp;number=&amp;sourceID=15","")</f>
        <v/>
      </c>
      <c r="L12" s="4" t="str">
        <f>HYPERLINK("http://141.218.60.56/~jnz1568/getInfo.php?workbook=02_02.xlsx&amp;sheet=A0&amp;row=12&amp;col=12&amp;number=&amp;sourceID=15","")</f>
        <v/>
      </c>
      <c r="M12" s="4" t="str">
        <f>HYPERLINK("http://141.218.60.56/~jnz1568/getInfo.php?workbook=02_02.xlsx&amp;sheet=A0&amp;row=12&amp;col=13&amp;number=1796700000&amp;sourceID=23","1796700000")</f>
        <v>1796700000</v>
      </c>
    </row>
    <row r="13" spans="1:13">
      <c r="A13" s="3">
        <v>2</v>
      </c>
      <c r="B13" s="3">
        <v>2</v>
      </c>
      <c r="C13" s="3">
        <v>7</v>
      </c>
      <c r="D13" s="3">
        <v>2</v>
      </c>
      <c r="E13" s="3">
        <f>((1/(INDEX(E0!J$4:J$52,C13,1)-INDEX(E0!J$4:J$52,D13,1))))*100000000</f>
        <v>0</v>
      </c>
      <c r="F13" s="4" t="str">
        <f>HYPERLINK("http://141.218.60.56/~jnz1568/getInfo.php?workbook=02_02.xlsx&amp;sheet=A0&amp;row=13&amp;col=6&amp;number=&amp;sourceID=27","")</f>
        <v/>
      </c>
      <c r="G13" s="4" t="str">
        <f>HYPERLINK("http://141.218.60.56/~jnz1568/getInfo.php?workbook=02_02.xlsx&amp;sheet=A0&amp;row=13&amp;col=7&amp;number=1.548935&amp;sourceID=26","1.548935")</f>
        <v>1.548935</v>
      </c>
      <c r="H13" s="4" t="str">
        <f>HYPERLINK("http://141.218.60.56/~jnz1568/getInfo.php?workbook=02_02.xlsx&amp;sheet=A0&amp;row=13&amp;col=8&amp;number=&amp;sourceID=26","")</f>
        <v/>
      </c>
      <c r="I13" s="4" t="str">
        <f>HYPERLINK("http://141.218.60.56/~jnz1568/getInfo.php?workbook=02_02.xlsx&amp;sheet=A0&amp;row=13&amp;col=9&amp;number=1.442&amp;sourceID=15","1.442")</f>
        <v>1.442</v>
      </c>
      <c r="J13" s="4" t="str">
        <f>HYPERLINK("http://141.218.60.56/~jnz1568/getInfo.php?workbook=02_02.xlsx&amp;sheet=A0&amp;row=13&amp;col=10&amp;number=&amp;sourceID=15","")</f>
        <v/>
      </c>
      <c r="K13" s="4" t="str">
        <f>HYPERLINK("http://141.218.60.56/~jnz1568/getInfo.php?workbook=02_02.xlsx&amp;sheet=A0&amp;row=13&amp;col=11&amp;number=&amp;sourceID=15","")</f>
        <v/>
      </c>
      <c r="L13" s="4" t="str">
        <f>HYPERLINK("http://141.218.60.56/~jnz1568/getInfo.php?workbook=02_02.xlsx&amp;sheet=A0&amp;row=13&amp;col=12&amp;number=&amp;sourceID=15","")</f>
        <v/>
      </c>
      <c r="M13" s="4" t="str">
        <f>HYPERLINK("http://141.218.60.56/~jnz1568/getInfo.php?workbook=02_02.xlsx&amp;sheet=A0&amp;row=13&amp;col=13&amp;number=1.5467&amp;sourceID=23","1.5467")</f>
        <v>1.5467</v>
      </c>
    </row>
    <row r="14" spans="1:13">
      <c r="A14" s="3">
        <v>2</v>
      </c>
      <c r="B14" s="3">
        <v>2</v>
      </c>
      <c r="C14" s="3">
        <v>7</v>
      </c>
      <c r="D14" s="3">
        <v>3</v>
      </c>
      <c r="E14" s="3">
        <f>((1/(INDEX(E0!J$4:J$52,C14,1)-INDEX(E0!J$4:J$52,D14,1))))*100000000</f>
        <v>0</v>
      </c>
      <c r="F14" s="4" t="str">
        <f>HYPERLINK("http://141.218.60.56/~jnz1568/getInfo.php?workbook=02_02.xlsx&amp;sheet=A0&amp;row=14&amp;col=6&amp;number=&amp;sourceID=27","")</f>
        <v/>
      </c>
      <c r="G14" s="4" t="str">
        <f>HYPERLINK("http://141.218.60.56/~jnz1568/getInfo.php?workbook=02_02.xlsx&amp;sheet=A0&amp;row=14&amp;col=7&amp;number=1974850&amp;sourceID=26","1974850")</f>
        <v>1974850</v>
      </c>
      <c r="H14" s="4" t="str">
        <f>HYPERLINK("http://141.218.60.56/~jnz1568/getInfo.php?workbook=02_02.xlsx&amp;sheet=A0&amp;row=14&amp;col=8&amp;number=&amp;sourceID=26","")</f>
        <v/>
      </c>
      <c r="I14" s="4" t="str">
        <f>HYPERLINK("http://141.218.60.56/~jnz1568/getInfo.php?workbook=02_02.xlsx&amp;sheet=A0&amp;row=14&amp;col=9&amp;number=1974600&amp;sourceID=15","1974600")</f>
        <v>1974600</v>
      </c>
      <c r="J14" s="4" t="str">
        <f>HYPERLINK("http://141.218.60.56/~jnz1568/getInfo.php?workbook=02_02.xlsx&amp;sheet=A0&amp;row=14&amp;col=10&amp;number=&amp;sourceID=15","")</f>
        <v/>
      </c>
      <c r="K14" s="4" t="str">
        <f>HYPERLINK("http://141.218.60.56/~jnz1568/getInfo.php?workbook=02_02.xlsx&amp;sheet=A0&amp;row=14&amp;col=11&amp;number=&amp;sourceID=15","")</f>
        <v/>
      </c>
      <c r="L14" s="4" t="str">
        <f>HYPERLINK("http://141.218.60.56/~jnz1568/getInfo.php?workbook=02_02.xlsx&amp;sheet=A0&amp;row=14&amp;col=12&amp;number=&amp;sourceID=15","")</f>
        <v/>
      </c>
      <c r="M14" s="4" t="str">
        <f>HYPERLINK("http://141.218.60.56/~jnz1568/getInfo.php?workbook=02_02.xlsx&amp;sheet=A0&amp;row=14&amp;col=13&amp;number=1973400&amp;sourceID=23","1973400")</f>
        <v>1973400</v>
      </c>
    </row>
    <row r="15" spans="1:13">
      <c r="A15" s="3">
        <v>2</v>
      </c>
      <c r="B15" s="3">
        <v>2</v>
      </c>
      <c r="C15" s="3">
        <v>8</v>
      </c>
      <c r="D15" s="3">
        <v>4</v>
      </c>
      <c r="E15" s="3">
        <f>((1/(INDEX(E0!J$4:J$52,C15,1)-INDEX(E0!J$4:J$52,D15,1))))*100000000</f>
        <v>0</v>
      </c>
      <c r="F15" s="4" t="str">
        <f>HYPERLINK("http://141.218.60.56/~jnz1568/getInfo.php?workbook=02_02.xlsx&amp;sheet=A0&amp;row=15&amp;col=6&amp;number=&amp;sourceID=27","")</f>
        <v/>
      </c>
      <c r="G15" s="4" t="str">
        <f>HYPERLINK("http://141.218.60.56/~jnz1568/getInfo.php?workbook=02_02.xlsx&amp;sheet=A0&amp;row=15&amp;col=7&amp;number=&amp;sourceID=26","")</f>
        <v/>
      </c>
      <c r="H15" s="4" t="str">
        <f>HYPERLINK("http://141.218.60.56/~jnz1568/getInfo.php?workbook=02_02.xlsx&amp;sheet=A0&amp;row=15&amp;col=8&amp;number=&amp;sourceID=26","")</f>
        <v/>
      </c>
      <c r="I15" s="4" t="str">
        <f>HYPERLINK("http://141.218.60.56/~jnz1568/getInfo.php?workbook=02_02.xlsx&amp;sheet=A0&amp;row=15&amp;col=9&amp;number=15474000&amp;sourceID=15","15474000")</f>
        <v>15474000</v>
      </c>
      <c r="J15" s="4" t="str">
        <f>HYPERLINK("http://141.218.60.56/~jnz1568/getInfo.php?workbook=02_02.xlsx&amp;sheet=A0&amp;row=15&amp;col=10&amp;number=&amp;sourceID=15","")</f>
        <v/>
      </c>
      <c r="K15" s="4" t="str">
        <f>HYPERLINK("http://141.218.60.56/~jnz1568/getInfo.php?workbook=02_02.xlsx&amp;sheet=A0&amp;row=15&amp;col=11&amp;number=&amp;sourceID=15","")</f>
        <v/>
      </c>
      <c r="L15" s="4" t="str">
        <f>HYPERLINK("http://141.218.60.56/~jnz1568/getInfo.php?workbook=02_02.xlsx&amp;sheet=A0&amp;row=15&amp;col=12&amp;number=&amp;sourceID=15","")</f>
        <v/>
      </c>
      <c r="M15" s="4" t="str">
        <f>HYPERLINK("http://141.218.60.56/~jnz1568/getInfo.php?workbook=02_02.xlsx&amp;sheet=A0&amp;row=15&amp;col=13&amp;number=15486000&amp;sourceID=23","15486000")</f>
        <v>15486000</v>
      </c>
    </row>
    <row r="16" spans="1:13">
      <c r="A16" s="3">
        <v>2</v>
      </c>
      <c r="B16" s="3">
        <v>2</v>
      </c>
      <c r="C16" s="3">
        <v>8</v>
      </c>
      <c r="D16" s="3">
        <v>5</v>
      </c>
      <c r="E16" s="3">
        <f>((1/(INDEX(E0!J$4:J$52,C16,1)-INDEX(E0!J$4:J$52,D16,1))))*100000000</f>
        <v>0</v>
      </c>
      <c r="F16" s="4" t="str">
        <f>HYPERLINK("http://141.218.60.56/~jnz1568/getInfo.php?workbook=02_02.xlsx&amp;sheet=A0&amp;row=16&amp;col=6&amp;number=&amp;sourceID=27","")</f>
        <v/>
      </c>
      <c r="G16" s="4" t="str">
        <f>HYPERLINK("http://141.218.60.56/~jnz1568/getInfo.php?workbook=02_02.xlsx&amp;sheet=A0&amp;row=16&amp;col=7&amp;number=&amp;sourceID=26","")</f>
        <v/>
      </c>
      <c r="H16" s="4" t="str">
        <f>HYPERLINK("http://141.218.60.56/~jnz1568/getInfo.php?workbook=02_02.xlsx&amp;sheet=A0&amp;row=16&amp;col=8&amp;number=&amp;sourceID=26","")</f>
        <v/>
      </c>
      <c r="I16" s="4" t="str">
        <f>HYPERLINK("http://141.218.60.56/~jnz1568/getInfo.php?workbook=02_02.xlsx&amp;sheet=A0&amp;row=16&amp;col=9&amp;number=9284400&amp;sourceID=15","9284400")</f>
        <v>9284400</v>
      </c>
      <c r="J16" s="4" t="str">
        <f>HYPERLINK("http://141.218.60.56/~jnz1568/getInfo.php?workbook=02_02.xlsx&amp;sheet=A0&amp;row=16&amp;col=10&amp;number=&amp;sourceID=15","")</f>
        <v/>
      </c>
      <c r="K16" s="4" t="str">
        <f>HYPERLINK("http://141.218.60.56/~jnz1568/getInfo.php?workbook=02_02.xlsx&amp;sheet=A0&amp;row=16&amp;col=11&amp;number=&amp;sourceID=15","")</f>
        <v/>
      </c>
      <c r="L16" s="4" t="str">
        <f>HYPERLINK("http://141.218.60.56/~jnz1568/getInfo.php?workbook=02_02.xlsx&amp;sheet=A0&amp;row=16&amp;col=12&amp;number=&amp;sourceID=15","")</f>
        <v/>
      </c>
      <c r="M16" s="4" t="str">
        <f>HYPERLINK("http://141.218.60.56/~jnz1568/getInfo.php?workbook=02_02.xlsx&amp;sheet=A0&amp;row=16&amp;col=13&amp;number=9291000&amp;sourceID=23","9291000")</f>
        <v>9291000</v>
      </c>
    </row>
    <row r="17" spans="1:13">
      <c r="A17" s="3">
        <v>2</v>
      </c>
      <c r="B17" s="3">
        <v>2</v>
      </c>
      <c r="C17" s="3">
        <v>8</v>
      </c>
      <c r="D17" s="3">
        <v>6</v>
      </c>
      <c r="E17" s="3">
        <f>((1/(INDEX(E0!J$4:J$52,C17,1)-INDEX(E0!J$4:J$52,D17,1))))*100000000</f>
        <v>0</v>
      </c>
      <c r="F17" s="4" t="str">
        <f>HYPERLINK("http://141.218.60.56/~jnz1568/getInfo.php?workbook=02_02.xlsx&amp;sheet=A0&amp;row=17&amp;col=6&amp;number=&amp;sourceID=27","")</f>
        <v/>
      </c>
      <c r="G17" s="4" t="str">
        <f>HYPERLINK("http://141.218.60.56/~jnz1568/getInfo.php?workbook=02_02.xlsx&amp;sheet=A0&amp;row=17&amp;col=7&amp;number=&amp;sourceID=26","")</f>
        <v/>
      </c>
      <c r="H17" s="4" t="str">
        <f>HYPERLINK("http://141.218.60.56/~jnz1568/getInfo.php?workbook=02_02.xlsx&amp;sheet=A0&amp;row=17&amp;col=8&amp;number=&amp;sourceID=26","")</f>
        <v/>
      </c>
      <c r="I17" s="4" t="str">
        <f>HYPERLINK("http://141.218.60.56/~jnz1568/getInfo.php?workbook=02_02.xlsx&amp;sheet=A0&amp;row=17&amp;col=9&amp;number=3094800&amp;sourceID=15","3094800")</f>
        <v>3094800</v>
      </c>
      <c r="J17" s="4" t="str">
        <f>HYPERLINK("http://141.218.60.56/~jnz1568/getInfo.php?workbook=02_02.xlsx&amp;sheet=A0&amp;row=17&amp;col=10&amp;number=&amp;sourceID=15","")</f>
        <v/>
      </c>
      <c r="K17" s="4" t="str">
        <f>HYPERLINK("http://141.218.60.56/~jnz1568/getInfo.php?workbook=02_02.xlsx&amp;sheet=A0&amp;row=17&amp;col=11&amp;number=&amp;sourceID=15","")</f>
        <v/>
      </c>
      <c r="L17" s="4" t="str">
        <f>HYPERLINK("http://141.218.60.56/~jnz1568/getInfo.php?workbook=02_02.xlsx&amp;sheet=A0&amp;row=17&amp;col=12&amp;number=&amp;sourceID=15","")</f>
        <v/>
      </c>
      <c r="M17" s="4" t="str">
        <f>HYPERLINK("http://141.218.60.56/~jnz1568/getInfo.php?workbook=02_02.xlsx&amp;sheet=A0&amp;row=17&amp;col=13&amp;number=3097000&amp;sourceID=23","3097000")</f>
        <v>3097000</v>
      </c>
    </row>
    <row r="18" spans="1:13">
      <c r="A18" s="3">
        <v>2</v>
      </c>
      <c r="B18" s="3">
        <v>2</v>
      </c>
      <c r="C18" s="3">
        <v>8</v>
      </c>
      <c r="D18" s="3">
        <v>7</v>
      </c>
      <c r="E18" s="3">
        <f>((1/(INDEX(E0!J$4:J$52,C18,1)-INDEX(E0!J$4:J$52,D18,1))))*100000000</f>
        <v>0</v>
      </c>
      <c r="F18" s="4" t="str">
        <f>HYPERLINK("http://141.218.60.56/~jnz1568/getInfo.php?workbook=02_02.xlsx&amp;sheet=A0&amp;row=18&amp;col=6&amp;number=&amp;sourceID=27","")</f>
        <v/>
      </c>
      <c r="G18" s="4" t="str">
        <f>HYPERLINK("http://141.218.60.56/~jnz1568/getInfo.php?workbook=02_02.xlsx&amp;sheet=A0&amp;row=18&amp;col=7&amp;number=&amp;sourceID=26","")</f>
        <v/>
      </c>
      <c r="H18" s="4" t="str">
        <f>HYPERLINK("http://141.218.60.56/~jnz1568/getInfo.php?workbook=02_02.xlsx&amp;sheet=A0&amp;row=18&amp;col=8&amp;number=&amp;sourceID=26","")</f>
        <v/>
      </c>
      <c r="I18" s="4" t="str">
        <f>HYPERLINK("http://141.218.60.56/~jnz1568/getInfo.php?workbook=02_02.xlsx&amp;sheet=A0&amp;row=18&amp;col=9&amp;number=&amp;sourceID=15","")</f>
        <v/>
      </c>
      <c r="J18" s="4" t="str">
        <f>HYPERLINK("http://141.218.60.56/~jnz1568/getInfo.php?workbook=02_02.xlsx&amp;sheet=A0&amp;row=18&amp;col=10&amp;number=&amp;sourceID=15","")</f>
        <v/>
      </c>
      <c r="K18" s="4" t="str">
        <f>HYPERLINK("http://141.218.60.56/~jnz1568/getInfo.php?workbook=02_02.xlsx&amp;sheet=A0&amp;row=18&amp;col=11&amp;number=&amp;sourceID=15","")</f>
        <v/>
      </c>
      <c r="L18" s="4" t="str">
        <f>HYPERLINK("http://141.218.60.56/~jnz1568/getInfo.php?workbook=02_02.xlsx&amp;sheet=A0&amp;row=18&amp;col=12&amp;number=&amp;sourceID=15","")</f>
        <v/>
      </c>
      <c r="M18" s="4" t="str">
        <f>HYPERLINK("http://141.218.60.56/~jnz1568/getInfo.php?workbook=02_02.xlsx&amp;sheet=A0&amp;row=18&amp;col=13&amp;number=0.73457&amp;sourceID=23","0.73457")</f>
        <v>0.73457</v>
      </c>
    </row>
    <row r="19" spans="1:13">
      <c r="A19" s="3">
        <v>2</v>
      </c>
      <c r="B19" s="3">
        <v>2</v>
      </c>
      <c r="C19" s="3">
        <v>9</v>
      </c>
      <c r="D19" s="3">
        <v>5</v>
      </c>
      <c r="E19" s="3">
        <f>((1/(INDEX(E0!J$4:J$52,C19,1)-INDEX(E0!J$4:J$52,D19,1))))*100000000</f>
        <v>0</v>
      </c>
      <c r="F19" s="4" t="str">
        <f>HYPERLINK("http://141.218.60.56/~jnz1568/getInfo.php?workbook=02_02.xlsx&amp;sheet=A0&amp;row=19&amp;col=6&amp;number=&amp;sourceID=27","")</f>
        <v/>
      </c>
      <c r="G19" s="4" t="str">
        <f>HYPERLINK("http://141.218.60.56/~jnz1568/getInfo.php?workbook=02_02.xlsx&amp;sheet=A0&amp;row=19&amp;col=7&amp;number=&amp;sourceID=26","")</f>
        <v/>
      </c>
      <c r="H19" s="4" t="str">
        <f>HYPERLINK("http://141.218.60.56/~jnz1568/getInfo.php?workbook=02_02.xlsx&amp;sheet=A0&amp;row=19&amp;col=8&amp;number=&amp;sourceID=26","")</f>
        <v/>
      </c>
      <c r="I19" s="4" t="str">
        <f>HYPERLINK("http://141.218.60.56/~jnz1568/getInfo.php?workbook=02_02.xlsx&amp;sheet=A0&amp;row=19&amp;col=9&amp;number=&amp;sourceID=15","")</f>
        <v/>
      </c>
      <c r="J19" s="4" t="str">
        <f>HYPERLINK("http://141.218.60.56/~jnz1568/getInfo.php?workbook=02_02.xlsx&amp;sheet=A0&amp;row=19&amp;col=10&amp;number=&amp;sourceID=15","")</f>
        <v/>
      </c>
      <c r="K19" s="4" t="str">
        <f>HYPERLINK("http://141.218.60.56/~jnz1568/getInfo.php?workbook=02_02.xlsx&amp;sheet=A0&amp;row=19&amp;col=11&amp;number=&amp;sourceID=15","")</f>
        <v/>
      </c>
      <c r="L19" s="4" t="str">
        <f>HYPERLINK("http://141.218.60.56/~jnz1568/getInfo.php?workbook=02_02.xlsx&amp;sheet=A0&amp;row=19&amp;col=12&amp;number=&amp;sourceID=15","")</f>
        <v/>
      </c>
      <c r="M19" s="4" t="str">
        <f>HYPERLINK("http://141.218.60.56/~jnz1568/getInfo.php?workbook=02_02.xlsx&amp;sheet=A0&amp;row=19&amp;col=13&amp;number=1.174&amp;sourceID=23","1.174")</f>
        <v>1.174</v>
      </c>
    </row>
    <row r="20" spans="1:13">
      <c r="A20" s="3">
        <v>2</v>
      </c>
      <c r="B20" s="3">
        <v>2</v>
      </c>
      <c r="C20" s="3">
        <v>9</v>
      </c>
      <c r="D20" s="3">
        <v>7</v>
      </c>
      <c r="E20" s="3">
        <f>((1/(INDEX(E0!J$4:J$52,C20,1)-INDEX(E0!J$4:J$52,D20,1))))*100000000</f>
        <v>0</v>
      </c>
      <c r="F20" s="4" t="str">
        <f>HYPERLINK("http://141.218.60.56/~jnz1568/getInfo.php?workbook=02_02.xlsx&amp;sheet=A0&amp;row=20&amp;col=6&amp;number=&amp;sourceID=27","")</f>
        <v/>
      </c>
      <c r="G20" s="4" t="str">
        <f>HYPERLINK("http://141.218.60.56/~jnz1568/getInfo.php?workbook=02_02.xlsx&amp;sheet=A0&amp;row=20&amp;col=7&amp;number=&amp;sourceID=26","")</f>
        <v/>
      </c>
      <c r="H20" s="4" t="str">
        <f>HYPERLINK("http://141.218.60.56/~jnz1568/getInfo.php?workbook=02_02.xlsx&amp;sheet=A0&amp;row=20&amp;col=8&amp;number=&amp;sourceID=26","")</f>
        <v/>
      </c>
      <c r="I20" s="4" t="str">
        <f>HYPERLINK("http://141.218.60.56/~jnz1568/getInfo.php?workbook=02_02.xlsx&amp;sheet=A0&amp;row=20&amp;col=9&amp;number=18299000&amp;sourceID=15","18299000")</f>
        <v>18299000</v>
      </c>
      <c r="J20" s="4" t="str">
        <f>HYPERLINK("http://141.218.60.56/~jnz1568/getInfo.php?workbook=02_02.xlsx&amp;sheet=A0&amp;row=20&amp;col=10&amp;number=&amp;sourceID=15","")</f>
        <v/>
      </c>
      <c r="K20" s="4" t="str">
        <f>HYPERLINK("http://141.218.60.56/~jnz1568/getInfo.php?workbook=02_02.xlsx&amp;sheet=A0&amp;row=20&amp;col=11&amp;number=&amp;sourceID=15","")</f>
        <v/>
      </c>
      <c r="L20" s="4" t="str">
        <f>HYPERLINK("http://141.218.60.56/~jnz1568/getInfo.php?workbook=02_02.xlsx&amp;sheet=A0&amp;row=20&amp;col=12&amp;number=&amp;sourceID=15","")</f>
        <v/>
      </c>
      <c r="M20" s="4" t="str">
        <f>HYPERLINK("http://141.218.60.56/~jnz1568/getInfo.php?workbook=02_02.xlsx&amp;sheet=A0&amp;row=20&amp;col=13&amp;number=18306000&amp;sourceID=23","18306000")</f>
        <v>18306000</v>
      </c>
    </row>
    <row r="21" spans="1:13">
      <c r="A21" s="3">
        <v>2</v>
      </c>
      <c r="B21" s="3">
        <v>2</v>
      </c>
      <c r="C21" s="3">
        <v>10</v>
      </c>
      <c r="D21" s="3">
        <v>1</v>
      </c>
      <c r="E21" s="3">
        <f>((1/(INDEX(E0!J$4:J$52,C21,1)-INDEX(E0!J$4:J$52,D21,1))))*100000000</f>
        <v>0</v>
      </c>
      <c r="F21" s="4" t="str">
        <f>HYPERLINK("http://141.218.60.56/~jnz1568/getInfo.php?workbook=02_02.xlsx&amp;sheet=A0&amp;row=21&amp;col=6&amp;number=&amp;sourceID=27","")</f>
        <v/>
      </c>
      <c r="G21" s="4" t="str">
        <f>HYPERLINK("http://141.218.60.56/~jnz1568/getInfo.php?workbook=02_02.xlsx&amp;sheet=A0&amp;row=21&amp;col=7&amp;number=&amp;sourceID=26","")</f>
        <v/>
      </c>
      <c r="H21" s="4" t="str">
        <f>HYPERLINK("http://141.218.60.56/~jnz1568/getInfo.php?workbook=02_02.xlsx&amp;sheet=A0&amp;row=21&amp;col=8&amp;number=0.1146547&amp;sourceID=26","0.1146547")</f>
        <v>0.1146547</v>
      </c>
      <c r="I21" s="4" t="str">
        <f>HYPERLINK("http://141.218.60.56/~jnz1568/getInfo.php?workbook=02_02.xlsx&amp;sheet=A0&amp;row=21&amp;col=9&amp;number=&amp;sourceID=15","")</f>
        <v/>
      </c>
      <c r="J21" s="4" t="str">
        <f>HYPERLINK("http://141.218.60.56/~jnz1568/getInfo.php?workbook=02_02.xlsx&amp;sheet=A0&amp;row=21&amp;col=10&amp;number=&amp;sourceID=15","")</f>
        <v/>
      </c>
      <c r="K21" s="4" t="str">
        <f>HYPERLINK("http://141.218.60.56/~jnz1568/getInfo.php?workbook=02_02.xlsx&amp;sheet=A0&amp;row=21&amp;col=11&amp;number=&amp;sourceID=15","")</f>
        <v/>
      </c>
      <c r="L21" s="4" t="str">
        <f>HYPERLINK("http://141.218.60.56/~jnz1568/getInfo.php?workbook=02_02.xlsx&amp;sheet=A0&amp;row=21&amp;col=12&amp;number=0.121&amp;sourceID=15","0.121")</f>
        <v>0.121</v>
      </c>
      <c r="M21" s="4" t="str">
        <f>HYPERLINK("http://141.218.60.56/~jnz1568/getInfo.php?workbook=02_02.xlsx&amp;sheet=A0&amp;row=21&amp;col=13&amp;number=&amp;sourceID=23","")</f>
        <v/>
      </c>
    </row>
    <row r="22" spans="1:13">
      <c r="A22" s="3">
        <v>2</v>
      </c>
      <c r="B22" s="3">
        <v>2</v>
      </c>
      <c r="C22" s="3">
        <v>10</v>
      </c>
      <c r="D22" s="3">
        <v>2</v>
      </c>
      <c r="E22" s="3">
        <f>((1/(INDEX(E0!J$4:J$52,C22,1)-INDEX(E0!J$4:J$52,D22,1))))*100000000</f>
        <v>0</v>
      </c>
      <c r="F22" s="4" t="str">
        <f>HYPERLINK("http://141.218.60.56/~jnz1568/getInfo.php?workbook=02_02.xlsx&amp;sheet=A0&amp;row=22&amp;col=6&amp;number=&amp;sourceID=27","")</f>
        <v/>
      </c>
      <c r="G22" s="4" t="str">
        <f>HYPERLINK("http://141.218.60.56/~jnz1568/getInfo.php?workbook=02_02.xlsx&amp;sheet=A0&amp;row=22&amp;col=7&amp;number=&amp;sourceID=26","")</f>
        <v/>
      </c>
      <c r="H22" s="4" t="str">
        <f>HYPERLINK("http://141.218.60.56/~jnz1568/getInfo.php?workbook=02_02.xlsx&amp;sheet=A0&amp;row=22&amp;col=8&amp;number=&amp;sourceID=26","")</f>
        <v/>
      </c>
      <c r="I22" s="4" t="str">
        <f>HYPERLINK("http://141.218.60.56/~jnz1568/getInfo.php?workbook=02_02.xlsx&amp;sheet=A0&amp;row=22&amp;col=9&amp;number=9474600&amp;sourceID=15","9474600")</f>
        <v>9474600</v>
      </c>
      <c r="J22" s="4" t="str">
        <f>HYPERLINK("http://141.218.60.56/~jnz1568/getInfo.php?workbook=02_02.xlsx&amp;sheet=A0&amp;row=22&amp;col=10&amp;number=&amp;sourceID=15","")</f>
        <v/>
      </c>
      <c r="K22" s="4" t="str">
        <f>HYPERLINK("http://141.218.60.56/~jnz1568/getInfo.php?workbook=02_02.xlsx&amp;sheet=A0&amp;row=22&amp;col=11&amp;number=&amp;sourceID=15","")</f>
        <v/>
      </c>
      <c r="L22" s="4" t="str">
        <f>HYPERLINK("http://141.218.60.56/~jnz1568/getInfo.php?workbook=02_02.xlsx&amp;sheet=A0&amp;row=22&amp;col=12&amp;number=&amp;sourceID=15","")</f>
        <v/>
      </c>
      <c r="M22" s="4" t="str">
        <f>HYPERLINK("http://141.218.60.56/~jnz1568/getInfo.php?workbook=02_02.xlsx&amp;sheet=A0&amp;row=22&amp;col=13&amp;number=9478800&amp;sourceID=23","9478800")</f>
        <v>9478800</v>
      </c>
    </row>
    <row r="23" spans="1:13">
      <c r="A23" s="3">
        <v>2</v>
      </c>
      <c r="B23" s="3">
        <v>2</v>
      </c>
      <c r="C23" s="3">
        <v>10</v>
      </c>
      <c r="D23" s="3">
        <v>3</v>
      </c>
      <c r="E23" s="3">
        <f>((1/(INDEX(E0!J$4:J$52,C23,1)-INDEX(E0!J$4:J$52,D23,1))))*100000000</f>
        <v>0</v>
      </c>
      <c r="F23" s="4" t="str">
        <f>HYPERLINK("http://141.218.60.56/~jnz1568/getInfo.php?workbook=02_02.xlsx&amp;sheet=A0&amp;row=23&amp;col=6&amp;number=&amp;sourceID=27","")</f>
        <v/>
      </c>
      <c r="G23" s="4" t="str">
        <f>HYPERLINK("http://141.218.60.56/~jnz1568/getInfo.php?workbook=02_02.xlsx&amp;sheet=A0&amp;row=23&amp;col=7&amp;number=&amp;sourceID=26","")</f>
        <v/>
      </c>
      <c r="H23" s="4" t="str">
        <f>HYPERLINK("http://141.218.60.56/~jnz1568/getInfo.php?workbook=02_02.xlsx&amp;sheet=A0&amp;row=23&amp;col=8&amp;number=3.655827e-05&amp;sourceID=26","3.655827e-05")</f>
        <v>3.655827e-05</v>
      </c>
      <c r="I23" s="4" t="str">
        <f>HYPERLINK("http://141.218.60.56/~jnz1568/getInfo.php?workbook=02_02.xlsx&amp;sheet=A0&amp;row=23&amp;col=9&amp;number=&amp;sourceID=15","")</f>
        <v/>
      </c>
      <c r="J23" s="4" t="str">
        <f>HYPERLINK("http://141.218.60.56/~jnz1568/getInfo.php?workbook=02_02.xlsx&amp;sheet=A0&amp;row=23&amp;col=10&amp;number=&amp;sourceID=15","")</f>
        <v/>
      </c>
      <c r="K23" s="4" t="str">
        <f>HYPERLINK("http://141.218.60.56/~jnz1568/getInfo.php?workbook=02_02.xlsx&amp;sheet=A0&amp;row=23&amp;col=11&amp;number=&amp;sourceID=15","")</f>
        <v/>
      </c>
      <c r="L23" s="4" t="str">
        <f>HYPERLINK("http://141.218.60.56/~jnz1568/getInfo.php?workbook=02_02.xlsx&amp;sheet=A0&amp;row=23&amp;col=12&amp;number=&amp;sourceID=15","")</f>
        <v/>
      </c>
      <c r="M23" s="4" t="str">
        <f>HYPERLINK("http://141.218.60.56/~jnz1568/getInfo.php?workbook=02_02.xlsx&amp;sheet=A0&amp;row=23&amp;col=13&amp;number=&amp;sourceID=23","")</f>
        <v/>
      </c>
    </row>
    <row r="24" spans="1:13">
      <c r="A24" s="3">
        <v>2</v>
      </c>
      <c r="B24" s="3">
        <v>2</v>
      </c>
      <c r="C24" s="3">
        <v>10</v>
      </c>
      <c r="D24" s="3">
        <v>8</v>
      </c>
      <c r="E24" s="3">
        <f>((1/(INDEX(E0!J$4:J$52,C24,1)-INDEX(E0!J$4:J$52,D24,1))))*100000000</f>
        <v>0</v>
      </c>
      <c r="F24" s="4" t="str">
        <f>HYPERLINK("http://141.218.60.56/~jnz1568/getInfo.php?workbook=02_02.xlsx&amp;sheet=A0&amp;row=24&amp;col=6&amp;number=&amp;sourceID=27","")</f>
        <v/>
      </c>
      <c r="G24" s="4" t="str">
        <f>HYPERLINK("http://141.218.60.56/~jnz1568/getInfo.php?workbook=02_02.xlsx&amp;sheet=A0&amp;row=24&amp;col=7&amp;number=&amp;sourceID=26","")</f>
        <v/>
      </c>
      <c r="H24" s="4" t="str">
        <f>HYPERLINK("http://141.218.60.56/~jnz1568/getInfo.php?workbook=02_02.xlsx&amp;sheet=A0&amp;row=24&amp;col=8&amp;number=&amp;sourceID=26","")</f>
        <v/>
      </c>
      <c r="I24" s="4" t="str">
        <f>HYPERLINK("http://141.218.60.56/~jnz1568/getInfo.php?workbook=02_02.xlsx&amp;sheet=A0&amp;row=24&amp;col=9&amp;number=1073600&amp;sourceID=15","1073600")</f>
        <v>1073600</v>
      </c>
      <c r="J24" s="4" t="str">
        <f>HYPERLINK("http://141.218.60.56/~jnz1568/getInfo.php?workbook=02_02.xlsx&amp;sheet=A0&amp;row=24&amp;col=10&amp;number=&amp;sourceID=15","")</f>
        <v/>
      </c>
      <c r="K24" s="4" t="str">
        <f>HYPERLINK("http://141.218.60.56/~jnz1568/getInfo.php?workbook=02_02.xlsx&amp;sheet=A0&amp;row=24&amp;col=11&amp;number=&amp;sourceID=15","")</f>
        <v/>
      </c>
      <c r="L24" s="4" t="str">
        <f>HYPERLINK("http://141.218.60.56/~jnz1568/getInfo.php?workbook=02_02.xlsx&amp;sheet=A0&amp;row=24&amp;col=12&amp;number=&amp;sourceID=15","")</f>
        <v/>
      </c>
      <c r="M24" s="4" t="str">
        <f>HYPERLINK("http://141.218.60.56/~jnz1568/getInfo.php?workbook=02_02.xlsx&amp;sheet=A0&amp;row=24&amp;col=13&amp;number=1075200&amp;sourceID=23","1075200")</f>
        <v>1075200</v>
      </c>
    </row>
    <row r="25" spans="1:13">
      <c r="A25" s="3">
        <v>2</v>
      </c>
      <c r="B25" s="3">
        <v>2</v>
      </c>
      <c r="C25" s="3">
        <v>10</v>
      </c>
      <c r="D25" s="3">
        <v>9</v>
      </c>
      <c r="E25" s="3">
        <f>((1/(INDEX(E0!J$4:J$52,C25,1)-INDEX(E0!J$4:J$52,D25,1))))*100000000</f>
        <v>0</v>
      </c>
      <c r="F25" s="4" t="str">
        <f>HYPERLINK("http://141.218.60.56/~jnz1568/getInfo.php?workbook=02_02.xlsx&amp;sheet=A0&amp;row=25&amp;col=6&amp;number=&amp;sourceID=27","")</f>
        <v/>
      </c>
      <c r="G25" s="4" t="str">
        <f>HYPERLINK("http://141.218.60.56/~jnz1568/getInfo.php?workbook=02_02.xlsx&amp;sheet=A0&amp;row=25&amp;col=7&amp;number=&amp;sourceID=26","")</f>
        <v/>
      </c>
      <c r="H25" s="4" t="str">
        <f>HYPERLINK("http://141.218.60.56/~jnz1568/getInfo.php?workbook=02_02.xlsx&amp;sheet=A0&amp;row=25&amp;col=8&amp;number=7.2497e-11&amp;sourceID=26","7.2497e-11")</f>
        <v>7.2497e-11</v>
      </c>
      <c r="I25" s="4" t="str">
        <f>HYPERLINK("http://141.218.60.56/~jnz1568/getInfo.php?workbook=02_02.xlsx&amp;sheet=A0&amp;row=25&amp;col=9&amp;number=&amp;sourceID=15","")</f>
        <v/>
      </c>
      <c r="J25" s="4" t="str">
        <f>HYPERLINK("http://141.218.60.56/~jnz1568/getInfo.php?workbook=02_02.xlsx&amp;sheet=A0&amp;row=25&amp;col=10&amp;number=&amp;sourceID=15","")</f>
        <v/>
      </c>
      <c r="K25" s="4" t="str">
        <f>HYPERLINK("http://141.218.60.56/~jnz1568/getInfo.php?workbook=02_02.xlsx&amp;sheet=A0&amp;row=25&amp;col=11&amp;number=&amp;sourceID=15","")</f>
        <v/>
      </c>
      <c r="L25" s="4" t="str">
        <f>HYPERLINK("http://141.218.60.56/~jnz1568/getInfo.php?workbook=02_02.xlsx&amp;sheet=A0&amp;row=25&amp;col=12&amp;number=&amp;sourceID=15","")</f>
        <v/>
      </c>
      <c r="M25" s="4" t="str">
        <f>HYPERLINK("http://141.218.60.56/~jnz1568/getInfo.php?workbook=02_02.xlsx&amp;sheet=A0&amp;row=25&amp;col=13&amp;number=&amp;sourceID=23","")</f>
        <v/>
      </c>
    </row>
    <row r="26" spans="1:13">
      <c r="A26" s="3">
        <v>2</v>
      </c>
      <c r="B26" s="3">
        <v>2</v>
      </c>
      <c r="C26" s="3">
        <v>11</v>
      </c>
      <c r="D26" s="3">
        <v>1</v>
      </c>
      <c r="E26" s="3">
        <f>((1/(INDEX(E0!J$4:J$52,C26,1)-INDEX(E0!J$4:J$52,D26,1))))*100000000</f>
        <v>0</v>
      </c>
      <c r="F26" s="4" t="str">
        <f>HYPERLINK("http://141.218.60.56/~jnz1568/getInfo.php?workbook=02_02.xlsx&amp;sheet=A0&amp;row=26&amp;col=6&amp;number=&amp;sourceID=27","")</f>
        <v/>
      </c>
      <c r="G26" s="4" t="str">
        <f>HYPERLINK("http://141.218.60.56/~jnz1568/getInfo.php?workbook=02_02.xlsx&amp;sheet=A0&amp;row=26&amp;col=7&amp;number=44.326&amp;sourceID=26","44.326")</f>
        <v>44.326</v>
      </c>
      <c r="H26" s="4" t="str">
        <f>HYPERLINK("http://141.218.60.56/~jnz1568/getInfo.php?workbook=02_02.xlsx&amp;sheet=A0&amp;row=26&amp;col=8&amp;number=&amp;sourceID=26","")</f>
        <v/>
      </c>
      <c r="I26" s="4" t="str">
        <f>HYPERLINK("http://141.218.60.56/~jnz1568/getInfo.php?workbook=02_02.xlsx&amp;sheet=A0&amp;row=26&amp;col=9&amp;number=&amp;sourceID=15","")</f>
        <v/>
      </c>
      <c r="J26" s="4" t="str">
        <f>HYPERLINK("http://141.218.60.56/~jnz1568/getInfo.php?workbook=02_02.xlsx&amp;sheet=A0&amp;row=26&amp;col=10&amp;number=&amp;sourceID=15","")</f>
        <v/>
      </c>
      <c r="K26" s="4" t="str">
        <f>HYPERLINK("http://141.218.60.56/~jnz1568/getInfo.php?workbook=02_02.xlsx&amp;sheet=A0&amp;row=26&amp;col=11&amp;number=&amp;sourceID=15","")</f>
        <v/>
      </c>
      <c r="L26" s="4" t="str">
        <f>HYPERLINK("http://141.218.60.56/~jnz1568/getInfo.php?workbook=02_02.xlsx&amp;sheet=A0&amp;row=26&amp;col=12&amp;number=&amp;sourceID=15","")</f>
        <v/>
      </c>
      <c r="M26" s="4" t="str">
        <f>HYPERLINK("http://141.218.60.56/~jnz1568/getInfo.php?workbook=02_02.xlsx&amp;sheet=A0&amp;row=26&amp;col=13&amp;number=44.874&amp;sourceID=23","44.874")</f>
        <v>44.874</v>
      </c>
    </row>
    <row r="27" spans="1:13">
      <c r="A27" s="3">
        <v>2</v>
      </c>
      <c r="B27" s="3">
        <v>2</v>
      </c>
      <c r="C27" s="3">
        <v>11</v>
      </c>
      <c r="D27" s="3">
        <v>2</v>
      </c>
      <c r="E27" s="3">
        <f>((1/(INDEX(E0!J$4:J$52,C27,1)-INDEX(E0!J$4:J$52,D27,1))))*100000000</f>
        <v>0</v>
      </c>
      <c r="F27" s="4" t="str">
        <f>HYPERLINK("http://141.218.60.56/~jnz1568/getInfo.php?workbook=02_02.xlsx&amp;sheet=A0&amp;row=27&amp;col=6&amp;number=&amp;sourceID=27","")</f>
        <v/>
      </c>
      <c r="G27" s="4" t="str">
        <f>HYPERLINK("http://141.218.60.56/~jnz1568/getInfo.php?workbook=02_02.xlsx&amp;sheet=A0&amp;row=27&amp;col=7&amp;number=&amp;sourceID=26","")</f>
        <v/>
      </c>
      <c r="H27" s="4" t="str">
        <f>HYPERLINK("http://141.218.60.56/~jnz1568/getInfo.php?workbook=02_02.xlsx&amp;sheet=A0&amp;row=27&amp;col=8&amp;number=&amp;sourceID=26","")</f>
        <v/>
      </c>
      <c r="I27" s="4" t="str">
        <f>HYPERLINK("http://141.218.60.56/~jnz1568/getInfo.php?workbook=02_02.xlsx&amp;sheet=A0&amp;row=27&amp;col=9&amp;number=9474600&amp;sourceID=15","9474600")</f>
        <v>9474600</v>
      </c>
      <c r="J27" s="4" t="str">
        <f>HYPERLINK("http://141.218.60.56/~jnz1568/getInfo.php?workbook=02_02.xlsx&amp;sheet=A0&amp;row=27&amp;col=10&amp;number=&amp;sourceID=15","")</f>
        <v/>
      </c>
      <c r="K27" s="4" t="str">
        <f>HYPERLINK("http://141.218.60.56/~jnz1568/getInfo.php?workbook=02_02.xlsx&amp;sheet=A0&amp;row=27&amp;col=11&amp;number=&amp;sourceID=15","")</f>
        <v/>
      </c>
      <c r="L27" s="4" t="str">
        <f>HYPERLINK("http://141.218.60.56/~jnz1568/getInfo.php?workbook=02_02.xlsx&amp;sheet=A0&amp;row=27&amp;col=12&amp;number=&amp;sourceID=15","")</f>
        <v/>
      </c>
      <c r="M27" s="4" t="str">
        <f>HYPERLINK("http://141.218.60.56/~jnz1568/getInfo.php?workbook=02_02.xlsx&amp;sheet=A0&amp;row=27&amp;col=13&amp;number=9479300&amp;sourceID=23","9479300")</f>
        <v>9479300</v>
      </c>
    </row>
    <row r="28" spans="1:13">
      <c r="A28" s="3">
        <v>2</v>
      </c>
      <c r="B28" s="3">
        <v>2</v>
      </c>
      <c r="C28" s="3">
        <v>11</v>
      </c>
      <c r="D28" s="3">
        <v>3</v>
      </c>
      <c r="E28" s="3">
        <f>((1/(INDEX(E0!J$4:J$52,C28,1)-INDEX(E0!J$4:J$52,D28,1))))*100000000</f>
        <v>0</v>
      </c>
      <c r="F28" s="4" t="str">
        <f>HYPERLINK("http://141.218.60.56/~jnz1568/getInfo.php?workbook=02_02.xlsx&amp;sheet=A0&amp;row=28&amp;col=6&amp;number=&amp;sourceID=27","")</f>
        <v/>
      </c>
      <c r="G28" s="4" t="str">
        <f>HYPERLINK("http://141.218.60.56/~jnz1568/getInfo.php?workbook=02_02.xlsx&amp;sheet=A0&amp;row=28&amp;col=7&amp;number=1.459495&amp;sourceID=26","1.459495")</f>
        <v>1.459495</v>
      </c>
      <c r="H28" s="4" t="str">
        <f>HYPERLINK("http://141.218.60.56/~jnz1568/getInfo.php?workbook=02_02.xlsx&amp;sheet=A0&amp;row=28&amp;col=8&amp;number=&amp;sourceID=26","")</f>
        <v/>
      </c>
      <c r="I28" s="4" t="str">
        <f>HYPERLINK("http://141.218.60.56/~jnz1568/getInfo.php?workbook=02_02.xlsx&amp;sheet=A0&amp;row=28&amp;col=9&amp;number=&amp;sourceID=15","")</f>
        <v/>
      </c>
      <c r="J28" s="4" t="str">
        <f>HYPERLINK("http://141.218.60.56/~jnz1568/getInfo.php?workbook=02_02.xlsx&amp;sheet=A0&amp;row=28&amp;col=10&amp;number=&amp;sourceID=15","")</f>
        <v/>
      </c>
      <c r="K28" s="4" t="str">
        <f>HYPERLINK("http://141.218.60.56/~jnz1568/getInfo.php?workbook=02_02.xlsx&amp;sheet=A0&amp;row=28&amp;col=11&amp;number=&amp;sourceID=15","")</f>
        <v/>
      </c>
      <c r="L28" s="4" t="str">
        <f>HYPERLINK("http://141.218.60.56/~jnz1568/getInfo.php?workbook=02_02.xlsx&amp;sheet=A0&amp;row=28&amp;col=12&amp;number=&amp;sourceID=15","")</f>
        <v/>
      </c>
      <c r="M28" s="4" t="str">
        <f>HYPERLINK("http://141.218.60.56/~jnz1568/getInfo.php?workbook=02_02.xlsx&amp;sheet=A0&amp;row=28&amp;col=13&amp;number=1.4666&amp;sourceID=23","1.4666")</f>
        <v>1.4666</v>
      </c>
    </row>
    <row r="29" spans="1:13">
      <c r="A29" s="3">
        <v>2</v>
      </c>
      <c r="B29" s="3">
        <v>2</v>
      </c>
      <c r="C29" s="3">
        <v>11</v>
      </c>
      <c r="D29" s="3">
        <v>8</v>
      </c>
      <c r="E29" s="3">
        <f>((1/(INDEX(E0!J$4:J$52,C29,1)-INDEX(E0!J$4:J$52,D29,1))))*100000000</f>
        <v>0</v>
      </c>
      <c r="F29" s="4" t="str">
        <f>HYPERLINK("http://141.218.60.56/~jnz1568/getInfo.php?workbook=02_02.xlsx&amp;sheet=A0&amp;row=29&amp;col=6&amp;number=&amp;sourceID=27","")</f>
        <v/>
      </c>
      <c r="G29" s="4" t="str">
        <f>HYPERLINK("http://141.218.60.56/~jnz1568/getInfo.php?workbook=02_02.xlsx&amp;sheet=A0&amp;row=29&amp;col=7&amp;number=&amp;sourceID=26","")</f>
        <v/>
      </c>
      <c r="H29" s="4" t="str">
        <f>HYPERLINK("http://141.218.60.56/~jnz1568/getInfo.php?workbook=02_02.xlsx&amp;sheet=A0&amp;row=29&amp;col=8&amp;number=&amp;sourceID=26","")</f>
        <v/>
      </c>
      <c r="I29" s="4" t="str">
        <f>HYPERLINK("http://141.218.60.56/~jnz1568/getInfo.php?workbook=02_02.xlsx&amp;sheet=A0&amp;row=29&amp;col=9&amp;number=1073600&amp;sourceID=15","1073600")</f>
        <v>1073600</v>
      </c>
      <c r="J29" s="4" t="str">
        <f>HYPERLINK("http://141.218.60.56/~jnz1568/getInfo.php?workbook=02_02.xlsx&amp;sheet=A0&amp;row=29&amp;col=10&amp;number=&amp;sourceID=15","")</f>
        <v/>
      </c>
      <c r="K29" s="4" t="str">
        <f>HYPERLINK("http://141.218.60.56/~jnz1568/getInfo.php?workbook=02_02.xlsx&amp;sheet=A0&amp;row=29&amp;col=11&amp;number=&amp;sourceID=15","")</f>
        <v/>
      </c>
      <c r="L29" s="4" t="str">
        <f>HYPERLINK("http://141.218.60.56/~jnz1568/getInfo.php?workbook=02_02.xlsx&amp;sheet=A0&amp;row=29&amp;col=12&amp;number=&amp;sourceID=15","")</f>
        <v/>
      </c>
      <c r="M29" s="4" t="str">
        <f>HYPERLINK("http://141.218.60.56/~jnz1568/getInfo.php?workbook=02_02.xlsx&amp;sheet=A0&amp;row=29&amp;col=13&amp;number=1075300&amp;sourceID=23","1075300")</f>
        <v>1075300</v>
      </c>
    </row>
    <row r="30" spans="1:13">
      <c r="A30" s="3">
        <v>2</v>
      </c>
      <c r="B30" s="3">
        <v>2</v>
      </c>
      <c r="C30" s="3">
        <v>11</v>
      </c>
      <c r="D30" s="3">
        <v>9</v>
      </c>
      <c r="E30" s="3">
        <f>((1/(INDEX(E0!J$4:J$52,C30,1)-INDEX(E0!J$4:J$52,D30,1))))*100000000</f>
        <v>0</v>
      </c>
      <c r="F30" s="4" t="str">
        <f>HYPERLINK("http://141.218.60.56/~jnz1568/getInfo.php?workbook=02_02.xlsx&amp;sheet=A0&amp;row=30&amp;col=6&amp;number=&amp;sourceID=27","")</f>
        <v/>
      </c>
      <c r="G30" s="4" t="str">
        <f>HYPERLINK("http://141.218.60.56/~jnz1568/getInfo.php?workbook=02_02.xlsx&amp;sheet=A0&amp;row=30&amp;col=7&amp;number=0.0022297&amp;sourceID=26","0.0022297")</f>
        <v>0.0022297</v>
      </c>
      <c r="H30" s="4" t="str">
        <f>HYPERLINK("http://141.218.60.56/~jnz1568/getInfo.php?workbook=02_02.xlsx&amp;sheet=A0&amp;row=30&amp;col=8&amp;number=&amp;sourceID=26","")</f>
        <v/>
      </c>
      <c r="I30" s="4" t="str">
        <f>HYPERLINK("http://141.218.60.56/~jnz1568/getInfo.php?workbook=02_02.xlsx&amp;sheet=A0&amp;row=30&amp;col=9&amp;number=&amp;sourceID=15","")</f>
        <v/>
      </c>
      <c r="J30" s="4" t="str">
        <f>HYPERLINK("http://141.218.60.56/~jnz1568/getInfo.php?workbook=02_02.xlsx&amp;sheet=A0&amp;row=30&amp;col=10&amp;number=&amp;sourceID=15","")</f>
        <v/>
      </c>
      <c r="K30" s="4" t="str">
        <f>HYPERLINK("http://141.218.60.56/~jnz1568/getInfo.php?workbook=02_02.xlsx&amp;sheet=A0&amp;row=30&amp;col=11&amp;number=&amp;sourceID=15","")</f>
        <v/>
      </c>
      <c r="L30" s="4" t="str">
        <f>HYPERLINK("http://141.218.60.56/~jnz1568/getInfo.php?workbook=02_02.xlsx&amp;sheet=A0&amp;row=30&amp;col=12&amp;number=&amp;sourceID=15","")</f>
        <v/>
      </c>
      <c r="M30" s="4" t="str">
        <f>HYPERLINK("http://141.218.60.56/~jnz1568/getInfo.php?workbook=02_02.xlsx&amp;sheet=A0&amp;row=30&amp;col=13&amp;number=0.0022246&amp;sourceID=23","0.0022246")</f>
        <v>0.0022246</v>
      </c>
    </row>
    <row r="31" spans="1:13">
      <c r="A31" s="3">
        <v>2</v>
      </c>
      <c r="B31" s="3">
        <v>2</v>
      </c>
      <c r="C31" s="3">
        <v>12</v>
      </c>
      <c r="D31" s="3">
        <v>2</v>
      </c>
      <c r="E31" s="3">
        <f>((1/(INDEX(E0!J$4:J$52,C31,1)-INDEX(E0!J$4:J$52,D31,1))))*100000000</f>
        <v>0</v>
      </c>
      <c r="F31" s="4" t="str">
        <f>HYPERLINK("http://141.218.60.56/~jnz1568/getInfo.php?workbook=02_02.xlsx&amp;sheet=A0&amp;row=31&amp;col=6&amp;number=&amp;sourceID=27","")</f>
        <v/>
      </c>
      <c r="G31" s="4" t="str">
        <f>HYPERLINK("http://141.218.60.56/~jnz1568/getInfo.php?workbook=02_02.xlsx&amp;sheet=A0&amp;row=31&amp;col=7&amp;number=&amp;sourceID=26","")</f>
        <v/>
      </c>
      <c r="H31" s="4" t="str">
        <f>HYPERLINK("http://141.218.60.56/~jnz1568/getInfo.php?workbook=02_02.xlsx&amp;sheet=A0&amp;row=31&amp;col=8&amp;number=&amp;sourceID=26","")</f>
        <v/>
      </c>
      <c r="I31" s="4" t="str">
        <f>HYPERLINK("http://141.218.60.56/~jnz1568/getInfo.php?workbook=02_02.xlsx&amp;sheet=A0&amp;row=31&amp;col=9&amp;number=9474600&amp;sourceID=15","9474600")</f>
        <v>9474600</v>
      </c>
      <c r="J31" s="4" t="str">
        <f>HYPERLINK("http://141.218.60.56/~jnz1568/getInfo.php?workbook=02_02.xlsx&amp;sheet=A0&amp;row=31&amp;col=10&amp;number=&amp;sourceID=15","")</f>
        <v/>
      </c>
      <c r="K31" s="4" t="str">
        <f>HYPERLINK("http://141.218.60.56/~jnz1568/getInfo.php?workbook=02_02.xlsx&amp;sheet=A0&amp;row=31&amp;col=11&amp;number=&amp;sourceID=15","")</f>
        <v/>
      </c>
      <c r="L31" s="4" t="str">
        <f>HYPERLINK("http://141.218.60.56/~jnz1568/getInfo.php?workbook=02_02.xlsx&amp;sheet=A0&amp;row=31&amp;col=12&amp;number=&amp;sourceID=15","")</f>
        <v/>
      </c>
      <c r="M31" s="4" t="str">
        <f>HYPERLINK("http://141.218.60.56/~jnz1568/getInfo.php?workbook=02_02.xlsx&amp;sheet=A0&amp;row=31&amp;col=13&amp;number=9476200&amp;sourceID=23","9476200")</f>
        <v>9476200</v>
      </c>
    </row>
    <row r="32" spans="1:13">
      <c r="A32" s="3">
        <v>2</v>
      </c>
      <c r="B32" s="3">
        <v>2</v>
      </c>
      <c r="C32" s="3">
        <v>12</v>
      </c>
      <c r="D32" s="3">
        <v>8</v>
      </c>
      <c r="E32" s="3">
        <f>((1/(INDEX(E0!J$4:J$52,C32,1)-INDEX(E0!J$4:J$52,D32,1))))*100000000</f>
        <v>0</v>
      </c>
      <c r="F32" s="4" t="str">
        <f>HYPERLINK("http://141.218.60.56/~jnz1568/getInfo.php?workbook=02_02.xlsx&amp;sheet=A0&amp;row=32&amp;col=6&amp;number=&amp;sourceID=27","")</f>
        <v/>
      </c>
      <c r="G32" s="4" t="str">
        <f>HYPERLINK("http://141.218.60.56/~jnz1568/getInfo.php?workbook=02_02.xlsx&amp;sheet=A0&amp;row=32&amp;col=7&amp;number=&amp;sourceID=26","")</f>
        <v/>
      </c>
      <c r="H32" s="4" t="str">
        <f>HYPERLINK("http://141.218.60.56/~jnz1568/getInfo.php?workbook=02_02.xlsx&amp;sheet=A0&amp;row=32&amp;col=8&amp;number=&amp;sourceID=26","")</f>
        <v/>
      </c>
      <c r="I32" s="4" t="str">
        <f>HYPERLINK("http://141.218.60.56/~jnz1568/getInfo.php?workbook=02_02.xlsx&amp;sheet=A0&amp;row=32&amp;col=9&amp;number=1073600&amp;sourceID=15","1073600")</f>
        <v>1073600</v>
      </c>
      <c r="J32" s="4" t="str">
        <f>HYPERLINK("http://141.218.60.56/~jnz1568/getInfo.php?workbook=02_02.xlsx&amp;sheet=A0&amp;row=32&amp;col=10&amp;number=&amp;sourceID=15","")</f>
        <v/>
      </c>
      <c r="K32" s="4" t="str">
        <f>HYPERLINK("http://141.218.60.56/~jnz1568/getInfo.php?workbook=02_02.xlsx&amp;sheet=A0&amp;row=32&amp;col=11&amp;number=&amp;sourceID=15","")</f>
        <v/>
      </c>
      <c r="L32" s="4" t="str">
        <f>HYPERLINK("http://141.218.60.56/~jnz1568/getInfo.php?workbook=02_02.xlsx&amp;sheet=A0&amp;row=32&amp;col=12&amp;number=&amp;sourceID=15","")</f>
        <v/>
      </c>
      <c r="M32" s="4" t="str">
        <f>HYPERLINK("http://141.218.60.56/~jnz1568/getInfo.php?workbook=02_02.xlsx&amp;sheet=A0&amp;row=32&amp;col=13&amp;number=1075700&amp;sourceID=23","1075700")</f>
        <v>1075700</v>
      </c>
    </row>
    <row r="33" spans="1:13">
      <c r="A33" s="3">
        <v>2</v>
      </c>
      <c r="B33" s="3">
        <v>2</v>
      </c>
      <c r="C33" s="3">
        <v>13</v>
      </c>
      <c r="D33" s="3">
        <v>4</v>
      </c>
      <c r="E33" s="3">
        <f>((1/(INDEX(E0!J$4:J$52,C33,1)-INDEX(E0!J$4:J$52,D33,1))))*100000000</f>
        <v>0</v>
      </c>
      <c r="F33" s="4" t="str">
        <f>HYPERLINK("http://141.218.60.56/~jnz1568/getInfo.php?workbook=02_02.xlsx&amp;sheet=A0&amp;row=33&amp;col=6&amp;number=&amp;sourceID=27","")</f>
        <v/>
      </c>
      <c r="G33" s="4" t="str">
        <f>HYPERLINK("http://141.218.60.56/~jnz1568/getInfo.php?workbook=02_02.xlsx&amp;sheet=A0&amp;row=33&amp;col=7&amp;number=&amp;sourceID=26","")</f>
        <v/>
      </c>
      <c r="H33" s="4" t="str">
        <f>HYPERLINK("http://141.218.60.56/~jnz1568/getInfo.php?workbook=02_02.xlsx&amp;sheet=A0&amp;row=33&amp;col=8&amp;number=&amp;sourceID=26","")</f>
        <v/>
      </c>
      <c r="I33" s="4" t="str">
        <f>HYPERLINK("http://141.218.60.56/~jnz1568/getInfo.php?workbook=02_02.xlsx&amp;sheet=A0&amp;row=33&amp;col=9&amp;number=70708000&amp;sourceID=15","70708000")</f>
        <v>70708000</v>
      </c>
      <c r="J33" s="4" t="str">
        <f>HYPERLINK("http://141.218.60.56/~jnz1568/getInfo.php?workbook=02_02.xlsx&amp;sheet=A0&amp;row=33&amp;col=10&amp;number=&amp;sourceID=15","")</f>
        <v/>
      </c>
      <c r="K33" s="4" t="str">
        <f>HYPERLINK("http://141.218.60.56/~jnz1568/getInfo.php?workbook=02_02.xlsx&amp;sheet=A0&amp;row=33&amp;col=11&amp;number=&amp;sourceID=15","")</f>
        <v/>
      </c>
      <c r="L33" s="4" t="str">
        <f>HYPERLINK("http://141.218.60.56/~jnz1568/getInfo.php?workbook=02_02.xlsx&amp;sheet=A0&amp;row=33&amp;col=12&amp;number=&amp;sourceID=15","")</f>
        <v/>
      </c>
      <c r="M33" s="4" t="str">
        <f>HYPERLINK("http://141.218.60.56/~jnz1568/getInfo.php?workbook=02_02.xlsx&amp;sheet=A0&amp;row=33&amp;col=13&amp;number=70744000&amp;sourceID=23","70744000")</f>
        <v>70744000</v>
      </c>
    </row>
    <row r="34" spans="1:13">
      <c r="A34" s="3">
        <v>2</v>
      </c>
      <c r="B34" s="3">
        <v>2</v>
      </c>
      <c r="C34" s="3">
        <v>13</v>
      </c>
      <c r="D34" s="3">
        <v>10</v>
      </c>
      <c r="E34" s="3">
        <f>((1/(INDEX(E0!J$4:J$52,C34,1)-INDEX(E0!J$4:J$52,D34,1))))*100000000</f>
        <v>0</v>
      </c>
      <c r="F34" s="4" t="str">
        <f>HYPERLINK("http://141.218.60.56/~jnz1568/getInfo.php?workbook=02_02.xlsx&amp;sheet=A0&amp;row=34&amp;col=6&amp;number=&amp;sourceID=27","")</f>
        <v/>
      </c>
      <c r="G34" s="4" t="str">
        <f>HYPERLINK("http://141.218.60.56/~jnz1568/getInfo.php?workbook=02_02.xlsx&amp;sheet=A0&amp;row=34&amp;col=7&amp;number=&amp;sourceID=26","")</f>
        <v/>
      </c>
      <c r="H34" s="4" t="str">
        <f>HYPERLINK("http://141.218.60.56/~jnz1568/getInfo.php?workbook=02_02.xlsx&amp;sheet=A0&amp;row=34&amp;col=8&amp;number=&amp;sourceID=26","")</f>
        <v/>
      </c>
      <c r="I34" s="4" t="str">
        <f>HYPERLINK("http://141.218.60.56/~jnz1568/getInfo.php?workbook=02_02.xlsx&amp;sheet=A0&amp;row=34&amp;col=9&amp;number=12917&amp;sourceID=15","12917")</f>
        <v>12917</v>
      </c>
      <c r="J34" s="4" t="str">
        <f>HYPERLINK("http://141.218.60.56/~jnz1568/getInfo.php?workbook=02_02.xlsx&amp;sheet=A0&amp;row=34&amp;col=10&amp;number=&amp;sourceID=15","")</f>
        <v/>
      </c>
      <c r="K34" s="4" t="str">
        <f>HYPERLINK("http://141.218.60.56/~jnz1568/getInfo.php?workbook=02_02.xlsx&amp;sheet=A0&amp;row=34&amp;col=11&amp;number=&amp;sourceID=15","")</f>
        <v/>
      </c>
      <c r="L34" s="4" t="str">
        <f>HYPERLINK("http://141.218.60.56/~jnz1568/getInfo.php?workbook=02_02.xlsx&amp;sheet=A0&amp;row=34&amp;col=12&amp;number=&amp;sourceID=15","")</f>
        <v/>
      </c>
      <c r="M34" s="4" t="str">
        <f>HYPERLINK("http://141.218.60.56/~jnz1568/getInfo.php?workbook=02_02.xlsx&amp;sheet=A0&amp;row=34&amp;col=13&amp;number=13039&amp;sourceID=23","13039")</f>
        <v>13039</v>
      </c>
    </row>
    <row r="35" spans="1:13">
      <c r="A35" s="3">
        <v>2</v>
      </c>
      <c r="B35" s="3">
        <v>2</v>
      </c>
      <c r="C35" s="3">
        <v>14</v>
      </c>
      <c r="D35" s="3">
        <v>4</v>
      </c>
      <c r="E35" s="3">
        <f>((1/(INDEX(E0!J$4:J$52,C35,1)-INDEX(E0!J$4:J$52,D35,1))))*100000000</f>
        <v>0</v>
      </c>
      <c r="F35" s="4" t="str">
        <f>HYPERLINK("http://141.218.60.56/~jnz1568/getInfo.php?workbook=02_02.xlsx&amp;sheet=A0&amp;row=35&amp;col=6&amp;number=&amp;sourceID=27","")</f>
        <v/>
      </c>
      <c r="G35" s="4" t="str">
        <f>HYPERLINK("http://141.218.60.56/~jnz1568/getInfo.php?workbook=02_02.xlsx&amp;sheet=A0&amp;row=35&amp;col=7&amp;number=&amp;sourceID=26","")</f>
        <v/>
      </c>
      <c r="H35" s="4" t="str">
        <f>HYPERLINK("http://141.218.60.56/~jnz1568/getInfo.php?workbook=02_02.xlsx&amp;sheet=A0&amp;row=35&amp;col=8&amp;number=&amp;sourceID=26","")</f>
        <v/>
      </c>
      <c r="I35" s="4" t="str">
        <f>HYPERLINK("http://141.218.60.56/~jnz1568/getInfo.php?workbook=02_02.xlsx&amp;sheet=A0&amp;row=35&amp;col=9&amp;number=17673000&amp;sourceID=15","17673000")</f>
        <v>17673000</v>
      </c>
      <c r="J35" s="4" t="str">
        <f>HYPERLINK("http://141.218.60.56/~jnz1568/getInfo.php?workbook=02_02.xlsx&amp;sheet=A0&amp;row=35&amp;col=10&amp;number=&amp;sourceID=15","")</f>
        <v/>
      </c>
      <c r="K35" s="4" t="str">
        <f>HYPERLINK("http://141.218.60.56/~jnz1568/getInfo.php?workbook=02_02.xlsx&amp;sheet=A0&amp;row=35&amp;col=11&amp;number=&amp;sourceID=15","")</f>
        <v/>
      </c>
      <c r="L35" s="4" t="str">
        <f>HYPERLINK("http://141.218.60.56/~jnz1568/getInfo.php?workbook=02_02.xlsx&amp;sheet=A0&amp;row=35&amp;col=12&amp;number=&amp;sourceID=15","")</f>
        <v/>
      </c>
      <c r="M35" s="4" t="str">
        <f>HYPERLINK("http://141.218.60.56/~jnz1568/getInfo.php?workbook=02_02.xlsx&amp;sheet=A0&amp;row=35&amp;col=13&amp;number=17682000&amp;sourceID=23","17682000")</f>
        <v>17682000</v>
      </c>
    </row>
    <row r="36" spans="1:13">
      <c r="A36" s="3">
        <v>2</v>
      </c>
      <c r="B36" s="3">
        <v>2</v>
      </c>
      <c r="C36" s="3">
        <v>14</v>
      </c>
      <c r="D36" s="3">
        <v>5</v>
      </c>
      <c r="E36" s="3">
        <f>((1/(INDEX(E0!J$4:J$52,C36,1)-INDEX(E0!J$4:J$52,D36,1))))*100000000</f>
        <v>0</v>
      </c>
      <c r="F36" s="4" t="str">
        <f>HYPERLINK("http://141.218.60.56/~jnz1568/getInfo.php?workbook=02_02.xlsx&amp;sheet=A0&amp;row=36&amp;col=6&amp;number=&amp;sourceID=27","")</f>
        <v/>
      </c>
      <c r="G36" s="4" t="str">
        <f>HYPERLINK("http://141.218.60.56/~jnz1568/getInfo.php?workbook=02_02.xlsx&amp;sheet=A0&amp;row=36&amp;col=7&amp;number=&amp;sourceID=26","")</f>
        <v/>
      </c>
      <c r="H36" s="4" t="str">
        <f>HYPERLINK("http://141.218.60.56/~jnz1568/getInfo.php?workbook=02_02.xlsx&amp;sheet=A0&amp;row=36&amp;col=8&amp;number=&amp;sourceID=26","")</f>
        <v/>
      </c>
      <c r="I36" s="4" t="str">
        <f>HYPERLINK("http://141.218.60.56/~jnz1568/getInfo.php?workbook=02_02.xlsx&amp;sheet=A0&amp;row=36&amp;col=9&amp;number=53019000&amp;sourceID=15","53019000")</f>
        <v>53019000</v>
      </c>
      <c r="J36" s="4" t="str">
        <f>HYPERLINK("http://141.218.60.56/~jnz1568/getInfo.php?workbook=02_02.xlsx&amp;sheet=A0&amp;row=36&amp;col=10&amp;number=&amp;sourceID=15","")</f>
        <v/>
      </c>
      <c r="K36" s="4" t="str">
        <f>HYPERLINK("http://141.218.60.56/~jnz1568/getInfo.php?workbook=02_02.xlsx&amp;sheet=A0&amp;row=36&amp;col=11&amp;number=&amp;sourceID=15","")</f>
        <v/>
      </c>
      <c r="L36" s="4" t="str">
        <f>HYPERLINK("http://141.218.60.56/~jnz1568/getInfo.php?workbook=02_02.xlsx&amp;sheet=A0&amp;row=36&amp;col=12&amp;number=&amp;sourceID=15","")</f>
        <v/>
      </c>
      <c r="M36" s="4" t="str">
        <f>HYPERLINK("http://141.218.60.56/~jnz1568/getInfo.php?workbook=02_02.xlsx&amp;sheet=A0&amp;row=36&amp;col=13&amp;number=53043000&amp;sourceID=23","53043000")</f>
        <v>53043000</v>
      </c>
    </row>
    <row r="37" spans="1:13">
      <c r="A37" s="3">
        <v>2</v>
      </c>
      <c r="B37" s="3">
        <v>2</v>
      </c>
      <c r="C37" s="3">
        <v>14</v>
      </c>
      <c r="D37" s="3">
        <v>7</v>
      </c>
      <c r="E37" s="3">
        <f>((1/(INDEX(E0!J$4:J$52,C37,1)-INDEX(E0!J$4:J$52,D37,1))))*100000000</f>
        <v>0</v>
      </c>
      <c r="F37" s="4" t="str">
        <f>HYPERLINK("http://141.218.60.56/~jnz1568/getInfo.php?workbook=02_02.xlsx&amp;sheet=A0&amp;row=37&amp;col=6&amp;number=&amp;sourceID=27","")</f>
        <v/>
      </c>
      <c r="G37" s="4" t="str">
        <f>HYPERLINK("http://141.218.60.56/~jnz1568/getInfo.php?workbook=02_02.xlsx&amp;sheet=A0&amp;row=37&amp;col=7&amp;number=0.00014995&amp;sourceID=26","0.00014995")</f>
        <v>0.00014995</v>
      </c>
      <c r="H37" s="4" t="str">
        <f>HYPERLINK("http://141.218.60.56/~jnz1568/getInfo.php?workbook=02_02.xlsx&amp;sheet=A0&amp;row=37&amp;col=8&amp;number=&amp;sourceID=26","")</f>
        <v/>
      </c>
      <c r="I37" s="4" t="str">
        <f>HYPERLINK("http://141.218.60.56/~jnz1568/getInfo.php?workbook=02_02.xlsx&amp;sheet=A0&amp;row=37&amp;col=9&amp;number=15100&amp;sourceID=15","15100")</f>
        <v>15100</v>
      </c>
      <c r="J37" s="4" t="str">
        <f>HYPERLINK("http://141.218.60.56/~jnz1568/getInfo.php?workbook=02_02.xlsx&amp;sheet=A0&amp;row=37&amp;col=10&amp;number=&amp;sourceID=15","")</f>
        <v/>
      </c>
      <c r="K37" s="4" t="str">
        <f>HYPERLINK("http://141.218.60.56/~jnz1568/getInfo.php?workbook=02_02.xlsx&amp;sheet=A0&amp;row=37&amp;col=11&amp;number=&amp;sourceID=15","")</f>
        <v/>
      </c>
      <c r="L37" s="4" t="str">
        <f>HYPERLINK("http://141.218.60.56/~jnz1568/getInfo.php?workbook=02_02.xlsx&amp;sheet=A0&amp;row=37&amp;col=12&amp;number=&amp;sourceID=15","")</f>
        <v/>
      </c>
      <c r="M37" s="4" t="str">
        <f>HYPERLINK("http://141.218.60.56/~jnz1568/getInfo.php?workbook=02_02.xlsx&amp;sheet=A0&amp;row=37&amp;col=13&amp;number=15253&amp;sourceID=23","15253")</f>
        <v>15253</v>
      </c>
    </row>
    <row r="38" spans="1:13">
      <c r="A38" s="3">
        <v>2</v>
      </c>
      <c r="B38" s="3">
        <v>2</v>
      </c>
      <c r="C38" s="3">
        <v>14</v>
      </c>
      <c r="D38" s="3">
        <v>10</v>
      </c>
      <c r="E38" s="3">
        <f>((1/(INDEX(E0!J$4:J$52,C38,1)-INDEX(E0!J$4:J$52,D38,1))))*100000000</f>
        <v>0</v>
      </c>
      <c r="F38" s="4" t="str">
        <f>HYPERLINK("http://141.218.60.56/~jnz1568/getInfo.php?workbook=02_02.xlsx&amp;sheet=A0&amp;row=38&amp;col=6&amp;number=&amp;sourceID=27","")</f>
        <v/>
      </c>
      <c r="G38" s="4" t="str">
        <f>HYPERLINK("http://141.218.60.56/~jnz1568/getInfo.php?workbook=02_02.xlsx&amp;sheet=A0&amp;row=38&amp;col=7&amp;number=&amp;sourceID=26","")</f>
        <v/>
      </c>
      <c r="H38" s="4" t="str">
        <f>HYPERLINK("http://141.218.60.56/~jnz1568/getInfo.php?workbook=02_02.xlsx&amp;sheet=A0&amp;row=38&amp;col=8&amp;number=&amp;sourceID=26","")</f>
        <v/>
      </c>
      <c r="I38" s="4" t="str">
        <f>HYPERLINK("http://141.218.60.56/~jnz1568/getInfo.php?workbook=02_02.xlsx&amp;sheet=A0&amp;row=38&amp;col=9&amp;number=3228.4&amp;sourceID=15","3228.4")</f>
        <v>3228.4</v>
      </c>
      <c r="J38" s="4" t="str">
        <f>HYPERLINK("http://141.218.60.56/~jnz1568/getInfo.php?workbook=02_02.xlsx&amp;sheet=A0&amp;row=38&amp;col=10&amp;number=&amp;sourceID=15","")</f>
        <v/>
      </c>
      <c r="K38" s="4" t="str">
        <f>HYPERLINK("http://141.218.60.56/~jnz1568/getInfo.php?workbook=02_02.xlsx&amp;sheet=A0&amp;row=38&amp;col=11&amp;number=&amp;sourceID=15","")</f>
        <v/>
      </c>
      <c r="L38" s="4" t="str">
        <f>HYPERLINK("http://141.218.60.56/~jnz1568/getInfo.php?workbook=02_02.xlsx&amp;sheet=A0&amp;row=38&amp;col=12&amp;number=&amp;sourceID=15","")</f>
        <v/>
      </c>
      <c r="M38" s="4" t="str">
        <f>HYPERLINK("http://141.218.60.56/~jnz1568/getInfo.php?workbook=02_02.xlsx&amp;sheet=A0&amp;row=38&amp;col=13&amp;number=3259&amp;sourceID=23","3259")</f>
        <v>3259</v>
      </c>
    </row>
    <row r="39" spans="1:13">
      <c r="A39" s="3">
        <v>2</v>
      </c>
      <c r="B39" s="3">
        <v>2</v>
      </c>
      <c r="C39" s="3">
        <v>14</v>
      </c>
      <c r="D39" s="3">
        <v>11</v>
      </c>
      <c r="E39" s="3">
        <f>((1/(INDEX(E0!J$4:J$52,C39,1)-INDEX(E0!J$4:J$52,D39,1))))*100000000</f>
        <v>0</v>
      </c>
      <c r="F39" s="4" t="str">
        <f>HYPERLINK("http://141.218.60.56/~jnz1568/getInfo.php?workbook=02_02.xlsx&amp;sheet=A0&amp;row=39&amp;col=6&amp;number=&amp;sourceID=27","")</f>
        <v/>
      </c>
      <c r="G39" s="4" t="str">
        <f>HYPERLINK("http://141.218.60.56/~jnz1568/getInfo.php?workbook=02_02.xlsx&amp;sheet=A0&amp;row=39&amp;col=7&amp;number=&amp;sourceID=26","")</f>
        <v/>
      </c>
      <c r="H39" s="4" t="str">
        <f>HYPERLINK("http://141.218.60.56/~jnz1568/getInfo.php?workbook=02_02.xlsx&amp;sheet=A0&amp;row=39&amp;col=8&amp;number=&amp;sourceID=26","")</f>
        <v/>
      </c>
      <c r="I39" s="4" t="str">
        <f>HYPERLINK("http://141.218.60.56/~jnz1568/getInfo.php?workbook=02_02.xlsx&amp;sheet=A0&amp;row=39&amp;col=9&amp;number=9685.1&amp;sourceID=15","9685.1")</f>
        <v>9685.1</v>
      </c>
      <c r="J39" s="4" t="str">
        <f>HYPERLINK("http://141.218.60.56/~jnz1568/getInfo.php?workbook=02_02.xlsx&amp;sheet=A0&amp;row=39&amp;col=10&amp;number=&amp;sourceID=15","")</f>
        <v/>
      </c>
      <c r="K39" s="4" t="str">
        <f>HYPERLINK("http://141.218.60.56/~jnz1568/getInfo.php?workbook=02_02.xlsx&amp;sheet=A0&amp;row=39&amp;col=11&amp;number=&amp;sourceID=15","")</f>
        <v/>
      </c>
      <c r="L39" s="4" t="str">
        <f>HYPERLINK("http://141.218.60.56/~jnz1568/getInfo.php?workbook=02_02.xlsx&amp;sheet=A0&amp;row=39&amp;col=12&amp;number=&amp;sourceID=15","")</f>
        <v/>
      </c>
      <c r="M39" s="4" t="str">
        <f>HYPERLINK("http://141.218.60.56/~jnz1568/getInfo.php?workbook=02_02.xlsx&amp;sheet=A0&amp;row=39&amp;col=13&amp;number=9775&amp;sourceID=23","9775")</f>
        <v>9775</v>
      </c>
    </row>
    <row r="40" spans="1:13">
      <c r="A40" s="3">
        <v>2</v>
      </c>
      <c r="B40" s="3">
        <v>2</v>
      </c>
      <c r="C40" s="3">
        <v>15</v>
      </c>
      <c r="D40" s="3">
        <v>4</v>
      </c>
      <c r="E40" s="3">
        <f>((1/(INDEX(E0!J$4:J$52,C40,1)-INDEX(E0!J$4:J$52,D40,1))))*100000000</f>
        <v>0</v>
      </c>
      <c r="F40" s="4" t="str">
        <f>HYPERLINK("http://141.218.60.56/~jnz1568/getInfo.php?workbook=02_02.xlsx&amp;sheet=A0&amp;row=40&amp;col=6&amp;number=&amp;sourceID=27","")</f>
        <v/>
      </c>
      <c r="G40" s="4" t="str">
        <f>HYPERLINK("http://141.218.60.56/~jnz1568/getInfo.php?workbook=02_02.xlsx&amp;sheet=A0&amp;row=40&amp;col=7&amp;number=&amp;sourceID=26","")</f>
        <v/>
      </c>
      <c r="H40" s="4" t="str">
        <f>HYPERLINK("http://141.218.60.56/~jnz1568/getInfo.php?workbook=02_02.xlsx&amp;sheet=A0&amp;row=40&amp;col=8&amp;number=&amp;sourceID=26","")</f>
        <v/>
      </c>
      <c r="I40" s="4" t="str">
        <f>HYPERLINK("http://141.218.60.56/~jnz1568/getInfo.php?workbook=02_02.xlsx&amp;sheet=A0&amp;row=40&amp;col=9&amp;number=1964100&amp;sourceID=15","1964100")</f>
        <v>1964100</v>
      </c>
      <c r="J40" s="4" t="str">
        <f>HYPERLINK("http://141.218.60.56/~jnz1568/getInfo.php?workbook=02_02.xlsx&amp;sheet=A0&amp;row=40&amp;col=10&amp;number=&amp;sourceID=15","")</f>
        <v/>
      </c>
      <c r="K40" s="4" t="str">
        <f>HYPERLINK("http://141.218.60.56/~jnz1568/getInfo.php?workbook=02_02.xlsx&amp;sheet=A0&amp;row=40&amp;col=11&amp;number=&amp;sourceID=15","")</f>
        <v/>
      </c>
      <c r="L40" s="4" t="str">
        <f>HYPERLINK("http://141.218.60.56/~jnz1568/getInfo.php?workbook=02_02.xlsx&amp;sheet=A0&amp;row=40&amp;col=12&amp;number=&amp;sourceID=15","")</f>
        <v/>
      </c>
      <c r="M40" s="4" t="str">
        <f>HYPERLINK("http://141.218.60.56/~jnz1568/getInfo.php?workbook=02_02.xlsx&amp;sheet=A0&amp;row=40&amp;col=13&amp;number=1965100&amp;sourceID=23","1965100")</f>
        <v>1965100</v>
      </c>
    </row>
    <row r="41" spans="1:13">
      <c r="A41" s="3">
        <v>2</v>
      </c>
      <c r="B41" s="3">
        <v>2</v>
      </c>
      <c r="C41" s="3">
        <v>15</v>
      </c>
      <c r="D41" s="3">
        <v>5</v>
      </c>
      <c r="E41" s="3">
        <f>((1/(INDEX(E0!J$4:J$52,C41,1)-INDEX(E0!J$4:J$52,D41,1))))*100000000</f>
        <v>0</v>
      </c>
      <c r="F41" s="4" t="str">
        <f>HYPERLINK("http://141.218.60.56/~jnz1568/getInfo.php?workbook=02_02.xlsx&amp;sheet=A0&amp;row=41&amp;col=6&amp;number=&amp;sourceID=27","")</f>
        <v/>
      </c>
      <c r="G41" s="4" t="str">
        <f>HYPERLINK("http://141.218.60.56/~jnz1568/getInfo.php?workbook=02_02.xlsx&amp;sheet=A0&amp;row=41&amp;col=7&amp;number=&amp;sourceID=26","")</f>
        <v/>
      </c>
      <c r="H41" s="4" t="str">
        <f>HYPERLINK("http://141.218.60.56/~jnz1568/getInfo.php?workbook=02_02.xlsx&amp;sheet=A0&amp;row=41&amp;col=8&amp;number=&amp;sourceID=26","")</f>
        <v/>
      </c>
      <c r="I41" s="4" t="str">
        <f>HYPERLINK("http://141.218.60.56/~jnz1568/getInfo.php?workbook=02_02.xlsx&amp;sheet=A0&amp;row=41&amp;col=9&amp;number=29462000&amp;sourceID=15","29462000")</f>
        <v>29462000</v>
      </c>
      <c r="J41" s="4" t="str">
        <f>HYPERLINK("http://141.218.60.56/~jnz1568/getInfo.php?workbook=02_02.xlsx&amp;sheet=A0&amp;row=41&amp;col=10&amp;number=&amp;sourceID=15","")</f>
        <v/>
      </c>
      <c r="K41" s="4" t="str">
        <f>HYPERLINK("http://141.218.60.56/~jnz1568/getInfo.php?workbook=02_02.xlsx&amp;sheet=A0&amp;row=41&amp;col=11&amp;number=&amp;sourceID=15","")</f>
        <v/>
      </c>
      <c r="L41" s="4" t="str">
        <f>HYPERLINK("http://141.218.60.56/~jnz1568/getInfo.php?workbook=02_02.xlsx&amp;sheet=A0&amp;row=41&amp;col=12&amp;number=&amp;sourceID=15","")</f>
        <v/>
      </c>
      <c r="M41" s="4" t="str">
        <f>HYPERLINK("http://141.218.60.56/~jnz1568/getInfo.php?workbook=02_02.xlsx&amp;sheet=A0&amp;row=41&amp;col=13&amp;number=29475000&amp;sourceID=23","29475000")</f>
        <v>29475000</v>
      </c>
    </row>
    <row r="42" spans="1:13">
      <c r="A42" s="3">
        <v>2</v>
      </c>
      <c r="B42" s="3">
        <v>2</v>
      </c>
      <c r="C42" s="3">
        <v>15</v>
      </c>
      <c r="D42" s="3">
        <v>6</v>
      </c>
      <c r="E42" s="3">
        <f>((1/(INDEX(E0!J$4:J$52,C42,1)-INDEX(E0!J$4:J$52,D42,1))))*100000000</f>
        <v>0</v>
      </c>
      <c r="F42" s="4" t="str">
        <f>HYPERLINK("http://141.218.60.56/~jnz1568/getInfo.php?workbook=02_02.xlsx&amp;sheet=A0&amp;row=42&amp;col=6&amp;number=&amp;sourceID=27","")</f>
        <v/>
      </c>
      <c r="G42" s="4" t="str">
        <f>HYPERLINK("http://141.218.60.56/~jnz1568/getInfo.php?workbook=02_02.xlsx&amp;sheet=A0&amp;row=42&amp;col=7&amp;number=&amp;sourceID=26","")</f>
        <v/>
      </c>
      <c r="H42" s="4" t="str">
        <f>HYPERLINK("http://141.218.60.56/~jnz1568/getInfo.php?workbook=02_02.xlsx&amp;sheet=A0&amp;row=42&amp;col=8&amp;number=&amp;sourceID=26","")</f>
        <v/>
      </c>
      <c r="I42" s="4" t="str">
        <f>HYPERLINK("http://141.218.60.56/~jnz1568/getInfo.php?workbook=02_02.xlsx&amp;sheet=A0&amp;row=42&amp;col=9&amp;number=39282000&amp;sourceID=15","39282000")</f>
        <v>39282000</v>
      </c>
      <c r="J42" s="4" t="str">
        <f>HYPERLINK("http://141.218.60.56/~jnz1568/getInfo.php?workbook=02_02.xlsx&amp;sheet=A0&amp;row=42&amp;col=10&amp;number=&amp;sourceID=15","")</f>
        <v/>
      </c>
      <c r="K42" s="4" t="str">
        <f>HYPERLINK("http://141.218.60.56/~jnz1568/getInfo.php?workbook=02_02.xlsx&amp;sheet=A0&amp;row=42&amp;col=11&amp;number=&amp;sourceID=15","")</f>
        <v/>
      </c>
      <c r="L42" s="4" t="str">
        <f>HYPERLINK("http://141.218.60.56/~jnz1568/getInfo.php?workbook=02_02.xlsx&amp;sheet=A0&amp;row=42&amp;col=12&amp;number=&amp;sourceID=15","")</f>
        <v/>
      </c>
      <c r="M42" s="4" t="str">
        <f>HYPERLINK("http://141.218.60.56/~jnz1568/getInfo.php?workbook=02_02.xlsx&amp;sheet=A0&amp;row=42&amp;col=13&amp;number=39298000&amp;sourceID=23","39298000")</f>
        <v>39298000</v>
      </c>
    </row>
    <row r="43" spans="1:13">
      <c r="A43" s="3">
        <v>2</v>
      </c>
      <c r="B43" s="3">
        <v>2</v>
      </c>
      <c r="C43" s="3">
        <v>15</v>
      </c>
      <c r="D43" s="3">
        <v>7</v>
      </c>
      <c r="E43" s="3">
        <f>((1/(INDEX(E0!J$4:J$52,C43,1)-INDEX(E0!J$4:J$52,D43,1))))*100000000</f>
        <v>0</v>
      </c>
      <c r="F43" s="4" t="str">
        <f>HYPERLINK("http://141.218.60.56/~jnz1568/getInfo.php?workbook=02_02.xlsx&amp;sheet=A0&amp;row=43&amp;col=6&amp;number=&amp;sourceID=27","")</f>
        <v/>
      </c>
      <c r="G43" s="4" t="str">
        <f>HYPERLINK("http://141.218.60.56/~jnz1568/getInfo.php?workbook=02_02.xlsx&amp;sheet=A0&amp;row=43&amp;col=7&amp;number=2.026&amp;sourceID=26","2.026")</f>
        <v>2.026</v>
      </c>
      <c r="H43" s="4" t="str">
        <f>HYPERLINK("http://141.218.60.56/~jnz1568/getInfo.php?workbook=02_02.xlsx&amp;sheet=A0&amp;row=43&amp;col=8&amp;number=&amp;sourceID=26","")</f>
        <v/>
      </c>
      <c r="I43" s="4" t="str">
        <f>HYPERLINK("http://141.218.60.56/~jnz1568/getInfo.php?workbook=02_02.xlsx&amp;sheet=A0&amp;row=43&amp;col=9&amp;number=&amp;sourceID=15","")</f>
        <v/>
      </c>
      <c r="J43" s="4" t="str">
        <f>HYPERLINK("http://141.218.60.56/~jnz1568/getInfo.php?workbook=02_02.xlsx&amp;sheet=A0&amp;row=43&amp;col=10&amp;number=&amp;sourceID=15","")</f>
        <v/>
      </c>
      <c r="K43" s="4" t="str">
        <f>HYPERLINK("http://141.218.60.56/~jnz1568/getInfo.php?workbook=02_02.xlsx&amp;sheet=A0&amp;row=43&amp;col=11&amp;number=&amp;sourceID=15","")</f>
        <v/>
      </c>
      <c r="L43" s="4" t="str">
        <f>HYPERLINK("http://141.218.60.56/~jnz1568/getInfo.php?workbook=02_02.xlsx&amp;sheet=A0&amp;row=43&amp;col=12&amp;number=&amp;sourceID=15","")</f>
        <v/>
      </c>
      <c r="M43" s="4" t="str">
        <f>HYPERLINK("http://141.218.60.56/~jnz1568/getInfo.php?workbook=02_02.xlsx&amp;sheet=A0&amp;row=43&amp;col=13&amp;number=2.019&amp;sourceID=23","2.019")</f>
        <v>2.019</v>
      </c>
    </row>
    <row r="44" spans="1:13">
      <c r="A44" s="3">
        <v>2</v>
      </c>
      <c r="B44" s="3">
        <v>2</v>
      </c>
      <c r="C44" s="3">
        <v>15</v>
      </c>
      <c r="D44" s="3">
        <v>10</v>
      </c>
      <c r="E44" s="3">
        <f>((1/(INDEX(E0!J$4:J$52,C44,1)-INDEX(E0!J$4:J$52,D44,1))))*100000000</f>
        <v>0</v>
      </c>
      <c r="F44" s="4" t="str">
        <f>HYPERLINK("http://141.218.60.56/~jnz1568/getInfo.php?workbook=02_02.xlsx&amp;sheet=A0&amp;row=44&amp;col=6&amp;number=&amp;sourceID=27","")</f>
        <v/>
      </c>
      <c r="G44" s="4" t="str">
        <f>HYPERLINK("http://141.218.60.56/~jnz1568/getInfo.php?workbook=02_02.xlsx&amp;sheet=A0&amp;row=44&amp;col=7&amp;number=&amp;sourceID=26","")</f>
        <v/>
      </c>
      <c r="H44" s="4" t="str">
        <f>HYPERLINK("http://141.218.60.56/~jnz1568/getInfo.php?workbook=02_02.xlsx&amp;sheet=A0&amp;row=44&amp;col=8&amp;number=&amp;sourceID=26","")</f>
        <v/>
      </c>
      <c r="I44" s="4" t="str">
        <f>HYPERLINK("http://141.218.60.56/~jnz1568/getInfo.php?workbook=02_02.xlsx&amp;sheet=A0&amp;row=44&amp;col=9&amp;number=358.79&amp;sourceID=15","358.79")</f>
        <v>358.79</v>
      </c>
      <c r="J44" s="4" t="str">
        <f>HYPERLINK("http://141.218.60.56/~jnz1568/getInfo.php?workbook=02_02.xlsx&amp;sheet=A0&amp;row=44&amp;col=10&amp;number=&amp;sourceID=15","")</f>
        <v/>
      </c>
      <c r="K44" s="4" t="str">
        <f>HYPERLINK("http://141.218.60.56/~jnz1568/getInfo.php?workbook=02_02.xlsx&amp;sheet=A0&amp;row=44&amp;col=11&amp;number=&amp;sourceID=15","")</f>
        <v/>
      </c>
      <c r="L44" s="4" t="str">
        <f>HYPERLINK("http://141.218.60.56/~jnz1568/getInfo.php?workbook=02_02.xlsx&amp;sheet=A0&amp;row=44&amp;col=12&amp;number=&amp;sourceID=15","")</f>
        <v/>
      </c>
      <c r="M44" s="4" t="str">
        <f>HYPERLINK("http://141.218.60.56/~jnz1568/getInfo.php?workbook=02_02.xlsx&amp;sheet=A0&amp;row=44&amp;col=13&amp;number=362.3&amp;sourceID=23","362.3")</f>
        <v>362.3</v>
      </c>
    </row>
    <row r="45" spans="1:13">
      <c r="A45" s="3">
        <v>2</v>
      </c>
      <c r="B45" s="3">
        <v>2</v>
      </c>
      <c r="C45" s="3">
        <v>15</v>
      </c>
      <c r="D45" s="3">
        <v>11</v>
      </c>
      <c r="E45" s="3">
        <f>((1/(INDEX(E0!J$4:J$52,C45,1)-INDEX(E0!J$4:J$52,D45,1))))*100000000</f>
        <v>0</v>
      </c>
      <c r="F45" s="4" t="str">
        <f>HYPERLINK("http://141.218.60.56/~jnz1568/getInfo.php?workbook=02_02.xlsx&amp;sheet=A0&amp;row=45&amp;col=6&amp;number=&amp;sourceID=27","")</f>
        <v/>
      </c>
      <c r="G45" s="4" t="str">
        <f>HYPERLINK("http://141.218.60.56/~jnz1568/getInfo.php?workbook=02_02.xlsx&amp;sheet=A0&amp;row=45&amp;col=7&amp;number=&amp;sourceID=26","")</f>
        <v/>
      </c>
      <c r="H45" s="4" t="str">
        <f>HYPERLINK("http://141.218.60.56/~jnz1568/getInfo.php?workbook=02_02.xlsx&amp;sheet=A0&amp;row=45&amp;col=8&amp;number=&amp;sourceID=26","")</f>
        <v/>
      </c>
      <c r="I45" s="4" t="str">
        <f>HYPERLINK("http://141.218.60.56/~jnz1568/getInfo.php?workbook=02_02.xlsx&amp;sheet=A0&amp;row=45&amp;col=9&amp;number=5381.9&amp;sourceID=15","5381.9")</f>
        <v>5381.9</v>
      </c>
      <c r="J45" s="4" t="str">
        <f>HYPERLINK("http://141.218.60.56/~jnz1568/getInfo.php?workbook=02_02.xlsx&amp;sheet=A0&amp;row=45&amp;col=10&amp;number=&amp;sourceID=15","")</f>
        <v/>
      </c>
      <c r="K45" s="4" t="str">
        <f>HYPERLINK("http://141.218.60.56/~jnz1568/getInfo.php?workbook=02_02.xlsx&amp;sheet=A0&amp;row=45&amp;col=11&amp;number=&amp;sourceID=15","")</f>
        <v/>
      </c>
      <c r="L45" s="4" t="str">
        <f>HYPERLINK("http://141.218.60.56/~jnz1568/getInfo.php?workbook=02_02.xlsx&amp;sheet=A0&amp;row=45&amp;col=12&amp;number=&amp;sourceID=15","")</f>
        <v/>
      </c>
      <c r="M45" s="4" t="str">
        <f>HYPERLINK("http://141.218.60.56/~jnz1568/getInfo.php?workbook=02_02.xlsx&amp;sheet=A0&amp;row=45&amp;col=13&amp;number=5433.3&amp;sourceID=23","5433.3")</f>
        <v>5433.3</v>
      </c>
    </row>
    <row r="46" spans="1:13">
      <c r="A46" s="3">
        <v>2</v>
      </c>
      <c r="B46" s="3">
        <v>2</v>
      </c>
      <c r="C46" s="3">
        <v>15</v>
      </c>
      <c r="D46" s="3">
        <v>12</v>
      </c>
      <c r="E46" s="3">
        <f>((1/(INDEX(E0!J$4:J$52,C46,1)-INDEX(E0!J$4:J$52,D46,1))))*100000000</f>
        <v>0</v>
      </c>
      <c r="F46" s="4" t="str">
        <f>HYPERLINK("http://141.218.60.56/~jnz1568/getInfo.php?workbook=02_02.xlsx&amp;sheet=A0&amp;row=46&amp;col=6&amp;number=&amp;sourceID=27","")</f>
        <v/>
      </c>
      <c r="G46" s="4" t="str">
        <f>HYPERLINK("http://141.218.60.56/~jnz1568/getInfo.php?workbook=02_02.xlsx&amp;sheet=A0&amp;row=46&amp;col=7&amp;number=&amp;sourceID=26","")</f>
        <v/>
      </c>
      <c r="H46" s="4" t="str">
        <f>HYPERLINK("http://141.218.60.56/~jnz1568/getInfo.php?workbook=02_02.xlsx&amp;sheet=A0&amp;row=46&amp;col=8&amp;number=&amp;sourceID=26","")</f>
        <v/>
      </c>
      <c r="I46" s="4" t="str">
        <f>HYPERLINK("http://141.218.60.56/~jnz1568/getInfo.php?workbook=02_02.xlsx&amp;sheet=A0&amp;row=46&amp;col=9&amp;number=7175.9&amp;sourceID=15","7175.9")</f>
        <v>7175.9</v>
      </c>
      <c r="J46" s="4" t="str">
        <f>HYPERLINK("http://141.218.60.56/~jnz1568/getInfo.php?workbook=02_02.xlsx&amp;sheet=A0&amp;row=46&amp;col=10&amp;number=&amp;sourceID=15","")</f>
        <v/>
      </c>
      <c r="K46" s="4" t="str">
        <f>HYPERLINK("http://141.218.60.56/~jnz1568/getInfo.php?workbook=02_02.xlsx&amp;sheet=A0&amp;row=46&amp;col=11&amp;number=&amp;sourceID=15","")</f>
        <v/>
      </c>
      <c r="L46" s="4" t="str">
        <f>HYPERLINK("http://141.218.60.56/~jnz1568/getInfo.php?workbook=02_02.xlsx&amp;sheet=A0&amp;row=46&amp;col=12&amp;number=&amp;sourceID=15","")</f>
        <v/>
      </c>
      <c r="M46" s="4" t="str">
        <f>HYPERLINK("http://141.218.60.56/~jnz1568/getInfo.php?workbook=02_02.xlsx&amp;sheet=A0&amp;row=46&amp;col=13&amp;number=7233.3&amp;sourceID=23","7233.3")</f>
        <v>7233.3</v>
      </c>
    </row>
    <row r="47" spans="1:13">
      <c r="A47" s="3">
        <v>2</v>
      </c>
      <c r="B47" s="3">
        <v>2</v>
      </c>
      <c r="C47" s="3">
        <v>16</v>
      </c>
      <c r="D47" s="3">
        <v>1</v>
      </c>
      <c r="E47" s="3">
        <f>((1/(INDEX(E0!J$4:J$52,C47,1)-INDEX(E0!J$4:J$52,D47,1))))*100000000</f>
        <v>0</v>
      </c>
      <c r="F47" s="4" t="str">
        <f>HYPERLINK("http://141.218.60.56/~jnz1568/getInfo.php?workbook=02_02.xlsx&amp;sheet=A0&amp;row=47&amp;col=6&amp;number=&amp;sourceID=27","")</f>
        <v/>
      </c>
      <c r="G47" s="4" t="str">
        <f>HYPERLINK("http://141.218.60.56/~jnz1568/getInfo.php?workbook=02_02.xlsx&amp;sheet=A0&amp;row=47&amp;col=7&amp;number=&amp;sourceID=26","")</f>
        <v/>
      </c>
      <c r="H47" s="4" t="str">
        <f>HYPERLINK("http://141.218.60.56/~jnz1568/getInfo.php?workbook=02_02.xlsx&amp;sheet=A0&amp;row=47&amp;col=8&amp;number=&amp;sourceID=26","")</f>
        <v/>
      </c>
      <c r="I47" s="4" t="str">
        <f>HYPERLINK("http://141.218.60.56/~jnz1568/getInfo.php?workbook=02_02.xlsx&amp;sheet=A0&amp;row=47&amp;col=9&amp;number=&amp;sourceID=15","")</f>
        <v/>
      </c>
      <c r="J47" s="4" t="str">
        <f>HYPERLINK("http://141.218.60.56/~jnz1568/getInfo.php?workbook=02_02.xlsx&amp;sheet=A0&amp;row=47&amp;col=10&amp;number=1299&amp;sourceID=15","1299")</f>
        <v>1299</v>
      </c>
      <c r="K47" s="4" t="str">
        <f>HYPERLINK("http://141.218.60.56/~jnz1568/getInfo.php?workbook=02_02.xlsx&amp;sheet=A0&amp;row=47&amp;col=11&amp;number=&amp;sourceID=15","")</f>
        <v/>
      </c>
      <c r="L47" s="4" t="str">
        <f>HYPERLINK("http://141.218.60.56/~jnz1568/getInfo.php?workbook=02_02.xlsx&amp;sheet=A0&amp;row=47&amp;col=12&amp;number=&amp;sourceID=15","")</f>
        <v/>
      </c>
      <c r="M47" s="4" t="str">
        <f>HYPERLINK("http://141.218.60.56/~jnz1568/getInfo.php?workbook=02_02.xlsx&amp;sheet=A0&amp;row=47&amp;col=13&amp;number=&amp;sourceID=23","")</f>
        <v/>
      </c>
    </row>
    <row r="48" spans="1:13">
      <c r="A48" s="3">
        <v>2</v>
      </c>
      <c r="B48" s="3">
        <v>2</v>
      </c>
      <c r="C48" s="3">
        <v>16</v>
      </c>
      <c r="D48" s="3">
        <v>3</v>
      </c>
      <c r="E48" s="3">
        <f>((1/(INDEX(E0!J$4:J$52,C48,1)-INDEX(E0!J$4:J$52,D48,1))))*100000000</f>
        <v>0</v>
      </c>
      <c r="F48" s="4" t="str">
        <f>HYPERLINK("http://141.218.60.56/~jnz1568/getInfo.php?workbook=02_02.xlsx&amp;sheet=A0&amp;row=48&amp;col=6&amp;number=&amp;sourceID=27","")</f>
        <v/>
      </c>
      <c r="G48" s="4" t="str">
        <f>HYPERLINK("http://141.218.60.56/~jnz1568/getInfo.php?workbook=02_02.xlsx&amp;sheet=A0&amp;row=48&amp;col=7&amp;number=&amp;sourceID=26","")</f>
        <v/>
      </c>
      <c r="H48" s="4" t="str">
        <f>HYPERLINK("http://141.218.60.56/~jnz1568/getInfo.php?workbook=02_02.xlsx&amp;sheet=A0&amp;row=48&amp;col=8&amp;number=&amp;sourceID=26","")</f>
        <v/>
      </c>
      <c r="I48" s="4" t="str">
        <f>HYPERLINK("http://141.218.60.56/~jnz1568/getInfo.php?workbook=02_02.xlsx&amp;sheet=A0&amp;row=48&amp;col=9&amp;number=&amp;sourceID=15","")</f>
        <v/>
      </c>
      <c r="J48" s="4" t="str">
        <f>HYPERLINK("http://141.218.60.56/~jnz1568/getInfo.php?workbook=02_02.xlsx&amp;sheet=A0&amp;row=48&amp;col=10&amp;number=102.2&amp;sourceID=15","102.2")</f>
        <v>102.2</v>
      </c>
      <c r="K48" s="4" t="str">
        <f>HYPERLINK("http://141.218.60.56/~jnz1568/getInfo.php?workbook=02_02.xlsx&amp;sheet=A0&amp;row=48&amp;col=11&amp;number=&amp;sourceID=15","")</f>
        <v/>
      </c>
      <c r="L48" s="4" t="str">
        <f>HYPERLINK("http://141.218.60.56/~jnz1568/getInfo.php?workbook=02_02.xlsx&amp;sheet=A0&amp;row=48&amp;col=12&amp;number=&amp;sourceID=15","")</f>
        <v/>
      </c>
      <c r="M48" s="4" t="str">
        <f>HYPERLINK("http://141.218.60.56/~jnz1568/getInfo.php?workbook=02_02.xlsx&amp;sheet=A0&amp;row=48&amp;col=13&amp;number=&amp;sourceID=23","")</f>
        <v/>
      </c>
    </row>
    <row r="49" spans="1:13">
      <c r="A49" s="3">
        <v>2</v>
      </c>
      <c r="B49" s="3">
        <v>2</v>
      </c>
      <c r="C49" s="3">
        <v>16</v>
      </c>
      <c r="D49" s="3">
        <v>4</v>
      </c>
      <c r="E49" s="3">
        <f>((1/(INDEX(E0!J$4:J$52,C49,1)-INDEX(E0!J$4:J$52,D49,1))))*100000000</f>
        <v>0</v>
      </c>
      <c r="F49" s="4" t="str">
        <f>HYPERLINK("http://141.218.60.56/~jnz1568/getInfo.php?workbook=02_02.xlsx&amp;sheet=A0&amp;row=49&amp;col=6&amp;number=&amp;sourceID=27","")</f>
        <v/>
      </c>
      <c r="G49" s="4" t="str">
        <f>HYPERLINK("http://141.218.60.56/~jnz1568/getInfo.php?workbook=02_02.xlsx&amp;sheet=A0&amp;row=49&amp;col=7&amp;number=4292.8&amp;sourceID=26","4292.8")</f>
        <v>4292.8</v>
      </c>
      <c r="H49" s="4" t="str">
        <f>HYPERLINK("http://141.218.60.56/~jnz1568/getInfo.php?workbook=02_02.xlsx&amp;sheet=A0&amp;row=49&amp;col=8&amp;number=&amp;sourceID=26","")</f>
        <v/>
      </c>
      <c r="I49" s="4" t="str">
        <f>HYPERLINK("http://141.218.60.56/~jnz1568/getInfo.php?workbook=02_02.xlsx&amp;sheet=A0&amp;row=49&amp;col=9&amp;number=4310&amp;sourceID=15","4310")</f>
        <v>4310</v>
      </c>
      <c r="J49" s="4" t="str">
        <f>HYPERLINK("http://141.218.60.56/~jnz1568/getInfo.php?workbook=02_02.xlsx&amp;sheet=A0&amp;row=49&amp;col=10&amp;number=&amp;sourceID=15","")</f>
        <v/>
      </c>
      <c r="K49" s="4" t="str">
        <f>HYPERLINK("http://141.218.60.56/~jnz1568/getInfo.php?workbook=02_02.xlsx&amp;sheet=A0&amp;row=49&amp;col=11&amp;number=&amp;sourceID=15","")</f>
        <v/>
      </c>
      <c r="L49" s="4" t="str">
        <f>HYPERLINK("http://141.218.60.56/~jnz1568/getInfo.php?workbook=02_02.xlsx&amp;sheet=A0&amp;row=49&amp;col=12&amp;number=&amp;sourceID=15","")</f>
        <v/>
      </c>
      <c r="M49" s="4" t="str">
        <f>HYPERLINK("http://141.218.60.56/~jnz1568/getInfo.php?workbook=02_02.xlsx&amp;sheet=A0&amp;row=49&amp;col=13&amp;number=4363.9&amp;sourceID=23","4363.9")</f>
        <v>4363.9</v>
      </c>
    </row>
    <row r="50" spans="1:13">
      <c r="A50" s="3">
        <v>2</v>
      </c>
      <c r="B50" s="3">
        <v>2</v>
      </c>
      <c r="C50" s="3">
        <v>16</v>
      </c>
      <c r="D50" s="3">
        <v>5</v>
      </c>
      <c r="E50" s="3">
        <f>((1/(INDEX(E0!J$4:J$52,C50,1)-INDEX(E0!J$4:J$52,D50,1))))*100000000</f>
        <v>0</v>
      </c>
      <c r="F50" s="4" t="str">
        <f>HYPERLINK("http://141.218.60.56/~jnz1568/getInfo.php?workbook=02_02.xlsx&amp;sheet=A0&amp;row=50&amp;col=6&amp;number=&amp;sourceID=27","")</f>
        <v/>
      </c>
      <c r="G50" s="4" t="str">
        <f>HYPERLINK("http://141.218.60.56/~jnz1568/getInfo.php?workbook=02_02.xlsx&amp;sheet=A0&amp;row=50&amp;col=7&amp;number=12344&amp;sourceID=26","12344")</f>
        <v>12344</v>
      </c>
      <c r="H50" s="4" t="str">
        <f>HYPERLINK("http://141.218.60.56/~jnz1568/getInfo.php?workbook=02_02.xlsx&amp;sheet=A0&amp;row=50&amp;col=8&amp;number=&amp;sourceID=26","")</f>
        <v/>
      </c>
      <c r="I50" s="4" t="str">
        <f>HYPERLINK("http://141.218.60.56/~jnz1568/getInfo.php?workbook=02_02.xlsx&amp;sheet=A0&amp;row=50&amp;col=9&amp;number=12320&amp;sourceID=15","12320")</f>
        <v>12320</v>
      </c>
      <c r="J50" s="4" t="str">
        <f>HYPERLINK("http://141.218.60.56/~jnz1568/getInfo.php?workbook=02_02.xlsx&amp;sheet=A0&amp;row=50&amp;col=10&amp;number=&amp;sourceID=15","")</f>
        <v/>
      </c>
      <c r="K50" s="4" t="str">
        <f>HYPERLINK("http://141.218.60.56/~jnz1568/getInfo.php?workbook=02_02.xlsx&amp;sheet=A0&amp;row=50&amp;col=11&amp;number=&amp;sourceID=15","")</f>
        <v/>
      </c>
      <c r="L50" s="4" t="str">
        <f>HYPERLINK("http://141.218.60.56/~jnz1568/getInfo.php?workbook=02_02.xlsx&amp;sheet=A0&amp;row=50&amp;col=12&amp;number=&amp;sourceID=15","")</f>
        <v/>
      </c>
      <c r="M50" s="4" t="str">
        <f>HYPERLINK("http://141.218.60.56/~jnz1568/getInfo.php?workbook=02_02.xlsx&amp;sheet=A0&amp;row=50&amp;col=13&amp;number=12547&amp;sourceID=23","12547")</f>
        <v>12547</v>
      </c>
    </row>
    <row r="51" spans="1:13">
      <c r="A51" s="3">
        <v>2</v>
      </c>
      <c r="B51" s="3">
        <v>2</v>
      </c>
      <c r="C51" s="3">
        <v>16</v>
      </c>
      <c r="D51" s="3">
        <v>7</v>
      </c>
      <c r="E51" s="3">
        <f>((1/(INDEX(E0!J$4:J$52,C51,1)-INDEX(E0!J$4:J$52,D51,1))))*100000000</f>
        <v>0</v>
      </c>
      <c r="F51" s="4" t="str">
        <f>HYPERLINK("http://141.218.60.56/~jnz1568/getInfo.php?workbook=02_02.xlsx&amp;sheet=A0&amp;row=51&amp;col=6&amp;number=&amp;sourceID=27","")</f>
        <v/>
      </c>
      <c r="G51" s="4" t="str">
        <f>HYPERLINK("http://141.218.60.56/~jnz1568/getInfo.php?workbook=02_02.xlsx&amp;sheet=A0&amp;row=51&amp;col=7&amp;number=63694000&amp;sourceID=26","63694000")</f>
        <v>63694000</v>
      </c>
      <c r="H51" s="4" t="str">
        <f>HYPERLINK("http://141.218.60.56/~jnz1568/getInfo.php?workbook=02_02.xlsx&amp;sheet=A0&amp;row=51&amp;col=8&amp;number=&amp;sourceID=26","")</f>
        <v/>
      </c>
      <c r="I51" s="4" t="str">
        <f>HYPERLINK("http://141.218.60.56/~jnz1568/getInfo.php?workbook=02_02.xlsx&amp;sheet=A0&amp;row=51&amp;col=9&amp;number=63705000&amp;sourceID=15","63705000")</f>
        <v>63705000</v>
      </c>
      <c r="J51" s="4" t="str">
        <f>HYPERLINK("http://141.218.60.56/~jnz1568/getInfo.php?workbook=02_02.xlsx&amp;sheet=A0&amp;row=51&amp;col=10&amp;number=&amp;sourceID=15","")</f>
        <v/>
      </c>
      <c r="K51" s="4" t="str">
        <f>HYPERLINK("http://141.218.60.56/~jnz1568/getInfo.php?workbook=02_02.xlsx&amp;sheet=A0&amp;row=51&amp;col=11&amp;number=&amp;sourceID=15","")</f>
        <v/>
      </c>
      <c r="L51" s="4" t="str">
        <f>HYPERLINK("http://141.218.60.56/~jnz1568/getInfo.php?workbook=02_02.xlsx&amp;sheet=A0&amp;row=51&amp;col=12&amp;number=&amp;sourceID=15","")</f>
        <v/>
      </c>
      <c r="M51" s="4" t="str">
        <f>HYPERLINK("http://141.218.60.56/~jnz1568/getInfo.php?workbook=02_02.xlsx&amp;sheet=A0&amp;row=51&amp;col=13&amp;number=63734000&amp;sourceID=23","63734000")</f>
        <v>63734000</v>
      </c>
    </row>
    <row r="52" spans="1:13">
      <c r="A52" s="3">
        <v>2</v>
      </c>
      <c r="B52" s="3">
        <v>2</v>
      </c>
      <c r="C52" s="3">
        <v>16</v>
      </c>
      <c r="D52" s="3">
        <v>9</v>
      </c>
      <c r="E52" s="3">
        <f>((1/(INDEX(E0!J$4:J$52,C52,1)-INDEX(E0!J$4:J$52,D52,1))))*100000000</f>
        <v>0</v>
      </c>
      <c r="F52" s="4" t="str">
        <f>HYPERLINK("http://141.218.60.56/~jnz1568/getInfo.php?workbook=02_02.xlsx&amp;sheet=A0&amp;row=52&amp;col=6&amp;number=&amp;sourceID=27","")</f>
        <v/>
      </c>
      <c r="G52" s="4" t="str">
        <f>HYPERLINK("http://141.218.60.56/~jnz1568/getInfo.php?workbook=02_02.xlsx&amp;sheet=A0&amp;row=52&amp;col=7&amp;number=&amp;sourceID=26","")</f>
        <v/>
      </c>
      <c r="H52" s="4" t="str">
        <f>HYPERLINK("http://141.218.60.56/~jnz1568/getInfo.php?workbook=02_02.xlsx&amp;sheet=A0&amp;row=52&amp;col=8&amp;number=&amp;sourceID=26","")</f>
        <v/>
      </c>
      <c r="I52" s="4" t="str">
        <f>HYPERLINK("http://141.218.60.56/~jnz1568/getInfo.php?workbook=02_02.xlsx&amp;sheet=A0&amp;row=52&amp;col=9&amp;number=&amp;sourceID=15","")</f>
        <v/>
      </c>
      <c r="J52" s="4" t="str">
        <f>HYPERLINK("http://141.218.60.56/~jnz1568/getInfo.php?workbook=02_02.xlsx&amp;sheet=A0&amp;row=52&amp;col=10&amp;number=0.0012492&amp;sourceID=15","0.0012492")</f>
        <v>0.0012492</v>
      </c>
      <c r="K52" s="4" t="str">
        <f>HYPERLINK("http://141.218.60.56/~jnz1568/getInfo.php?workbook=02_02.xlsx&amp;sheet=A0&amp;row=52&amp;col=11&amp;number=&amp;sourceID=15","")</f>
        <v/>
      </c>
      <c r="L52" s="4" t="str">
        <f>HYPERLINK("http://141.218.60.56/~jnz1568/getInfo.php?workbook=02_02.xlsx&amp;sheet=A0&amp;row=52&amp;col=12&amp;number=&amp;sourceID=15","")</f>
        <v/>
      </c>
      <c r="M52" s="4" t="str">
        <f>HYPERLINK("http://141.218.60.56/~jnz1568/getInfo.php?workbook=02_02.xlsx&amp;sheet=A0&amp;row=52&amp;col=13&amp;number=&amp;sourceID=23","")</f>
        <v/>
      </c>
    </row>
    <row r="53" spans="1:13">
      <c r="A53" s="3">
        <v>2</v>
      </c>
      <c r="B53" s="3">
        <v>2</v>
      </c>
      <c r="C53" s="3">
        <v>16</v>
      </c>
      <c r="D53" s="3">
        <v>10</v>
      </c>
      <c r="E53" s="3">
        <f>((1/(INDEX(E0!J$4:J$52,C53,1)-INDEX(E0!J$4:J$52,D53,1))))*100000000</f>
        <v>0</v>
      </c>
      <c r="F53" s="4" t="str">
        <f>HYPERLINK("http://141.218.60.56/~jnz1568/getInfo.php?workbook=02_02.xlsx&amp;sheet=A0&amp;row=53&amp;col=6&amp;number=&amp;sourceID=27","")</f>
        <v/>
      </c>
      <c r="G53" s="4" t="str">
        <f>HYPERLINK("http://141.218.60.56/~jnz1568/getInfo.php?workbook=02_02.xlsx&amp;sheet=A0&amp;row=53&amp;col=7&amp;number=&amp;sourceID=26","")</f>
        <v/>
      </c>
      <c r="H53" s="4" t="str">
        <f>HYPERLINK("http://141.218.60.56/~jnz1568/getInfo.php?workbook=02_02.xlsx&amp;sheet=A0&amp;row=53&amp;col=8&amp;number=&amp;sourceID=26","")</f>
        <v/>
      </c>
      <c r="I53" s="4" t="str">
        <f>HYPERLINK("http://141.218.60.56/~jnz1568/getInfo.php?workbook=02_02.xlsx&amp;sheet=A0&amp;row=53&amp;col=9&amp;number=&amp;sourceID=15","")</f>
        <v/>
      </c>
      <c r="J53" s="4" t="str">
        <f>HYPERLINK("http://141.218.60.56/~jnz1568/getInfo.php?workbook=02_02.xlsx&amp;sheet=A0&amp;row=53&amp;col=10&amp;number=&amp;sourceID=15","")</f>
        <v/>
      </c>
      <c r="K53" s="4" t="str">
        <f>HYPERLINK("http://141.218.60.56/~jnz1568/getInfo.php?workbook=02_02.xlsx&amp;sheet=A0&amp;row=53&amp;col=11&amp;number=&amp;sourceID=15","")</f>
        <v/>
      </c>
      <c r="L53" s="4" t="str">
        <f>HYPERLINK("http://141.218.60.56/~jnz1568/getInfo.php?workbook=02_02.xlsx&amp;sheet=A0&amp;row=53&amp;col=12&amp;number=&amp;sourceID=15","")</f>
        <v/>
      </c>
      <c r="M53" s="4" t="str">
        <f>HYPERLINK("http://141.218.60.56/~jnz1568/getInfo.php?workbook=02_02.xlsx&amp;sheet=A0&amp;row=53&amp;col=13&amp;number=0.82019&amp;sourceID=23","0.82019")</f>
        <v>0.82019</v>
      </c>
    </row>
    <row r="54" spans="1:13">
      <c r="A54" s="3">
        <v>2</v>
      </c>
      <c r="B54" s="3">
        <v>2</v>
      </c>
      <c r="C54" s="3">
        <v>16</v>
      </c>
      <c r="D54" s="3">
        <v>11</v>
      </c>
      <c r="E54" s="3">
        <f>((1/(INDEX(E0!J$4:J$52,C54,1)-INDEX(E0!J$4:J$52,D54,1))))*100000000</f>
        <v>0</v>
      </c>
      <c r="F54" s="4" t="str">
        <f>HYPERLINK("http://141.218.60.56/~jnz1568/getInfo.php?workbook=02_02.xlsx&amp;sheet=A0&amp;row=54&amp;col=6&amp;number=&amp;sourceID=27","")</f>
        <v/>
      </c>
      <c r="G54" s="4" t="str">
        <f>HYPERLINK("http://141.218.60.56/~jnz1568/getInfo.php?workbook=02_02.xlsx&amp;sheet=A0&amp;row=54&amp;col=7&amp;number=&amp;sourceID=26","")</f>
        <v/>
      </c>
      <c r="H54" s="4" t="str">
        <f>HYPERLINK("http://141.218.60.56/~jnz1568/getInfo.php?workbook=02_02.xlsx&amp;sheet=A0&amp;row=54&amp;col=8&amp;number=&amp;sourceID=26","")</f>
        <v/>
      </c>
      <c r="I54" s="4" t="str">
        <f>HYPERLINK("http://141.218.60.56/~jnz1568/getInfo.php?workbook=02_02.xlsx&amp;sheet=A0&amp;row=54&amp;col=9&amp;number=2.317&amp;sourceID=15","2.317")</f>
        <v>2.317</v>
      </c>
      <c r="J54" s="4" t="str">
        <f>HYPERLINK("http://141.218.60.56/~jnz1568/getInfo.php?workbook=02_02.xlsx&amp;sheet=A0&amp;row=54&amp;col=10&amp;number=&amp;sourceID=15","")</f>
        <v/>
      </c>
      <c r="K54" s="4" t="str">
        <f>HYPERLINK("http://141.218.60.56/~jnz1568/getInfo.php?workbook=02_02.xlsx&amp;sheet=A0&amp;row=54&amp;col=11&amp;number=&amp;sourceID=15","")</f>
        <v/>
      </c>
      <c r="L54" s="4" t="str">
        <f>HYPERLINK("http://141.218.60.56/~jnz1568/getInfo.php?workbook=02_02.xlsx&amp;sheet=A0&amp;row=54&amp;col=12&amp;number=&amp;sourceID=15","")</f>
        <v/>
      </c>
      <c r="M54" s="4" t="str">
        <f>HYPERLINK("http://141.218.60.56/~jnz1568/getInfo.php?workbook=02_02.xlsx&amp;sheet=A0&amp;row=54&amp;col=13&amp;number=2.3674&amp;sourceID=23","2.3674")</f>
        <v>2.3674</v>
      </c>
    </row>
    <row r="55" spans="1:13">
      <c r="A55" s="3">
        <v>2</v>
      </c>
      <c r="B55" s="3">
        <v>2</v>
      </c>
      <c r="C55" s="3">
        <v>17</v>
      </c>
      <c r="D55" s="3">
        <v>1</v>
      </c>
      <c r="E55" s="3">
        <f>((1/(INDEX(E0!J$4:J$52,C55,1)-INDEX(E0!J$4:J$52,D55,1))))*100000000</f>
        <v>0</v>
      </c>
      <c r="F55" s="4" t="str">
        <f>HYPERLINK("http://141.218.60.56/~jnz1568/getInfo.php?workbook=02_02.xlsx&amp;sheet=A0&amp;row=55&amp;col=6&amp;number=&amp;sourceID=27","")</f>
        <v/>
      </c>
      <c r="G55" s="4" t="str">
        <f>HYPERLINK("http://141.218.60.56/~jnz1568/getInfo.php?workbook=02_02.xlsx&amp;sheet=A0&amp;row=55&amp;col=7&amp;number=&amp;sourceID=26","")</f>
        <v/>
      </c>
      <c r="H55" s="4" t="str">
        <f>HYPERLINK("http://141.218.60.56/~jnz1568/getInfo.php?workbook=02_02.xlsx&amp;sheet=A0&amp;row=55&amp;col=8&amp;number=&amp;sourceID=26","")</f>
        <v/>
      </c>
      <c r="I55" s="4" t="str">
        <f>HYPERLINK("http://141.218.60.56/~jnz1568/getInfo.php?workbook=02_02.xlsx&amp;sheet=A0&amp;row=55&amp;col=9&amp;number=566340000&amp;sourceID=15","566340000")</f>
        <v>566340000</v>
      </c>
      <c r="J55" s="4" t="str">
        <f>HYPERLINK("http://141.218.60.56/~jnz1568/getInfo.php?workbook=02_02.xlsx&amp;sheet=A0&amp;row=55&amp;col=10&amp;number=&amp;sourceID=15","")</f>
        <v/>
      </c>
      <c r="K55" s="4" t="str">
        <f>HYPERLINK("http://141.218.60.56/~jnz1568/getInfo.php?workbook=02_02.xlsx&amp;sheet=A0&amp;row=55&amp;col=11&amp;number=&amp;sourceID=15","")</f>
        <v/>
      </c>
      <c r="L55" s="4" t="str">
        <f>HYPERLINK("http://141.218.60.56/~jnz1568/getInfo.php?workbook=02_02.xlsx&amp;sheet=A0&amp;row=55&amp;col=12&amp;number=&amp;sourceID=15","")</f>
        <v/>
      </c>
      <c r="M55" s="4" t="str">
        <f>HYPERLINK("http://141.218.60.56/~jnz1568/getInfo.php?workbook=02_02.xlsx&amp;sheet=A0&amp;row=55&amp;col=13&amp;number=566010000&amp;sourceID=23","566010000")</f>
        <v>566010000</v>
      </c>
    </row>
    <row r="56" spans="1:13">
      <c r="A56" s="3">
        <v>2</v>
      </c>
      <c r="B56" s="3">
        <v>2</v>
      </c>
      <c r="C56" s="3">
        <v>17</v>
      </c>
      <c r="D56" s="3">
        <v>2</v>
      </c>
      <c r="E56" s="3">
        <f>((1/(INDEX(E0!J$4:J$52,C56,1)-INDEX(E0!J$4:J$52,D56,1))))*100000000</f>
        <v>0</v>
      </c>
      <c r="F56" s="4" t="str">
        <f>HYPERLINK("http://141.218.60.56/~jnz1568/getInfo.php?workbook=02_02.xlsx&amp;sheet=A0&amp;row=56&amp;col=6&amp;number=&amp;sourceID=27","")</f>
        <v/>
      </c>
      <c r="G56" s="4" t="str">
        <f>HYPERLINK("http://141.218.60.56/~jnz1568/getInfo.php?workbook=02_02.xlsx&amp;sheet=A0&amp;row=56&amp;col=7&amp;number=0.1815436&amp;sourceID=26","0.1815436")</f>
        <v>0.1815436</v>
      </c>
      <c r="H56" s="4" t="str">
        <f>HYPERLINK("http://141.218.60.56/~jnz1568/getInfo.php?workbook=02_02.xlsx&amp;sheet=A0&amp;row=56&amp;col=8&amp;number=1.242462e-05&amp;sourceID=26","1.242462e-05")</f>
        <v>1.242462e-05</v>
      </c>
      <c r="I56" s="4" t="str">
        <f>HYPERLINK("http://141.218.60.56/~jnz1568/getInfo.php?workbook=02_02.xlsx&amp;sheet=A0&amp;row=56&amp;col=9&amp;number=&amp;sourceID=15","")</f>
        <v/>
      </c>
      <c r="J56" s="4" t="str">
        <f>HYPERLINK("http://141.218.60.56/~jnz1568/getInfo.php?workbook=02_02.xlsx&amp;sheet=A0&amp;row=56&amp;col=10&amp;number=&amp;sourceID=15","")</f>
        <v/>
      </c>
      <c r="K56" s="4" t="str">
        <f>HYPERLINK("http://141.218.60.56/~jnz1568/getInfo.php?workbook=02_02.xlsx&amp;sheet=A0&amp;row=56&amp;col=11&amp;number=&amp;sourceID=15","")</f>
        <v/>
      </c>
      <c r="L56" s="4" t="str">
        <f>HYPERLINK("http://141.218.60.56/~jnz1568/getInfo.php?workbook=02_02.xlsx&amp;sheet=A0&amp;row=56&amp;col=12&amp;number=&amp;sourceID=15","")</f>
        <v/>
      </c>
      <c r="M56" s="4" t="str">
        <f>HYPERLINK("http://141.218.60.56/~jnz1568/getInfo.php?workbook=02_02.xlsx&amp;sheet=A0&amp;row=56&amp;col=13&amp;number=0.20305&amp;sourceID=23","0.20305")</f>
        <v>0.20305</v>
      </c>
    </row>
    <row r="57" spans="1:13">
      <c r="A57" s="3">
        <v>2</v>
      </c>
      <c r="B57" s="3">
        <v>2</v>
      </c>
      <c r="C57" s="3">
        <v>17</v>
      </c>
      <c r="D57" s="3">
        <v>3</v>
      </c>
      <c r="E57" s="3">
        <f>((1/(INDEX(E0!J$4:J$52,C57,1)-INDEX(E0!J$4:J$52,D57,1))))*100000000</f>
        <v>0</v>
      </c>
      <c r="F57" s="4" t="str">
        <f>HYPERLINK("http://141.218.60.56/~jnz1568/getInfo.php?workbook=02_02.xlsx&amp;sheet=A0&amp;row=57&amp;col=6&amp;number=&amp;sourceID=27","")</f>
        <v/>
      </c>
      <c r="G57" s="4" t="str">
        <f>HYPERLINK("http://141.218.60.56/~jnz1568/getInfo.php?workbook=02_02.xlsx&amp;sheet=A0&amp;row=57&amp;col=7&amp;number=&amp;sourceID=26","")</f>
        <v/>
      </c>
      <c r="H57" s="4" t="str">
        <f>HYPERLINK("http://141.218.60.56/~jnz1568/getInfo.php?workbook=02_02.xlsx&amp;sheet=A0&amp;row=57&amp;col=8&amp;number=&amp;sourceID=26","")</f>
        <v/>
      </c>
      <c r="I57" s="4" t="str">
        <f>HYPERLINK("http://141.218.60.56/~jnz1568/getInfo.php?workbook=02_02.xlsx&amp;sheet=A0&amp;row=57&amp;col=9&amp;number=13372000&amp;sourceID=15","13372000")</f>
        <v>13372000</v>
      </c>
      <c r="J57" s="4" t="str">
        <f>HYPERLINK("http://141.218.60.56/~jnz1568/getInfo.php?workbook=02_02.xlsx&amp;sheet=A0&amp;row=57&amp;col=10&amp;number=&amp;sourceID=15","")</f>
        <v/>
      </c>
      <c r="K57" s="4" t="str">
        <f>HYPERLINK("http://141.218.60.56/~jnz1568/getInfo.php?workbook=02_02.xlsx&amp;sheet=A0&amp;row=57&amp;col=11&amp;number=&amp;sourceID=15","")</f>
        <v/>
      </c>
      <c r="L57" s="4" t="str">
        <f>HYPERLINK("http://141.218.60.56/~jnz1568/getInfo.php?workbook=02_02.xlsx&amp;sheet=A0&amp;row=57&amp;col=12&amp;number=&amp;sourceID=15","")</f>
        <v/>
      </c>
      <c r="M57" s="4" t="str">
        <f>HYPERLINK("http://141.218.60.56/~jnz1568/getInfo.php?workbook=02_02.xlsx&amp;sheet=A0&amp;row=57&amp;col=13&amp;number=13381000&amp;sourceID=23","13381000")</f>
        <v>13381000</v>
      </c>
    </row>
    <row r="58" spans="1:13">
      <c r="A58" s="3">
        <v>2</v>
      </c>
      <c r="B58" s="3">
        <v>2</v>
      </c>
      <c r="C58" s="3">
        <v>17</v>
      </c>
      <c r="D58" s="3">
        <v>7</v>
      </c>
      <c r="E58" s="3">
        <f>((1/(INDEX(E0!J$4:J$52,C58,1)-INDEX(E0!J$4:J$52,D58,1))))*100000000</f>
        <v>0</v>
      </c>
      <c r="F58" s="4" t="str">
        <f>HYPERLINK("http://141.218.60.56/~jnz1568/getInfo.php?workbook=02_02.xlsx&amp;sheet=A0&amp;row=58&amp;col=6&amp;number=&amp;sourceID=27","")</f>
        <v/>
      </c>
      <c r="G58" s="4" t="str">
        <f>HYPERLINK("http://141.218.60.56/~jnz1568/getInfo.php?workbook=02_02.xlsx&amp;sheet=A0&amp;row=58&amp;col=7&amp;number=&amp;sourceID=26","")</f>
        <v/>
      </c>
      <c r="H58" s="4" t="str">
        <f>HYPERLINK("http://141.218.60.56/~jnz1568/getInfo.php?workbook=02_02.xlsx&amp;sheet=A0&amp;row=58&amp;col=8&amp;number=&amp;sourceID=26","")</f>
        <v/>
      </c>
      <c r="I58" s="4" t="str">
        <f>HYPERLINK("http://141.218.60.56/~jnz1568/getInfo.php?workbook=02_02.xlsx&amp;sheet=A0&amp;row=58&amp;col=9&amp;number=&amp;sourceID=15","")</f>
        <v/>
      </c>
      <c r="J58" s="4" t="str">
        <f>HYPERLINK("http://141.218.60.56/~jnz1568/getInfo.php?workbook=02_02.xlsx&amp;sheet=A0&amp;row=58&amp;col=10&amp;number=23.749&amp;sourceID=15","23.749")</f>
        <v>23.749</v>
      </c>
      <c r="K58" s="4" t="str">
        <f>HYPERLINK("http://141.218.60.56/~jnz1568/getInfo.php?workbook=02_02.xlsx&amp;sheet=A0&amp;row=58&amp;col=11&amp;number=&amp;sourceID=15","")</f>
        <v/>
      </c>
      <c r="L58" s="4" t="str">
        <f>HYPERLINK("http://141.218.60.56/~jnz1568/getInfo.php?workbook=02_02.xlsx&amp;sheet=A0&amp;row=58&amp;col=12&amp;number=&amp;sourceID=15","")</f>
        <v/>
      </c>
      <c r="M58" s="4" t="str">
        <f>HYPERLINK("http://141.218.60.56/~jnz1568/getInfo.php?workbook=02_02.xlsx&amp;sheet=A0&amp;row=58&amp;col=13&amp;number=&amp;sourceID=23","")</f>
        <v/>
      </c>
    </row>
    <row r="59" spans="1:13">
      <c r="A59" s="3">
        <v>2</v>
      </c>
      <c r="B59" s="3">
        <v>2</v>
      </c>
      <c r="C59" s="3">
        <v>17</v>
      </c>
      <c r="D59" s="3">
        <v>8</v>
      </c>
      <c r="E59" s="3">
        <f>((1/(INDEX(E0!J$4:J$52,C59,1)-INDEX(E0!J$4:J$52,D59,1))))*100000000</f>
        <v>0</v>
      </c>
      <c r="F59" s="4" t="str">
        <f>HYPERLINK("http://141.218.60.56/~jnz1568/getInfo.php?workbook=02_02.xlsx&amp;sheet=A0&amp;row=59&amp;col=6&amp;number=&amp;sourceID=27","")</f>
        <v/>
      </c>
      <c r="G59" s="4" t="str">
        <f>HYPERLINK("http://141.218.60.56/~jnz1568/getInfo.php?workbook=02_02.xlsx&amp;sheet=A0&amp;row=59&amp;col=7&amp;number=0.14895852&amp;sourceID=26","0.14895852")</f>
        <v>0.14895852</v>
      </c>
      <c r="H59" s="4" t="str">
        <f>HYPERLINK("http://141.218.60.56/~jnz1568/getInfo.php?workbook=02_02.xlsx&amp;sheet=A0&amp;row=59&amp;col=8&amp;number=1.46132016e-07&amp;sourceID=26","1.46132016e-07")</f>
        <v>1.46132016e-07</v>
      </c>
      <c r="I59" s="4" t="str">
        <f>HYPERLINK("http://141.218.60.56/~jnz1568/getInfo.php?workbook=02_02.xlsx&amp;sheet=A0&amp;row=59&amp;col=9&amp;number=&amp;sourceID=15","")</f>
        <v/>
      </c>
      <c r="J59" s="4" t="str">
        <f>HYPERLINK("http://141.218.60.56/~jnz1568/getInfo.php?workbook=02_02.xlsx&amp;sheet=A0&amp;row=59&amp;col=10&amp;number=&amp;sourceID=15","")</f>
        <v/>
      </c>
      <c r="K59" s="4" t="str">
        <f>HYPERLINK("http://141.218.60.56/~jnz1568/getInfo.php?workbook=02_02.xlsx&amp;sheet=A0&amp;row=59&amp;col=11&amp;number=&amp;sourceID=15","")</f>
        <v/>
      </c>
      <c r="L59" s="4" t="str">
        <f>HYPERLINK("http://141.218.60.56/~jnz1568/getInfo.php?workbook=02_02.xlsx&amp;sheet=A0&amp;row=59&amp;col=12&amp;number=&amp;sourceID=15","")</f>
        <v/>
      </c>
      <c r="M59" s="4" t="str">
        <f>HYPERLINK("http://141.218.60.56/~jnz1568/getInfo.php?workbook=02_02.xlsx&amp;sheet=A0&amp;row=59&amp;col=13&amp;number=0.15057&amp;sourceID=23","0.15057")</f>
        <v>0.15057</v>
      </c>
    </row>
    <row r="60" spans="1:13">
      <c r="A60" s="3">
        <v>2</v>
      </c>
      <c r="B60" s="3">
        <v>2</v>
      </c>
      <c r="C60" s="3">
        <v>17</v>
      </c>
      <c r="D60" s="3">
        <v>9</v>
      </c>
      <c r="E60" s="3">
        <f>((1/(INDEX(E0!J$4:J$52,C60,1)-INDEX(E0!J$4:J$52,D60,1))))*100000000</f>
        <v>0</v>
      </c>
      <c r="F60" s="4" t="str">
        <f>HYPERLINK("http://141.218.60.56/~jnz1568/getInfo.php?workbook=02_02.xlsx&amp;sheet=A0&amp;row=60&amp;col=6&amp;number=&amp;sourceID=27","")</f>
        <v/>
      </c>
      <c r="G60" s="4" t="str">
        <f>HYPERLINK("http://141.218.60.56/~jnz1568/getInfo.php?workbook=02_02.xlsx&amp;sheet=A0&amp;row=60&amp;col=7&amp;number=&amp;sourceID=26","")</f>
        <v/>
      </c>
      <c r="H60" s="4" t="str">
        <f>HYPERLINK("http://141.218.60.56/~jnz1568/getInfo.php?workbook=02_02.xlsx&amp;sheet=A0&amp;row=60&amp;col=8&amp;number=&amp;sourceID=26","")</f>
        <v/>
      </c>
      <c r="I60" s="4" t="str">
        <f>HYPERLINK("http://141.218.60.56/~jnz1568/getInfo.php?workbook=02_02.xlsx&amp;sheet=A0&amp;row=60&amp;col=9&amp;number=251650&amp;sourceID=15","251650")</f>
        <v>251650</v>
      </c>
      <c r="J60" s="4" t="str">
        <f>HYPERLINK("http://141.218.60.56/~jnz1568/getInfo.php?workbook=02_02.xlsx&amp;sheet=A0&amp;row=60&amp;col=10&amp;number=&amp;sourceID=15","")</f>
        <v/>
      </c>
      <c r="K60" s="4" t="str">
        <f>HYPERLINK("http://141.218.60.56/~jnz1568/getInfo.php?workbook=02_02.xlsx&amp;sheet=A0&amp;row=60&amp;col=11&amp;number=&amp;sourceID=15","")</f>
        <v/>
      </c>
      <c r="L60" s="4" t="str">
        <f>HYPERLINK("http://141.218.60.56/~jnz1568/getInfo.php?workbook=02_02.xlsx&amp;sheet=A0&amp;row=60&amp;col=12&amp;number=&amp;sourceID=15","")</f>
        <v/>
      </c>
      <c r="M60" s="4" t="str">
        <f>HYPERLINK("http://141.218.60.56/~jnz1568/getInfo.php?workbook=02_02.xlsx&amp;sheet=A0&amp;row=60&amp;col=13&amp;number=251460&amp;sourceID=23","251460")</f>
        <v>251460</v>
      </c>
    </row>
    <row r="61" spans="1:13">
      <c r="A61" s="3">
        <v>2</v>
      </c>
      <c r="B61" s="3">
        <v>2</v>
      </c>
      <c r="C61" s="3">
        <v>17</v>
      </c>
      <c r="D61" s="3">
        <v>14</v>
      </c>
      <c r="E61" s="3">
        <f>((1/(INDEX(E0!J$4:J$52,C61,1)-INDEX(E0!J$4:J$52,D61,1))))*100000000</f>
        <v>0</v>
      </c>
      <c r="F61" s="4" t="str">
        <f>HYPERLINK("http://141.218.60.56/~jnz1568/getInfo.php?workbook=02_02.xlsx&amp;sheet=A0&amp;row=61&amp;col=6&amp;number=&amp;sourceID=27","")</f>
        <v/>
      </c>
      <c r="G61" s="4" t="str">
        <f>HYPERLINK("http://141.218.60.56/~jnz1568/getInfo.php?workbook=02_02.xlsx&amp;sheet=A0&amp;row=61&amp;col=7&amp;number=&amp;sourceID=26","")</f>
        <v/>
      </c>
      <c r="H61" s="4" t="str">
        <f>HYPERLINK("http://141.218.60.56/~jnz1568/getInfo.php?workbook=02_02.xlsx&amp;sheet=A0&amp;row=61&amp;col=8&amp;number=&amp;sourceID=26","")</f>
        <v/>
      </c>
      <c r="I61" s="4" t="str">
        <f>HYPERLINK("http://141.218.60.56/~jnz1568/getInfo.php?workbook=02_02.xlsx&amp;sheet=A0&amp;row=61&amp;col=9&amp;number=0.03986&amp;sourceID=15","0.03986")</f>
        <v>0.03986</v>
      </c>
      <c r="J61" s="4" t="str">
        <f>HYPERLINK("http://141.218.60.56/~jnz1568/getInfo.php?workbook=02_02.xlsx&amp;sheet=A0&amp;row=61&amp;col=10&amp;number=&amp;sourceID=15","")</f>
        <v/>
      </c>
      <c r="K61" s="4" t="str">
        <f>HYPERLINK("http://141.218.60.56/~jnz1568/getInfo.php?workbook=02_02.xlsx&amp;sheet=A0&amp;row=61&amp;col=11&amp;number=&amp;sourceID=15","")</f>
        <v/>
      </c>
      <c r="L61" s="4" t="str">
        <f>HYPERLINK("http://141.218.60.56/~jnz1568/getInfo.php?workbook=02_02.xlsx&amp;sheet=A0&amp;row=61&amp;col=12&amp;number=&amp;sourceID=15","")</f>
        <v/>
      </c>
      <c r="M61" s="4" t="str">
        <f>HYPERLINK("http://141.218.60.56/~jnz1568/getInfo.php?workbook=02_02.xlsx&amp;sheet=A0&amp;row=61&amp;col=13&amp;number=0.040175&amp;sourceID=23","0.040175")</f>
        <v>0.040175</v>
      </c>
    </row>
    <row r="62" spans="1:13">
      <c r="A62" s="3">
        <v>2</v>
      </c>
      <c r="B62" s="3">
        <v>2</v>
      </c>
      <c r="C62" s="3">
        <v>17</v>
      </c>
      <c r="D62" s="3">
        <v>15</v>
      </c>
      <c r="E62" s="3">
        <f>((1/(INDEX(E0!J$4:J$52,C62,1)-INDEX(E0!J$4:J$52,D62,1))))*100000000</f>
        <v>0</v>
      </c>
      <c r="F62" s="4" t="str">
        <f>HYPERLINK("http://141.218.60.56/~jnz1568/getInfo.php?workbook=02_02.xlsx&amp;sheet=A0&amp;row=62&amp;col=6&amp;number=&amp;sourceID=27","")</f>
        <v/>
      </c>
      <c r="G62" s="4" t="str">
        <f>HYPERLINK("http://141.218.60.56/~jnz1568/getInfo.php?workbook=02_02.xlsx&amp;sheet=A0&amp;row=62&amp;col=7&amp;number=&amp;sourceID=26","")</f>
        <v/>
      </c>
      <c r="H62" s="4" t="str">
        <f>HYPERLINK("http://141.218.60.56/~jnz1568/getInfo.php?workbook=02_02.xlsx&amp;sheet=A0&amp;row=62&amp;col=8&amp;number=&amp;sourceID=26","")</f>
        <v/>
      </c>
      <c r="I62" s="4" t="str">
        <f>HYPERLINK("http://141.218.60.56/~jnz1568/getInfo.php?workbook=02_02.xlsx&amp;sheet=A0&amp;row=62&amp;col=9&amp;number=2.833e-06&amp;sourceID=15","2.833e-06")</f>
        <v>2.833e-06</v>
      </c>
      <c r="J62" s="4" t="str">
        <f>HYPERLINK("http://141.218.60.56/~jnz1568/getInfo.php?workbook=02_02.xlsx&amp;sheet=A0&amp;row=62&amp;col=10&amp;number=&amp;sourceID=15","")</f>
        <v/>
      </c>
      <c r="K62" s="4" t="str">
        <f>HYPERLINK("http://141.218.60.56/~jnz1568/getInfo.php?workbook=02_02.xlsx&amp;sheet=A0&amp;row=62&amp;col=11&amp;number=&amp;sourceID=15","")</f>
        <v/>
      </c>
      <c r="L62" s="4" t="str">
        <f>HYPERLINK("http://141.218.60.56/~jnz1568/getInfo.php?workbook=02_02.xlsx&amp;sheet=A0&amp;row=62&amp;col=12&amp;number=&amp;sourceID=15","")</f>
        <v/>
      </c>
      <c r="M62" s="4" t="str">
        <f>HYPERLINK("http://141.218.60.56/~jnz1568/getInfo.php?workbook=02_02.xlsx&amp;sheet=A0&amp;row=62&amp;col=13&amp;number=2.8096e-06&amp;sourceID=23","2.8096e-06")</f>
        <v>2.8096e-06</v>
      </c>
    </row>
    <row r="63" spans="1:13">
      <c r="A63" s="3">
        <v>2</v>
      </c>
      <c r="B63" s="3">
        <v>2</v>
      </c>
      <c r="C63" s="3">
        <v>17</v>
      </c>
      <c r="D63" s="3">
        <v>16</v>
      </c>
      <c r="E63" s="3">
        <f>((1/(INDEX(E0!J$4:J$52,C63,1)-INDEX(E0!J$4:J$52,D63,1))))*100000000</f>
        <v>0</v>
      </c>
      <c r="F63" s="4" t="str">
        <f>HYPERLINK("http://141.218.60.56/~jnz1568/getInfo.php?workbook=02_02.xlsx&amp;sheet=A0&amp;row=63&amp;col=6&amp;number=&amp;sourceID=27","")</f>
        <v/>
      </c>
      <c r="G63" s="4" t="str">
        <f>HYPERLINK("http://141.218.60.56/~jnz1568/getInfo.php?workbook=02_02.xlsx&amp;sheet=A0&amp;row=63&amp;col=7&amp;number=&amp;sourceID=26","")</f>
        <v/>
      </c>
      <c r="H63" s="4" t="str">
        <f>HYPERLINK("http://141.218.60.56/~jnz1568/getInfo.php?workbook=02_02.xlsx&amp;sheet=A0&amp;row=63&amp;col=8&amp;number=&amp;sourceID=26","")</f>
        <v/>
      </c>
      <c r="I63" s="4" t="str">
        <f>HYPERLINK("http://141.218.60.56/~jnz1568/getInfo.php?workbook=02_02.xlsx&amp;sheet=A0&amp;row=63&amp;col=9&amp;number=152.81&amp;sourceID=15","152.81")</f>
        <v>152.81</v>
      </c>
      <c r="J63" s="4" t="str">
        <f>HYPERLINK("http://141.218.60.56/~jnz1568/getInfo.php?workbook=02_02.xlsx&amp;sheet=A0&amp;row=63&amp;col=10&amp;number=&amp;sourceID=15","")</f>
        <v/>
      </c>
      <c r="K63" s="4" t="str">
        <f>HYPERLINK("http://141.218.60.56/~jnz1568/getInfo.php?workbook=02_02.xlsx&amp;sheet=A0&amp;row=63&amp;col=11&amp;number=&amp;sourceID=15","")</f>
        <v/>
      </c>
      <c r="L63" s="4" t="str">
        <f>HYPERLINK("http://141.218.60.56/~jnz1568/getInfo.php?workbook=02_02.xlsx&amp;sheet=A0&amp;row=63&amp;col=12&amp;number=&amp;sourceID=15","")</f>
        <v/>
      </c>
      <c r="M63" s="4" t="str">
        <f>HYPERLINK("http://141.218.60.56/~jnz1568/getInfo.php?workbook=02_02.xlsx&amp;sheet=A0&amp;row=63&amp;col=13&amp;number=152.35&amp;sourceID=23","152.35")</f>
        <v>152.35</v>
      </c>
    </row>
    <row r="64" spans="1:13">
      <c r="A64" s="3">
        <v>2</v>
      </c>
      <c r="B64" s="3">
        <v>2</v>
      </c>
      <c r="C64" s="3">
        <v>18</v>
      </c>
      <c r="D64" s="3">
        <v>4</v>
      </c>
      <c r="E64" s="3">
        <f>((1/(INDEX(E0!J$4:J$52,C64,1)-INDEX(E0!J$4:J$52,D64,1))))*100000000</f>
        <v>0</v>
      </c>
      <c r="F64" s="4" t="str">
        <f>HYPERLINK("http://141.218.60.56/~jnz1568/getInfo.php?workbook=02_02.xlsx&amp;sheet=A0&amp;row=64&amp;col=6&amp;number=&amp;sourceID=27","")</f>
        <v/>
      </c>
      <c r="G64" s="4" t="str">
        <f>HYPERLINK("http://141.218.60.56/~jnz1568/getInfo.php?workbook=02_02.xlsx&amp;sheet=A0&amp;row=64&amp;col=7&amp;number=&amp;sourceID=26","")</f>
        <v/>
      </c>
      <c r="H64" s="4" t="str">
        <f>HYPERLINK("http://141.218.60.56/~jnz1568/getInfo.php?workbook=02_02.xlsx&amp;sheet=A0&amp;row=64&amp;col=8&amp;number=&amp;sourceID=26","")</f>
        <v/>
      </c>
      <c r="I64" s="4" t="str">
        <f>HYPERLINK("http://141.218.60.56/~jnz1568/getInfo.php?workbook=02_02.xlsx&amp;sheet=A0&amp;row=64&amp;col=9&amp;number=5289400&amp;sourceID=15","5289400")</f>
        <v>5289400</v>
      </c>
      <c r="J64" s="4" t="str">
        <f>HYPERLINK("http://141.218.60.56/~jnz1568/getInfo.php?workbook=02_02.xlsx&amp;sheet=A0&amp;row=64&amp;col=10&amp;number=&amp;sourceID=15","")</f>
        <v/>
      </c>
      <c r="K64" s="4" t="str">
        <f>HYPERLINK("http://141.218.60.56/~jnz1568/getInfo.php?workbook=02_02.xlsx&amp;sheet=A0&amp;row=64&amp;col=11&amp;number=&amp;sourceID=15","")</f>
        <v/>
      </c>
      <c r="L64" s="4" t="str">
        <f>HYPERLINK("http://141.218.60.56/~jnz1568/getInfo.php?workbook=02_02.xlsx&amp;sheet=A0&amp;row=64&amp;col=12&amp;number=&amp;sourceID=15","")</f>
        <v/>
      </c>
      <c r="M64" s="4" t="str">
        <f>HYPERLINK("http://141.218.60.56/~jnz1568/getInfo.php?workbook=02_02.xlsx&amp;sheet=A0&amp;row=64&amp;col=13&amp;number=5289500&amp;sourceID=23","5289500")</f>
        <v>5289500</v>
      </c>
    </row>
    <row r="65" spans="1:13">
      <c r="A65" s="3">
        <v>2</v>
      </c>
      <c r="B65" s="3">
        <v>2</v>
      </c>
      <c r="C65" s="3">
        <v>18</v>
      </c>
      <c r="D65" s="3">
        <v>5</v>
      </c>
      <c r="E65" s="3">
        <f>((1/(INDEX(E0!J$4:J$52,C65,1)-INDEX(E0!J$4:J$52,D65,1))))*100000000</f>
        <v>0</v>
      </c>
      <c r="F65" s="4" t="str">
        <f>HYPERLINK("http://141.218.60.56/~jnz1568/getInfo.php?workbook=02_02.xlsx&amp;sheet=A0&amp;row=65&amp;col=6&amp;number=&amp;sourceID=27","")</f>
        <v/>
      </c>
      <c r="G65" s="4" t="str">
        <f>HYPERLINK("http://141.218.60.56/~jnz1568/getInfo.php?workbook=02_02.xlsx&amp;sheet=A0&amp;row=65&amp;col=7&amp;number=&amp;sourceID=26","")</f>
        <v/>
      </c>
      <c r="H65" s="4" t="str">
        <f>HYPERLINK("http://141.218.60.56/~jnz1568/getInfo.php?workbook=02_02.xlsx&amp;sheet=A0&amp;row=65&amp;col=8&amp;number=&amp;sourceID=26","")</f>
        <v/>
      </c>
      <c r="I65" s="4" t="str">
        <f>HYPERLINK("http://141.218.60.56/~jnz1568/getInfo.php?workbook=02_02.xlsx&amp;sheet=A0&amp;row=65&amp;col=9&amp;number=3173600&amp;sourceID=15","3173600")</f>
        <v>3173600</v>
      </c>
      <c r="J65" s="4" t="str">
        <f>HYPERLINK("http://141.218.60.56/~jnz1568/getInfo.php?workbook=02_02.xlsx&amp;sheet=A0&amp;row=65&amp;col=10&amp;number=&amp;sourceID=15","")</f>
        <v/>
      </c>
      <c r="K65" s="4" t="str">
        <f>HYPERLINK("http://141.218.60.56/~jnz1568/getInfo.php?workbook=02_02.xlsx&amp;sheet=A0&amp;row=65&amp;col=11&amp;number=&amp;sourceID=15","")</f>
        <v/>
      </c>
      <c r="L65" s="4" t="str">
        <f>HYPERLINK("http://141.218.60.56/~jnz1568/getInfo.php?workbook=02_02.xlsx&amp;sheet=A0&amp;row=65&amp;col=12&amp;number=&amp;sourceID=15","")</f>
        <v/>
      </c>
      <c r="M65" s="4" t="str">
        <f>HYPERLINK("http://141.218.60.56/~jnz1568/getInfo.php?workbook=02_02.xlsx&amp;sheet=A0&amp;row=65&amp;col=13&amp;number=3173600&amp;sourceID=23","3173600")</f>
        <v>3173600</v>
      </c>
    </row>
    <row r="66" spans="1:13">
      <c r="A66" s="3">
        <v>2</v>
      </c>
      <c r="B66" s="3">
        <v>2</v>
      </c>
      <c r="C66" s="3">
        <v>18</v>
      </c>
      <c r="D66" s="3">
        <v>6</v>
      </c>
      <c r="E66" s="3">
        <f>((1/(INDEX(E0!J$4:J$52,C66,1)-INDEX(E0!J$4:J$52,D66,1))))*100000000</f>
        <v>0</v>
      </c>
      <c r="F66" s="4" t="str">
        <f>HYPERLINK("http://141.218.60.56/~jnz1568/getInfo.php?workbook=02_02.xlsx&amp;sheet=A0&amp;row=66&amp;col=6&amp;number=&amp;sourceID=27","")</f>
        <v/>
      </c>
      <c r="G66" s="4" t="str">
        <f>HYPERLINK("http://141.218.60.56/~jnz1568/getInfo.php?workbook=02_02.xlsx&amp;sheet=A0&amp;row=66&amp;col=7&amp;number=&amp;sourceID=26","")</f>
        <v/>
      </c>
      <c r="H66" s="4" t="str">
        <f>HYPERLINK("http://141.218.60.56/~jnz1568/getInfo.php?workbook=02_02.xlsx&amp;sheet=A0&amp;row=66&amp;col=8&amp;number=&amp;sourceID=26","")</f>
        <v/>
      </c>
      <c r="I66" s="4" t="str">
        <f>HYPERLINK("http://141.218.60.56/~jnz1568/getInfo.php?workbook=02_02.xlsx&amp;sheet=A0&amp;row=66&amp;col=9&amp;number=1057900&amp;sourceID=15","1057900")</f>
        <v>1057900</v>
      </c>
      <c r="J66" s="4" t="str">
        <f>HYPERLINK("http://141.218.60.56/~jnz1568/getInfo.php?workbook=02_02.xlsx&amp;sheet=A0&amp;row=66&amp;col=10&amp;number=&amp;sourceID=15","")</f>
        <v/>
      </c>
      <c r="K66" s="4" t="str">
        <f>HYPERLINK("http://141.218.60.56/~jnz1568/getInfo.php?workbook=02_02.xlsx&amp;sheet=A0&amp;row=66&amp;col=11&amp;number=&amp;sourceID=15","")</f>
        <v/>
      </c>
      <c r="L66" s="4" t="str">
        <f>HYPERLINK("http://141.218.60.56/~jnz1568/getInfo.php?workbook=02_02.xlsx&amp;sheet=A0&amp;row=66&amp;col=12&amp;number=&amp;sourceID=15","")</f>
        <v/>
      </c>
      <c r="M66" s="4" t="str">
        <f>HYPERLINK("http://141.218.60.56/~jnz1568/getInfo.php?workbook=02_02.xlsx&amp;sheet=A0&amp;row=66&amp;col=13&amp;number=1057800&amp;sourceID=23","1057800")</f>
        <v>1057800</v>
      </c>
    </row>
    <row r="67" spans="1:13">
      <c r="A67" s="3">
        <v>2</v>
      </c>
      <c r="B67" s="3">
        <v>2</v>
      </c>
      <c r="C67" s="3">
        <v>18</v>
      </c>
      <c r="D67" s="3">
        <v>7</v>
      </c>
      <c r="E67" s="3">
        <f>((1/(INDEX(E0!J$4:J$52,C67,1)-INDEX(E0!J$4:J$52,D67,1))))*100000000</f>
        <v>0</v>
      </c>
      <c r="F67" s="4" t="str">
        <f>HYPERLINK("http://141.218.60.56/~jnz1568/getInfo.php?workbook=02_02.xlsx&amp;sheet=A0&amp;row=67&amp;col=6&amp;number=&amp;sourceID=27","")</f>
        <v/>
      </c>
      <c r="G67" s="4" t="str">
        <f>HYPERLINK("http://141.218.60.56/~jnz1568/getInfo.php?workbook=02_02.xlsx&amp;sheet=A0&amp;row=67&amp;col=7&amp;number=&amp;sourceID=26","")</f>
        <v/>
      </c>
      <c r="H67" s="4" t="str">
        <f>HYPERLINK("http://141.218.60.56/~jnz1568/getInfo.php?workbook=02_02.xlsx&amp;sheet=A0&amp;row=67&amp;col=8&amp;number=&amp;sourceID=26","")</f>
        <v/>
      </c>
      <c r="I67" s="4" t="str">
        <f>HYPERLINK("http://141.218.60.56/~jnz1568/getInfo.php?workbook=02_02.xlsx&amp;sheet=A0&amp;row=67&amp;col=9&amp;number=&amp;sourceID=15","")</f>
        <v/>
      </c>
      <c r="J67" s="4" t="str">
        <f>HYPERLINK("http://141.218.60.56/~jnz1568/getInfo.php?workbook=02_02.xlsx&amp;sheet=A0&amp;row=67&amp;col=10&amp;number=&amp;sourceID=15","")</f>
        <v/>
      </c>
      <c r="K67" s="4" t="str">
        <f>HYPERLINK("http://141.218.60.56/~jnz1568/getInfo.php?workbook=02_02.xlsx&amp;sheet=A0&amp;row=67&amp;col=11&amp;number=&amp;sourceID=15","")</f>
        <v/>
      </c>
      <c r="L67" s="4" t="str">
        <f>HYPERLINK("http://141.218.60.56/~jnz1568/getInfo.php?workbook=02_02.xlsx&amp;sheet=A0&amp;row=67&amp;col=12&amp;number=&amp;sourceID=15","")</f>
        <v/>
      </c>
      <c r="M67" s="4" t="str">
        <f>HYPERLINK("http://141.218.60.56/~jnz1568/getInfo.php?workbook=02_02.xlsx&amp;sheet=A0&amp;row=67&amp;col=13&amp;number=0.24094&amp;sourceID=23","0.24094")</f>
        <v>0.24094</v>
      </c>
    </row>
    <row r="68" spans="1:13">
      <c r="A68" s="3">
        <v>2</v>
      </c>
      <c r="B68" s="3">
        <v>2</v>
      </c>
      <c r="C68" s="3">
        <v>18</v>
      </c>
      <c r="D68" s="3">
        <v>10</v>
      </c>
      <c r="E68" s="3">
        <f>((1/(INDEX(E0!J$4:J$52,C68,1)-INDEX(E0!J$4:J$52,D68,1))))*100000000</f>
        <v>0</v>
      </c>
      <c r="F68" s="4" t="str">
        <f>HYPERLINK("http://141.218.60.56/~jnz1568/getInfo.php?workbook=02_02.xlsx&amp;sheet=A0&amp;row=68&amp;col=6&amp;number=&amp;sourceID=27","")</f>
        <v/>
      </c>
      <c r="G68" s="4" t="str">
        <f>HYPERLINK("http://141.218.60.56/~jnz1568/getInfo.php?workbook=02_02.xlsx&amp;sheet=A0&amp;row=68&amp;col=7&amp;number=&amp;sourceID=26","")</f>
        <v/>
      </c>
      <c r="H68" s="4" t="str">
        <f>HYPERLINK("http://141.218.60.56/~jnz1568/getInfo.php?workbook=02_02.xlsx&amp;sheet=A0&amp;row=68&amp;col=8&amp;number=&amp;sourceID=26","")</f>
        <v/>
      </c>
      <c r="I68" s="4" t="str">
        <f>HYPERLINK("http://141.218.60.56/~jnz1568/getInfo.php?workbook=02_02.xlsx&amp;sheet=A0&amp;row=68&amp;col=9&amp;number=3617900&amp;sourceID=15","3617900")</f>
        <v>3617900</v>
      </c>
      <c r="J68" s="4" t="str">
        <f>HYPERLINK("http://141.218.60.56/~jnz1568/getInfo.php?workbook=02_02.xlsx&amp;sheet=A0&amp;row=68&amp;col=10&amp;number=&amp;sourceID=15","")</f>
        <v/>
      </c>
      <c r="K68" s="4" t="str">
        <f>HYPERLINK("http://141.218.60.56/~jnz1568/getInfo.php?workbook=02_02.xlsx&amp;sheet=A0&amp;row=68&amp;col=11&amp;number=&amp;sourceID=15","")</f>
        <v/>
      </c>
      <c r="L68" s="4" t="str">
        <f>HYPERLINK("http://141.218.60.56/~jnz1568/getInfo.php?workbook=02_02.xlsx&amp;sheet=A0&amp;row=68&amp;col=12&amp;number=&amp;sourceID=15","")</f>
        <v/>
      </c>
      <c r="M68" s="4" t="str">
        <f>HYPERLINK("http://141.218.60.56/~jnz1568/getInfo.php?workbook=02_02.xlsx&amp;sheet=A0&amp;row=68&amp;col=13&amp;number=3619400&amp;sourceID=23","3619400")</f>
        <v>3619400</v>
      </c>
    </row>
    <row r="69" spans="1:13">
      <c r="A69" s="3">
        <v>2</v>
      </c>
      <c r="B69" s="3">
        <v>2</v>
      </c>
      <c r="C69" s="3">
        <v>18</v>
      </c>
      <c r="D69" s="3">
        <v>11</v>
      </c>
      <c r="E69" s="3">
        <f>((1/(INDEX(E0!J$4:J$52,C69,1)-INDEX(E0!J$4:J$52,D69,1))))*100000000</f>
        <v>0</v>
      </c>
      <c r="F69" s="4" t="str">
        <f>HYPERLINK("http://141.218.60.56/~jnz1568/getInfo.php?workbook=02_02.xlsx&amp;sheet=A0&amp;row=69&amp;col=6&amp;number=&amp;sourceID=27","")</f>
        <v/>
      </c>
      <c r="G69" s="4" t="str">
        <f>HYPERLINK("http://141.218.60.56/~jnz1568/getInfo.php?workbook=02_02.xlsx&amp;sheet=A0&amp;row=69&amp;col=7&amp;number=&amp;sourceID=26","")</f>
        <v/>
      </c>
      <c r="H69" s="4" t="str">
        <f>HYPERLINK("http://141.218.60.56/~jnz1568/getInfo.php?workbook=02_02.xlsx&amp;sheet=A0&amp;row=69&amp;col=8&amp;number=&amp;sourceID=26","")</f>
        <v/>
      </c>
      <c r="I69" s="4" t="str">
        <f>HYPERLINK("http://141.218.60.56/~jnz1568/getInfo.php?workbook=02_02.xlsx&amp;sheet=A0&amp;row=69&amp;col=9&amp;number=2170700&amp;sourceID=15","2170700")</f>
        <v>2170700</v>
      </c>
      <c r="J69" s="4" t="str">
        <f>HYPERLINK("http://141.218.60.56/~jnz1568/getInfo.php?workbook=02_02.xlsx&amp;sheet=A0&amp;row=69&amp;col=10&amp;number=&amp;sourceID=15","")</f>
        <v/>
      </c>
      <c r="K69" s="4" t="str">
        <f>HYPERLINK("http://141.218.60.56/~jnz1568/getInfo.php?workbook=02_02.xlsx&amp;sheet=A0&amp;row=69&amp;col=11&amp;number=&amp;sourceID=15","")</f>
        <v/>
      </c>
      <c r="L69" s="4" t="str">
        <f>HYPERLINK("http://141.218.60.56/~jnz1568/getInfo.php?workbook=02_02.xlsx&amp;sheet=A0&amp;row=69&amp;col=12&amp;number=&amp;sourceID=15","")</f>
        <v/>
      </c>
      <c r="M69" s="4" t="str">
        <f>HYPERLINK("http://141.218.60.56/~jnz1568/getInfo.php?workbook=02_02.xlsx&amp;sheet=A0&amp;row=69&amp;col=13&amp;number=2171600&amp;sourceID=23","2171600")</f>
        <v>2171600</v>
      </c>
    </row>
    <row r="70" spans="1:13">
      <c r="A70" s="3">
        <v>2</v>
      </c>
      <c r="B70" s="3">
        <v>2</v>
      </c>
      <c r="C70" s="3">
        <v>18</v>
      </c>
      <c r="D70" s="3">
        <v>12</v>
      </c>
      <c r="E70" s="3">
        <f>((1/(INDEX(E0!J$4:J$52,C70,1)-INDEX(E0!J$4:J$52,D70,1))))*100000000</f>
        <v>0</v>
      </c>
      <c r="F70" s="4" t="str">
        <f>HYPERLINK("http://141.218.60.56/~jnz1568/getInfo.php?workbook=02_02.xlsx&amp;sheet=A0&amp;row=70&amp;col=6&amp;number=&amp;sourceID=27","")</f>
        <v/>
      </c>
      <c r="G70" s="4" t="str">
        <f>HYPERLINK("http://141.218.60.56/~jnz1568/getInfo.php?workbook=02_02.xlsx&amp;sheet=A0&amp;row=70&amp;col=7&amp;number=&amp;sourceID=26","")</f>
        <v/>
      </c>
      <c r="H70" s="4" t="str">
        <f>HYPERLINK("http://141.218.60.56/~jnz1568/getInfo.php?workbook=02_02.xlsx&amp;sheet=A0&amp;row=70&amp;col=8&amp;number=&amp;sourceID=26","")</f>
        <v/>
      </c>
      <c r="I70" s="4" t="str">
        <f>HYPERLINK("http://141.218.60.56/~jnz1568/getInfo.php?workbook=02_02.xlsx&amp;sheet=A0&amp;row=70&amp;col=9&amp;number=723580&amp;sourceID=15","723580")</f>
        <v>723580</v>
      </c>
      <c r="J70" s="4" t="str">
        <f>HYPERLINK("http://141.218.60.56/~jnz1568/getInfo.php?workbook=02_02.xlsx&amp;sheet=A0&amp;row=70&amp;col=10&amp;number=&amp;sourceID=15","")</f>
        <v/>
      </c>
      <c r="K70" s="4" t="str">
        <f>HYPERLINK("http://141.218.60.56/~jnz1568/getInfo.php?workbook=02_02.xlsx&amp;sheet=A0&amp;row=70&amp;col=11&amp;number=&amp;sourceID=15","")</f>
        <v/>
      </c>
      <c r="L70" s="4" t="str">
        <f>HYPERLINK("http://141.218.60.56/~jnz1568/getInfo.php?workbook=02_02.xlsx&amp;sheet=A0&amp;row=70&amp;col=12&amp;number=&amp;sourceID=15","")</f>
        <v/>
      </c>
      <c r="M70" s="4" t="str">
        <f>HYPERLINK("http://141.218.60.56/~jnz1568/getInfo.php?workbook=02_02.xlsx&amp;sheet=A0&amp;row=70&amp;col=13&amp;number=723900&amp;sourceID=23","723900")</f>
        <v>723900</v>
      </c>
    </row>
    <row r="71" spans="1:13">
      <c r="A71" s="3">
        <v>2</v>
      </c>
      <c r="B71" s="3">
        <v>2</v>
      </c>
      <c r="C71" s="3">
        <v>18</v>
      </c>
      <c r="D71" s="3">
        <v>17</v>
      </c>
      <c r="E71" s="3">
        <f>((1/(INDEX(E0!J$4:J$52,C71,1)-INDEX(E0!J$4:J$52,D71,1))))*100000000</f>
        <v>0</v>
      </c>
      <c r="F71" s="4" t="str">
        <f>HYPERLINK("http://141.218.60.56/~jnz1568/getInfo.php?workbook=02_02.xlsx&amp;sheet=A0&amp;row=71&amp;col=6&amp;number=&amp;sourceID=27","")</f>
        <v/>
      </c>
      <c r="G71" s="4" t="str">
        <f>HYPERLINK("http://141.218.60.56/~jnz1568/getInfo.php?workbook=02_02.xlsx&amp;sheet=A0&amp;row=71&amp;col=7&amp;number=&amp;sourceID=26","")</f>
        <v/>
      </c>
      <c r="H71" s="4" t="str">
        <f>HYPERLINK("http://141.218.60.56/~jnz1568/getInfo.php?workbook=02_02.xlsx&amp;sheet=A0&amp;row=71&amp;col=8&amp;number=&amp;sourceID=26","")</f>
        <v/>
      </c>
      <c r="I71" s="4" t="str">
        <f>HYPERLINK("http://141.218.60.56/~jnz1568/getInfo.php?workbook=02_02.xlsx&amp;sheet=A0&amp;row=71&amp;col=9&amp;number=&amp;sourceID=15","")</f>
        <v/>
      </c>
      <c r="J71" s="4" t="str">
        <f>HYPERLINK("http://141.218.60.56/~jnz1568/getInfo.php?workbook=02_02.xlsx&amp;sheet=A0&amp;row=71&amp;col=10&amp;number=&amp;sourceID=15","")</f>
        <v/>
      </c>
      <c r="K71" s="4" t="str">
        <f>HYPERLINK("http://141.218.60.56/~jnz1568/getInfo.php?workbook=02_02.xlsx&amp;sheet=A0&amp;row=71&amp;col=11&amp;number=&amp;sourceID=15","")</f>
        <v/>
      </c>
      <c r="L71" s="4" t="str">
        <f>HYPERLINK("http://141.218.60.56/~jnz1568/getInfo.php?workbook=02_02.xlsx&amp;sheet=A0&amp;row=71&amp;col=12&amp;number=&amp;sourceID=15","")</f>
        <v/>
      </c>
      <c r="M71" s="4" t="str">
        <f>HYPERLINK("http://141.218.60.56/~jnz1568/getInfo.php?workbook=02_02.xlsx&amp;sheet=A0&amp;row=71&amp;col=13&amp;number=0.14839&amp;sourceID=23","0.14839")</f>
        <v>0.14839</v>
      </c>
    </row>
    <row r="72" spans="1:13">
      <c r="A72" s="3">
        <v>2</v>
      </c>
      <c r="B72" s="3">
        <v>2</v>
      </c>
      <c r="C72" s="3">
        <v>19</v>
      </c>
      <c r="D72" s="3">
        <v>5</v>
      </c>
      <c r="E72" s="3">
        <f>((1/(INDEX(E0!J$4:J$52,C72,1)-INDEX(E0!J$4:J$52,D72,1))))*100000000</f>
        <v>0</v>
      </c>
      <c r="F72" s="4" t="str">
        <f>HYPERLINK("http://141.218.60.56/~jnz1568/getInfo.php?workbook=02_02.xlsx&amp;sheet=A0&amp;row=72&amp;col=6&amp;number=&amp;sourceID=27","")</f>
        <v/>
      </c>
      <c r="G72" s="4" t="str">
        <f>HYPERLINK("http://141.218.60.56/~jnz1568/getInfo.php?workbook=02_02.xlsx&amp;sheet=A0&amp;row=72&amp;col=7&amp;number=&amp;sourceID=26","")</f>
        <v/>
      </c>
      <c r="H72" s="4" t="str">
        <f>HYPERLINK("http://141.218.60.56/~jnz1568/getInfo.php?workbook=02_02.xlsx&amp;sheet=A0&amp;row=72&amp;col=8&amp;number=&amp;sourceID=26","")</f>
        <v/>
      </c>
      <c r="I72" s="4" t="str">
        <f>HYPERLINK("http://141.218.60.56/~jnz1568/getInfo.php?workbook=02_02.xlsx&amp;sheet=A0&amp;row=72&amp;col=9&amp;number=&amp;sourceID=15","")</f>
        <v/>
      </c>
      <c r="J72" s="4" t="str">
        <f>HYPERLINK("http://141.218.60.56/~jnz1568/getInfo.php?workbook=02_02.xlsx&amp;sheet=A0&amp;row=72&amp;col=10&amp;number=&amp;sourceID=15","")</f>
        <v/>
      </c>
      <c r="K72" s="4" t="str">
        <f>HYPERLINK("http://141.218.60.56/~jnz1568/getInfo.php?workbook=02_02.xlsx&amp;sheet=A0&amp;row=72&amp;col=11&amp;number=&amp;sourceID=15","")</f>
        <v/>
      </c>
      <c r="L72" s="4" t="str">
        <f>HYPERLINK("http://141.218.60.56/~jnz1568/getInfo.php?workbook=02_02.xlsx&amp;sheet=A0&amp;row=72&amp;col=12&amp;number=&amp;sourceID=15","")</f>
        <v/>
      </c>
      <c r="M72" s="4" t="str">
        <f>HYPERLINK("http://141.218.60.56/~jnz1568/getInfo.php?workbook=02_02.xlsx&amp;sheet=A0&amp;row=72&amp;col=13&amp;number=0.44049&amp;sourceID=23","0.44049")</f>
        <v>0.44049</v>
      </c>
    </row>
    <row r="73" spans="1:13">
      <c r="A73" s="3">
        <v>2</v>
      </c>
      <c r="B73" s="3">
        <v>2</v>
      </c>
      <c r="C73" s="3">
        <v>19</v>
      </c>
      <c r="D73" s="3">
        <v>7</v>
      </c>
      <c r="E73" s="3">
        <f>((1/(INDEX(E0!J$4:J$52,C73,1)-INDEX(E0!J$4:J$52,D73,1))))*100000000</f>
        <v>0</v>
      </c>
      <c r="F73" s="4" t="str">
        <f>HYPERLINK("http://141.218.60.56/~jnz1568/getInfo.php?workbook=02_02.xlsx&amp;sheet=A0&amp;row=73&amp;col=6&amp;number=&amp;sourceID=27","")</f>
        <v/>
      </c>
      <c r="G73" s="4" t="str">
        <f>HYPERLINK("http://141.218.60.56/~jnz1568/getInfo.php?workbook=02_02.xlsx&amp;sheet=A0&amp;row=73&amp;col=7&amp;number=&amp;sourceID=26","")</f>
        <v/>
      </c>
      <c r="H73" s="4" t="str">
        <f>HYPERLINK("http://141.218.60.56/~jnz1568/getInfo.php?workbook=02_02.xlsx&amp;sheet=A0&amp;row=73&amp;col=8&amp;number=&amp;sourceID=26","")</f>
        <v/>
      </c>
      <c r="I73" s="4" t="str">
        <f>HYPERLINK("http://141.218.60.56/~jnz1568/getInfo.php?workbook=02_02.xlsx&amp;sheet=A0&amp;row=73&amp;col=9&amp;number=6771200&amp;sourceID=15","6771200")</f>
        <v>6771200</v>
      </c>
      <c r="J73" s="4" t="str">
        <f>HYPERLINK("http://141.218.60.56/~jnz1568/getInfo.php?workbook=02_02.xlsx&amp;sheet=A0&amp;row=73&amp;col=10&amp;number=&amp;sourceID=15","")</f>
        <v/>
      </c>
      <c r="K73" s="4" t="str">
        <f>HYPERLINK("http://141.218.60.56/~jnz1568/getInfo.php?workbook=02_02.xlsx&amp;sheet=A0&amp;row=73&amp;col=11&amp;number=&amp;sourceID=15","")</f>
        <v/>
      </c>
      <c r="L73" s="4" t="str">
        <f>HYPERLINK("http://141.218.60.56/~jnz1568/getInfo.php?workbook=02_02.xlsx&amp;sheet=A0&amp;row=73&amp;col=12&amp;number=&amp;sourceID=15","")</f>
        <v/>
      </c>
      <c r="M73" s="4" t="str">
        <f>HYPERLINK("http://141.218.60.56/~jnz1568/getInfo.php?workbook=02_02.xlsx&amp;sheet=A0&amp;row=73&amp;col=13&amp;number=6771100&amp;sourceID=23","6771100")</f>
        <v>6771100</v>
      </c>
    </row>
    <row r="74" spans="1:13">
      <c r="A74" s="3">
        <v>2</v>
      </c>
      <c r="B74" s="3">
        <v>2</v>
      </c>
      <c r="C74" s="3">
        <v>19</v>
      </c>
      <c r="D74" s="3">
        <v>11</v>
      </c>
      <c r="E74" s="3">
        <f>((1/(INDEX(E0!J$4:J$52,C74,1)-INDEX(E0!J$4:J$52,D74,1))))*100000000</f>
        <v>0</v>
      </c>
      <c r="F74" s="4" t="str">
        <f>HYPERLINK("http://141.218.60.56/~jnz1568/getInfo.php?workbook=02_02.xlsx&amp;sheet=A0&amp;row=74&amp;col=6&amp;number=&amp;sourceID=27","")</f>
        <v/>
      </c>
      <c r="G74" s="4" t="str">
        <f>HYPERLINK("http://141.218.60.56/~jnz1568/getInfo.php?workbook=02_02.xlsx&amp;sheet=A0&amp;row=74&amp;col=7&amp;number=&amp;sourceID=26","")</f>
        <v/>
      </c>
      <c r="H74" s="4" t="str">
        <f>HYPERLINK("http://141.218.60.56/~jnz1568/getInfo.php?workbook=02_02.xlsx&amp;sheet=A0&amp;row=74&amp;col=8&amp;number=&amp;sourceID=26","")</f>
        <v/>
      </c>
      <c r="I74" s="4" t="str">
        <f>HYPERLINK("http://141.218.60.56/~jnz1568/getInfo.php?workbook=02_02.xlsx&amp;sheet=A0&amp;row=74&amp;col=9&amp;number=&amp;sourceID=15","")</f>
        <v/>
      </c>
      <c r="J74" s="4" t="str">
        <f>HYPERLINK("http://141.218.60.56/~jnz1568/getInfo.php?workbook=02_02.xlsx&amp;sheet=A0&amp;row=74&amp;col=10&amp;number=&amp;sourceID=15","")</f>
        <v/>
      </c>
      <c r="K74" s="4" t="str">
        <f>HYPERLINK("http://141.218.60.56/~jnz1568/getInfo.php?workbook=02_02.xlsx&amp;sheet=A0&amp;row=74&amp;col=11&amp;number=&amp;sourceID=15","")</f>
        <v/>
      </c>
      <c r="L74" s="4" t="str">
        <f>HYPERLINK("http://141.218.60.56/~jnz1568/getInfo.php?workbook=02_02.xlsx&amp;sheet=A0&amp;row=74&amp;col=12&amp;number=&amp;sourceID=15","")</f>
        <v/>
      </c>
      <c r="M74" s="4" t="str">
        <f>HYPERLINK("http://141.218.60.56/~jnz1568/getInfo.php?workbook=02_02.xlsx&amp;sheet=A0&amp;row=74&amp;col=13&amp;number=0.23356&amp;sourceID=23","0.23356")</f>
        <v>0.23356</v>
      </c>
    </row>
    <row r="75" spans="1:13">
      <c r="A75" s="3">
        <v>2</v>
      </c>
      <c r="B75" s="3">
        <v>2</v>
      </c>
      <c r="C75" s="3">
        <v>19</v>
      </c>
      <c r="D75" s="3">
        <v>16</v>
      </c>
      <c r="E75" s="3">
        <f>((1/(INDEX(E0!J$4:J$52,C75,1)-INDEX(E0!J$4:J$52,D75,1))))*100000000</f>
        <v>0</v>
      </c>
      <c r="F75" s="4" t="str">
        <f>HYPERLINK("http://141.218.60.56/~jnz1568/getInfo.php?workbook=02_02.xlsx&amp;sheet=A0&amp;row=75&amp;col=6&amp;number=&amp;sourceID=27","")</f>
        <v/>
      </c>
      <c r="G75" s="4" t="str">
        <f>HYPERLINK("http://141.218.60.56/~jnz1568/getInfo.php?workbook=02_02.xlsx&amp;sheet=A0&amp;row=75&amp;col=7&amp;number=&amp;sourceID=26","")</f>
        <v/>
      </c>
      <c r="H75" s="4" t="str">
        <f>HYPERLINK("http://141.218.60.56/~jnz1568/getInfo.php?workbook=02_02.xlsx&amp;sheet=A0&amp;row=75&amp;col=8&amp;number=&amp;sourceID=26","")</f>
        <v/>
      </c>
      <c r="I75" s="4" t="str">
        <f>HYPERLINK("http://141.218.60.56/~jnz1568/getInfo.php?workbook=02_02.xlsx&amp;sheet=A0&amp;row=75&amp;col=9&amp;number=&amp;sourceID=15","")</f>
        <v/>
      </c>
      <c r="J75" s="4" t="str">
        <f>HYPERLINK("http://141.218.60.56/~jnz1568/getInfo.php?workbook=02_02.xlsx&amp;sheet=A0&amp;row=75&amp;col=10&amp;number=1.3064&amp;sourceID=15","1.3064")</f>
        <v>1.3064</v>
      </c>
      <c r="K75" s="4" t="str">
        <f>HYPERLINK("http://141.218.60.56/~jnz1568/getInfo.php?workbook=02_02.xlsx&amp;sheet=A0&amp;row=75&amp;col=11&amp;number=&amp;sourceID=15","")</f>
        <v/>
      </c>
      <c r="L75" s="4" t="str">
        <f>HYPERLINK("http://141.218.60.56/~jnz1568/getInfo.php?workbook=02_02.xlsx&amp;sheet=A0&amp;row=75&amp;col=12&amp;number=&amp;sourceID=15","")</f>
        <v/>
      </c>
      <c r="M75" s="4" t="str">
        <f>HYPERLINK("http://141.218.60.56/~jnz1568/getInfo.php?workbook=02_02.xlsx&amp;sheet=A0&amp;row=75&amp;col=13&amp;number=&amp;sourceID=23","")</f>
        <v/>
      </c>
    </row>
    <row r="76" spans="1:13">
      <c r="A76" s="3">
        <v>2</v>
      </c>
      <c r="B76" s="3">
        <v>2</v>
      </c>
      <c r="C76" s="3">
        <v>19</v>
      </c>
      <c r="D76" s="3">
        <v>17</v>
      </c>
      <c r="E76" s="3">
        <f>((1/(INDEX(E0!J$4:J$52,C76,1)-INDEX(E0!J$4:J$52,D76,1))))*100000000</f>
        <v>0</v>
      </c>
      <c r="F76" s="4" t="str">
        <f>HYPERLINK("http://141.218.60.56/~jnz1568/getInfo.php?workbook=02_02.xlsx&amp;sheet=A0&amp;row=76&amp;col=6&amp;number=&amp;sourceID=27","")</f>
        <v/>
      </c>
      <c r="G76" s="4" t="str">
        <f>HYPERLINK("http://141.218.60.56/~jnz1568/getInfo.php?workbook=02_02.xlsx&amp;sheet=A0&amp;row=76&amp;col=7&amp;number=&amp;sourceID=26","")</f>
        <v/>
      </c>
      <c r="H76" s="4" t="str">
        <f>HYPERLINK("http://141.218.60.56/~jnz1568/getInfo.php?workbook=02_02.xlsx&amp;sheet=A0&amp;row=76&amp;col=8&amp;number=&amp;sourceID=26","")</f>
        <v/>
      </c>
      <c r="I76" s="4" t="str">
        <f>HYPERLINK("http://141.218.60.56/~jnz1568/getInfo.php?workbook=02_02.xlsx&amp;sheet=A0&amp;row=76&amp;col=9&amp;number=4592500&amp;sourceID=15","4592500")</f>
        <v>4592500</v>
      </c>
      <c r="J76" s="4" t="str">
        <f>HYPERLINK("http://141.218.60.56/~jnz1568/getInfo.php?workbook=02_02.xlsx&amp;sheet=A0&amp;row=76&amp;col=10&amp;number=&amp;sourceID=15","")</f>
        <v/>
      </c>
      <c r="K76" s="4" t="str">
        <f>HYPERLINK("http://141.218.60.56/~jnz1568/getInfo.php?workbook=02_02.xlsx&amp;sheet=A0&amp;row=76&amp;col=11&amp;number=&amp;sourceID=15","")</f>
        <v/>
      </c>
      <c r="L76" s="4" t="str">
        <f>HYPERLINK("http://141.218.60.56/~jnz1568/getInfo.php?workbook=02_02.xlsx&amp;sheet=A0&amp;row=76&amp;col=12&amp;number=&amp;sourceID=15","")</f>
        <v/>
      </c>
      <c r="M76" s="4" t="str">
        <f>HYPERLINK("http://141.218.60.56/~jnz1568/getInfo.php?workbook=02_02.xlsx&amp;sheet=A0&amp;row=76&amp;col=13&amp;number=4591600&amp;sourceID=23","4591600")</f>
        <v>4591600</v>
      </c>
    </row>
    <row r="77" spans="1:13">
      <c r="A77" s="3">
        <v>2</v>
      </c>
      <c r="B77" s="3">
        <v>2</v>
      </c>
      <c r="C77" s="3">
        <v>20</v>
      </c>
      <c r="D77" s="3">
        <v>1</v>
      </c>
      <c r="E77" s="3">
        <f>((1/(INDEX(E0!J$4:J$52,C77,1)-INDEX(E0!J$4:J$52,D77,1))))*100000000</f>
        <v>0</v>
      </c>
      <c r="F77" s="4" t="str">
        <f>HYPERLINK("http://141.218.60.56/~jnz1568/getInfo.php?workbook=02_02.xlsx&amp;sheet=A0&amp;row=77&amp;col=6&amp;number=&amp;sourceID=27","")</f>
        <v/>
      </c>
      <c r="G77" s="4" t="str">
        <f>HYPERLINK("http://141.218.60.56/~jnz1568/getInfo.php?workbook=02_02.xlsx&amp;sheet=A0&amp;row=77&amp;col=7&amp;number=&amp;sourceID=26","")</f>
        <v/>
      </c>
      <c r="H77" s="4" t="str">
        <f>HYPERLINK("http://141.218.60.56/~jnz1568/getInfo.php?workbook=02_02.xlsx&amp;sheet=A0&amp;row=77&amp;col=8&amp;number=&amp;sourceID=26","")</f>
        <v/>
      </c>
      <c r="I77" s="4" t="str">
        <f>HYPERLINK("http://141.218.60.56/~jnz1568/getInfo.php?workbook=02_02.xlsx&amp;sheet=A0&amp;row=77&amp;col=9&amp;number=&amp;sourceID=15","")</f>
        <v/>
      </c>
      <c r="J77" s="4" t="str">
        <f>HYPERLINK("http://141.218.60.56/~jnz1568/getInfo.php?workbook=02_02.xlsx&amp;sheet=A0&amp;row=77&amp;col=10&amp;number=&amp;sourceID=15","")</f>
        <v/>
      </c>
      <c r="K77" s="4" t="str">
        <f>HYPERLINK("http://141.218.60.56/~jnz1568/getInfo.php?workbook=02_02.xlsx&amp;sheet=A0&amp;row=77&amp;col=11&amp;number=&amp;sourceID=15","")</f>
        <v/>
      </c>
      <c r="L77" s="4" t="str">
        <f>HYPERLINK("http://141.218.60.56/~jnz1568/getInfo.php?workbook=02_02.xlsx&amp;sheet=A0&amp;row=77&amp;col=12&amp;number=0.052&amp;sourceID=15","0.052")</f>
        <v>0.052</v>
      </c>
      <c r="M77" s="4" t="str">
        <f>HYPERLINK("http://141.218.60.56/~jnz1568/getInfo.php?workbook=02_02.xlsx&amp;sheet=A0&amp;row=77&amp;col=13&amp;number=&amp;sourceID=23","")</f>
        <v/>
      </c>
    </row>
    <row r="78" spans="1:13">
      <c r="A78" s="3">
        <v>2</v>
      </c>
      <c r="B78" s="3">
        <v>2</v>
      </c>
      <c r="C78" s="3">
        <v>20</v>
      </c>
      <c r="D78" s="3">
        <v>2</v>
      </c>
      <c r="E78" s="3">
        <f>((1/(INDEX(E0!J$4:J$52,C78,1)-INDEX(E0!J$4:J$52,D78,1))))*100000000</f>
        <v>0</v>
      </c>
      <c r="F78" s="4" t="str">
        <f>HYPERLINK("http://141.218.60.56/~jnz1568/getInfo.php?workbook=02_02.xlsx&amp;sheet=A0&amp;row=78&amp;col=6&amp;number=&amp;sourceID=27","")</f>
        <v/>
      </c>
      <c r="G78" s="4" t="str">
        <f>HYPERLINK("http://141.218.60.56/~jnz1568/getInfo.php?workbook=02_02.xlsx&amp;sheet=A0&amp;row=78&amp;col=7&amp;number=&amp;sourceID=26","")</f>
        <v/>
      </c>
      <c r="H78" s="4" t="str">
        <f>HYPERLINK("http://141.218.60.56/~jnz1568/getInfo.php?workbook=02_02.xlsx&amp;sheet=A0&amp;row=78&amp;col=8&amp;number=&amp;sourceID=26","")</f>
        <v/>
      </c>
      <c r="I78" s="4" t="str">
        <f>HYPERLINK("http://141.218.60.56/~jnz1568/getInfo.php?workbook=02_02.xlsx&amp;sheet=A0&amp;row=78&amp;col=9&amp;number=5636100&amp;sourceID=15","5636100")</f>
        <v>5636100</v>
      </c>
      <c r="J78" s="4" t="str">
        <f>HYPERLINK("http://141.218.60.56/~jnz1568/getInfo.php?workbook=02_02.xlsx&amp;sheet=A0&amp;row=78&amp;col=10&amp;number=&amp;sourceID=15","")</f>
        <v/>
      </c>
      <c r="K78" s="4" t="str">
        <f>HYPERLINK("http://141.218.60.56/~jnz1568/getInfo.php?workbook=02_02.xlsx&amp;sheet=A0&amp;row=78&amp;col=11&amp;number=&amp;sourceID=15","")</f>
        <v/>
      </c>
      <c r="L78" s="4" t="str">
        <f>HYPERLINK("http://141.218.60.56/~jnz1568/getInfo.php?workbook=02_02.xlsx&amp;sheet=A0&amp;row=78&amp;col=12&amp;number=&amp;sourceID=15","")</f>
        <v/>
      </c>
      <c r="M78" s="4" t="str">
        <f>HYPERLINK("http://141.218.60.56/~jnz1568/getInfo.php?workbook=02_02.xlsx&amp;sheet=A0&amp;row=78&amp;col=13&amp;number=5636300&amp;sourceID=23","5636300")</f>
        <v>5636300</v>
      </c>
    </row>
    <row r="79" spans="1:13">
      <c r="A79" s="3">
        <v>2</v>
      </c>
      <c r="B79" s="3">
        <v>2</v>
      </c>
      <c r="C79" s="3">
        <v>20</v>
      </c>
      <c r="D79" s="3">
        <v>8</v>
      </c>
      <c r="E79" s="3">
        <f>((1/(INDEX(E0!J$4:J$52,C79,1)-INDEX(E0!J$4:J$52,D79,1))))*100000000</f>
        <v>0</v>
      </c>
      <c r="F79" s="4" t="str">
        <f>HYPERLINK("http://141.218.60.56/~jnz1568/getInfo.php?workbook=02_02.xlsx&amp;sheet=A0&amp;row=79&amp;col=6&amp;number=&amp;sourceID=27","")</f>
        <v/>
      </c>
      <c r="G79" s="4" t="str">
        <f>HYPERLINK("http://141.218.60.56/~jnz1568/getInfo.php?workbook=02_02.xlsx&amp;sheet=A0&amp;row=79&amp;col=7&amp;number=&amp;sourceID=26","")</f>
        <v/>
      </c>
      <c r="H79" s="4" t="str">
        <f>HYPERLINK("http://141.218.60.56/~jnz1568/getInfo.php?workbook=02_02.xlsx&amp;sheet=A0&amp;row=79&amp;col=8&amp;number=&amp;sourceID=26","")</f>
        <v/>
      </c>
      <c r="I79" s="4" t="str">
        <f>HYPERLINK("http://141.218.60.56/~jnz1568/getInfo.php?workbook=02_02.xlsx&amp;sheet=A0&amp;row=79&amp;col=9&amp;number=709320&amp;sourceID=15","709320")</f>
        <v>709320</v>
      </c>
      <c r="J79" s="4" t="str">
        <f>HYPERLINK("http://141.218.60.56/~jnz1568/getInfo.php?workbook=02_02.xlsx&amp;sheet=A0&amp;row=79&amp;col=10&amp;number=&amp;sourceID=15","")</f>
        <v/>
      </c>
      <c r="K79" s="4" t="str">
        <f>HYPERLINK("http://141.218.60.56/~jnz1568/getInfo.php?workbook=02_02.xlsx&amp;sheet=A0&amp;row=79&amp;col=11&amp;number=&amp;sourceID=15","")</f>
        <v/>
      </c>
      <c r="L79" s="4" t="str">
        <f>HYPERLINK("http://141.218.60.56/~jnz1568/getInfo.php?workbook=02_02.xlsx&amp;sheet=A0&amp;row=79&amp;col=12&amp;number=&amp;sourceID=15","")</f>
        <v/>
      </c>
      <c r="M79" s="4" t="str">
        <f>HYPERLINK("http://141.218.60.56/~jnz1568/getInfo.php?workbook=02_02.xlsx&amp;sheet=A0&amp;row=79&amp;col=13&amp;number=708960&amp;sourceID=23","708960")</f>
        <v>708960</v>
      </c>
    </row>
    <row r="80" spans="1:13">
      <c r="A80" s="3">
        <v>2</v>
      </c>
      <c r="B80" s="3">
        <v>2</v>
      </c>
      <c r="C80" s="3">
        <v>20</v>
      </c>
      <c r="D80" s="3">
        <v>13</v>
      </c>
      <c r="E80" s="3">
        <f>((1/(INDEX(E0!J$4:J$52,C80,1)-INDEX(E0!J$4:J$52,D80,1))))*100000000</f>
        <v>0</v>
      </c>
      <c r="F80" s="4" t="str">
        <f>HYPERLINK("http://141.218.60.56/~jnz1568/getInfo.php?workbook=02_02.xlsx&amp;sheet=A0&amp;row=80&amp;col=6&amp;number=&amp;sourceID=27","")</f>
        <v/>
      </c>
      <c r="G80" s="4" t="str">
        <f>HYPERLINK("http://141.218.60.56/~jnz1568/getInfo.php?workbook=02_02.xlsx&amp;sheet=A0&amp;row=80&amp;col=7&amp;number=&amp;sourceID=26","")</f>
        <v/>
      </c>
      <c r="H80" s="4" t="str">
        <f>HYPERLINK("http://141.218.60.56/~jnz1568/getInfo.php?workbook=02_02.xlsx&amp;sheet=A0&amp;row=80&amp;col=8&amp;number=&amp;sourceID=26","")</f>
        <v/>
      </c>
      <c r="I80" s="4" t="str">
        <f>HYPERLINK("http://141.218.60.56/~jnz1568/getInfo.php?workbook=02_02.xlsx&amp;sheet=A0&amp;row=80&amp;col=9&amp;number=542090&amp;sourceID=15","542090")</f>
        <v>542090</v>
      </c>
      <c r="J80" s="4" t="str">
        <f>HYPERLINK("http://141.218.60.56/~jnz1568/getInfo.php?workbook=02_02.xlsx&amp;sheet=A0&amp;row=80&amp;col=10&amp;number=&amp;sourceID=15","")</f>
        <v/>
      </c>
      <c r="K80" s="4" t="str">
        <f>HYPERLINK("http://141.218.60.56/~jnz1568/getInfo.php?workbook=02_02.xlsx&amp;sheet=A0&amp;row=80&amp;col=11&amp;number=&amp;sourceID=15","")</f>
        <v/>
      </c>
      <c r="L80" s="4" t="str">
        <f>HYPERLINK("http://141.218.60.56/~jnz1568/getInfo.php?workbook=02_02.xlsx&amp;sheet=A0&amp;row=80&amp;col=12&amp;number=&amp;sourceID=15","")</f>
        <v/>
      </c>
      <c r="M80" s="4" t="str">
        <f>HYPERLINK("http://141.218.60.56/~jnz1568/getInfo.php?workbook=02_02.xlsx&amp;sheet=A0&amp;row=80&amp;col=13&amp;number=543170&amp;sourceID=23","543170")</f>
        <v>543170</v>
      </c>
    </row>
    <row r="81" spans="1:13">
      <c r="A81" s="3">
        <v>2</v>
      </c>
      <c r="B81" s="3">
        <v>2</v>
      </c>
      <c r="C81" s="3">
        <v>20</v>
      </c>
      <c r="D81" s="3">
        <v>14</v>
      </c>
      <c r="E81" s="3">
        <f>((1/(INDEX(E0!J$4:J$52,C81,1)-INDEX(E0!J$4:J$52,D81,1))))*100000000</f>
        <v>0</v>
      </c>
      <c r="F81" s="4" t="str">
        <f>HYPERLINK("http://141.218.60.56/~jnz1568/getInfo.php?workbook=02_02.xlsx&amp;sheet=A0&amp;row=81&amp;col=6&amp;number=&amp;sourceID=27","")</f>
        <v/>
      </c>
      <c r="G81" s="4" t="str">
        <f>HYPERLINK("http://141.218.60.56/~jnz1568/getInfo.php?workbook=02_02.xlsx&amp;sheet=A0&amp;row=81&amp;col=7&amp;number=&amp;sourceID=26","")</f>
        <v/>
      </c>
      <c r="H81" s="4" t="str">
        <f>HYPERLINK("http://141.218.60.56/~jnz1568/getInfo.php?workbook=02_02.xlsx&amp;sheet=A0&amp;row=81&amp;col=8&amp;number=&amp;sourceID=26","")</f>
        <v/>
      </c>
      <c r="I81" s="4" t="str">
        <f>HYPERLINK("http://141.218.60.56/~jnz1568/getInfo.php?workbook=02_02.xlsx&amp;sheet=A0&amp;row=81&amp;col=9&amp;number=96778&amp;sourceID=15","96778")</f>
        <v>96778</v>
      </c>
      <c r="J81" s="4" t="str">
        <f>HYPERLINK("http://141.218.60.56/~jnz1568/getInfo.php?workbook=02_02.xlsx&amp;sheet=A0&amp;row=81&amp;col=10&amp;number=&amp;sourceID=15","")</f>
        <v/>
      </c>
      <c r="K81" s="4" t="str">
        <f>HYPERLINK("http://141.218.60.56/~jnz1568/getInfo.php?workbook=02_02.xlsx&amp;sheet=A0&amp;row=81&amp;col=11&amp;number=&amp;sourceID=15","")</f>
        <v/>
      </c>
      <c r="L81" s="4" t="str">
        <f>HYPERLINK("http://141.218.60.56/~jnz1568/getInfo.php?workbook=02_02.xlsx&amp;sheet=A0&amp;row=81&amp;col=12&amp;number=&amp;sourceID=15","")</f>
        <v/>
      </c>
      <c r="M81" s="4" t="str">
        <f>HYPERLINK("http://141.218.60.56/~jnz1568/getInfo.php?workbook=02_02.xlsx&amp;sheet=A0&amp;row=81&amp;col=13&amp;number=96970&amp;sourceID=23","96970")</f>
        <v>96970</v>
      </c>
    </row>
    <row r="82" spans="1:13">
      <c r="A82" s="3">
        <v>2</v>
      </c>
      <c r="B82" s="3">
        <v>2</v>
      </c>
      <c r="C82" s="3">
        <v>20</v>
      </c>
      <c r="D82" s="3">
        <v>15</v>
      </c>
      <c r="E82" s="3">
        <f>((1/(INDEX(E0!J$4:J$52,C82,1)-INDEX(E0!J$4:J$52,D82,1))))*100000000</f>
        <v>0</v>
      </c>
      <c r="F82" s="4" t="str">
        <f>HYPERLINK("http://141.218.60.56/~jnz1568/getInfo.php?workbook=02_02.xlsx&amp;sheet=A0&amp;row=82&amp;col=6&amp;number=&amp;sourceID=27","")</f>
        <v/>
      </c>
      <c r="G82" s="4" t="str">
        <f>HYPERLINK("http://141.218.60.56/~jnz1568/getInfo.php?workbook=02_02.xlsx&amp;sheet=A0&amp;row=82&amp;col=7&amp;number=&amp;sourceID=26","")</f>
        <v/>
      </c>
      <c r="H82" s="4" t="str">
        <f>HYPERLINK("http://141.218.60.56/~jnz1568/getInfo.php?workbook=02_02.xlsx&amp;sheet=A0&amp;row=82&amp;col=8&amp;number=&amp;sourceID=26","")</f>
        <v/>
      </c>
      <c r="I82" s="4" t="str">
        <f>HYPERLINK("http://141.218.60.56/~jnz1568/getInfo.php?workbook=02_02.xlsx&amp;sheet=A0&amp;row=82&amp;col=9&amp;number=6453.4&amp;sourceID=15","6453.4")</f>
        <v>6453.4</v>
      </c>
      <c r="J82" s="4" t="str">
        <f>HYPERLINK("http://141.218.60.56/~jnz1568/getInfo.php?workbook=02_02.xlsx&amp;sheet=A0&amp;row=82&amp;col=10&amp;number=&amp;sourceID=15","")</f>
        <v/>
      </c>
      <c r="K82" s="4" t="str">
        <f>HYPERLINK("http://141.218.60.56/~jnz1568/getInfo.php?workbook=02_02.xlsx&amp;sheet=A0&amp;row=82&amp;col=11&amp;number=&amp;sourceID=15","")</f>
        <v/>
      </c>
      <c r="L82" s="4" t="str">
        <f>HYPERLINK("http://141.218.60.56/~jnz1568/getInfo.php?workbook=02_02.xlsx&amp;sheet=A0&amp;row=82&amp;col=12&amp;number=&amp;sourceID=15","")</f>
        <v/>
      </c>
      <c r="M82" s="4" t="str">
        <f>HYPERLINK("http://141.218.60.56/~jnz1568/getInfo.php?workbook=02_02.xlsx&amp;sheet=A0&amp;row=82&amp;col=13&amp;number=6466.6&amp;sourceID=23","6466.6")</f>
        <v>6466.6</v>
      </c>
    </row>
    <row r="83" spans="1:13">
      <c r="A83" s="3">
        <v>2</v>
      </c>
      <c r="B83" s="3">
        <v>2</v>
      </c>
      <c r="C83" s="3">
        <v>20</v>
      </c>
      <c r="D83" s="3">
        <v>16</v>
      </c>
      <c r="E83" s="3">
        <f>((1/(INDEX(E0!J$4:J$52,C83,1)-INDEX(E0!J$4:J$52,D83,1))))*100000000</f>
        <v>0</v>
      </c>
      <c r="F83" s="4" t="str">
        <f>HYPERLINK("http://141.218.60.56/~jnz1568/getInfo.php?workbook=02_02.xlsx&amp;sheet=A0&amp;row=83&amp;col=6&amp;number=&amp;sourceID=27","")</f>
        <v/>
      </c>
      <c r="G83" s="4" t="str">
        <f>HYPERLINK("http://141.218.60.56/~jnz1568/getInfo.php?workbook=02_02.xlsx&amp;sheet=A0&amp;row=83&amp;col=7&amp;number=&amp;sourceID=26","")</f>
        <v/>
      </c>
      <c r="H83" s="4" t="str">
        <f>HYPERLINK("http://141.218.60.56/~jnz1568/getInfo.php?workbook=02_02.xlsx&amp;sheet=A0&amp;row=83&amp;col=8&amp;number=&amp;sourceID=26","")</f>
        <v/>
      </c>
      <c r="I83" s="4" t="str">
        <f>HYPERLINK("http://141.218.60.56/~jnz1568/getInfo.php?workbook=02_02.xlsx&amp;sheet=A0&amp;row=83&amp;col=9&amp;number=23.54&amp;sourceID=15","23.54")</f>
        <v>23.54</v>
      </c>
      <c r="J83" s="4" t="str">
        <f>HYPERLINK("http://141.218.60.56/~jnz1568/getInfo.php?workbook=02_02.xlsx&amp;sheet=A0&amp;row=83&amp;col=10&amp;number=&amp;sourceID=15","")</f>
        <v/>
      </c>
      <c r="K83" s="4" t="str">
        <f>HYPERLINK("http://141.218.60.56/~jnz1568/getInfo.php?workbook=02_02.xlsx&amp;sheet=A0&amp;row=83&amp;col=11&amp;number=&amp;sourceID=15","")</f>
        <v/>
      </c>
      <c r="L83" s="4" t="str">
        <f>HYPERLINK("http://141.218.60.56/~jnz1568/getInfo.php?workbook=02_02.xlsx&amp;sheet=A0&amp;row=83&amp;col=12&amp;number=&amp;sourceID=15","")</f>
        <v/>
      </c>
      <c r="M83" s="4" t="str">
        <f>HYPERLINK("http://141.218.60.56/~jnz1568/getInfo.php?workbook=02_02.xlsx&amp;sheet=A0&amp;row=83&amp;col=13&amp;number=23.998&amp;sourceID=23","23.998")</f>
        <v>23.998</v>
      </c>
    </row>
    <row r="84" spans="1:13">
      <c r="A84" s="3">
        <v>2</v>
      </c>
      <c r="B84" s="3">
        <v>2</v>
      </c>
      <c r="C84" s="3">
        <v>20</v>
      </c>
      <c r="D84" s="3">
        <v>18</v>
      </c>
      <c r="E84" s="3">
        <f>((1/(INDEX(E0!J$4:J$52,C84,1)-INDEX(E0!J$4:J$52,D84,1))))*100000000</f>
        <v>0</v>
      </c>
      <c r="F84" s="4" t="str">
        <f>HYPERLINK("http://141.218.60.56/~jnz1568/getInfo.php?workbook=02_02.xlsx&amp;sheet=A0&amp;row=84&amp;col=6&amp;number=&amp;sourceID=27","")</f>
        <v/>
      </c>
      <c r="G84" s="4" t="str">
        <f>HYPERLINK("http://141.218.60.56/~jnz1568/getInfo.php?workbook=02_02.xlsx&amp;sheet=A0&amp;row=84&amp;col=7&amp;number=&amp;sourceID=26","")</f>
        <v/>
      </c>
      <c r="H84" s="4" t="str">
        <f>HYPERLINK("http://141.218.60.56/~jnz1568/getInfo.php?workbook=02_02.xlsx&amp;sheet=A0&amp;row=84&amp;col=8&amp;number=&amp;sourceID=26","")</f>
        <v/>
      </c>
      <c r="I84" s="4" t="str">
        <f>HYPERLINK("http://141.218.60.56/~jnz1568/getInfo.php?workbook=02_02.xlsx&amp;sheet=A0&amp;row=84&amp;col=9&amp;number=228250&amp;sourceID=15","228250")</f>
        <v>228250</v>
      </c>
      <c r="J84" s="4" t="str">
        <f>HYPERLINK("http://141.218.60.56/~jnz1568/getInfo.php?workbook=02_02.xlsx&amp;sheet=A0&amp;row=84&amp;col=10&amp;number=&amp;sourceID=15","")</f>
        <v/>
      </c>
      <c r="K84" s="4" t="str">
        <f>HYPERLINK("http://141.218.60.56/~jnz1568/getInfo.php?workbook=02_02.xlsx&amp;sheet=A0&amp;row=84&amp;col=11&amp;number=&amp;sourceID=15","")</f>
        <v/>
      </c>
      <c r="L84" s="4" t="str">
        <f>HYPERLINK("http://141.218.60.56/~jnz1568/getInfo.php?workbook=02_02.xlsx&amp;sheet=A0&amp;row=84&amp;col=12&amp;number=&amp;sourceID=15","")</f>
        <v/>
      </c>
      <c r="M84" s="4" t="str">
        <f>HYPERLINK("http://141.218.60.56/~jnz1568/getInfo.php?workbook=02_02.xlsx&amp;sheet=A0&amp;row=84&amp;col=13&amp;number=228400&amp;sourceID=23","228400")</f>
        <v>228400</v>
      </c>
    </row>
    <row r="85" spans="1:13">
      <c r="A85" s="3">
        <v>2</v>
      </c>
      <c r="B85" s="3">
        <v>2</v>
      </c>
      <c r="C85" s="3">
        <v>21</v>
      </c>
      <c r="D85" s="3">
        <v>1</v>
      </c>
      <c r="E85" s="3">
        <f>((1/(INDEX(E0!J$4:J$52,C85,1)-INDEX(E0!J$4:J$52,D85,1))))*100000000</f>
        <v>0</v>
      </c>
      <c r="F85" s="4" t="str">
        <f>HYPERLINK("http://141.218.60.56/~jnz1568/getInfo.php?workbook=02_02.xlsx&amp;sheet=A0&amp;row=85&amp;col=6&amp;number=&amp;sourceID=27","")</f>
        <v/>
      </c>
      <c r="G85" s="4" t="str">
        <f>HYPERLINK("http://141.218.60.56/~jnz1568/getInfo.php?workbook=02_02.xlsx&amp;sheet=A0&amp;row=85&amp;col=7&amp;number=&amp;sourceID=26","")</f>
        <v/>
      </c>
      <c r="H85" s="4" t="str">
        <f>HYPERLINK("http://141.218.60.56/~jnz1568/getInfo.php?workbook=02_02.xlsx&amp;sheet=A0&amp;row=85&amp;col=8&amp;number=&amp;sourceID=26","")</f>
        <v/>
      </c>
      <c r="I85" s="4" t="str">
        <f>HYPERLINK("http://141.218.60.56/~jnz1568/getInfo.php?workbook=02_02.xlsx&amp;sheet=A0&amp;row=85&amp;col=9&amp;number=&amp;sourceID=15","")</f>
        <v/>
      </c>
      <c r="J85" s="4" t="str">
        <f>HYPERLINK("http://141.218.60.56/~jnz1568/getInfo.php?workbook=02_02.xlsx&amp;sheet=A0&amp;row=85&amp;col=10&amp;number=&amp;sourceID=15","")</f>
        <v/>
      </c>
      <c r="K85" s="4" t="str">
        <f>HYPERLINK("http://141.218.60.56/~jnz1568/getInfo.php?workbook=02_02.xlsx&amp;sheet=A0&amp;row=85&amp;col=11&amp;number=&amp;sourceID=15","")</f>
        <v/>
      </c>
      <c r="L85" s="4" t="str">
        <f>HYPERLINK("http://141.218.60.56/~jnz1568/getInfo.php?workbook=02_02.xlsx&amp;sheet=A0&amp;row=85&amp;col=12&amp;number=&amp;sourceID=15","")</f>
        <v/>
      </c>
      <c r="M85" s="4" t="str">
        <f>HYPERLINK("http://141.218.60.56/~jnz1568/getInfo.php?workbook=02_02.xlsx&amp;sheet=A0&amp;row=85&amp;col=13&amp;number=17.862&amp;sourceID=23","17.862")</f>
        <v>17.862</v>
      </c>
    </row>
    <row r="86" spans="1:13">
      <c r="A86" s="3">
        <v>2</v>
      </c>
      <c r="B86" s="3">
        <v>2</v>
      </c>
      <c r="C86" s="3">
        <v>21</v>
      </c>
      <c r="D86" s="3">
        <v>2</v>
      </c>
      <c r="E86" s="3">
        <f>((1/(INDEX(E0!J$4:J$52,C86,1)-INDEX(E0!J$4:J$52,D86,1))))*100000000</f>
        <v>0</v>
      </c>
      <c r="F86" s="4" t="str">
        <f>HYPERLINK("http://141.218.60.56/~jnz1568/getInfo.php?workbook=02_02.xlsx&amp;sheet=A0&amp;row=86&amp;col=6&amp;number=&amp;sourceID=27","")</f>
        <v/>
      </c>
      <c r="G86" s="4" t="str">
        <f>HYPERLINK("http://141.218.60.56/~jnz1568/getInfo.php?workbook=02_02.xlsx&amp;sheet=A0&amp;row=86&amp;col=7&amp;number=&amp;sourceID=26","")</f>
        <v/>
      </c>
      <c r="H86" s="4" t="str">
        <f>HYPERLINK("http://141.218.60.56/~jnz1568/getInfo.php?workbook=02_02.xlsx&amp;sheet=A0&amp;row=86&amp;col=8&amp;number=&amp;sourceID=26","")</f>
        <v/>
      </c>
      <c r="I86" s="4" t="str">
        <f>HYPERLINK("http://141.218.60.56/~jnz1568/getInfo.php?workbook=02_02.xlsx&amp;sheet=A0&amp;row=86&amp;col=9&amp;number=5636100&amp;sourceID=15","5636100")</f>
        <v>5636100</v>
      </c>
      <c r="J86" s="4" t="str">
        <f>HYPERLINK("http://141.218.60.56/~jnz1568/getInfo.php?workbook=02_02.xlsx&amp;sheet=A0&amp;row=86&amp;col=10&amp;number=&amp;sourceID=15","")</f>
        <v/>
      </c>
      <c r="K86" s="4" t="str">
        <f>HYPERLINK("http://141.218.60.56/~jnz1568/getInfo.php?workbook=02_02.xlsx&amp;sheet=A0&amp;row=86&amp;col=11&amp;number=&amp;sourceID=15","")</f>
        <v/>
      </c>
      <c r="L86" s="4" t="str">
        <f>HYPERLINK("http://141.218.60.56/~jnz1568/getInfo.php?workbook=02_02.xlsx&amp;sheet=A0&amp;row=86&amp;col=12&amp;number=&amp;sourceID=15","")</f>
        <v/>
      </c>
      <c r="M86" s="4" t="str">
        <f>HYPERLINK("http://141.218.60.56/~jnz1568/getInfo.php?workbook=02_02.xlsx&amp;sheet=A0&amp;row=86&amp;col=13&amp;number=5636500&amp;sourceID=23","5636500")</f>
        <v>5636500</v>
      </c>
    </row>
    <row r="87" spans="1:13">
      <c r="A87" s="3">
        <v>2</v>
      </c>
      <c r="B87" s="3">
        <v>2</v>
      </c>
      <c r="C87" s="3">
        <v>21</v>
      </c>
      <c r="D87" s="3">
        <v>3</v>
      </c>
      <c r="E87" s="3">
        <f>((1/(INDEX(E0!J$4:J$52,C87,1)-INDEX(E0!J$4:J$52,D87,1))))*100000000</f>
        <v>0</v>
      </c>
      <c r="F87" s="4" t="str">
        <f>HYPERLINK("http://141.218.60.56/~jnz1568/getInfo.php?workbook=02_02.xlsx&amp;sheet=A0&amp;row=87&amp;col=6&amp;number=&amp;sourceID=27","")</f>
        <v/>
      </c>
      <c r="G87" s="4" t="str">
        <f>HYPERLINK("http://141.218.60.56/~jnz1568/getInfo.php?workbook=02_02.xlsx&amp;sheet=A0&amp;row=87&amp;col=7&amp;number=&amp;sourceID=26","")</f>
        <v/>
      </c>
      <c r="H87" s="4" t="str">
        <f>HYPERLINK("http://141.218.60.56/~jnz1568/getInfo.php?workbook=02_02.xlsx&amp;sheet=A0&amp;row=87&amp;col=8&amp;number=&amp;sourceID=26","")</f>
        <v/>
      </c>
      <c r="I87" s="4" t="str">
        <f>HYPERLINK("http://141.218.60.56/~jnz1568/getInfo.php?workbook=02_02.xlsx&amp;sheet=A0&amp;row=87&amp;col=9&amp;number=&amp;sourceID=15","")</f>
        <v/>
      </c>
      <c r="J87" s="4" t="str">
        <f>HYPERLINK("http://141.218.60.56/~jnz1568/getInfo.php?workbook=02_02.xlsx&amp;sheet=A0&amp;row=87&amp;col=10&amp;number=&amp;sourceID=15","")</f>
        <v/>
      </c>
      <c r="K87" s="4" t="str">
        <f>HYPERLINK("http://141.218.60.56/~jnz1568/getInfo.php?workbook=02_02.xlsx&amp;sheet=A0&amp;row=87&amp;col=11&amp;number=&amp;sourceID=15","")</f>
        <v/>
      </c>
      <c r="L87" s="4" t="str">
        <f>HYPERLINK("http://141.218.60.56/~jnz1568/getInfo.php?workbook=02_02.xlsx&amp;sheet=A0&amp;row=87&amp;col=12&amp;number=&amp;sourceID=15","")</f>
        <v/>
      </c>
      <c r="M87" s="4" t="str">
        <f>HYPERLINK("http://141.218.60.56/~jnz1568/getInfo.php?workbook=02_02.xlsx&amp;sheet=A0&amp;row=87&amp;col=13&amp;number=0.6504&amp;sourceID=23","0.6504")</f>
        <v>0.6504</v>
      </c>
    </row>
    <row r="88" spans="1:13">
      <c r="A88" s="3">
        <v>2</v>
      </c>
      <c r="B88" s="3">
        <v>2</v>
      </c>
      <c r="C88" s="3">
        <v>21</v>
      </c>
      <c r="D88" s="3">
        <v>8</v>
      </c>
      <c r="E88" s="3">
        <f>((1/(INDEX(E0!J$4:J$52,C88,1)-INDEX(E0!J$4:J$52,D88,1))))*100000000</f>
        <v>0</v>
      </c>
      <c r="F88" s="4" t="str">
        <f>HYPERLINK("http://141.218.60.56/~jnz1568/getInfo.php?workbook=02_02.xlsx&amp;sheet=A0&amp;row=88&amp;col=6&amp;number=&amp;sourceID=27","")</f>
        <v/>
      </c>
      <c r="G88" s="4" t="str">
        <f>HYPERLINK("http://141.218.60.56/~jnz1568/getInfo.php?workbook=02_02.xlsx&amp;sheet=A0&amp;row=88&amp;col=7&amp;number=&amp;sourceID=26","")</f>
        <v/>
      </c>
      <c r="H88" s="4" t="str">
        <f>HYPERLINK("http://141.218.60.56/~jnz1568/getInfo.php?workbook=02_02.xlsx&amp;sheet=A0&amp;row=88&amp;col=8&amp;number=&amp;sourceID=26","")</f>
        <v/>
      </c>
      <c r="I88" s="4" t="str">
        <f>HYPERLINK("http://141.218.60.56/~jnz1568/getInfo.php?workbook=02_02.xlsx&amp;sheet=A0&amp;row=88&amp;col=9&amp;number=709320&amp;sourceID=15","709320")</f>
        <v>709320</v>
      </c>
      <c r="J88" s="4" t="str">
        <f>HYPERLINK("http://141.218.60.56/~jnz1568/getInfo.php?workbook=02_02.xlsx&amp;sheet=A0&amp;row=88&amp;col=10&amp;number=&amp;sourceID=15","")</f>
        <v/>
      </c>
      <c r="K88" s="4" t="str">
        <f>HYPERLINK("http://141.218.60.56/~jnz1568/getInfo.php?workbook=02_02.xlsx&amp;sheet=A0&amp;row=88&amp;col=11&amp;number=&amp;sourceID=15","")</f>
        <v/>
      </c>
      <c r="L88" s="4" t="str">
        <f>HYPERLINK("http://141.218.60.56/~jnz1568/getInfo.php?workbook=02_02.xlsx&amp;sheet=A0&amp;row=88&amp;col=12&amp;number=&amp;sourceID=15","")</f>
        <v/>
      </c>
      <c r="M88" s="4" t="str">
        <f>HYPERLINK("http://141.218.60.56/~jnz1568/getInfo.php?workbook=02_02.xlsx&amp;sheet=A0&amp;row=88&amp;col=13&amp;number=708900&amp;sourceID=23","708900")</f>
        <v>708900</v>
      </c>
    </row>
    <row r="89" spans="1:13">
      <c r="A89" s="3">
        <v>2</v>
      </c>
      <c r="B89" s="3">
        <v>2</v>
      </c>
      <c r="C89" s="3">
        <v>21</v>
      </c>
      <c r="D89" s="3">
        <v>9</v>
      </c>
      <c r="E89" s="3">
        <f>((1/(INDEX(E0!J$4:J$52,C89,1)-INDEX(E0!J$4:J$52,D89,1))))*100000000</f>
        <v>0</v>
      </c>
      <c r="F89" s="4" t="str">
        <f>HYPERLINK("http://141.218.60.56/~jnz1568/getInfo.php?workbook=02_02.xlsx&amp;sheet=A0&amp;row=89&amp;col=6&amp;number=&amp;sourceID=27","")</f>
        <v/>
      </c>
      <c r="G89" s="4" t="str">
        <f>HYPERLINK("http://141.218.60.56/~jnz1568/getInfo.php?workbook=02_02.xlsx&amp;sheet=A0&amp;row=89&amp;col=7&amp;number=&amp;sourceID=26","")</f>
        <v/>
      </c>
      <c r="H89" s="4" t="str">
        <f>HYPERLINK("http://141.218.60.56/~jnz1568/getInfo.php?workbook=02_02.xlsx&amp;sheet=A0&amp;row=89&amp;col=8&amp;number=&amp;sourceID=26","")</f>
        <v/>
      </c>
      <c r="I89" s="4" t="str">
        <f>HYPERLINK("http://141.218.60.56/~jnz1568/getInfo.php?workbook=02_02.xlsx&amp;sheet=A0&amp;row=89&amp;col=9&amp;number=&amp;sourceID=15","")</f>
        <v/>
      </c>
      <c r="J89" s="4" t="str">
        <f>HYPERLINK("http://141.218.60.56/~jnz1568/getInfo.php?workbook=02_02.xlsx&amp;sheet=A0&amp;row=89&amp;col=10&amp;number=&amp;sourceID=15","")</f>
        <v/>
      </c>
      <c r="K89" s="4" t="str">
        <f>HYPERLINK("http://141.218.60.56/~jnz1568/getInfo.php?workbook=02_02.xlsx&amp;sheet=A0&amp;row=89&amp;col=11&amp;number=&amp;sourceID=15","")</f>
        <v/>
      </c>
      <c r="L89" s="4" t="str">
        <f>HYPERLINK("http://141.218.60.56/~jnz1568/getInfo.php?workbook=02_02.xlsx&amp;sheet=A0&amp;row=89&amp;col=12&amp;number=&amp;sourceID=15","")</f>
        <v/>
      </c>
      <c r="M89" s="4" t="str">
        <f>HYPERLINK("http://141.218.60.56/~jnz1568/getInfo.php?workbook=02_02.xlsx&amp;sheet=A0&amp;row=89&amp;col=13&amp;number=0.16553&amp;sourceID=23","0.16553")</f>
        <v>0.16553</v>
      </c>
    </row>
    <row r="90" spans="1:13">
      <c r="A90" s="3">
        <v>2</v>
      </c>
      <c r="B90" s="3">
        <v>2</v>
      </c>
      <c r="C90" s="3">
        <v>21</v>
      </c>
      <c r="D90" s="3">
        <v>14</v>
      </c>
      <c r="E90" s="3">
        <f>((1/(INDEX(E0!J$4:J$52,C90,1)-INDEX(E0!J$4:J$52,D90,1))))*100000000</f>
        <v>0</v>
      </c>
      <c r="F90" s="4" t="str">
        <f>HYPERLINK("http://141.218.60.56/~jnz1568/getInfo.php?workbook=02_02.xlsx&amp;sheet=A0&amp;row=90&amp;col=6&amp;number=&amp;sourceID=27","")</f>
        <v/>
      </c>
      <c r="G90" s="4" t="str">
        <f>HYPERLINK("http://141.218.60.56/~jnz1568/getInfo.php?workbook=02_02.xlsx&amp;sheet=A0&amp;row=90&amp;col=7&amp;number=&amp;sourceID=26","")</f>
        <v/>
      </c>
      <c r="H90" s="4" t="str">
        <f>HYPERLINK("http://141.218.60.56/~jnz1568/getInfo.php?workbook=02_02.xlsx&amp;sheet=A0&amp;row=90&amp;col=8&amp;number=&amp;sourceID=26","")</f>
        <v/>
      </c>
      <c r="I90" s="4" t="str">
        <f>HYPERLINK("http://141.218.60.56/~jnz1568/getInfo.php?workbook=02_02.xlsx&amp;sheet=A0&amp;row=90&amp;col=9&amp;number=483890&amp;sourceID=15","483890")</f>
        <v>483890</v>
      </c>
      <c r="J90" s="4" t="str">
        <f>HYPERLINK("http://141.218.60.56/~jnz1568/getInfo.php?workbook=02_02.xlsx&amp;sheet=A0&amp;row=90&amp;col=10&amp;number=&amp;sourceID=15","")</f>
        <v/>
      </c>
      <c r="K90" s="4" t="str">
        <f>HYPERLINK("http://141.218.60.56/~jnz1568/getInfo.php?workbook=02_02.xlsx&amp;sheet=A0&amp;row=90&amp;col=11&amp;number=&amp;sourceID=15","")</f>
        <v/>
      </c>
      <c r="L90" s="4" t="str">
        <f>HYPERLINK("http://141.218.60.56/~jnz1568/getInfo.php?workbook=02_02.xlsx&amp;sheet=A0&amp;row=90&amp;col=12&amp;number=&amp;sourceID=15","")</f>
        <v/>
      </c>
      <c r="M90" s="4" t="str">
        <f>HYPERLINK("http://141.218.60.56/~jnz1568/getInfo.php?workbook=02_02.xlsx&amp;sheet=A0&amp;row=90&amp;col=13&amp;number=484830&amp;sourceID=23","484830")</f>
        <v>484830</v>
      </c>
    </row>
    <row r="91" spans="1:13">
      <c r="A91" s="3">
        <v>2</v>
      </c>
      <c r="B91" s="3">
        <v>2</v>
      </c>
      <c r="C91" s="3">
        <v>21</v>
      </c>
      <c r="D91" s="3">
        <v>15</v>
      </c>
      <c r="E91" s="3">
        <f>((1/(INDEX(E0!J$4:J$52,C91,1)-INDEX(E0!J$4:J$52,D91,1))))*100000000</f>
        <v>0</v>
      </c>
      <c r="F91" s="4" t="str">
        <f>HYPERLINK("http://141.218.60.56/~jnz1568/getInfo.php?workbook=02_02.xlsx&amp;sheet=A0&amp;row=91&amp;col=6&amp;number=&amp;sourceID=27","")</f>
        <v/>
      </c>
      <c r="G91" s="4" t="str">
        <f>HYPERLINK("http://141.218.60.56/~jnz1568/getInfo.php?workbook=02_02.xlsx&amp;sheet=A0&amp;row=91&amp;col=7&amp;number=&amp;sourceID=26","")</f>
        <v/>
      </c>
      <c r="H91" s="4" t="str">
        <f>HYPERLINK("http://141.218.60.56/~jnz1568/getInfo.php?workbook=02_02.xlsx&amp;sheet=A0&amp;row=91&amp;col=8&amp;number=&amp;sourceID=26","")</f>
        <v/>
      </c>
      <c r="I91" s="4" t="str">
        <f>HYPERLINK("http://141.218.60.56/~jnz1568/getInfo.php?workbook=02_02.xlsx&amp;sheet=A0&amp;row=91&amp;col=9&amp;number=161340&amp;sourceID=15","161340")</f>
        <v>161340</v>
      </c>
      <c r="J91" s="4" t="str">
        <f>HYPERLINK("http://141.218.60.56/~jnz1568/getInfo.php?workbook=02_02.xlsx&amp;sheet=A0&amp;row=91&amp;col=10&amp;number=&amp;sourceID=15","")</f>
        <v/>
      </c>
      <c r="K91" s="4" t="str">
        <f>HYPERLINK("http://141.218.60.56/~jnz1568/getInfo.php?workbook=02_02.xlsx&amp;sheet=A0&amp;row=91&amp;col=11&amp;number=&amp;sourceID=15","")</f>
        <v/>
      </c>
      <c r="L91" s="4" t="str">
        <f>HYPERLINK("http://141.218.60.56/~jnz1568/getInfo.php?workbook=02_02.xlsx&amp;sheet=A0&amp;row=91&amp;col=12&amp;number=&amp;sourceID=15","")</f>
        <v/>
      </c>
      <c r="M91" s="4" t="str">
        <f>HYPERLINK("http://141.218.60.56/~jnz1568/getInfo.php?workbook=02_02.xlsx&amp;sheet=A0&amp;row=91&amp;col=13&amp;number=161650&amp;sourceID=23","161650")</f>
        <v>161650</v>
      </c>
    </row>
    <row r="92" spans="1:13">
      <c r="A92" s="3">
        <v>2</v>
      </c>
      <c r="B92" s="3">
        <v>2</v>
      </c>
      <c r="C92" s="3">
        <v>21</v>
      </c>
      <c r="D92" s="3">
        <v>16</v>
      </c>
      <c r="E92" s="3">
        <f>((1/(INDEX(E0!J$4:J$52,C92,1)-INDEX(E0!J$4:J$52,D92,1))))*100000000</f>
        <v>0</v>
      </c>
      <c r="F92" s="4" t="str">
        <f>HYPERLINK("http://141.218.60.56/~jnz1568/getInfo.php?workbook=02_02.xlsx&amp;sheet=A0&amp;row=92&amp;col=6&amp;number=&amp;sourceID=27","")</f>
        <v/>
      </c>
      <c r="G92" s="4" t="str">
        <f>HYPERLINK("http://141.218.60.56/~jnz1568/getInfo.php?workbook=02_02.xlsx&amp;sheet=A0&amp;row=92&amp;col=7&amp;number=&amp;sourceID=26","")</f>
        <v/>
      </c>
      <c r="H92" s="4" t="str">
        <f>HYPERLINK("http://141.218.60.56/~jnz1568/getInfo.php?workbook=02_02.xlsx&amp;sheet=A0&amp;row=92&amp;col=8&amp;number=&amp;sourceID=26","")</f>
        <v/>
      </c>
      <c r="I92" s="4" t="str">
        <f>HYPERLINK("http://141.218.60.56/~jnz1568/getInfo.php?workbook=02_02.xlsx&amp;sheet=A0&amp;row=92&amp;col=9&amp;number=115&amp;sourceID=15","115")</f>
        <v>115</v>
      </c>
      <c r="J92" s="4" t="str">
        <f>HYPERLINK("http://141.218.60.56/~jnz1568/getInfo.php?workbook=02_02.xlsx&amp;sheet=A0&amp;row=92&amp;col=10&amp;number=&amp;sourceID=15","")</f>
        <v/>
      </c>
      <c r="K92" s="4" t="str">
        <f>HYPERLINK("http://141.218.60.56/~jnz1568/getInfo.php?workbook=02_02.xlsx&amp;sheet=A0&amp;row=92&amp;col=11&amp;number=&amp;sourceID=15","")</f>
        <v/>
      </c>
      <c r="L92" s="4" t="str">
        <f>HYPERLINK("http://141.218.60.56/~jnz1568/getInfo.php?workbook=02_02.xlsx&amp;sheet=A0&amp;row=92&amp;col=12&amp;number=&amp;sourceID=15","")</f>
        <v/>
      </c>
      <c r="M92" s="4" t="str">
        <f>HYPERLINK("http://141.218.60.56/~jnz1568/getInfo.php?workbook=02_02.xlsx&amp;sheet=A0&amp;row=92&amp;col=13&amp;number=115.57&amp;sourceID=23","115.57")</f>
        <v>115.57</v>
      </c>
    </row>
    <row r="93" spans="1:13">
      <c r="A93" s="3">
        <v>2</v>
      </c>
      <c r="B93" s="3">
        <v>2</v>
      </c>
      <c r="C93" s="3">
        <v>21</v>
      </c>
      <c r="D93" s="3">
        <v>18</v>
      </c>
      <c r="E93" s="3">
        <f>((1/(INDEX(E0!J$4:J$52,C93,1)-INDEX(E0!J$4:J$52,D93,1))))*100000000</f>
        <v>0</v>
      </c>
      <c r="F93" s="4" t="str">
        <f>HYPERLINK("http://141.218.60.56/~jnz1568/getInfo.php?workbook=02_02.xlsx&amp;sheet=A0&amp;row=93&amp;col=6&amp;number=&amp;sourceID=27","")</f>
        <v/>
      </c>
      <c r="G93" s="4" t="str">
        <f>HYPERLINK("http://141.218.60.56/~jnz1568/getInfo.php?workbook=02_02.xlsx&amp;sheet=A0&amp;row=93&amp;col=7&amp;number=&amp;sourceID=26","")</f>
        <v/>
      </c>
      <c r="H93" s="4" t="str">
        <f>HYPERLINK("http://141.218.60.56/~jnz1568/getInfo.php?workbook=02_02.xlsx&amp;sheet=A0&amp;row=93&amp;col=8&amp;number=&amp;sourceID=26","")</f>
        <v/>
      </c>
      <c r="I93" s="4" t="str">
        <f>HYPERLINK("http://141.218.60.56/~jnz1568/getInfo.php?workbook=02_02.xlsx&amp;sheet=A0&amp;row=93&amp;col=9&amp;number=228250&amp;sourceID=15","228250")</f>
        <v>228250</v>
      </c>
      <c r="J93" s="4" t="str">
        <f>HYPERLINK("http://141.218.60.56/~jnz1568/getInfo.php?workbook=02_02.xlsx&amp;sheet=A0&amp;row=93&amp;col=10&amp;number=&amp;sourceID=15","")</f>
        <v/>
      </c>
      <c r="K93" s="4" t="str">
        <f>HYPERLINK("http://141.218.60.56/~jnz1568/getInfo.php?workbook=02_02.xlsx&amp;sheet=A0&amp;row=93&amp;col=11&amp;number=&amp;sourceID=15","")</f>
        <v/>
      </c>
      <c r="L93" s="4" t="str">
        <f>HYPERLINK("http://141.218.60.56/~jnz1568/getInfo.php?workbook=02_02.xlsx&amp;sheet=A0&amp;row=93&amp;col=12&amp;number=&amp;sourceID=15","")</f>
        <v/>
      </c>
      <c r="M93" s="4" t="str">
        <f>HYPERLINK("http://141.218.60.56/~jnz1568/getInfo.php?workbook=02_02.xlsx&amp;sheet=A0&amp;row=93&amp;col=13&amp;number=228410&amp;sourceID=23","228410")</f>
        <v>228410</v>
      </c>
    </row>
    <row r="94" spans="1:13">
      <c r="A94" s="3">
        <v>2</v>
      </c>
      <c r="B94" s="3">
        <v>2</v>
      </c>
      <c r="C94" s="3">
        <v>21</v>
      </c>
      <c r="D94" s="3">
        <v>19</v>
      </c>
      <c r="E94" s="3">
        <f>((1/(INDEX(E0!J$4:J$52,C94,1)-INDEX(E0!J$4:J$52,D94,1))))*100000000</f>
        <v>0</v>
      </c>
      <c r="F94" s="4" t="str">
        <f>HYPERLINK("http://141.218.60.56/~jnz1568/getInfo.php?workbook=02_02.xlsx&amp;sheet=A0&amp;row=94&amp;col=6&amp;number=&amp;sourceID=27","")</f>
        <v/>
      </c>
      <c r="G94" s="4" t="str">
        <f>HYPERLINK("http://141.218.60.56/~jnz1568/getInfo.php?workbook=02_02.xlsx&amp;sheet=A0&amp;row=94&amp;col=7&amp;number=&amp;sourceID=26","")</f>
        <v/>
      </c>
      <c r="H94" s="4" t="str">
        <f>HYPERLINK("http://141.218.60.56/~jnz1568/getInfo.php?workbook=02_02.xlsx&amp;sheet=A0&amp;row=94&amp;col=8&amp;number=&amp;sourceID=26","")</f>
        <v/>
      </c>
      <c r="I94" s="4" t="str">
        <f>HYPERLINK("http://141.218.60.56/~jnz1568/getInfo.php?workbook=02_02.xlsx&amp;sheet=A0&amp;row=94&amp;col=9&amp;number=&amp;sourceID=15","")</f>
        <v/>
      </c>
      <c r="J94" s="4" t="str">
        <f>HYPERLINK("http://141.218.60.56/~jnz1568/getInfo.php?workbook=02_02.xlsx&amp;sheet=A0&amp;row=94&amp;col=10&amp;number=&amp;sourceID=15","")</f>
        <v/>
      </c>
      <c r="K94" s="4" t="str">
        <f>HYPERLINK("http://141.218.60.56/~jnz1568/getInfo.php?workbook=02_02.xlsx&amp;sheet=A0&amp;row=94&amp;col=11&amp;number=&amp;sourceID=15","")</f>
        <v/>
      </c>
      <c r="L94" s="4" t="str">
        <f>HYPERLINK("http://141.218.60.56/~jnz1568/getInfo.php?workbook=02_02.xlsx&amp;sheet=A0&amp;row=94&amp;col=12&amp;number=&amp;sourceID=15","")</f>
        <v/>
      </c>
      <c r="M94" s="4" t="str">
        <f>HYPERLINK("http://141.218.60.56/~jnz1568/getInfo.php?workbook=02_02.xlsx&amp;sheet=A0&amp;row=94&amp;col=13&amp;number=0.00045043&amp;sourceID=23","0.00045043")</f>
        <v>0.00045043</v>
      </c>
    </row>
    <row r="95" spans="1:13">
      <c r="A95" s="3">
        <v>2</v>
      </c>
      <c r="B95" s="3">
        <v>2</v>
      </c>
      <c r="C95" s="3">
        <v>22</v>
      </c>
      <c r="D95" s="3">
        <v>2</v>
      </c>
      <c r="E95" s="3">
        <f>((1/(INDEX(E0!J$4:J$52,C95,1)-INDEX(E0!J$4:J$52,D95,1))))*100000000</f>
        <v>0</v>
      </c>
      <c r="F95" s="4" t="str">
        <f>HYPERLINK("http://141.218.60.56/~jnz1568/getInfo.php?workbook=02_02.xlsx&amp;sheet=A0&amp;row=95&amp;col=6&amp;number=&amp;sourceID=27","")</f>
        <v/>
      </c>
      <c r="G95" s="4" t="str">
        <f>HYPERLINK("http://141.218.60.56/~jnz1568/getInfo.php?workbook=02_02.xlsx&amp;sheet=A0&amp;row=95&amp;col=7&amp;number=&amp;sourceID=26","")</f>
        <v/>
      </c>
      <c r="H95" s="4" t="str">
        <f>HYPERLINK("http://141.218.60.56/~jnz1568/getInfo.php?workbook=02_02.xlsx&amp;sheet=A0&amp;row=95&amp;col=8&amp;number=&amp;sourceID=26","")</f>
        <v/>
      </c>
      <c r="I95" s="4" t="str">
        <f>HYPERLINK("http://141.218.60.56/~jnz1568/getInfo.php?workbook=02_02.xlsx&amp;sheet=A0&amp;row=95&amp;col=9&amp;number=5636100&amp;sourceID=15","5636100")</f>
        <v>5636100</v>
      </c>
      <c r="J95" s="4" t="str">
        <f>HYPERLINK("http://141.218.60.56/~jnz1568/getInfo.php?workbook=02_02.xlsx&amp;sheet=A0&amp;row=95&amp;col=10&amp;number=&amp;sourceID=15","")</f>
        <v/>
      </c>
      <c r="K95" s="4" t="str">
        <f>HYPERLINK("http://141.218.60.56/~jnz1568/getInfo.php?workbook=02_02.xlsx&amp;sheet=A0&amp;row=95&amp;col=11&amp;number=&amp;sourceID=15","")</f>
        <v/>
      </c>
      <c r="L95" s="4" t="str">
        <f>HYPERLINK("http://141.218.60.56/~jnz1568/getInfo.php?workbook=02_02.xlsx&amp;sheet=A0&amp;row=95&amp;col=12&amp;number=&amp;sourceID=15","")</f>
        <v/>
      </c>
      <c r="M95" s="4" t="str">
        <f>HYPERLINK("http://141.218.60.56/~jnz1568/getInfo.php?workbook=02_02.xlsx&amp;sheet=A0&amp;row=95&amp;col=13&amp;number=5635200&amp;sourceID=23","5635200")</f>
        <v>5635200</v>
      </c>
    </row>
    <row r="96" spans="1:13">
      <c r="A96" s="3">
        <v>2</v>
      </c>
      <c r="B96" s="3">
        <v>2</v>
      </c>
      <c r="C96" s="3">
        <v>22</v>
      </c>
      <c r="D96" s="3">
        <v>8</v>
      </c>
      <c r="E96" s="3">
        <f>((1/(INDEX(E0!J$4:J$52,C96,1)-INDEX(E0!J$4:J$52,D96,1))))*100000000</f>
        <v>0</v>
      </c>
      <c r="F96" s="4" t="str">
        <f>HYPERLINK("http://141.218.60.56/~jnz1568/getInfo.php?workbook=02_02.xlsx&amp;sheet=A0&amp;row=96&amp;col=6&amp;number=&amp;sourceID=27","")</f>
        <v/>
      </c>
      <c r="G96" s="4" t="str">
        <f>HYPERLINK("http://141.218.60.56/~jnz1568/getInfo.php?workbook=02_02.xlsx&amp;sheet=A0&amp;row=96&amp;col=7&amp;number=&amp;sourceID=26","")</f>
        <v/>
      </c>
      <c r="H96" s="4" t="str">
        <f>HYPERLINK("http://141.218.60.56/~jnz1568/getInfo.php?workbook=02_02.xlsx&amp;sheet=A0&amp;row=96&amp;col=8&amp;number=&amp;sourceID=26","")</f>
        <v/>
      </c>
      <c r="I96" s="4" t="str">
        <f>HYPERLINK("http://141.218.60.56/~jnz1568/getInfo.php?workbook=02_02.xlsx&amp;sheet=A0&amp;row=96&amp;col=9&amp;number=709320&amp;sourceID=15","709320")</f>
        <v>709320</v>
      </c>
      <c r="J96" s="4" t="str">
        <f>HYPERLINK("http://141.218.60.56/~jnz1568/getInfo.php?workbook=02_02.xlsx&amp;sheet=A0&amp;row=96&amp;col=10&amp;number=&amp;sourceID=15","")</f>
        <v/>
      </c>
      <c r="K96" s="4" t="str">
        <f>HYPERLINK("http://141.218.60.56/~jnz1568/getInfo.php?workbook=02_02.xlsx&amp;sheet=A0&amp;row=96&amp;col=11&amp;number=&amp;sourceID=15","")</f>
        <v/>
      </c>
      <c r="L96" s="4" t="str">
        <f>HYPERLINK("http://141.218.60.56/~jnz1568/getInfo.php?workbook=02_02.xlsx&amp;sheet=A0&amp;row=96&amp;col=12&amp;number=&amp;sourceID=15","")</f>
        <v/>
      </c>
      <c r="M96" s="4" t="str">
        <f>HYPERLINK("http://141.218.60.56/~jnz1568/getInfo.php?workbook=02_02.xlsx&amp;sheet=A0&amp;row=96&amp;col=13&amp;number=708540&amp;sourceID=23","708540")</f>
        <v>708540</v>
      </c>
    </row>
    <row r="97" spans="1:13">
      <c r="A97" s="3">
        <v>2</v>
      </c>
      <c r="B97" s="3">
        <v>2</v>
      </c>
      <c r="C97" s="3">
        <v>22</v>
      </c>
      <c r="D97" s="3">
        <v>15</v>
      </c>
      <c r="E97" s="3">
        <f>((1/(INDEX(E0!J$4:J$52,C97,1)-INDEX(E0!J$4:J$52,D97,1))))*100000000</f>
        <v>0</v>
      </c>
      <c r="F97" s="4" t="str">
        <f>HYPERLINK("http://141.218.60.56/~jnz1568/getInfo.php?workbook=02_02.xlsx&amp;sheet=A0&amp;row=97&amp;col=6&amp;number=&amp;sourceID=27","")</f>
        <v/>
      </c>
      <c r="G97" s="4" t="str">
        <f>HYPERLINK("http://141.218.60.56/~jnz1568/getInfo.php?workbook=02_02.xlsx&amp;sheet=A0&amp;row=97&amp;col=7&amp;number=&amp;sourceID=26","")</f>
        <v/>
      </c>
      <c r="H97" s="4" t="str">
        <f>HYPERLINK("http://141.218.60.56/~jnz1568/getInfo.php?workbook=02_02.xlsx&amp;sheet=A0&amp;row=97&amp;col=8&amp;number=&amp;sourceID=26","")</f>
        <v/>
      </c>
      <c r="I97" s="4" t="str">
        <f>HYPERLINK("http://141.218.60.56/~jnz1568/getInfo.php?workbook=02_02.xlsx&amp;sheet=A0&amp;row=97&amp;col=9&amp;number=645340&amp;sourceID=15","645340")</f>
        <v>645340</v>
      </c>
      <c r="J97" s="4" t="str">
        <f>HYPERLINK("http://141.218.60.56/~jnz1568/getInfo.php?workbook=02_02.xlsx&amp;sheet=A0&amp;row=97&amp;col=10&amp;number=&amp;sourceID=15","")</f>
        <v/>
      </c>
      <c r="K97" s="4" t="str">
        <f>HYPERLINK("http://141.218.60.56/~jnz1568/getInfo.php?workbook=02_02.xlsx&amp;sheet=A0&amp;row=97&amp;col=11&amp;number=&amp;sourceID=15","")</f>
        <v/>
      </c>
      <c r="L97" s="4" t="str">
        <f>HYPERLINK("http://141.218.60.56/~jnz1568/getInfo.php?workbook=02_02.xlsx&amp;sheet=A0&amp;row=97&amp;col=12&amp;number=&amp;sourceID=15","")</f>
        <v/>
      </c>
      <c r="M97" s="4" t="str">
        <f>HYPERLINK("http://141.218.60.56/~jnz1568/getInfo.php?workbook=02_02.xlsx&amp;sheet=A0&amp;row=97&amp;col=13&amp;number=646450&amp;sourceID=23","646450")</f>
        <v>646450</v>
      </c>
    </row>
    <row r="98" spans="1:13">
      <c r="A98" s="3">
        <v>2</v>
      </c>
      <c r="B98" s="3">
        <v>2</v>
      </c>
      <c r="C98" s="3">
        <v>22</v>
      </c>
      <c r="D98" s="3">
        <v>18</v>
      </c>
      <c r="E98" s="3">
        <f>((1/(INDEX(E0!J$4:J$52,C98,1)-INDEX(E0!J$4:J$52,D98,1))))*100000000</f>
        <v>0</v>
      </c>
      <c r="F98" s="4" t="str">
        <f>HYPERLINK("http://141.218.60.56/~jnz1568/getInfo.php?workbook=02_02.xlsx&amp;sheet=A0&amp;row=98&amp;col=6&amp;number=&amp;sourceID=27","")</f>
        <v/>
      </c>
      <c r="G98" s="4" t="str">
        <f>HYPERLINK("http://141.218.60.56/~jnz1568/getInfo.php?workbook=02_02.xlsx&amp;sheet=A0&amp;row=98&amp;col=7&amp;number=&amp;sourceID=26","")</f>
        <v/>
      </c>
      <c r="H98" s="4" t="str">
        <f>HYPERLINK("http://141.218.60.56/~jnz1568/getInfo.php?workbook=02_02.xlsx&amp;sheet=A0&amp;row=98&amp;col=8&amp;number=&amp;sourceID=26","")</f>
        <v/>
      </c>
      <c r="I98" s="4" t="str">
        <f>HYPERLINK("http://141.218.60.56/~jnz1568/getInfo.php?workbook=02_02.xlsx&amp;sheet=A0&amp;row=98&amp;col=9&amp;number=228250&amp;sourceID=15","228250")</f>
        <v>228250</v>
      </c>
      <c r="J98" s="4" t="str">
        <f>HYPERLINK("http://141.218.60.56/~jnz1568/getInfo.php?workbook=02_02.xlsx&amp;sheet=A0&amp;row=98&amp;col=10&amp;number=&amp;sourceID=15","")</f>
        <v/>
      </c>
      <c r="K98" s="4" t="str">
        <f>HYPERLINK("http://141.218.60.56/~jnz1568/getInfo.php?workbook=02_02.xlsx&amp;sheet=A0&amp;row=98&amp;col=11&amp;number=&amp;sourceID=15","")</f>
        <v/>
      </c>
      <c r="L98" s="4" t="str">
        <f>HYPERLINK("http://141.218.60.56/~jnz1568/getInfo.php?workbook=02_02.xlsx&amp;sheet=A0&amp;row=98&amp;col=12&amp;number=&amp;sourceID=15","")</f>
        <v/>
      </c>
      <c r="M98" s="4" t="str">
        <f>HYPERLINK("http://141.218.60.56/~jnz1568/getInfo.php?workbook=02_02.xlsx&amp;sheet=A0&amp;row=98&amp;col=13&amp;number=228500&amp;sourceID=23","228500")</f>
        <v>228500</v>
      </c>
    </row>
    <row r="99" spans="1:13">
      <c r="A99" s="3">
        <v>2</v>
      </c>
      <c r="B99" s="3">
        <v>2</v>
      </c>
      <c r="C99" s="3">
        <v>23</v>
      </c>
      <c r="D99" s="3">
        <v>4</v>
      </c>
      <c r="E99" s="3">
        <f>((1/(INDEX(E0!J$4:J$52,C99,1)-INDEX(E0!J$4:J$52,D99,1))))*100000000</f>
        <v>0</v>
      </c>
      <c r="F99" s="4" t="str">
        <f>HYPERLINK("http://141.218.60.56/~jnz1568/getInfo.php?workbook=02_02.xlsx&amp;sheet=A0&amp;row=99&amp;col=6&amp;number=&amp;sourceID=27","")</f>
        <v/>
      </c>
      <c r="G99" s="4" t="str">
        <f>HYPERLINK("http://141.218.60.56/~jnz1568/getInfo.php?workbook=02_02.xlsx&amp;sheet=A0&amp;row=99&amp;col=7&amp;number=&amp;sourceID=26","")</f>
        <v/>
      </c>
      <c r="H99" s="4" t="str">
        <f>HYPERLINK("http://141.218.60.56/~jnz1568/getInfo.php?workbook=02_02.xlsx&amp;sheet=A0&amp;row=99&amp;col=8&amp;number=&amp;sourceID=26","")</f>
        <v/>
      </c>
      <c r="I99" s="4" t="str">
        <f>HYPERLINK("http://141.218.60.56/~jnz1568/getInfo.php?workbook=02_02.xlsx&amp;sheet=A0&amp;row=99&amp;col=9&amp;number=24579000&amp;sourceID=15","24579000")</f>
        <v>24579000</v>
      </c>
      <c r="J99" s="4" t="str">
        <f>HYPERLINK("http://141.218.60.56/~jnz1568/getInfo.php?workbook=02_02.xlsx&amp;sheet=A0&amp;row=99&amp;col=10&amp;number=&amp;sourceID=15","")</f>
        <v/>
      </c>
      <c r="K99" s="4" t="str">
        <f>HYPERLINK("http://141.218.60.56/~jnz1568/getInfo.php?workbook=02_02.xlsx&amp;sheet=A0&amp;row=99&amp;col=11&amp;number=&amp;sourceID=15","")</f>
        <v/>
      </c>
      <c r="L99" s="4" t="str">
        <f>HYPERLINK("http://141.218.60.56/~jnz1568/getInfo.php?workbook=02_02.xlsx&amp;sheet=A0&amp;row=99&amp;col=12&amp;number=&amp;sourceID=15","")</f>
        <v/>
      </c>
      <c r="M99" s="4" t="str">
        <f>HYPERLINK("http://141.218.60.56/~jnz1568/getInfo.php?workbook=02_02.xlsx&amp;sheet=A0&amp;row=99&amp;col=13&amp;number=24587000&amp;sourceID=23","24587000")</f>
        <v>24587000</v>
      </c>
    </row>
    <row r="100" spans="1:13">
      <c r="A100" s="3">
        <v>2</v>
      </c>
      <c r="B100" s="3">
        <v>2</v>
      </c>
      <c r="C100" s="3">
        <v>23</v>
      </c>
      <c r="D100" s="3">
        <v>10</v>
      </c>
      <c r="E100" s="3">
        <f>((1/(INDEX(E0!J$4:J$52,C100,1)-INDEX(E0!J$4:J$52,D100,1))))*100000000</f>
        <v>0</v>
      </c>
      <c r="F100" s="4" t="str">
        <f>HYPERLINK("http://141.218.60.56/~jnz1568/getInfo.php?workbook=02_02.xlsx&amp;sheet=A0&amp;row=100&amp;col=6&amp;number=&amp;sourceID=27","")</f>
        <v/>
      </c>
      <c r="G100" s="4" t="str">
        <f>HYPERLINK("http://141.218.60.56/~jnz1568/getInfo.php?workbook=02_02.xlsx&amp;sheet=A0&amp;row=100&amp;col=7&amp;number=&amp;sourceID=26","")</f>
        <v/>
      </c>
      <c r="H100" s="4" t="str">
        <f>HYPERLINK("http://141.218.60.56/~jnz1568/getInfo.php?workbook=02_02.xlsx&amp;sheet=A0&amp;row=100&amp;col=8&amp;number=&amp;sourceID=26","")</f>
        <v/>
      </c>
      <c r="I100" s="4" t="str">
        <f>HYPERLINK("http://141.218.60.56/~jnz1568/getInfo.php?workbook=02_02.xlsx&amp;sheet=A0&amp;row=100&amp;col=9&amp;number=6609000&amp;sourceID=15","6609000")</f>
        <v>6609000</v>
      </c>
      <c r="J100" s="4" t="str">
        <f>HYPERLINK("http://141.218.60.56/~jnz1568/getInfo.php?workbook=02_02.xlsx&amp;sheet=A0&amp;row=100&amp;col=10&amp;number=&amp;sourceID=15","")</f>
        <v/>
      </c>
      <c r="K100" s="4" t="str">
        <f>HYPERLINK("http://141.218.60.56/~jnz1568/getInfo.php?workbook=02_02.xlsx&amp;sheet=A0&amp;row=100&amp;col=11&amp;number=&amp;sourceID=15","")</f>
        <v/>
      </c>
      <c r="L100" s="4" t="str">
        <f>HYPERLINK("http://141.218.60.56/~jnz1568/getInfo.php?workbook=02_02.xlsx&amp;sheet=A0&amp;row=100&amp;col=12&amp;number=&amp;sourceID=15","")</f>
        <v/>
      </c>
      <c r="M100" s="4" t="str">
        <f>HYPERLINK("http://141.218.60.56/~jnz1568/getInfo.php?workbook=02_02.xlsx&amp;sheet=A0&amp;row=100&amp;col=13&amp;number=6604800&amp;sourceID=23","6604800")</f>
        <v>6604800</v>
      </c>
    </row>
    <row r="101" spans="1:13">
      <c r="A101" s="3">
        <v>2</v>
      </c>
      <c r="B101" s="3">
        <v>2</v>
      </c>
      <c r="C101" s="3">
        <v>23</v>
      </c>
      <c r="D101" s="3">
        <v>20</v>
      </c>
      <c r="E101" s="3">
        <f>((1/(INDEX(E0!J$4:J$52,C101,1)-INDEX(E0!J$4:J$52,D101,1))))*100000000</f>
        <v>0</v>
      </c>
      <c r="F101" s="4" t="str">
        <f>HYPERLINK("http://141.218.60.56/~jnz1568/getInfo.php?workbook=02_02.xlsx&amp;sheet=A0&amp;row=101&amp;col=6&amp;number=&amp;sourceID=27","")</f>
        <v/>
      </c>
      <c r="G101" s="4" t="str">
        <f>HYPERLINK("http://141.218.60.56/~jnz1568/getInfo.php?workbook=02_02.xlsx&amp;sheet=A0&amp;row=101&amp;col=7&amp;number=&amp;sourceID=26","")</f>
        <v/>
      </c>
      <c r="H101" s="4" t="str">
        <f>HYPERLINK("http://141.218.60.56/~jnz1568/getInfo.php?workbook=02_02.xlsx&amp;sheet=A0&amp;row=101&amp;col=8&amp;number=&amp;sourceID=26","")</f>
        <v/>
      </c>
      <c r="I101" s="4" t="str">
        <f>HYPERLINK("http://141.218.60.56/~jnz1568/getInfo.php?workbook=02_02.xlsx&amp;sheet=A0&amp;row=101&amp;col=9&amp;number=4153.9&amp;sourceID=15","4153.9")</f>
        <v>4153.9</v>
      </c>
      <c r="J101" s="4" t="str">
        <f>HYPERLINK("http://141.218.60.56/~jnz1568/getInfo.php?workbook=02_02.xlsx&amp;sheet=A0&amp;row=101&amp;col=10&amp;number=&amp;sourceID=15","")</f>
        <v/>
      </c>
      <c r="K101" s="4" t="str">
        <f>HYPERLINK("http://141.218.60.56/~jnz1568/getInfo.php?workbook=02_02.xlsx&amp;sheet=A0&amp;row=101&amp;col=11&amp;number=&amp;sourceID=15","")</f>
        <v/>
      </c>
      <c r="L101" s="4" t="str">
        <f>HYPERLINK("http://141.218.60.56/~jnz1568/getInfo.php?workbook=02_02.xlsx&amp;sheet=A0&amp;row=101&amp;col=12&amp;number=&amp;sourceID=15","")</f>
        <v/>
      </c>
      <c r="M101" s="4" t="str">
        <f>HYPERLINK("http://141.218.60.56/~jnz1568/getInfo.php?workbook=02_02.xlsx&amp;sheet=A0&amp;row=101&amp;col=13&amp;number=4212.7&amp;sourceID=23","4212.7")</f>
        <v>4212.7</v>
      </c>
    </row>
    <row r="102" spans="1:13">
      <c r="A102" s="3">
        <v>2</v>
      </c>
      <c r="B102" s="3">
        <v>2</v>
      </c>
      <c r="C102" s="3">
        <v>24</v>
      </c>
      <c r="D102" s="3">
        <v>4</v>
      </c>
      <c r="E102" s="3">
        <f>((1/(INDEX(E0!J$4:J$52,C102,1)-INDEX(E0!J$4:J$52,D102,1))))*100000000</f>
        <v>0</v>
      </c>
      <c r="F102" s="4" t="str">
        <f>HYPERLINK("http://141.218.60.56/~jnz1568/getInfo.php?workbook=02_02.xlsx&amp;sheet=A0&amp;row=102&amp;col=6&amp;number=&amp;sourceID=27","")</f>
        <v/>
      </c>
      <c r="G102" s="4" t="str">
        <f>HYPERLINK("http://141.218.60.56/~jnz1568/getInfo.php?workbook=02_02.xlsx&amp;sheet=A0&amp;row=102&amp;col=7&amp;number=&amp;sourceID=26","")</f>
        <v/>
      </c>
      <c r="H102" s="4" t="str">
        <f>HYPERLINK("http://141.218.60.56/~jnz1568/getInfo.php?workbook=02_02.xlsx&amp;sheet=A0&amp;row=102&amp;col=8&amp;number=&amp;sourceID=26","")</f>
        <v/>
      </c>
      <c r="I102" s="4" t="str">
        <f>HYPERLINK("http://141.218.60.56/~jnz1568/getInfo.php?workbook=02_02.xlsx&amp;sheet=A0&amp;row=102&amp;col=9&amp;number=6144000&amp;sourceID=15","6144000")</f>
        <v>6144000</v>
      </c>
      <c r="J102" s="4" t="str">
        <f>HYPERLINK("http://141.218.60.56/~jnz1568/getInfo.php?workbook=02_02.xlsx&amp;sheet=A0&amp;row=102&amp;col=10&amp;number=&amp;sourceID=15","")</f>
        <v/>
      </c>
      <c r="K102" s="4" t="str">
        <f>HYPERLINK("http://141.218.60.56/~jnz1568/getInfo.php?workbook=02_02.xlsx&amp;sheet=A0&amp;row=102&amp;col=11&amp;number=&amp;sourceID=15","")</f>
        <v/>
      </c>
      <c r="L102" s="4" t="str">
        <f>HYPERLINK("http://141.218.60.56/~jnz1568/getInfo.php?workbook=02_02.xlsx&amp;sheet=A0&amp;row=102&amp;col=12&amp;number=&amp;sourceID=15","")</f>
        <v/>
      </c>
      <c r="M102" s="4" t="str">
        <f>HYPERLINK("http://141.218.60.56/~jnz1568/getInfo.php?workbook=02_02.xlsx&amp;sheet=A0&amp;row=102&amp;col=13&amp;number=6145900&amp;sourceID=23","6145900")</f>
        <v>6145900</v>
      </c>
    </row>
    <row r="103" spans="1:13">
      <c r="A103" s="3">
        <v>2</v>
      </c>
      <c r="B103" s="3">
        <v>2</v>
      </c>
      <c r="C103" s="3">
        <v>24</v>
      </c>
      <c r="D103" s="3">
        <v>5</v>
      </c>
      <c r="E103" s="3">
        <f>((1/(INDEX(E0!J$4:J$52,C103,1)-INDEX(E0!J$4:J$52,D103,1))))*100000000</f>
        <v>0</v>
      </c>
      <c r="F103" s="4" t="str">
        <f>HYPERLINK("http://141.218.60.56/~jnz1568/getInfo.php?workbook=02_02.xlsx&amp;sheet=A0&amp;row=103&amp;col=6&amp;number=&amp;sourceID=27","")</f>
        <v/>
      </c>
      <c r="G103" s="4" t="str">
        <f>HYPERLINK("http://141.218.60.56/~jnz1568/getInfo.php?workbook=02_02.xlsx&amp;sheet=A0&amp;row=103&amp;col=7&amp;number=&amp;sourceID=26","")</f>
        <v/>
      </c>
      <c r="H103" s="4" t="str">
        <f>HYPERLINK("http://141.218.60.56/~jnz1568/getInfo.php?workbook=02_02.xlsx&amp;sheet=A0&amp;row=103&amp;col=8&amp;number=&amp;sourceID=26","")</f>
        <v/>
      </c>
      <c r="I103" s="4" t="str">
        <f>HYPERLINK("http://141.218.60.56/~jnz1568/getInfo.php?workbook=02_02.xlsx&amp;sheet=A0&amp;row=103&amp;col=9&amp;number=18432000&amp;sourceID=15","18432000")</f>
        <v>18432000</v>
      </c>
      <c r="J103" s="4" t="str">
        <f>HYPERLINK("http://141.218.60.56/~jnz1568/getInfo.php?workbook=02_02.xlsx&amp;sheet=A0&amp;row=103&amp;col=10&amp;number=&amp;sourceID=15","")</f>
        <v/>
      </c>
      <c r="K103" s="4" t="str">
        <f>HYPERLINK("http://141.218.60.56/~jnz1568/getInfo.php?workbook=02_02.xlsx&amp;sheet=A0&amp;row=103&amp;col=11&amp;number=&amp;sourceID=15","")</f>
        <v/>
      </c>
      <c r="L103" s="4" t="str">
        <f>HYPERLINK("http://141.218.60.56/~jnz1568/getInfo.php?workbook=02_02.xlsx&amp;sheet=A0&amp;row=103&amp;col=12&amp;number=&amp;sourceID=15","")</f>
        <v/>
      </c>
      <c r="M103" s="4" t="str">
        <f>HYPERLINK("http://141.218.60.56/~jnz1568/getInfo.php?workbook=02_02.xlsx&amp;sheet=A0&amp;row=103&amp;col=13&amp;number=18438000&amp;sourceID=23","18438000")</f>
        <v>18438000</v>
      </c>
    </row>
    <row r="104" spans="1:13">
      <c r="A104" s="3">
        <v>2</v>
      </c>
      <c r="B104" s="3">
        <v>2</v>
      </c>
      <c r="C104" s="3">
        <v>24</v>
      </c>
      <c r="D104" s="3">
        <v>7</v>
      </c>
      <c r="E104" s="3">
        <f>((1/(INDEX(E0!J$4:J$52,C104,1)-INDEX(E0!J$4:J$52,D104,1))))*100000000</f>
        <v>0</v>
      </c>
      <c r="F104" s="4" t="str">
        <f>HYPERLINK("http://141.218.60.56/~jnz1568/getInfo.php?workbook=02_02.xlsx&amp;sheet=A0&amp;row=104&amp;col=6&amp;number=&amp;sourceID=27","")</f>
        <v/>
      </c>
      <c r="G104" s="4" t="str">
        <f>HYPERLINK("http://141.218.60.56/~jnz1568/getInfo.php?workbook=02_02.xlsx&amp;sheet=A0&amp;row=104&amp;col=7&amp;number=&amp;sourceID=26","")</f>
        <v/>
      </c>
      <c r="H104" s="4" t="str">
        <f>HYPERLINK("http://141.218.60.56/~jnz1568/getInfo.php?workbook=02_02.xlsx&amp;sheet=A0&amp;row=104&amp;col=8&amp;number=&amp;sourceID=26","")</f>
        <v/>
      </c>
      <c r="I104" s="4" t="str">
        <f>HYPERLINK("http://141.218.60.56/~jnz1568/getInfo.php?workbook=02_02.xlsx&amp;sheet=A0&amp;row=104&amp;col=9&amp;number=&amp;sourceID=15","")</f>
        <v/>
      </c>
      <c r="J104" s="4" t="str">
        <f>HYPERLINK("http://141.218.60.56/~jnz1568/getInfo.php?workbook=02_02.xlsx&amp;sheet=A0&amp;row=104&amp;col=10&amp;number=&amp;sourceID=15","")</f>
        <v/>
      </c>
      <c r="K104" s="4" t="str">
        <f>HYPERLINK("http://141.218.60.56/~jnz1568/getInfo.php?workbook=02_02.xlsx&amp;sheet=A0&amp;row=104&amp;col=11&amp;number=&amp;sourceID=15","")</f>
        <v/>
      </c>
      <c r="L104" s="4" t="str">
        <f>HYPERLINK("http://141.218.60.56/~jnz1568/getInfo.php?workbook=02_02.xlsx&amp;sheet=A0&amp;row=104&amp;col=12&amp;number=&amp;sourceID=15","")</f>
        <v/>
      </c>
      <c r="M104" s="4" t="str">
        <f>HYPERLINK("http://141.218.60.56/~jnz1568/getInfo.php?workbook=02_02.xlsx&amp;sheet=A0&amp;row=104&amp;col=13&amp;number=2533&amp;sourceID=23","2533")</f>
        <v>2533</v>
      </c>
    </row>
    <row r="105" spans="1:13">
      <c r="A105" s="3">
        <v>2</v>
      </c>
      <c r="B105" s="3">
        <v>2</v>
      </c>
      <c r="C105" s="3">
        <v>24</v>
      </c>
      <c r="D105" s="3">
        <v>10</v>
      </c>
      <c r="E105" s="3">
        <f>((1/(INDEX(E0!J$4:J$52,C105,1)-INDEX(E0!J$4:J$52,D105,1))))*100000000</f>
        <v>0</v>
      </c>
      <c r="F105" s="4" t="str">
        <f>HYPERLINK("http://141.218.60.56/~jnz1568/getInfo.php?workbook=02_02.xlsx&amp;sheet=A0&amp;row=105&amp;col=6&amp;number=&amp;sourceID=27","")</f>
        <v/>
      </c>
      <c r="G105" s="4" t="str">
        <f>HYPERLINK("http://141.218.60.56/~jnz1568/getInfo.php?workbook=02_02.xlsx&amp;sheet=A0&amp;row=105&amp;col=7&amp;number=&amp;sourceID=26","")</f>
        <v/>
      </c>
      <c r="H105" s="4" t="str">
        <f>HYPERLINK("http://141.218.60.56/~jnz1568/getInfo.php?workbook=02_02.xlsx&amp;sheet=A0&amp;row=105&amp;col=8&amp;number=&amp;sourceID=26","")</f>
        <v/>
      </c>
      <c r="I105" s="4" t="str">
        <f>HYPERLINK("http://141.218.60.56/~jnz1568/getInfo.php?workbook=02_02.xlsx&amp;sheet=A0&amp;row=105&amp;col=9&amp;number=1652000&amp;sourceID=15","1652000")</f>
        <v>1652000</v>
      </c>
      <c r="J105" s="4" t="str">
        <f>HYPERLINK("http://141.218.60.56/~jnz1568/getInfo.php?workbook=02_02.xlsx&amp;sheet=A0&amp;row=105&amp;col=10&amp;number=&amp;sourceID=15","")</f>
        <v/>
      </c>
      <c r="K105" s="4" t="str">
        <f>HYPERLINK("http://141.218.60.56/~jnz1568/getInfo.php?workbook=02_02.xlsx&amp;sheet=A0&amp;row=105&amp;col=11&amp;number=&amp;sourceID=15","")</f>
        <v/>
      </c>
      <c r="L105" s="4" t="str">
        <f>HYPERLINK("http://141.218.60.56/~jnz1568/getInfo.php?workbook=02_02.xlsx&amp;sheet=A0&amp;row=105&amp;col=12&amp;number=&amp;sourceID=15","")</f>
        <v/>
      </c>
      <c r="M105" s="4" t="str">
        <f>HYPERLINK("http://141.218.60.56/~jnz1568/getInfo.php?workbook=02_02.xlsx&amp;sheet=A0&amp;row=105&amp;col=13&amp;number=1651000&amp;sourceID=23","1651000")</f>
        <v>1651000</v>
      </c>
    </row>
    <row r="106" spans="1:13">
      <c r="A106" s="3">
        <v>2</v>
      </c>
      <c r="B106" s="3">
        <v>2</v>
      </c>
      <c r="C106" s="3">
        <v>24</v>
      </c>
      <c r="D106" s="3">
        <v>11</v>
      </c>
      <c r="E106" s="3">
        <f>((1/(INDEX(E0!J$4:J$52,C106,1)-INDEX(E0!J$4:J$52,D106,1))))*100000000</f>
        <v>0</v>
      </c>
      <c r="F106" s="4" t="str">
        <f>HYPERLINK("http://141.218.60.56/~jnz1568/getInfo.php?workbook=02_02.xlsx&amp;sheet=A0&amp;row=106&amp;col=6&amp;number=&amp;sourceID=27","")</f>
        <v/>
      </c>
      <c r="G106" s="4" t="str">
        <f>HYPERLINK("http://141.218.60.56/~jnz1568/getInfo.php?workbook=02_02.xlsx&amp;sheet=A0&amp;row=106&amp;col=7&amp;number=&amp;sourceID=26","")</f>
        <v/>
      </c>
      <c r="H106" s="4" t="str">
        <f>HYPERLINK("http://141.218.60.56/~jnz1568/getInfo.php?workbook=02_02.xlsx&amp;sheet=A0&amp;row=106&amp;col=8&amp;number=&amp;sourceID=26","")</f>
        <v/>
      </c>
      <c r="I106" s="4" t="str">
        <f>HYPERLINK("http://141.218.60.56/~jnz1568/getInfo.php?workbook=02_02.xlsx&amp;sheet=A0&amp;row=106&amp;col=9&amp;number=4956200&amp;sourceID=15","4956200")</f>
        <v>4956200</v>
      </c>
      <c r="J106" s="4" t="str">
        <f>HYPERLINK("http://141.218.60.56/~jnz1568/getInfo.php?workbook=02_02.xlsx&amp;sheet=A0&amp;row=106&amp;col=10&amp;number=&amp;sourceID=15","")</f>
        <v/>
      </c>
      <c r="K106" s="4" t="str">
        <f>HYPERLINK("http://141.218.60.56/~jnz1568/getInfo.php?workbook=02_02.xlsx&amp;sheet=A0&amp;row=106&amp;col=11&amp;number=&amp;sourceID=15","")</f>
        <v/>
      </c>
      <c r="L106" s="4" t="str">
        <f>HYPERLINK("http://141.218.60.56/~jnz1568/getInfo.php?workbook=02_02.xlsx&amp;sheet=A0&amp;row=106&amp;col=12&amp;number=&amp;sourceID=15","")</f>
        <v/>
      </c>
      <c r="M106" s="4" t="str">
        <f>HYPERLINK("http://141.218.60.56/~jnz1568/getInfo.php?workbook=02_02.xlsx&amp;sheet=A0&amp;row=106&amp;col=13&amp;number=4953000&amp;sourceID=23","4953000")</f>
        <v>4953000</v>
      </c>
    </row>
    <row r="107" spans="1:13">
      <c r="A107" s="3">
        <v>2</v>
      </c>
      <c r="B107" s="3">
        <v>2</v>
      </c>
      <c r="C107" s="3">
        <v>24</v>
      </c>
      <c r="D107" s="3">
        <v>17</v>
      </c>
      <c r="E107" s="3">
        <f>((1/(INDEX(E0!J$4:J$52,C107,1)-INDEX(E0!J$4:J$52,D107,1))))*100000000</f>
        <v>0</v>
      </c>
      <c r="F107" s="4" t="str">
        <f>HYPERLINK("http://141.218.60.56/~jnz1568/getInfo.php?workbook=02_02.xlsx&amp;sheet=A0&amp;row=107&amp;col=6&amp;number=&amp;sourceID=27","")</f>
        <v/>
      </c>
      <c r="G107" s="4" t="str">
        <f>HYPERLINK("http://141.218.60.56/~jnz1568/getInfo.php?workbook=02_02.xlsx&amp;sheet=A0&amp;row=107&amp;col=7&amp;number=&amp;sourceID=26","")</f>
        <v/>
      </c>
      <c r="H107" s="4" t="str">
        <f>HYPERLINK("http://141.218.60.56/~jnz1568/getInfo.php?workbook=02_02.xlsx&amp;sheet=A0&amp;row=107&amp;col=8&amp;number=&amp;sourceID=26","")</f>
        <v/>
      </c>
      <c r="I107" s="4" t="str">
        <f>HYPERLINK("http://141.218.60.56/~jnz1568/getInfo.php?workbook=02_02.xlsx&amp;sheet=A0&amp;row=107&amp;col=9&amp;number=894.4&amp;sourceID=15","894.4")</f>
        <v>894.4</v>
      </c>
      <c r="J107" s="4" t="str">
        <f>HYPERLINK("http://141.218.60.56/~jnz1568/getInfo.php?workbook=02_02.xlsx&amp;sheet=A0&amp;row=107&amp;col=10&amp;number=&amp;sourceID=15","")</f>
        <v/>
      </c>
      <c r="K107" s="4" t="str">
        <f>HYPERLINK("http://141.218.60.56/~jnz1568/getInfo.php?workbook=02_02.xlsx&amp;sheet=A0&amp;row=107&amp;col=11&amp;number=&amp;sourceID=15","")</f>
        <v/>
      </c>
      <c r="L107" s="4" t="str">
        <f>HYPERLINK("http://141.218.60.56/~jnz1568/getInfo.php?workbook=02_02.xlsx&amp;sheet=A0&amp;row=107&amp;col=12&amp;number=&amp;sourceID=15","")</f>
        <v/>
      </c>
      <c r="M107" s="4" t="str">
        <f>HYPERLINK("http://141.218.60.56/~jnz1568/getInfo.php?workbook=02_02.xlsx&amp;sheet=A0&amp;row=107&amp;col=13&amp;number=912&amp;sourceID=23","912")</f>
        <v>912</v>
      </c>
    </row>
    <row r="108" spans="1:13">
      <c r="A108" s="3">
        <v>2</v>
      </c>
      <c r="B108" s="3">
        <v>2</v>
      </c>
      <c r="C108" s="3">
        <v>24</v>
      </c>
      <c r="D108" s="3">
        <v>20</v>
      </c>
      <c r="E108" s="3">
        <f>((1/(INDEX(E0!J$4:J$52,C108,1)-INDEX(E0!J$4:J$52,D108,1))))*100000000</f>
        <v>0</v>
      </c>
      <c r="F108" s="4" t="str">
        <f>HYPERLINK("http://141.218.60.56/~jnz1568/getInfo.php?workbook=02_02.xlsx&amp;sheet=A0&amp;row=108&amp;col=6&amp;number=&amp;sourceID=27","")</f>
        <v/>
      </c>
      <c r="G108" s="4" t="str">
        <f>HYPERLINK("http://141.218.60.56/~jnz1568/getInfo.php?workbook=02_02.xlsx&amp;sheet=A0&amp;row=108&amp;col=7&amp;number=&amp;sourceID=26","")</f>
        <v/>
      </c>
      <c r="H108" s="4" t="str">
        <f>HYPERLINK("http://141.218.60.56/~jnz1568/getInfo.php?workbook=02_02.xlsx&amp;sheet=A0&amp;row=108&amp;col=8&amp;number=&amp;sourceID=26","")</f>
        <v/>
      </c>
      <c r="I108" s="4" t="str">
        <f>HYPERLINK("http://141.218.60.56/~jnz1568/getInfo.php?workbook=02_02.xlsx&amp;sheet=A0&amp;row=108&amp;col=9&amp;number=1038.3&amp;sourceID=15","1038.3")</f>
        <v>1038.3</v>
      </c>
      <c r="J108" s="4" t="str">
        <f>HYPERLINK("http://141.218.60.56/~jnz1568/getInfo.php?workbook=02_02.xlsx&amp;sheet=A0&amp;row=108&amp;col=10&amp;number=&amp;sourceID=15","")</f>
        <v/>
      </c>
      <c r="K108" s="4" t="str">
        <f>HYPERLINK("http://141.218.60.56/~jnz1568/getInfo.php?workbook=02_02.xlsx&amp;sheet=A0&amp;row=108&amp;col=11&amp;number=&amp;sourceID=15","")</f>
        <v/>
      </c>
      <c r="L108" s="4" t="str">
        <f>HYPERLINK("http://141.218.60.56/~jnz1568/getInfo.php?workbook=02_02.xlsx&amp;sheet=A0&amp;row=108&amp;col=12&amp;number=&amp;sourceID=15","")</f>
        <v/>
      </c>
      <c r="M108" s="4" t="str">
        <f>HYPERLINK("http://141.218.60.56/~jnz1568/getInfo.php?workbook=02_02.xlsx&amp;sheet=A0&amp;row=108&amp;col=13&amp;number=1053.1&amp;sourceID=23","1053.1")</f>
        <v>1053.1</v>
      </c>
    </row>
    <row r="109" spans="1:13">
      <c r="A109" s="3">
        <v>2</v>
      </c>
      <c r="B109" s="3">
        <v>2</v>
      </c>
      <c r="C109" s="3">
        <v>24</v>
      </c>
      <c r="D109" s="3">
        <v>21</v>
      </c>
      <c r="E109" s="3">
        <f>((1/(INDEX(E0!J$4:J$52,C109,1)-INDEX(E0!J$4:J$52,D109,1))))*100000000</f>
        <v>0</v>
      </c>
      <c r="F109" s="4" t="str">
        <f>HYPERLINK("http://141.218.60.56/~jnz1568/getInfo.php?workbook=02_02.xlsx&amp;sheet=A0&amp;row=109&amp;col=6&amp;number=&amp;sourceID=27","")</f>
        <v/>
      </c>
      <c r="G109" s="4" t="str">
        <f>HYPERLINK("http://141.218.60.56/~jnz1568/getInfo.php?workbook=02_02.xlsx&amp;sheet=A0&amp;row=109&amp;col=7&amp;number=&amp;sourceID=26","")</f>
        <v/>
      </c>
      <c r="H109" s="4" t="str">
        <f>HYPERLINK("http://141.218.60.56/~jnz1568/getInfo.php?workbook=02_02.xlsx&amp;sheet=A0&amp;row=109&amp;col=8&amp;number=&amp;sourceID=26","")</f>
        <v/>
      </c>
      <c r="I109" s="4" t="str">
        <f>HYPERLINK("http://141.218.60.56/~jnz1568/getInfo.php?workbook=02_02.xlsx&amp;sheet=A0&amp;row=109&amp;col=9&amp;number=3115&amp;sourceID=15","3115")</f>
        <v>3115</v>
      </c>
      <c r="J109" s="4" t="str">
        <f>HYPERLINK("http://141.218.60.56/~jnz1568/getInfo.php?workbook=02_02.xlsx&amp;sheet=A0&amp;row=109&amp;col=10&amp;number=&amp;sourceID=15","")</f>
        <v/>
      </c>
      <c r="K109" s="4" t="str">
        <f>HYPERLINK("http://141.218.60.56/~jnz1568/getInfo.php?workbook=02_02.xlsx&amp;sheet=A0&amp;row=109&amp;col=11&amp;number=&amp;sourceID=15","")</f>
        <v/>
      </c>
      <c r="L109" s="4" t="str">
        <f>HYPERLINK("http://141.218.60.56/~jnz1568/getInfo.php?workbook=02_02.xlsx&amp;sheet=A0&amp;row=109&amp;col=12&amp;number=&amp;sourceID=15","")</f>
        <v/>
      </c>
      <c r="M109" s="4" t="str">
        <f>HYPERLINK("http://141.218.60.56/~jnz1568/getInfo.php?workbook=02_02.xlsx&amp;sheet=A0&amp;row=109&amp;col=13&amp;number=3158.5&amp;sourceID=23","3158.5")</f>
        <v>3158.5</v>
      </c>
    </row>
    <row r="110" spans="1:13">
      <c r="A110" s="3">
        <v>2</v>
      </c>
      <c r="B110" s="3">
        <v>2</v>
      </c>
      <c r="C110" s="3">
        <v>25</v>
      </c>
      <c r="D110" s="3">
        <v>4</v>
      </c>
      <c r="E110" s="3">
        <f>((1/(INDEX(E0!J$4:J$52,C110,1)-INDEX(E0!J$4:J$52,D110,1))))*100000000</f>
        <v>0</v>
      </c>
      <c r="F110" s="4" t="str">
        <f>HYPERLINK("http://141.218.60.56/~jnz1568/getInfo.php?workbook=02_02.xlsx&amp;sheet=A0&amp;row=110&amp;col=6&amp;number=&amp;sourceID=27","")</f>
        <v/>
      </c>
      <c r="G110" s="4" t="str">
        <f>HYPERLINK("http://141.218.60.56/~jnz1568/getInfo.php?workbook=02_02.xlsx&amp;sheet=A0&amp;row=110&amp;col=7&amp;number=&amp;sourceID=26","")</f>
        <v/>
      </c>
      <c r="H110" s="4" t="str">
        <f>HYPERLINK("http://141.218.60.56/~jnz1568/getInfo.php?workbook=02_02.xlsx&amp;sheet=A0&amp;row=110&amp;col=8&amp;number=&amp;sourceID=26","")</f>
        <v/>
      </c>
      <c r="I110" s="4" t="str">
        <f>HYPERLINK("http://141.218.60.56/~jnz1568/getInfo.php?workbook=02_02.xlsx&amp;sheet=A0&amp;row=110&amp;col=9&amp;number=682750&amp;sourceID=15","682750")</f>
        <v>682750</v>
      </c>
      <c r="J110" s="4" t="str">
        <f>HYPERLINK("http://141.218.60.56/~jnz1568/getInfo.php?workbook=02_02.xlsx&amp;sheet=A0&amp;row=110&amp;col=10&amp;number=&amp;sourceID=15","")</f>
        <v/>
      </c>
      <c r="K110" s="4" t="str">
        <f>HYPERLINK("http://141.218.60.56/~jnz1568/getInfo.php?workbook=02_02.xlsx&amp;sheet=A0&amp;row=110&amp;col=11&amp;number=&amp;sourceID=15","")</f>
        <v/>
      </c>
      <c r="L110" s="4" t="str">
        <f>HYPERLINK("http://141.218.60.56/~jnz1568/getInfo.php?workbook=02_02.xlsx&amp;sheet=A0&amp;row=110&amp;col=12&amp;number=&amp;sourceID=15","")</f>
        <v/>
      </c>
      <c r="M110" s="4" t="str">
        <f>HYPERLINK("http://141.218.60.56/~jnz1568/getInfo.php?workbook=02_02.xlsx&amp;sheet=A0&amp;row=110&amp;col=13&amp;number=682980&amp;sourceID=23","682980")</f>
        <v>682980</v>
      </c>
    </row>
    <row r="111" spans="1:13">
      <c r="A111" s="3">
        <v>2</v>
      </c>
      <c r="B111" s="3">
        <v>2</v>
      </c>
      <c r="C111" s="3">
        <v>25</v>
      </c>
      <c r="D111" s="3">
        <v>5</v>
      </c>
      <c r="E111" s="3">
        <f>((1/(INDEX(E0!J$4:J$52,C111,1)-INDEX(E0!J$4:J$52,D111,1))))*100000000</f>
        <v>0</v>
      </c>
      <c r="F111" s="4" t="str">
        <f>HYPERLINK("http://141.218.60.56/~jnz1568/getInfo.php?workbook=02_02.xlsx&amp;sheet=A0&amp;row=111&amp;col=6&amp;number=&amp;sourceID=27","")</f>
        <v/>
      </c>
      <c r="G111" s="4" t="str">
        <f>HYPERLINK("http://141.218.60.56/~jnz1568/getInfo.php?workbook=02_02.xlsx&amp;sheet=A0&amp;row=111&amp;col=7&amp;number=&amp;sourceID=26","")</f>
        <v/>
      </c>
      <c r="H111" s="4" t="str">
        <f>HYPERLINK("http://141.218.60.56/~jnz1568/getInfo.php?workbook=02_02.xlsx&amp;sheet=A0&amp;row=111&amp;col=8&amp;number=&amp;sourceID=26","")</f>
        <v/>
      </c>
      <c r="I111" s="4" t="str">
        <f>HYPERLINK("http://141.218.60.56/~jnz1568/getInfo.php?workbook=02_02.xlsx&amp;sheet=A0&amp;row=111&amp;col=9&amp;number=10241000&amp;sourceID=15","10241000")</f>
        <v>10241000</v>
      </c>
      <c r="J111" s="4" t="str">
        <f>HYPERLINK("http://141.218.60.56/~jnz1568/getInfo.php?workbook=02_02.xlsx&amp;sheet=A0&amp;row=111&amp;col=10&amp;number=&amp;sourceID=15","")</f>
        <v/>
      </c>
      <c r="K111" s="4" t="str">
        <f>HYPERLINK("http://141.218.60.56/~jnz1568/getInfo.php?workbook=02_02.xlsx&amp;sheet=A0&amp;row=111&amp;col=11&amp;number=&amp;sourceID=15","")</f>
        <v/>
      </c>
      <c r="L111" s="4" t="str">
        <f>HYPERLINK("http://141.218.60.56/~jnz1568/getInfo.php?workbook=02_02.xlsx&amp;sheet=A0&amp;row=111&amp;col=12&amp;number=&amp;sourceID=15","")</f>
        <v/>
      </c>
      <c r="M111" s="4" t="str">
        <f>HYPERLINK("http://141.218.60.56/~jnz1568/getInfo.php?workbook=02_02.xlsx&amp;sheet=A0&amp;row=111&amp;col=13&amp;number=10244000&amp;sourceID=23","10244000")</f>
        <v>10244000</v>
      </c>
    </row>
    <row r="112" spans="1:13">
      <c r="A112" s="3">
        <v>2</v>
      </c>
      <c r="B112" s="3">
        <v>2</v>
      </c>
      <c r="C112" s="3">
        <v>25</v>
      </c>
      <c r="D112" s="3">
        <v>6</v>
      </c>
      <c r="E112" s="3">
        <f>((1/(INDEX(E0!J$4:J$52,C112,1)-INDEX(E0!J$4:J$52,D112,1))))*100000000</f>
        <v>0</v>
      </c>
      <c r="F112" s="4" t="str">
        <f>HYPERLINK("http://141.218.60.56/~jnz1568/getInfo.php?workbook=02_02.xlsx&amp;sheet=A0&amp;row=112&amp;col=6&amp;number=&amp;sourceID=27","")</f>
        <v/>
      </c>
      <c r="G112" s="4" t="str">
        <f>HYPERLINK("http://141.218.60.56/~jnz1568/getInfo.php?workbook=02_02.xlsx&amp;sheet=A0&amp;row=112&amp;col=7&amp;number=&amp;sourceID=26","")</f>
        <v/>
      </c>
      <c r="H112" s="4" t="str">
        <f>HYPERLINK("http://141.218.60.56/~jnz1568/getInfo.php?workbook=02_02.xlsx&amp;sheet=A0&amp;row=112&amp;col=8&amp;number=&amp;sourceID=26","")</f>
        <v/>
      </c>
      <c r="I112" s="4" t="str">
        <f>HYPERLINK("http://141.218.60.56/~jnz1568/getInfo.php?workbook=02_02.xlsx&amp;sheet=A0&amp;row=112&amp;col=9&amp;number=13655000&amp;sourceID=15","13655000")</f>
        <v>13655000</v>
      </c>
      <c r="J112" s="4" t="str">
        <f>HYPERLINK("http://141.218.60.56/~jnz1568/getInfo.php?workbook=02_02.xlsx&amp;sheet=A0&amp;row=112&amp;col=10&amp;number=&amp;sourceID=15","")</f>
        <v/>
      </c>
      <c r="K112" s="4" t="str">
        <f>HYPERLINK("http://141.218.60.56/~jnz1568/getInfo.php?workbook=02_02.xlsx&amp;sheet=A0&amp;row=112&amp;col=11&amp;number=&amp;sourceID=15","")</f>
        <v/>
      </c>
      <c r="L112" s="4" t="str">
        <f>HYPERLINK("http://141.218.60.56/~jnz1568/getInfo.php?workbook=02_02.xlsx&amp;sheet=A0&amp;row=112&amp;col=12&amp;number=&amp;sourceID=15","")</f>
        <v/>
      </c>
      <c r="M112" s="4" t="str">
        <f>HYPERLINK("http://141.218.60.56/~jnz1568/getInfo.php?workbook=02_02.xlsx&amp;sheet=A0&amp;row=112&amp;col=13&amp;number=13658000&amp;sourceID=23","13658000")</f>
        <v>13658000</v>
      </c>
    </row>
    <row r="113" spans="1:13">
      <c r="A113" s="3">
        <v>2</v>
      </c>
      <c r="B113" s="3">
        <v>2</v>
      </c>
      <c r="C113" s="3">
        <v>25</v>
      </c>
      <c r="D113" s="3">
        <v>7</v>
      </c>
      <c r="E113" s="3">
        <f>((1/(INDEX(E0!J$4:J$52,C113,1)-INDEX(E0!J$4:J$52,D113,1))))*100000000</f>
        <v>0</v>
      </c>
      <c r="F113" s="4" t="str">
        <f>HYPERLINK("http://141.218.60.56/~jnz1568/getInfo.php?workbook=02_02.xlsx&amp;sheet=A0&amp;row=113&amp;col=6&amp;number=&amp;sourceID=27","")</f>
        <v/>
      </c>
      <c r="G113" s="4" t="str">
        <f>HYPERLINK("http://141.218.60.56/~jnz1568/getInfo.php?workbook=02_02.xlsx&amp;sheet=A0&amp;row=113&amp;col=7&amp;number=&amp;sourceID=26","")</f>
        <v/>
      </c>
      <c r="H113" s="4" t="str">
        <f>HYPERLINK("http://141.218.60.56/~jnz1568/getInfo.php?workbook=02_02.xlsx&amp;sheet=A0&amp;row=113&amp;col=8&amp;number=&amp;sourceID=26","")</f>
        <v/>
      </c>
      <c r="I113" s="4" t="str">
        <f>HYPERLINK("http://141.218.60.56/~jnz1568/getInfo.php?workbook=02_02.xlsx&amp;sheet=A0&amp;row=113&amp;col=9&amp;number=&amp;sourceID=15","")</f>
        <v/>
      </c>
      <c r="J113" s="4" t="str">
        <f>HYPERLINK("http://141.218.60.56/~jnz1568/getInfo.php?workbook=02_02.xlsx&amp;sheet=A0&amp;row=113&amp;col=10&amp;number=&amp;sourceID=15","")</f>
        <v/>
      </c>
      <c r="K113" s="4" t="str">
        <f>HYPERLINK("http://141.218.60.56/~jnz1568/getInfo.php?workbook=02_02.xlsx&amp;sheet=A0&amp;row=113&amp;col=11&amp;number=&amp;sourceID=15","")</f>
        <v/>
      </c>
      <c r="L113" s="4" t="str">
        <f>HYPERLINK("http://141.218.60.56/~jnz1568/getInfo.php?workbook=02_02.xlsx&amp;sheet=A0&amp;row=113&amp;col=12&amp;number=&amp;sourceID=15","")</f>
        <v/>
      </c>
      <c r="M113" s="4" t="str">
        <f>HYPERLINK("http://141.218.60.56/~jnz1568/getInfo.php?workbook=02_02.xlsx&amp;sheet=A0&amp;row=113&amp;col=13&amp;number=0.63372&amp;sourceID=23","0.63372")</f>
        <v>0.63372</v>
      </c>
    </row>
    <row r="114" spans="1:13">
      <c r="A114" s="3">
        <v>2</v>
      </c>
      <c r="B114" s="3">
        <v>2</v>
      </c>
      <c r="C114" s="3">
        <v>25</v>
      </c>
      <c r="D114" s="3">
        <v>10</v>
      </c>
      <c r="E114" s="3">
        <f>((1/(INDEX(E0!J$4:J$52,C114,1)-INDEX(E0!J$4:J$52,D114,1))))*100000000</f>
        <v>0</v>
      </c>
      <c r="F114" s="4" t="str">
        <f>HYPERLINK("http://141.218.60.56/~jnz1568/getInfo.php?workbook=02_02.xlsx&amp;sheet=A0&amp;row=114&amp;col=6&amp;number=&amp;sourceID=27","")</f>
        <v/>
      </c>
      <c r="G114" s="4" t="str">
        <f>HYPERLINK("http://141.218.60.56/~jnz1568/getInfo.php?workbook=02_02.xlsx&amp;sheet=A0&amp;row=114&amp;col=7&amp;number=&amp;sourceID=26","")</f>
        <v/>
      </c>
      <c r="H114" s="4" t="str">
        <f>HYPERLINK("http://141.218.60.56/~jnz1568/getInfo.php?workbook=02_02.xlsx&amp;sheet=A0&amp;row=114&amp;col=8&amp;number=&amp;sourceID=26","")</f>
        <v/>
      </c>
      <c r="I114" s="4" t="str">
        <f>HYPERLINK("http://141.218.60.56/~jnz1568/getInfo.php?workbook=02_02.xlsx&amp;sheet=A0&amp;row=114&amp;col=9&amp;number=183580&amp;sourceID=15","183580")</f>
        <v>183580</v>
      </c>
      <c r="J114" s="4" t="str">
        <f>HYPERLINK("http://141.218.60.56/~jnz1568/getInfo.php?workbook=02_02.xlsx&amp;sheet=A0&amp;row=114&amp;col=10&amp;number=&amp;sourceID=15","")</f>
        <v/>
      </c>
      <c r="K114" s="4" t="str">
        <f>HYPERLINK("http://141.218.60.56/~jnz1568/getInfo.php?workbook=02_02.xlsx&amp;sheet=A0&amp;row=114&amp;col=11&amp;number=&amp;sourceID=15","")</f>
        <v/>
      </c>
      <c r="L114" s="4" t="str">
        <f>HYPERLINK("http://141.218.60.56/~jnz1568/getInfo.php?workbook=02_02.xlsx&amp;sheet=A0&amp;row=114&amp;col=12&amp;number=&amp;sourceID=15","")</f>
        <v/>
      </c>
      <c r="M114" s="4" t="str">
        <f>HYPERLINK("http://141.218.60.56/~jnz1568/getInfo.php?workbook=02_02.xlsx&amp;sheet=A0&amp;row=114&amp;col=13&amp;number=183460&amp;sourceID=23","183460")</f>
        <v>183460</v>
      </c>
    </row>
    <row r="115" spans="1:13">
      <c r="A115" s="3">
        <v>2</v>
      </c>
      <c r="B115" s="3">
        <v>2</v>
      </c>
      <c r="C115" s="3">
        <v>25</v>
      </c>
      <c r="D115" s="3">
        <v>11</v>
      </c>
      <c r="E115" s="3">
        <f>((1/(INDEX(E0!J$4:J$52,C115,1)-INDEX(E0!J$4:J$52,D115,1))))*100000000</f>
        <v>0</v>
      </c>
      <c r="F115" s="4" t="str">
        <f>HYPERLINK("http://141.218.60.56/~jnz1568/getInfo.php?workbook=02_02.xlsx&amp;sheet=A0&amp;row=115&amp;col=6&amp;number=&amp;sourceID=27","")</f>
        <v/>
      </c>
      <c r="G115" s="4" t="str">
        <f>HYPERLINK("http://141.218.60.56/~jnz1568/getInfo.php?workbook=02_02.xlsx&amp;sheet=A0&amp;row=115&amp;col=7&amp;number=&amp;sourceID=26","")</f>
        <v/>
      </c>
      <c r="H115" s="4" t="str">
        <f>HYPERLINK("http://141.218.60.56/~jnz1568/getInfo.php?workbook=02_02.xlsx&amp;sheet=A0&amp;row=115&amp;col=8&amp;number=&amp;sourceID=26","")</f>
        <v/>
      </c>
      <c r="I115" s="4" t="str">
        <f>HYPERLINK("http://141.218.60.56/~jnz1568/getInfo.php?workbook=02_02.xlsx&amp;sheet=A0&amp;row=115&amp;col=9&amp;number=2753800&amp;sourceID=15","2753800")</f>
        <v>2753800</v>
      </c>
      <c r="J115" s="4" t="str">
        <f>HYPERLINK("http://141.218.60.56/~jnz1568/getInfo.php?workbook=02_02.xlsx&amp;sheet=A0&amp;row=115&amp;col=10&amp;number=&amp;sourceID=15","")</f>
        <v/>
      </c>
      <c r="K115" s="4" t="str">
        <f>HYPERLINK("http://141.218.60.56/~jnz1568/getInfo.php?workbook=02_02.xlsx&amp;sheet=A0&amp;row=115&amp;col=11&amp;number=&amp;sourceID=15","")</f>
        <v/>
      </c>
      <c r="L115" s="4" t="str">
        <f>HYPERLINK("http://141.218.60.56/~jnz1568/getInfo.php?workbook=02_02.xlsx&amp;sheet=A0&amp;row=115&amp;col=12&amp;number=&amp;sourceID=15","")</f>
        <v/>
      </c>
      <c r="M115" s="4" t="str">
        <f>HYPERLINK("http://141.218.60.56/~jnz1568/getInfo.php?workbook=02_02.xlsx&amp;sheet=A0&amp;row=115&amp;col=13&amp;number=2752000&amp;sourceID=23","2752000")</f>
        <v>2752000</v>
      </c>
    </row>
    <row r="116" spans="1:13">
      <c r="A116" s="3">
        <v>2</v>
      </c>
      <c r="B116" s="3">
        <v>2</v>
      </c>
      <c r="C116" s="3">
        <v>25</v>
      </c>
      <c r="D116" s="3">
        <v>12</v>
      </c>
      <c r="E116" s="3">
        <f>((1/(INDEX(E0!J$4:J$52,C116,1)-INDEX(E0!J$4:J$52,D116,1))))*100000000</f>
        <v>0</v>
      </c>
      <c r="F116" s="4" t="str">
        <f>HYPERLINK("http://141.218.60.56/~jnz1568/getInfo.php?workbook=02_02.xlsx&amp;sheet=A0&amp;row=116&amp;col=6&amp;number=&amp;sourceID=27","")</f>
        <v/>
      </c>
      <c r="G116" s="4" t="str">
        <f>HYPERLINK("http://141.218.60.56/~jnz1568/getInfo.php?workbook=02_02.xlsx&amp;sheet=A0&amp;row=116&amp;col=7&amp;number=&amp;sourceID=26","")</f>
        <v/>
      </c>
      <c r="H116" s="4" t="str">
        <f>HYPERLINK("http://141.218.60.56/~jnz1568/getInfo.php?workbook=02_02.xlsx&amp;sheet=A0&amp;row=116&amp;col=8&amp;number=&amp;sourceID=26","")</f>
        <v/>
      </c>
      <c r="I116" s="4" t="str">
        <f>HYPERLINK("http://141.218.60.56/~jnz1568/getInfo.php?workbook=02_02.xlsx&amp;sheet=A0&amp;row=116&amp;col=9&amp;number=3671700&amp;sourceID=15","3671700")</f>
        <v>3671700</v>
      </c>
      <c r="J116" s="4" t="str">
        <f>HYPERLINK("http://141.218.60.56/~jnz1568/getInfo.php?workbook=02_02.xlsx&amp;sheet=A0&amp;row=116&amp;col=10&amp;number=&amp;sourceID=15","")</f>
        <v/>
      </c>
      <c r="K116" s="4" t="str">
        <f>HYPERLINK("http://141.218.60.56/~jnz1568/getInfo.php?workbook=02_02.xlsx&amp;sheet=A0&amp;row=116&amp;col=11&amp;number=&amp;sourceID=15","")</f>
        <v/>
      </c>
      <c r="L116" s="4" t="str">
        <f>HYPERLINK("http://141.218.60.56/~jnz1568/getInfo.php?workbook=02_02.xlsx&amp;sheet=A0&amp;row=116&amp;col=12&amp;number=&amp;sourceID=15","")</f>
        <v/>
      </c>
      <c r="M116" s="4" t="str">
        <f>HYPERLINK("http://141.218.60.56/~jnz1568/getInfo.php?workbook=02_02.xlsx&amp;sheet=A0&amp;row=116&amp;col=13&amp;number=3669400&amp;sourceID=23","3669400")</f>
        <v>3669400</v>
      </c>
    </row>
    <row r="117" spans="1:13">
      <c r="A117" s="3">
        <v>2</v>
      </c>
      <c r="B117" s="3">
        <v>2</v>
      </c>
      <c r="C117" s="3">
        <v>25</v>
      </c>
      <c r="D117" s="3">
        <v>17</v>
      </c>
      <c r="E117" s="3">
        <f>((1/(INDEX(E0!J$4:J$52,C117,1)-INDEX(E0!J$4:J$52,D117,1))))*100000000</f>
        <v>0</v>
      </c>
      <c r="F117" s="4" t="str">
        <f>HYPERLINK("http://141.218.60.56/~jnz1568/getInfo.php?workbook=02_02.xlsx&amp;sheet=A0&amp;row=117&amp;col=6&amp;number=&amp;sourceID=27","")</f>
        <v/>
      </c>
      <c r="G117" s="4" t="str">
        <f>HYPERLINK("http://141.218.60.56/~jnz1568/getInfo.php?workbook=02_02.xlsx&amp;sheet=A0&amp;row=117&amp;col=7&amp;number=&amp;sourceID=26","")</f>
        <v/>
      </c>
      <c r="H117" s="4" t="str">
        <f>HYPERLINK("http://141.218.60.56/~jnz1568/getInfo.php?workbook=02_02.xlsx&amp;sheet=A0&amp;row=117&amp;col=8&amp;number=&amp;sourceID=26","")</f>
        <v/>
      </c>
      <c r="I117" s="4" t="str">
        <f>HYPERLINK("http://141.218.60.56/~jnz1568/getInfo.php?workbook=02_02.xlsx&amp;sheet=A0&amp;row=117&amp;col=9&amp;number=&amp;sourceID=15","")</f>
        <v/>
      </c>
      <c r="J117" s="4" t="str">
        <f>HYPERLINK("http://141.218.60.56/~jnz1568/getInfo.php?workbook=02_02.xlsx&amp;sheet=A0&amp;row=117&amp;col=10&amp;number=&amp;sourceID=15","")</f>
        <v/>
      </c>
      <c r="K117" s="4" t="str">
        <f>HYPERLINK("http://141.218.60.56/~jnz1568/getInfo.php?workbook=02_02.xlsx&amp;sheet=A0&amp;row=117&amp;col=11&amp;number=&amp;sourceID=15","")</f>
        <v/>
      </c>
      <c r="L117" s="4" t="str">
        <f>HYPERLINK("http://141.218.60.56/~jnz1568/getInfo.php?workbook=02_02.xlsx&amp;sheet=A0&amp;row=117&amp;col=12&amp;number=&amp;sourceID=15","")</f>
        <v/>
      </c>
      <c r="M117" s="4" t="str">
        <f>HYPERLINK("http://141.218.60.56/~jnz1568/getInfo.php?workbook=02_02.xlsx&amp;sheet=A0&amp;row=117&amp;col=13&amp;number=0.19598&amp;sourceID=23","0.19598")</f>
        <v>0.19598</v>
      </c>
    </row>
    <row r="118" spans="1:13">
      <c r="A118" s="3">
        <v>2</v>
      </c>
      <c r="B118" s="3">
        <v>2</v>
      </c>
      <c r="C118" s="3">
        <v>25</v>
      </c>
      <c r="D118" s="3">
        <v>20</v>
      </c>
      <c r="E118" s="3">
        <f>((1/(INDEX(E0!J$4:J$52,C118,1)-INDEX(E0!J$4:J$52,D118,1))))*100000000</f>
        <v>0</v>
      </c>
      <c r="F118" s="4" t="str">
        <f>HYPERLINK("http://141.218.60.56/~jnz1568/getInfo.php?workbook=02_02.xlsx&amp;sheet=A0&amp;row=118&amp;col=6&amp;number=&amp;sourceID=27","")</f>
        <v/>
      </c>
      <c r="G118" s="4" t="str">
        <f>HYPERLINK("http://141.218.60.56/~jnz1568/getInfo.php?workbook=02_02.xlsx&amp;sheet=A0&amp;row=118&amp;col=7&amp;number=&amp;sourceID=26","")</f>
        <v/>
      </c>
      <c r="H118" s="4" t="str">
        <f>HYPERLINK("http://141.218.60.56/~jnz1568/getInfo.php?workbook=02_02.xlsx&amp;sheet=A0&amp;row=118&amp;col=8&amp;number=&amp;sourceID=26","")</f>
        <v/>
      </c>
      <c r="I118" s="4" t="str">
        <f>HYPERLINK("http://141.218.60.56/~jnz1568/getInfo.php?workbook=02_02.xlsx&amp;sheet=A0&amp;row=118&amp;col=9&amp;number=115.39&amp;sourceID=15","115.39")</f>
        <v>115.39</v>
      </c>
      <c r="J118" s="4" t="str">
        <f>HYPERLINK("http://141.218.60.56/~jnz1568/getInfo.php?workbook=02_02.xlsx&amp;sheet=A0&amp;row=118&amp;col=10&amp;number=&amp;sourceID=15","")</f>
        <v/>
      </c>
      <c r="K118" s="4" t="str">
        <f>HYPERLINK("http://141.218.60.56/~jnz1568/getInfo.php?workbook=02_02.xlsx&amp;sheet=A0&amp;row=118&amp;col=11&amp;number=&amp;sourceID=15","")</f>
        <v/>
      </c>
      <c r="L118" s="4" t="str">
        <f>HYPERLINK("http://141.218.60.56/~jnz1568/getInfo.php?workbook=02_02.xlsx&amp;sheet=A0&amp;row=118&amp;col=12&amp;number=&amp;sourceID=15","")</f>
        <v/>
      </c>
      <c r="M118" s="4" t="str">
        <f>HYPERLINK("http://141.218.60.56/~jnz1568/getInfo.php?workbook=02_02.xlsx&amp;sheet=A0&amp;row=118&amp;col=13&amp;number=117.05&amp;sourceID=23","117.05")</f>
        <v>117.05</v>
      </c>
    </row>
    <row r="119" spans="1:13">
      <c r="A119" s="3">
        <v>2</v>
      </c>
      <c r="B119" s="3">
        <v>2</v>
      </c>
      <c r="C119" s="3">
        <v>25</v>
      </c>
      <c r="D119" s="3">
        <v>21</v>
      </c>
      <c r="E119" s="3">
        <f>((1/(INDEX(E0!J$4:J$52,C119,1)-INDEX(E0!J$4:J$52,D119,1))))*100000000</f>
        <v>0</v>
      </c>
      <c r="F119" s="4" t="str">
        <f>HYPERLINK("http://141.218.60.56/~jnz1568/getInfo.php?workbook=02_02.xlsx&amp;sheet=A0&amp;row=119&amp;col=6&amp;number=&amp;sourceID=27","")</f>
        <v/>
      </c>
      <c r="G119" s="4" t="str">
        <f>HYPERLINK("http://141.218.60.56/~jnz1568/getInfo.php?workbook=02_02.xlsx&amp;sheet=A0&amp;row=119&amp;col=7&amp;number=&amp;sourceID=26","")</f>
        <v/>
      </c>
      <c r="H119" s="4" t="str">
        <f>HYPERLINK("http://141.218.60.56/~jnz1568/getInfo.php?workbook=02_02.xlsx&amp;sheet=A0&amp;row=119&amp;col=8&amp;number=&amp;sourceID=26","")</f>
        <v/>
      </c>
      <c r="I119" s="4" t="str">
        <f>HYPERLINK("http://141.218.60.56/~jnz1568/getInfo.php?workbook=02_02.xlsx&amp;sheet=A0&amp;row=119&amp;col=9&amp;number=1730.8&amp;sourceID=15","1730.8")</f>
        <v>1730.8</v>
      </c>
      <c r="J119" s="4" t="str">
        <f>HYPERLINK("http://141.218.60.56/~jnz1568/getInfo.php?workbook=02_02.xlsx&amp;sheet=A0&amp;row=119&amp;col=10&amp;number=&amp;sourceID=15","")</f>
        <v/>
      </c>
      <c r="K119" s="4" t="str">
        <f>HYPERLINK("http://141.218.60.56/~jnz1568/getInfo.php?workbook=02_02.xlsx&amp;sheet=A0&amp;row=119&amp;col=11&amp;number=&amp;sourceID=15","")</f>
        <v/>
      </c>
      <c r="L119" s="4" t="str">
        <f>HYPERLINK("http://141.218.60.56/~jnz1568/getInfo.php?workbook=02_02.xlsx&amp;sheet=A0&amp;row=119&amp;col=12&amp;number=&amp;sourceID=15","")</f>
        <v/>
      </c>
      <c r="M119" s="4" t="str">
        <f>HYPERLINK("http://141.218.60.56/~jnz1568/getInfo.php?workbook=02_02.xlsx&amp;sheet=A0&amp;row=119&amp;col=13&amp;number=1755.4&amp;sourceID=23","1755.4")</f>
        <v>1755.4</v>
      </c>
    </row>
    <row r="120" spans="1:13">
      <c r="A120" s="3">
        <v>2</v>
      </c>
      <c r="B120" s="3">
        <v>2</v>
      </c>
      <c r="C120" s="3">
        <v>25</v>
      </c>
      <c r="D120" s="3">
        <v>22</v>
      </c>
      <c r="E120" s="3">
        <f>((1/(INDEX(E0!J$4:J$52,C120,1)-INDEX(E0!J$4:J$52,D120,1))))*100000000</f>
        <v>0</v>
      </c>
      <c r="F120" s="4" t="str">
        <f>HYPERLINK("http://141.218.60.56/~jnz1568/getInfo.php?workbook=02_02.xlsx&amp;sheet=A0&amp;row=120&amp;col=6&amp;number=&amp;sourceID=27","")</f>
        <v/>
      </c>
      <c r="G120" s="4" t="str">
        <f>HYPERLINK("http://141.218.60.56/~jnz1568/getInfo.php?workbook=02_02.xlsx&amp;sheet=A0&amp;row=120&amp;col=7&amp;number=&amp;sourceID=26","")</f>
        <v/>
      </c>
      <c r="H120" s="4" t="str">
        <f>HYPERLINK("http://141.218.60.56/~jnz1568/getInfo.php?workbook=02_02.xlsx&amp;sheet=A0&amp;row=120&amp;col=8&amp;number=&amp;sourceID=26","")</f>
        <v/>
      </c>
      <c r="I120" s="4" t="str">
        <f>HYPERLINK("http://141.218.60.56/~jnz1568/getInfo.php?workbook=02_02.xlsx&amp;sheet=A0&amp;row=120&amp;col=9&amp;number=2307.7&amp;sourceID=15","2307.7")</f>
        <v>2307.7</v>
      </c>
      <c r="J120" s="4" t="str">
        <f>HYPERLINK("http://141.218.60.56/~jnz1568/getInfo.php?workbook=02_02.xlsx&amp;sheet=A0&amp;row=120&amp;col=10&amp;number=&amp;sourceID=15","")</f>
        <v/>
      </c>
      <c r="K120" s="4" t="str">
        <f>HYPERLINK("http://141.218.60.56/~jnz1568/getInfo.php?workbook=02_02.xlsx&amp;sheet=A0&amp;row=120&amp;col=11&amp;number=&amp;sourceID=15","")</f>
        <v/>
      </c>
      <c r="L120" s="4" t="str">
        <f>HYPERLINK("http://141.218.60.56/~jnz1568/getInfo.php?workbook=02_02.xlsx&amp;sheet=A0&amp;row=120&amp;col=12&amp;number=&amp;sourceID=15","")</f>
        <v/>
      </c>
      <c r="M120" s="4" t="str">
        <f>HYPERLINK("http://141.218.60.56/~jnz1568/getInfo.php?workbook=02_02.xlsx&amp;sheet=A0&amp;row=120&amp;col=13&amp;number=2337.1&amp;sourceID=23","2337.1")</f>
        <v>2337.1</v>
      </c>
    </row>
    <row r="121" spans="1:13">
      <c r="A121" s="3">
        <v>2</v>
      </c>
      <c r="B121" s="3">
        <v>2</v>
      </c>
      <c r="C121" s="3">
        <v>26</v>
      </c>
      <c r="D121" s="3">
        <v>1</v>
      </c>
      <c r="E121" s="3">
        <f>((1/(INDEX(E0!J$4:J$52,C121,1)-INDEX(E0!J$4:J$52,D121,1))))*100000000</f>
        <v>0</v>
      </c>
      <c r="F121" s="4" t="str">
        <f>HYPERLINK("http://141.218.60.56/~jnz1568/getInfo.php?workbook=02_02.xlsx&amp;sheet=A0&amp;row=121&amp;col=6&amp;number=&amp;sourceID=27","")</f>
        <v/>
      </c>
      <c r="G121" s="4" t="str">
        <f>HYPERLINK("http://141.218.60.56/~jnz1568/getInfo.php?workbook=02_02.xlsx&amp;sheet=A0&amp;row=121&amp;col=7&amp;number=&amp;sourceID=26","")</f>
        <v/>
      </c>
      <c r="H121" s="4" t="str">
        <f>HYPERLINK("http://141.218.60.56/~jnz1568/getInfo.php?workbook=02_02.xlsx&amp;sheet=A0&amp;row=121&amp;col=8&amp;number=&amp;sourceID=26","")</f>
        <v/>
      </c>
      <c r="I121" s="4" t="str">
        <f>HYPERLINK("http://141.218.60.56/~jnz1568/getInfo.php?workbook=02_02.xlsx&amp;sheet=A0&amp;row=121&amp;col=9&amp;number=&amp;sourceID=15","")</f>
        <v/>
      </c>
      <c r="J121" s="4" t="str">
        <f>HYPERLINK("http://141.218.60.56/~jnz1568/getInfo.php?workbook=02_02.xlsx&amp;sheet=A0&amp;row=121&amp;col=10&amp;number=748.48&amp;sourceID=15","748.48")</f>
        <v>748.48</v>
      </c>
      <c r="K121" s="4" t="str">
        <f>HYPERLINK("http://141.218.60.56/~jnz1568/getInfo.php?workbook=02_02.xlsx&amp;sheet=A0&amp;row=121&amp;col=11&amp;number=&amp;sourceID=15","")</f>
        <v/>
      </c>
      <c r="L121" s="4" t="str">
        <f>HYPERLINK("http://141.218.60.56/~jnz1568/getInfo.php?workbook=02_02.xlsx&amp;sheet=A0&amp;row=121&amp;col=12&amp;number=&amp;sourceID=15","")</f>
        <v/>
      </c>
      <c r="M121" s="4" t="str">
        <f>HYPERLINK("http://141.218.60.56/~jnz1568/getInfo.php?workbook=02_02.xlsx&amp;sheet=A0&amp;row=121&amp;col=13&amp;number=&amp;sourceID=23","")</f>
        <v/>
      </c>
    </row>
    <row r="122" spans="1:13">
      <c r="A122" s="3">
        <v>2</v>
      </c>
      <c r="B122" s="3">
        <v>2</v>
      </c>
      <c r="C122" s="3">
        <v>26</v>
      </c>
      <c r="D122" s="3">
        <v>3</v>
      </c>
      <c r="E122" s="3">
        <f>((1/(INDEX(E0!J$4:J$52,C122,1)-INDEX(E0!J$4:J$52,D122,1))))*100000000</f>
        <v>0</v>
      </c>
      <c r="F122" s="4" t="str">
        <f>HYPERLINK("http://141.218.60.56/~jnz1568/getInfo.php?workbook=02_02.xlsx&amp;sheet=A0&amp;row=122&amp;col=6&amp;number=&amp;sourceID=27","")</f>
        <v/>
      </c>
      <c r="G122" s="4" t="str">
        <f>HYPERLINK("http://141.218.60.56/~jnz1568/getInfo.php?workbook=02_02.xlsx&amp;sheet=A0&amp;row=122&amp;col=7&amp;number=&amp;sourceID=26","")</f>
        <v/>
      </c>
      <c r="H122" s="4" t="str">
        <f>HYPERLINK("http://141.218.60.56/~jnz1568/getInfo.php?workbook=02_02.xlsx&amp;sheet=A0&amp;row=122&amp;col=8&amp;number=&amp;sourceID=26","")</f>
        <v/>
      </c>
      <c r="I122" s="4" t="str">
        <f>HYPERLINK("http://141.218.60.56/~jnz1568/getInfo.php?workbook=02_02.xlsx&amp;sheet=A0&amp;row=122&amp;col=9&amp;number=&amp;sourceID=15","")</f>
        <v/>
      </c>
      <c r="J122" s="4" t="str">
        <f>HYPERLINK("http://141.218.60.56/~jnz1568/getInfo.php?workbook=02_02.xlsx&amp;sheet=A0&amp;row=122&amp;col=10&amp;number=2.2842&amp;sourceID=15","2.2842")</f>
        <v>2.2842</v>
      </c>
      <c r="K122" s="4" t="str">
        <f>HYPERLINK("http://141.218.60.56/~jnz1568/getInfo.php?workbook=02_02.xlsx&amp;sheet=A0&amp;row=122&amp;col=11&amp;number=&amp;sourceID=15","")</f>
        <v/>
      </c>
      <c r="L122" s="4" t="str">
        <f>HYPERLINK("http://141.218.60.56/~jnz1568/getInfo.php?workbook=02_02.xlsx&amp;sheet=A0&amp;row=122&amp;col=12&amp;number=&amp;sourceID=15","")</f>
        <v/>
      </c>
      <c r="M122" s="4" t="str">
        <f>HYPERLINK("http://141.218.60.56/~jnz1568/getInfo.php?workbook=02_02.xlsx&amp;sheet=A0&amp;row=122&amp;col=13&amp;number=&amp;sourceID=23","")</f>
        <v/>
      </c>
    </row>
    <row r="123" spans="1:13">
      <c r="A123" s="3">
        <v>2</v>
      </c>
      <c r="B123" s="3">
        <v>2</v>
      </c>
      <c r="C123" s="3">
        <v>26</v>
      </c>
      <c r="D123" s="3">
        <v>4</v>
      </c>
      <c r="E123" s="3">
        <f>((1/(INDEX(E0!J$4:J$52,C123,1)-INDEX(E0!J$4:J$52,D123,1))))*100000000</f>
        <v>0</v>
      </c>
      <c r="F123" s="4" t="str">
        <f>HYPERLINK("http://141.218.60.56/~jnz1568/getInfo.php?workbook=02_02.xlsx&amp;sheet=A0&amp;row=123&amp;col=6&amp;number=&amp;sourceID=27","")</f>
        <v/>
      </c>
      <c r="G123" s="4" t="str">
        <f>HYPERLINK("http://141.218.60.56/~jnz1568/getInfo.php?workbook=02_02.xlsx&amp;sheet=A0&amp;row=123&amp;col=7&amp;number=&amp;sourceID=26","")</f>
        <v/>
      </c>
      <c r="H123" s="4" t="str">
        <f>HYPERLINK("http://141.218.60.56/~jnz1568/getInfo.php?workbook=02_02.xlsx&amp;sheet=A0&amp;row=123&amp;col=8&amp;number=&amp;sourceID=26","")</f>
        <v/>
      </c>
      <c r="I123" s="4" t="str">
        <f>HYPERLINK("http://141.218.60.56/~jnz1568/getInfo.php?workbook=02_02.xlsx&amp;sheet=A0&amp;row=123&amp;col=9&amp;number=&amp;sourceID=15","")</f>
        <v/>
      </c>
      <c r="J123" s="4" t="str">
        <f>HYPERLINK("http://141.218.60.56/~jnz1568/getInfo.php?workbook=02_02.xlsx&amp;sheet=A0&amp;row=123&amp;col=10&amp;number=&amp;sourceID=15","")</f>
        <v/>
      </c>
      <c r="K123" s="4" t="str">
        <f>HYPERLINK("http://141.218.60.56/~jnz1568/getInfo.php?workbook=02_02.xlsx&amp;sheet=A0&amp;row=123&amp;col=11&amp;number=&amp;sourceID=15","")</f>
        <v/>
      </c>
      <c r="L123" s="4" t="str">
        <f>HYPERLINK("http://141.218.60.56/~jnz1568/getInfo.php?workbook=02_02.xlsx&amp;sheet=A0&amp;row=123&amp;col=12&amp;number=&amp;sourceID=15","")</f>
        <v/>
      </c>
      <c r="M123" s="4" t="str">
        <f>HYPERLINK("http://141.218.60.56/~jnz1568/getInfo.php?workbook=02_02.xlsx&amp;sheet=A0&amp;row=123&amp;col=13&amp;number=819.17&amp;sourceID=23","819.17")</f>
        <v>819.17</v>
      </c>
    </row>
    <row r="124" spans="1:13">
      <c r="A124" s="3">
        <v>2</v>
      </c>
      <c r="B124" s="3">
        <v>2</v>
      </c>
      <c r="C124" s="3">
        <v>26</v>
      </c>
      <c r="D124" s="3">
        <v>5</v>
      </c>
      <c r="E124" s="3">
        <f>((1/(INDEX(E0!J$4:J$52,C124,1)-INDEX(E0!J$4:J$52,D124,1))))*100000000</f>
        <v>0</v>
      </c>
      <c r="F124" s="4" t="str">
        <f>HYPERLINK("http://141.218.60.56/~jnz1568/getInfo.php?workbook=02_02.xlsx&amp;sheet=A0&amp;row=124&amp;col=6&amp;number=&amp;sourceID=27","")</f>
        <v/>
      </c>
      <c r="G124" s="4" t="str">
        <f>HYPERLINK("http://141.218.60.56/~jnz1568/getInfo.php?workbook=02_02.xlsx&amp;sheet=A0&amp;row=124&amp;col=7&amp;number=&amp;sourceID=26","")</f>
        <v/>
      </c>
      <c r="H124" s="4" t="str">
        <f>HYPERLINK("http://141.218.60.56/~jnz1568/getInfo.php?workbook=02_02.xlsx&amp;sheet=A0&amp;row=124&amp;col=8&amp;number=&amp;sourceID=26","")</f>
        <v/>
      </c>
      <c r="I124" s="4" t="str">
        <f>HYPERLINK("http://141.218.60.56/~jnz1568/getInfo.php?workbook=02_02.xlsx&amp;sheet=A0&amp;row=124&amp;col=9&amp;number=&amp;sourceID=15","")</f>
        <v/>
      </c>
      <c r="J124" s="4" t="str">
        <f>HYPERLINK("http://141.218.60.56/~jnz1568/getInfo.php?workbook=02_02.xlsx&amp;sheet=A0&amp;row=124&amp;col=10&amp;number=&amp;sourceID=15","")</f>
        <v/>
      </c>
      <c r="K124" s="4" t="str">
        <f>HYPERLINK("http://141.218.60.56/~jnz1568/getInfo.php?workbook=02_02.xlsx&amp;sheet=A0&amp;row=124&amp;col=11&amp;number=&amp;sourceID=15","")</f>
        <v/>
      </c>
      <c r="L124" s="4" t="str">
        <f>HYPERLINK("http://141.218.60.56/~jnz1568/getInfo.php?workbook=02_02.xlsx&amp;sheet=A0&amp;row=124&amp;col=12&amp;number=&amp;sourceID=15","")</f>
        <v/>
      </c>
      <c r="M124" s="4" t="str">
        <f>HYPERLINK("http://141.218.60.56/~jnz1568/getInfo.php?workbook=02_02.xlsx&amp;sheet=A0&amp;row=124&amp;col=13&amp;number=2320.5&amp;sourceID=23","2320.5")</f>
        <v>2320.5</v>
      </c>
    </row>
    <row r="125" spans="1:13">
      <c r="A125" s="3">
        <v>2</v>
      </c>
      <c r="B125" s="3">
        <v>2</v>
      </c>
      <c r="C125" s="3">
        <v>26</v>
      </c>
      <c r="D125" s="3">
        <v>7</v>
      </c>
      <c r="E125" s="3">
        <f>((1/(INDEX(E0!J$4:J$52,C125,1)-INDEX(E0!J$4:J$52,D125,1))))*100000000</f>
        <v>0</v>
      </c>
      <c r="F125" s="4" t="str">
        <f>HYPERLINK("http://141.218.60.56/~jnz1568/getInfo.php?workbook=02_02.xlsx&amp;sheet=A0&amp;row=125&amp;col=6&amp;number=&amp;sourceID=27","")</f>
        <v/>
      </c>
      <c r="G125" s="4" t="str">
        <f>HYPERLINK("http://141.218.60.56/~jnz1568/getInfo.php?workbook=02_02.xlsx&amp;sheet=A0&amp;row=125&amp;col=7&amp;number=&amp;sourceID=26","")</f>
        <v/>
      </c>
      <c r="H125" s="4" t="str">
        <f>HYPERLINK("http://141.218.60.56/~jnz1568/getInfo.php?workbook=02_02.xlsx&amp;sheet=A0&amp;row=125&amp;col=8&amp;number=&amp;sourceID=26","")</f>
        <v/>
      </c>
      <c r="I125" s="4" t="str">
        <f>HYPERLINK("http://141.218.60.56/~jnz1568/getInfo.php?workbook=02_02.xlsx&amp;sheet=A0&amp;row=125&amp;col=9&amp;number=19863000&amp;sourceID=15","19863000")</f>
        <v>19863000</v>
      </c>
      <c r="J125" s="4" t="str">
        <f>HYPERLINK("http://141.218.60.56/~jnz1568/getInfo.php?workbook=02_02.xlsx&amp;sheet=A0&amp;row=125&amp;col=10&amp;number=&amp;sourceID=15","")</f>
        <v/>
      </c>
      <c r="K125" s="4" t="str">
        <f>HYPERLINK("http://141.218.60.56/~jnz1568/getInfo.php?workbook=02_02.xlsx&amp;sheet=A0&amp;row=125&amp;col=11&amp;number=&amp;sourceID=15","")</f>
        <v/>
      </c>
      <c r="L125" s="4" t="str">
        <f>HYPERLINK("http://141.218.60.56/~jnz1568/getInfo.php?workbook=02_02.xlsx&amp;sheet=A0&amp;row=125&amp;col=12&amp;number=&amp;sourceID=15","")</f>
        <v/>
      </c>
      <c r="M125" s="4" t="str">
        <f>HYPERLINK("http://141.218.60.56/~jnz1568/getInfo.php?workbook=02_02.xlsx&amp;sheet=A0&amp;row=125&amp;col=13&amp;number=19866000&amp;sourceID=23","19866000")</f>
        <v>19866000</v>
      </c>
    </row>
    <row r="126" spans="1:13">
      <c r="A126" s="3">
        <v>2</v>
      </c>
      <c r="B126" s="3">
        <v>2</v>
      </c>
      <c r="C126" s="3">
        <v>26</v>
      </c>
      <c r="D126" s="3">
        <v>9</v>
      </c>
      <c r="E126" s="3">
        <f>((1/(INDEX(E0!J$4:J$52,C126,1)-INDEX(E0!J$4:J$52,D126,1))))*100000000</f>
        <v>0</v>
      </c>
      <c r="F126" s="4" t="str">
        <f>HYPERLINK("http://141.218.60.56/~jnz1568/getInfo.php?workbook=02_02.xlsx&amp;sheet=A0&amp;row=126&amp;col=6&amp;number=&amp;sourceID=27","")</f>
        <v/>
      </c>
      <c r="G126" s="4" t="str">
        <f>HYPERLINK("http://141.218.60.56/~jnz1568/getInfo.php?workbook=02_02.xlsx&amp;sheet=A0&amp;row=126&amp;col=7&amp;number=&amp;sourceID=26","")</f>
        <v/>
      </c>
      <c r="H126" s="4" t="str">
        <f>HYPERLINK("http://141.218.60.56/~jnz1568/getInfo.php?workbook=02_02.xlsx&amp;sheet=A0&amp;row=126&amp;col=8&amp;number=&amp;sourceID=26","")</f>
        <v/>
      </c>
      <c r="I126" s="4" t="str">
        <f>HYPERLINK("http://141.218.60.56/~jnz1568/getInfo.php?workbook=02_02.xlsx&amp;sheet=A0&amp;row=126&amp;col=9&amp;number=5.6132&amp;sourceID=15","5.6132")</f>
        <v>5.6132</v>
      </c>
      <c r="J126" s="4" t="str">
        <f>HYPERLINK("http://141.218.60.56/~jnz1568/getInfo.php?workbook=02_02.xlsx&amp;sheet=A0&amp;row=126&amp;col=10&amp;number=&amp;sourceID=15","")</f>
        <v/>
      </c>
      <c r="K126" s="4" t="str">
        <f>HYPERLINK("http://141.218.60.56/~jnz1568/getInfo.php?workbook=02_02.xlsx&amp;sheet=A0&amp;row=126&amp;col=11&amp;number=&amp;sourceID=15","")</f>
        <v/>
      </c>
      <c r="L126" s="4" t="str">
        <f>HYPERLINK("http://141.218.60.56/~jnz1568/getInfo.php?workbook=02_02.xlsx&amp;sheet=A0&amp;row=126&amp;col=12&amp;number=&amp;sourceID=15","")</f>
        <v/>
      </c>
      <c r="M126" s="4" t="str">
        <f>HYPERLINK("http://141.218.60.56/~jnz1568/getInfo.php?workbook=02_02.xlsx&amp;sheet=A0&amp;row=126&amp;col=13&amp;number=&amp;sourceID=23","")</f>
        <v/>
      </c>
    </row>
    <row r="127" spans="1:13">
      <c r="A127" s="3">
        <v>2</v>
      </c>
      <c r="B127" s="3">
        <v>2</v>
      </c>
      <c r="C127" s="3">
        <v>26</v>
      </c>
      <c r="D127" s="3">
        <v>10</v>
      </c>
      <c r="E127" s="3">
        <f>((1/(INDEX(E0!J$4:J$52,C127,1)-INDEX(E0!J$4:J$52,D127,1))))*100000000</f>
        <v>0</v>
      </c>
      <c r="F127" s="4" t="str">
        <f>HYPERLINK("http://141.218.60.56/~jnz1568/getInfo.php?workbook=02_02.xlsx&amp;sheet=A0&amp;row=127&amp;col=6&amp;number=&amp;sourceID=27","")</f>
        <v/>
      </c>
      <c r="G127" s="4" t="str">
        <f>HYPERLINK("http://141.218.60.56/~jnz1568/getInfo.php?workbook=02_02.xlsx&amp;sheet=A0&amp;row=127&amp;col=7&amp;number=&amp;sourceID=26","")</f>
        <v/>
      </c>
      <c r="H127" s="4" t="str">
        <f>HYPERLINK("http://141.218.60.56/~jnz1568/getInfo.php?workbook=02_02.xlsx&amp;sheet=A0&amp;row=127&amp;col=8&amp;number=&amp;sourceID=26","")</f>
        <v/>
      </c>
      <c r="I127" s="4" t="str">
        <f>HYPERLINK("http://141.218.60.56/~jnz1568/getInfo.php?workbook=02_02.xlsx&amp;sheet=A0&amp;row=127&amp;col=9&amp;number=214.8&amp;sourceID=15","214.8")</f>
        <v>214.8</v>
      </c>
      <c r="J127" s="4" t="str">
        <f>HYPERLINK("http://141.218.60.56/~jnz1568/getInfo.php?workbook=02_02.xlsx&amp;sheet=A0&amp;row=127&amp;col=10&amp;number=&amp;sourceID=15","")</f>
        <v/>
      </c>
      <c r="K127" s="4" t="str">
        <f>HYPERLINK("http://141.218.60.56/~jnz1568/getInfo.php?workbook=02_02.xlsx&amp;sheet=A0&amp;row=127&amp;col=11&amp;number=&amp;sourceID=15","")</f>
        <v/>
      </c>
      <c r="L127" s="4" t="str">
        <f>HYPERLINK("http://141.218.60.56/~jnz1568/getInfo.php?workbook=02_02.xlsx&amp;sheet=A0&amp;row=127&amp;col=12&amp;number=&amp;sourceID=15","")</f>
        <v/>
      </c>
      <c r="M127" s="4" t="str">
        <f>HYPERLINK("http://141.218.60.56/~jnz1568/getInfo.php?workbook=02_02.xlsx&amp;sheet=A0&amp;row=127&amp;col=13&amp;number=219.5&amp;sourceID=23","219.5")</f>
        <v>219.5</v>
      </c>
    </row>
    <row r="128" spans="1:13">
      <c r="A128" s="3">
        <v>2</v>
      </c>
      <c r="B128" s="3">
        <v>2</v>
      </c>
      <c r="C128" s="3">
        <v>26</v>
      </c>
      <c r="D128" s="3">
        <v>11</v>
      </c>
      <c r="E128" s="3">
        <f>((1/(INDEX(E0!J$4:J$52,C128,1)-INDEX(E0!J$4:J$52,D128,1))))*100000000</f>
        <v>0</v>
      </c>
      <c r="F128" s="4" t="str">
        <f>HYPERLINK("http://141.218.60.56/~jnz1568/getInfo.php?workbook=02_02.xlsx&amp;sheet=A0&amp;row=128&amp;col=6&amp;number=&amp;sourceID=27","")</f>
        <v/>
      </c>
      <c r="G128" s="4" t="str">
        <f>HYPERLINK("http://141.218.60.56/~jnz1568/getInfo.php?workbook=02_02.xlsx&amp;sheet=A0&amp;row=128&amp;col=7&amp;number=&amp;sourceID=26","")</f>
        <v/>
      </c>
      <c r="H128" s="4" t="str">
        <f>HYPERLINK("http://141.218.60.56/~jnz1568/getInfo.php?workbook=02_02.xlsx&amp;sheet=A0&amp;row=128&amp;col=8&amp;number=&amp;sourceID=26","")</f>
        <v/>
      </c>
      <c r="I128" s="4" t="str">
        <f>HYPERLINK("http://141.218.60.56/~jnz1568/getInfo.php?workbook=02_02.xlsx&amp;sheet=A0&amp;row=128&amp;col=9&amp;number=603.8&amp;sourceID=15","603.8")</f>
        <v>603.8</v>
      </c>
      <c r="J128" s="4" t="str">
        <f>HYPERLINK("http://141.218.60.56/~jnz1568/getInfo.php?workbook=02_02.xlsx&amp;sheet=A0&amp;row=128&amp;col=10&amp;number=&amp;sourceID=15","")</f>
        <v/>
      </c>
      <c r="K128" s="4" t="str">
        <f>HYPERLINK("http://141.218.60.56/~jnz1568/getInfo.php?workbook=02_02.xlsx&amp;sheet=A0&amp;row=128&amp;col=11&amp;number=&amp;sourceID=15","")</f>
        <v/>
      </c>
      <c r="L128" s="4" t="str">
        <f>HYPERLINK("http://141.218.60.56/~jnz1568/getInfo.php?workbook=02_02.xlsx&amp;sheet=A0&amp;row=128&amp;col=12&amp;number=&amp;sourceID=15","")</f>
        <v/>
      </c>
      <c r="M128" s="4" t="str">
        <f>HYPERLINK("http://141.218.60.56/~jnz1568/getInfo.php?workbook=02_02.xlsx&amp;sheet=A0&amp;row=128&amp;col=13&amp;number=624.67&amp;sourceID=23","624.67")</f>
        <v>624.67</v>
      </c>
    </row>
    <row r="129" spans="1:13">
      <c r="A129" s="3">
        <v>2</v>
      </c>
      <c r="B129" s="3">
        <v>2</v>
      </c>
      <c r="C129" s="3">
        <v>26</v>
      </c>
      <c r="D129" s="3">
        <v>17</v>
      </c>
      <c r="E129" s="3">
        <f>((1/(INDEX(E0!J$4:J$52,C129,1)-INDEX(E0!J$4:J$52,D129,1))))*100000000</f>
        <v>0</v>
      </c>
      <c r="F129" s="4" t="str">
        <f>HYPERLINK("http://141.218.60.56/~jnz1568/getInfo.php?workbook=02_02.xlsx&amp;sheet=A0&amp;row=129&amp;col=6&amp;number=&amp;sourceID=27","")</f>
        <v/>
      </c>
      <c r="G129" s="4" t="str">
        <f>HYPERLINK("http://141.218.60.56/~jnz1568/getInfo.php?workbook=02_02.xlsx&amp;sheet=A0&amp;row=129&amp;col=7&amp;number=&amp;sourceID=26","")</f>
        <v/>
      </c>
      <c r="H129" s="4" t="str">
        <f>HYPERLINK("http://141.218.60.56/~jnz1568/getInfo.php?workbook=02_02.xlsx&amp;sheet=A0&amp;row=129&amp;col=8&amp;number=&amp;sourceID=26","")</f>
        <v/>
      </c>
      <c r="I129" s="4" t="str">
        <f>HYPERLINK("http://141.218.60.56/~jnz1568/getInfo.php?workbook=02_02.xlsx&amp;sheet=A0&amp;row=129&amp;col=9&amp;number=7115900&amp;sourceID=15","7115900")</f>
        <v>7115900</v>
      </c>
      <c r="J129" s="4" t="str">
        <f>HYPERLINK("http://141.218.60.56/~jnz1568/getInfo.php?workbook=02_02.xlsx&amp;sheet=A0&amp;row=129&amp;col=10&amp;number=&amp;sourceID=15","")</f>
        <v/>
      </c>
      <c r="K129" s="4" t="str">
        <f>HYPERLINK("http://141.218.60.56/~jnz1568/getInfo.php?workbook=02_02.xlsx&amp;sheet=A0&amp;row=129&amp;col=11&amp;number=&amp;sourceID=15","")</f>
        <v/>
      </c>
      <c r="L129" s="4" t="str">
        <f>HYPERLINK("http://141.218.60.56/~jnz1568/getInfo.php?workbook=02_02.xlsx&amp;sheet=A0&amp;row=129&amp;col=12&amp;number=&amp;sourceID=15","")</f>
        <v/>
      </c>
      <c r="M129" s="4" t="str">
        <f>HYPERLINK("http://141.218.60.56/~jnz1568/getInfo.php?workbook=02_02.xlsx&amp;sheet=A0&amp;row=129&amp;col=13&amp;number=7114000&amp;sourceID=23","7114000")</f>
        <v>7114000</v>
      </c>
    </row>
    <row r="130" spans="1:13">
      <c r="A130" s="3">
        <v>2</v>
      </c>
      <c r="B130" s="3">
        <v>2</v>
      </c>
      <c r="C130" s="3">
        <v>26</v>
      </c>
      <c r="D130" s="3">
        <v>19</v>
      </c>
      <c r="E130" s="3">
        <f>((1/(INDEX(E0!J$4:J$52,C130,1)-INDEX(E0!J$4:J$52,D130,1))))*100000000</f>
        <v>0</v>
      </c>
      <c r="F130" s="4" t="str">
        <f>HYPERLINK("http://141.218.60.56/~jnz1568/getInfo.php?workbook=02_02.xlsx&amp;sheet=A0&amp;row=130&amp;col=6&amp;number=&amp;sourceID=27","")</f>
        <v/>
      </c>
      <c r="G130" s="4" t="str">
        <f>HYPERLINK("http://141.218.60.56/~jnz1568/getInfo.php?workbook=02_02.xlsx&amp;sheet=A0&amp;row=130&amp;col=7&amp;number=&amp;sourceID=26","")</f>
        <v/>
      </c>
      <c r="H130" s="4" t="str">
        <f>HYPERLINK("http://141.218.60.56/~jnz1568/getInfo.php?workbook=02_02.xlsx&amp;sheet=A0&amp;row=130&amp;col=8&amp;number=&amp;sourceID=26","")</f>
        <v/>
      </c>
      <c r="I130" s="4" t="str">
        <f>HYPERLINK("http://141.218.60.56/~jnz1568/getInfo.php?workbook=02_02.xlsx&amp;sheet=A0&amp;row=130&amp;col=9&amp;number=0.00020286&amp;sourceID=15","0.00020286")</f>
        <v>0.00020286</v>
      </c>
      <c r="J130" s="4" t="str">
        <f>HYPERLINK("http://141.218.60.56/~jnz1568/getInfo.php?workbook=02_02.xlsx&amp;sheet=A0&amp;row=130&amp;col=10&amp;number=&amp;sourceID=15","")</f>
        <v/>
      </c>
      <c r="K130" s="4" t="str">
        <f>HYPERLINK("http://141.218.60.56/~jnz1568/getInfo.php?workbook=02_02.xlsx&amp;sheet=A0&amp;row=130&amp;col=11&amp;number=&amp;sourceID=15","")</f>
        <v/>
      </c>
      <c r="L130" s="4" t="str">
        <f>HYPERLINK("http://141.218.60.56/~jnz1568/getInfo.php?workbook=02_02.xlsx&amp;sheet=A0&amp;row=130&amp;col=12&amp;number=&amp;sourceID=15","")</f>
        <v/>
      </c>
      <c r="M130" s="4" t="str">
        <f>HYPERLINK("http://141.218.60.56/~jnz1568/getInfo.php?workbook=02_02.xlsx&amp;sheet=A0&amp;row=130&amp;col=13&amp;number=&amp;sourceID=23","")</f>
        <v/>
      </c>
    </row>
    <row r="131" spans="1:13">
      <c r="A131" s="3">
        <v>2</v>
      </c>
      <c r="B131" s="3">
        <v>2</v>
      </c>
      <c r="C131" s="3">
        <v>26</v>
      </c>
      <c r="D131" s="3">
        <v>20</v>
      </c>
      <c r="E131" s="3">
        <f>((1/(INDEX(E0!J$4:J$52,C131,1)-INDEX(E0!J$4:J$52,D131,1))))*100000000</f>
        <v>0</v>
      </c>
      <c r="F131" s="4" t="str">
        <f>HYPERLINK("http://141.218.60.56/~jnz1568/getInfo.php?workbook=02_02.xlsx&amp;sheet=A0&amp;row=131&amp;col=6&amp;number=&amp;sourceID=27","")</f>
        <v/>
      </c>
      <c r="G131" s="4" t="str">
        <f>HYPERLINK("http://141.218.60.56/~jnz1568/getInfo.php?workbook=02_02.xlsx&amp;sheet=A0&amp;row=131&amp;col=7&amp;number=&amp;sourceID=26","")</f>
        <v/>
      </c>
      <c r="H131" s="4" t="str">
        <f>HYPERLINK("http://141.218.60.56/~jnz1568/getInfo.php?workbook=02_02.xlsx&amp;sheet=A0&amp;row=131&amp;col=8&amp;number=&amp;sourceID=26","")</f>
        <v/>
      </c>
      <c r="I131" s="4" t="str">
        <f>HYPERLINK("http://141.218.60.56/~jnz1568/getInfo.php?workbook=02_02.xlsx&amp;sheet=A0&amp;row=131&amp;col=9&amp;number=&amp;sourceID=15","")</f>
        <v/>
      </c>
      <c r="J131" s="4" t="str">
        <f>HYPERLINK("http://141.218.60.56/~jnz1568/getInfo.php?workbook=02_02.xlsx&amp;sheet=A0&amp;row=131&amp;col=10&amp;number=&amp;sourceID=15","")</f>
        <v/>
      </c>
      <c r="K131" s="4" t="str">
        <f>HYPERLINK("http://141.218.60.56/~jnz1568/getInfo.php?workbook=02_02.xlsx&amp;sheet=A0&amp;row=131&amp;col=11&amp;number=&amp;sourceID=15","")</f>
        <v/>
      </c>
      <c r="L131" s="4" t="str">
        <f>HYPERLINK("http://141.218.60.56/~jnz1568/getInfo.php?workbook=02_02.xlsx&amp;sheet=A0&amp;row=131&amp;col=12&amp;number=&amp;sourceID=15","")</f>
        <v/>
      </c>
      <c r="M131" s="4" t="str">
        <f>HYPERLINK("http://141.218.60.56/~jnz1568/getInfo.php?workbook=02_02.xlsx&amp;sheet=A0&amp;row=131&amp;col=13&amp;number=0.14392&amp;sourceID=23","0.14392")</f>
        <v>0.14392</v>
      </c>
    </row>
    <row r="132" spans="1:13">
      <c r="A132" s="3">
        <v>2</v>
      </c>
      <c r="B132" s="3">
        <v>2</v>
      </c>
      <c r="C132" s="3">
        <v>26</v>
      </c>
      <c r="D132" s="3">
        <v>21</v>
      </c>
      <c r="E132" s="3">
        <f>((1/(INDEX(E0!J$4:J$52,C132,1)-INDEX(E0!J$4:J$52,D132,1))))*100000000</f>
        <v>0</v>
      </c>
      <c r="F132" s="4" t="str">
        <f>HYPERLINK("http://141.218.60.56/~jnz1568/getInfo.php?workbook=02_02.xlsx&amp;sheet=A0&amp;row=132&amp;col=6&amp;number=&amp;sourceID=27","")</f>
        <v/>
      </c>
      <c r="G132" s="4" t="str">
        <f>HYPERLINK("http://141.218.60.56/~jnz1568/getInfo.php?workbook=02_02.xlsx&amp;sheet=A0&amp;row=132&amp;col=7&amp;number=&amp;sourceID=26","")</f>
        <v/>
      </c>
      <c r="H132" s="4" t="str">
        <f>HYPERLINK("http://141.218.60.56/~jnz1568/getInfo.php?workbook=02_02.xlsx&amp;sheet=A0&amp;row=132&amp;col=8&amp;number=&amp;sourceID=26","")</f>
        <v/>
      </c>
      <c r="I132" s="4" t="str">
        <f>HYPERLINK("http://141.218.60.56/~jnz1568/getInfo.php?workbook=02_02.xlsx&amp;sheet=A0&amp;row=132&amp;col=9&amp;number=&amp;sourceID=15","")</f>
        <v/>
      </c>
      <c r="J132" s="4" t="str">
        <f>HYPERLINK("http://141.218.60.56/~jnz1568/getInfo.php?workbook=02_02.xlsx&amp;sheet=A0&amp;row=132&amp;col=10&amp;number=&amp;sourceID=15","")</f>
        <v/>
      </c>
      <c r="K132" s="4" t="str">
        <f>HYPERLINK("http://141.218.60.56/~jnz1568/getInfo.php?workbook=02_02.xlsx&amp;sheet=A0&amp;row=132&amp;col=11&amp;number=&amp;sourceID=15","")</f>
        <v/>
      </c>
      <c r="L132" s="4" t="str">
        <f>HYPERLINK("http://141.218.60.56/~jnz1568/getInfo.php?workbook=02_02.xlsx&amp;sheet=A0&amp;row=132&amp;col=12&amp;number=&amp;sourceID=15","")</f>
        <v/>
      </c>
      <c r="M132" s="4" t="str">
        <f>HYPERLINK("http://141.218.60.56/~jnz1568/getInfo.php?workbook=02_02.xlsx&amp;sheet=A0&amp;row=132&amp;col=13&amp;number=0.41008&amp;sourceID=23","0.41008")</f>
        <v>0.41008</v>
      </c>
    </row>
    <row r="133" spans="1:13">
      <c r="A133" s="3">
        <v>2</v>
      </c>
      <c r="B133" s="3">
        <v>2</v>
      </c>
      <c r="C133" s="3">
        <v>27</v>
      </c>
      <c r="D133" s="3">
        <v>13</v>
      </c>
      <c r="E133" s="3">
        <f>((1/(INDEX(E0!J$4:J$52,C133,1)-INDEX(E0!J$4:J$52,D133,1))))*100000000</f>
        <v>0</v>
      </c>
      <c r="F133" s="4" t="str">
        <f>HYPERLINK("http://141.218.60.56/~jnz1568/getInfo.php?workbook=02_02.xlsx&amp;sheet=A0&amp;row=133&amp;col=6&amp;number=&amp;sourceID=27","")</f>
        <v/>
      </c>
      <c r="G133" s="4" t="str">
        <f>HYPERLINK("http://141.218.60.56/~jnz1568/getInfo.php?workbook=02_02.xlsx&amp;sheet=A0&amp;row=133&amp;col=7&amp;number=&amp;sourceID=26","")</f>
        <v/>
      </c>
      <c r="H133" s="4" t="str">
        <f>HYPERLINK("http://141.218.60.56/~jnz1568/getInfo.php?workbook=02_02.xlsx&amp;sheet=A0&amp;row=133&amp;col=8&amp;number=&amp;sourceID=26","")</f>
        <v/>
      </c>
      <c r="I133" s="4" t="str">
        <f>HYPERLINK("http://141.218.60.56/~jnz1568/getInfo.php?workbook=02_02.xlsx&amp;sheet=A0&amp;row=133&amp;col=9&amp;number=976440&amp;sourceID=15","976440")</f>
        <v>976440</v>
      </c>
      <c r="J133" s="4" t="str">
        <f>HYPERLINK("http://141.218.60.56/~jnz1568/getInfo.php?workbook=02_02.xlsx&amp;sheet=A0&amp;row=133&amp;col=10&amp;number=&amp;sourceID=15","")</f>
        <v/>
      </c>
      <c r="K133" s="4" t="str">
        <f>HYPERLINK("http://141.218.60.56/~jnz1568/getInfo.php?workbook=02_02.xlsx&amp;sheet=A0&amp;row=133&amp;col=11&amp;number=&amp;sourceID=15","")</f>
        <v/>
      </c>
      <c r="L133" s="4" t="str">
        <f>HYPERLINK("http://141.218.60.56/~jnz1568/getInfo.php?workbook=02_02.xlsx&amp;sheet=A0&amp;row=133&amp;col=12&amp;number=&amp;sourceID=15","")</f>
        <v/>
      </c>
      <c r="M133" s="4" t="str">
        <f>HYPERLINK("http://141.218.60.56/~jnz1568/getInfo.php?workbook=02_02.xlsx&amp;sheet=A0&amp;row=133&amp;col=13&amp;number=&amp;sourceID=23","")</f>
        <v/>
      </c>
    </row>
    <row r="134" spans="1:13">
      <c r="A134" s="3">
        <v>2</v>
      </c>
      <c r="B134" s="3">
        <v>2</v>
      </c>
      <c r="C134" s="3">
        <v>27</v>
      </c>
      <c r="D134" s="3">
        <v>14</v>
      </c>
      <c r="E134" s="3">
        <f>((1/(INDEX(E0!J$4:J$52,C134,1)-INDEX(E0!J$4:J$52,D134,1))))*100000000</f>
        <v>0</v>
      </c>
      <c r="F134" s="4" t="str">
        <f>HYPERLINK("http://141.218.60.56/~jnz1568/getInfo.php?workbook=02_02.xlsx&amp;sheet=A0&amp;row=134&amp;col=6&amp;number=&amp;sourceID=27","")</f>
        <v/>
      </c>
      <c r="G134" s="4" t="str">
        <f>HYPERLINK("http://141.218.60.56/~jnz1568/getInfo.php?workbook=02_02.xlsx&amp;sheet=A0&amp;row=134&amp;col=7&amp;number=&amp;sourceID=26","")</f>
        <v/>
      </c>
      <c r="H134" s="4" t="str">
        <f>HYPERLINK("http://141.218.60.56/~jnz1568/getInfo.php?workbook=02_02.xlsx&amp;sheet=A0&amp;row=134&amp;col=8&amp;number=&amp;sourceID=26","")</f>
        <v/>
      </c>
      <c r="I134" s="4" t="str">
        <f>HYPERLINK("http://141.218.60.56/~jnz1568/getInfo.php?workbook=02_02.xlsx&amp;sheet=A0&amp;row=134&amp;col=9&amp;number=8007100&amp;sourceID=15","8007100")</f>
        <v>8007100</v>
      </c>
      <c r="J134" s="4" t="str">
        <f>HYPERLINK("http://141.218.60.56/~jnz1568/getInfo.php?workbook=02_02.xlsx&amp;sheet=A0&amp;row=134&amp;col=10&amp;number=&amp;sourceID=15","")</f>
        <v/>
      </c>
      <c r="K134" s="4" t="str">
        <f>HYPERLINK("http://141.218.60.56/~jnz1568/getInfo.php?workbook=02_02.xlsx&amp;sheet=A0&amp;row=134&amp;col=11&amp;number=&amp;sourceID=15","")</f>
        <v/>
      </c>
      <c r="L134" s="4" t="str">
        <f>HYPERLINK("http://141.218.60.56/~jnz1568/getInfo.php?workbook=02_02.xlsx&amp;sheet=A0&amp;row=134&amp;col=12&amp;number=&amp;sourceID=15","")</f>
        <v/>
      </c>
      <c r="M134" s="4" t="str">
        <f>HYPERLINK("http://141.218.60.56/~jnz1568/getInfo.php?workbook=02_02.xlsx&amp;sheet=A0&amp;row=134&amp;col=13&amp;number=&amp;sourceID=23","")</f>
        <v/>
      </c>
    </row>
    <row r="135" spans="1:13">
      <c r="A135" s="3">
        <v>2</v>
      </c>
      <c r="B135" s="3">
        <v>2</v>
      </c>
      <c r="C135" s="3">
        <v>27</v>
      </c>
      <c r="D135" s="3">
        <v>16</v>
      </c>
      <c r="E135" s="3">
        <f>((1/(INDEX(E0!J$4:J$52,C135,1)-INDEX(E0!J$4:J$52,D135,1))))*100000000</f>
        <v>0</v>
      </c>
      <c r="F135" s="4" t="str">
        <f>HYPERLINK("http://141.218.60.56/~jnz1568/getInfo.php?workbook=02_02.xlsx&amp;sheet=A0&amp;row=135&amp;col=6&amp;number=&amp;sourceID=27","")</f>
        <v/>
      </c>
      <c r="G135" s="4" t="str">
        <f>HYPERLINK("http://141.218.60.56/~jnz1568/getInfo.php?workbook=02_02.xlsx&amp;sheet=A0&amp;row=135&amp;col=7&amp;number=&amp;sourceID=26","")</f>
        <v/>
      </c>
      <c r="H135" s="4" t="str">
        <f>HYPERLINK("http://141.218.60.56/~jnz1568/getInfo.php?workbook=02_02.xlsx&amp;sheet=A0&amp;row=135&amp;col=8&amp;number=&amp;sourceID=26","")</f>
        <v/>
      </c>
      <c r="I135" s="4" t="str">
        <f>HYPERLINK("http://141.218.60.56/~jnz1568/getInfo.php?workbook=02_02.xlsx&amp;sheet=A0&amp;row=135&amp;col=9&amp;number=4852000&amp;sourceID=15","4852000")</f>
        <v>4852000</v>
      </c>
      <c r="J135" s="4" t="str">
        <f>HYPERLINK("http://141.218.60.56/~jnz1568/getInfo.php?workbook=02_02.xlsx&amp;sheet=A0&amp;row=135&amp;col=10&amp;number=&amp;sourceID=15","")</f>
        <v/>
      </c>
      <c r="K135" s="4" t="str">
        <f>HYPERLINK("http://141.218.60.56/~jnz1568/getInfo.php?workbook=02_02.xlsx&amp;sheet=A0&amp;row=135&amp;col=11&amp;number=&amp;sourceID=15","")</f>
        <v/>
      </c>
      <c r="L135" s="4" t="str">
        <f>HYPERLINK("http://141.218.60.56/~jnz1568/getInfo.php?workbook=02_02.xlsx&amp;sheet=A0&amp;row=135&amp;col=12&amp;number=&amp;sourceID=15","")</f>
        <v/>
      </c>
      <c r="M135" s="4" t="str">
        <f>HYPERLINK("http://141.218.60.56/~jnz1568/getInfo.php?workbook=02_02.xlsx&amp;sheet=A0&amp;row=135&amp;col=13&amp;number=&amp;sourceID=23","")</f>
        <v/>
      </c>
    </row>
    <row r="136" spans="1:13">
      <c r="A136" s="3">
        <v>2</v>
      </c>
      <c r="B136" s="3">
        <v>2</v>
      </c>
      <c r="C136" s="3">
        <v>28</v>
      </c>
      <c r="D136" s="3">
        <v>13</v>
      </c>
      <c r="E136" s="3">
        <f>((1/(INDEX(E0!J$4:J$52,C136,1)-INDEX(E0!J$4:J$52,D136,1))))*100000000</f>
        <v>0</v>
      </c>
      <c r="F136" s="4" t="str">
        <f>HYPERLINK("http://141.218.60.56/~jnz1568/getInfo.php?workbook=02_02.xlsx&amp;sheet=A0&amp;row=136&amp;col=6&amp;number=&amp;sourceID=27","")</f>
        <v/>
      </c>
      <c r="G136" s="4" t="str">
        <f>HYPERLINK("http://141.218.60.56/~jnz1568/getInfo.php?workbook=02_02.xlsx&amp;sheet=A0&amp;row=136&amp;col=7&amp;number=&amp;sourceID=26","")</f>
        <v/>
      </c>
      <c r="H136" s="4" t="str">
        <f>HYPERLINK("http://141.218.60.56/~jnz1568/getInfo.php?workbook=02_02.xlsx&amp;sheet=A0&amp;row=136&amp;col=8&amp;number=&amp;sourceID=26","")</f>
        <v/>
      </c>
      <c r="I136" s="4" t="str">
        <f>HYPERLINK("http://141.218.60.56/~jnz1568/getInfo.php?workbook=02_02.xlsx&amp;sheet=A0&amp;row=136&amp;col=9&amp;number=13838000&amp;sourceID=15","13838000")</f>
        <v>13838000</v>
      </c>
      <c r="J136" s="4" t="str">
        <f>HYPERLINK("http://141.218.60.56/~jnz1568/getInfo.php?workbook=02_02.xlsx&amp;sheet=A0&amp;row=136&amp;col=10&amp;number=&amp;sourceID=15","")</f>
        <v/>
      </c>
      <c r="K136" s="4" t="str">
        <f>HYPERLINK("http://141.218.60.56/~jnz1568/getInfo.php?workbook=02_02.xlsx&amp;sheet=A0&amp;row=136&amp;col=11&amp;number=&amp;sourceID=15","")</f>
        <v/>
      </c>
      <c r="L136" s="4" t="str">
        <f>HYPERLINK("http://141.218.60.56/~jnz1568/getInfo.php?workbook=02_02.xlsx&amp;sheet=A0&amp;row=136&amp;col=12&amp;number=&amp;sourceID=15","")</f>
        <v/>
      </c>
      <c r="M136" s="4" t="str">
        <f>HYPERLINK("http://141.218.60.56/~jnz1568/getInfo.php?workbook=02_02.xlsx&amp;sheet=A0&amp;row=136&amp;col=13&amp;number=&amp;sourceID=23","")</f>
        <v/>
      </c>
    </row>
    <row r="137" spans="1:13">
      <c r="A137" s="3">
        <v>2</v>
      </c>
      <c r="B137" s="3">
        <v>2</v>
      </c>
      <c r="C137" s="3">
        <v>29</v>
      </c>
      <c r="D137" s="3">
        <v>2</v>
      </c>
      <c r="E137" s="3">
        <f>((1/(INDEX(E0!J$4:J$52,C137,1)-INDEX(E0!J$4:J$52,D137,1))))*100000000</f>
        <v>0</v>
      </c>
      <c r="F137" s="4" t="str">
        <f>HYPERLINK("http://141.218.60.56/~jnz1568/getInfo.php?workbook=02_02.xlsx&amp;sheet=A0&amp;row=137&amp;col=6&amp;number=&amp;sourceID=27","")</f>
        <v/>
      </c>
      <c r="G137" s="4" t="str">
        <f>HYPERLINK("http://141.218.60.56/~jnz1568/getInfo.php?workbook=02_02.xlsx&amp;sheet=A0&amp;row=137&amp;col=7&amp;number=&amp;sourceID=26","")</f>
        <v/>
      </c>
      <c r="H137" s="4" t="str">
        <f>HYPERLINK("http://141.218.60.56/~jnz1568/getInfo.php?workbook=02_02.xlsx&amp;sheet=A0&amp;row=137&amp;col=8&amp;number=&amp;sourceID=26","")</f>
        <v/>
      </c>
      <c r="I137" s="4" t="str">
        <f>HYPERLINK("http://141.218.60.56/~jnz1568/getInfo.php?workbook=02_02.xlsx&amp;sheet=A0&amp;row=137&amp;col=9&amp;number=&amp;sourceID=15","")</f>
        <v/>
      </c>
      <c r="J137" s="4" t="str">
        <f>HYPERLINK("http://141.218.60.56/~jnz1568/getInfo.php?workbook=02_02.xlsx&amp;sheet=A0&amp;row=137&amp;col=10&amp;number=&amp;sourceID=15","")</f>
        <v/>
      </c>
      <c r="K137" s="4" t="str">
        <f>HYPERLINK("http://141.218.60.56/~jnz1568/getInfo.php?workbook=02_02.xlsx&amp;sheet=A0&amp;row=137&amp;col=11&amp;number=&amp;sourceID=15","")</f>
        <v/>
      </c>
      <c r="L137" s="4" t="str">
        <f>HYPERLINK("http://141.218.60.56/~jnz1568/getInfo.php?workbook=02_02.xlsx&amp;sheet=A0&amp;row=137&amp;col=12&amp;number=&amp;sourceID=15","")</f>
        <v/>
      </c>
      <c r="M137" s="4" t="str">
        <f>HYPERLINK("http://141.218.60.56/~jnz1568/getInfo.php?workbook=02_02.xlsx&amp;sheet=A0&amp;row=137&amp;col=13&amp;number=6.3602e-08&amp;sourceID=23","6.3602e-08")</f>
        <v>6.3602e-08</v>
      </c>
    </row>
    <row r="138" spans="1:13">
      <c r="A138" s="3">
        <v>2</v>
      </c>
      <c r="B138" s="3">
        <v>2</v>
      </c>
      <c r="C138" s="3">
        <v>29</v>
      </c>
      <c r="D138" s="3">
        <v>8</v>
      </c>
      <c r="E138" s="3">
        <f>((1/(INDEX(E0!J$4:J$52,C138,1)-INDEX(E0!J$4:J$52,D138,1))))*100000000</f>
        <v>0</v>
      </c>
      <c r="F138" s="4" t="str">
        <f>HYPERLINK("http://141.218.60.56/~jnz1568/getInfo.php?workbook=02_02.xlsx&amp;sheet=A0&amp;row=138&amp;col=6&amp;number=&amp;sourceID=27","")</f>
        <v/>
      </c>
      <c r="G138" s="4" t="str">
        <f>HYPERLINK("http://141.218.60.56/~jnz1568/getInfo.php?workbook=02_02.xlsx&amp;sheet=A0&amp;row=138&amp;col=7&amp;number=&amp;sourceID=26","")</f>
        <v/>
      </c>
      <c r="H138" s="4" t="str">
        <f>HYPERLINK("http://141.218.60.56/~jnz1568/getInfo.php?workbook=02_02.xlsx&amp;sheet=A0&amp;row=138&amp;col=8&amp;number=&amp;sourceID=26","")</f>
        <v/>
      </c>
      <c r="I138" s="4" t="str">
        <f>HYPERLINK("http://141.218.60.56/~jnz1568/getInfo.php?workbook=02_02.xlsx&amp;sheet=A0&amp;row=138&amp;col=9&amp;number=&amp;sourceID=15","")</f>
        <v/>
      </c>
      <c r="J138" s="4" t="str">
        <f>HYPERLINK("http://141.218.60.56/~jnz1568/getInfo.php?workbook=02_02.xlsx&amp;sheet=A0&amp;row=138&amp;col=10&amp;number=&amp;sourceID=15","")</f>
        <v/>
      </c>
      <c r="K138" s="4" t="str">
        <f>HYPERLINK("http://141.218.60.56/~jnz1568/getInfo.php?workbook=02_02.xlsx&amp;sheet=A0&amp;row=138&amp;col=11&amp;number=&amp;sourceID=15","")</f>
        <v/>
      </c>
      <c r="L138" s="4" t="str">
        <f>HYPERLINK("http://141.218.60.56/~jnz1568/getInfo.php?workbook=02_02.xlsx&amp;sheet=A0&amp;row=138&amp;col=12&amp;number=&amp;sourceID=15","")</f>
        <v/>
      </c>
      <c r="M138" s="4" t="str">
        <f>HYPERLINK("http://141.218.60.56/~jnz1568/getInfo.php?workbook=02_02.xlsx&amp;sheet=A0&amp;row=138&amp;col=13&amp;number=2.1594e-07&amp;sourceID=23","2.1594e-07")</f>
        <v>2.1594e-07</v>
      </c>
    </row>
    <row r="139" spans="1:13">
      <c r="A139" s="3">
        <v>2</v>
      </c>
      <c r="B139" s="3">
        <v>2</v>
      </c>
      <c r="C139" s="3">
        <v>29</v>
      </c>
      <c r="D139" s="3">
        <v>13</v>
      </c>
      <c r="E139" s="3">
        <f>((1/(INDEX(E0!J$4:J$52,C139,1)-INDEX(E0!J$4:J$52,D139,1))))*100000000</f>
        <v>0</v>
      </c>
      <c r="F139" s="4" t="str">
        <f>HYPERLINK("http://141.218.60.56/~jnz1568/getInfo.php?workbook=02_02.xlsx&amp;sheet=A0&amp;row=139&amp;col=6&amp;number=&amp;sourceID=27","")</f>
        <v/>
      </c>
      <c r="G139" s="4" t="str">
        <f>HYPERLINK("http://141.218.60.56/~jnz1568/getInfo.php?workbook=02_02.xlsx&amp;sheet=A0&amp;row=139&amp;col=7&amp;number=&amp;sourceID=26","")</f>
        <v/>
      </c>
      <c r="H139" s="4" t="str">
        <f>HYPERLINK("http://141.218.60.56/~jnz1568/getInfo.php?workbook=02_02.xlsx&amp;sheet=A0&amp;row=139&amp;col=8&amp;number=&amp;sourceID=26","")</f>
        <v/>
      </c>
      <c r="I139" s="4" t="str">
        <f>HYPERLINK("http://141.218.60.56/~jnz1568/getInfo.php?workbook=02_02.xlsx&amp;sheet=A0&amp;row=139&amp;col=9&amp;number=61502&amp;sourceID=15","61502")</f>
        <v>61502</v>
      </c>
      <c r="J139" s="4" t="str">
        <f>HYPERLINK("http://141.218.60.56/~jnz1568/getInfo.php?workbook=02_02.xlsx&amp;sheet=A0&amp;row=139&amp;col=10&amp;number=&amp;sourceID=15","")</f>
        <v/>
      </c>
      <c r="K139" s="4" t="str">
        <f>HYPERLINK("http://141.218.60.56/~jnz1568/getInfo.php?workbook=02_02.xlsx&amp;sheet=A0&amp;row=139&amp;col=11&amp;number=&amp;sourceID=15","")</f>
        <v/>
      </c>
      <c r="L139" s="4" t="str">
        <f>HYPERLINK("http://141.218.60.56/~jnz1568/getInfo.php?workbook=02_02.xlsx&amp;sheet=A0&amp;row=139&amp;col=12&amp;number=&amp;sourceID=15","")</f>
        <v/>
      </c>
      <c r="M139" s="4" t="str">
        <f>HYPERLINK("http://141.218.60.56/~jnz1568/getInfo.php?workbook=02_02.xlsx&amp;sheet=A0&amp;row=139&amp;col=13&amp;number=61508&amp;sourceID=23","61508")</f>
        <v>61508</v>
      </c>
    </row>
    <row r="140" spans="1:13">
      <c r="A140" s="3">
        <v>2</v>
      </c>
      <c r="B140" s="3">
        <v>2</v>
      </c>
      <c r="C140" s="3">
        <v>29</v>
      </c>
      <c r="D140" s="3">
        <v>14</v>
      </c>
      <c r="E140" s="3">
        <f>((1/(INDEX(E0!J$4:J$52,C140,1)-INDEX(E0!J$4:J$52,D140,1))))*100000000</f>
        <v>0</v>
      </c>
      <c r="F140" s="4" t="str">
        <f>HYPERLINK("http://141.218.60.56/~jnz1568/getInfo.php?workbook=02_02.xlsx&amp;sheet=A0&amp;row=140&amp;col=6&amp;number=&amp;sourceID=27","")</f>
        <v/>
      </c>
      <c r="G140" s="4" t="str">
        <f>HYPERLINK("http://141.218.60.56/~jnz1568/getInfo.php?workbook=02_02.xlsx&amp;sheet=A0&amp;row=140&amp;col=7&amp;number=&amp;sourceID=26","")</f>
        <v/>
      </c>
      <c r="H140" s="4" t="str">
        <f>HYPERLINK("http://141.218.60.56/~jnz1568/getInfo.php?workbook=02_02.xlsx&amp;sheet=A0&amp;row=140&amp;col=8&amp;number=&amp;sourceID=26","")</f>
        <v/>
      </c>
      <c r="I140" s="4" t="str">
        <f>HYPERLINK("http://141.218.60.56/~jnz1568/getInfo.php?workbook=02_02.xlsx&amp;sheet=A0&amp;row=140&amp;col=9&amp;number=2152100&amp;sourceID=15","2152100")</f>
        <v>2152100</v>
      </c>
      <c r="J140" s="4" t="str">
        <f>HYPERLINK("http://141.218.60.56/~jnz1568/getInfo.php?workbook=02_02.xlsx&amp;sheet=A0&amp;row=140&amp;col=10&amp;number=&amp;sourceID=15","")</f>
        <v/>
      </c>
      <c r="K140" s="4" t="str">
        <f>HYPERLINK("http://141.218.60.56/~jnz1568/getInfo.php?workbook=02_02.xlsx&amp;sheet=A0&amp;row=140&amp;col=11&amp;number=&amp;sourceID=15","")</f>
        <v/>
      </c>
      <c r="L140" s="4" t="str">
        <f>HYPERLINK("http://141.218.60.56/~jnz1568/getInfo.php?workbook=02_02.xlsx&amp;sheet=A0&amp;row=140&amp;col=12&amp;number=&amp;sourceID=15","")</f>
        <v/>
      </c>
      <c r="M140" s="4" t="str">
        <f>HYPERLINK("http://141.218.60.56/~jnz1568/getInfo.php?workbook=02_02.xlsx&amp;sheet=A0&amp;row=140&amp;col=13&amp;number=2152200&amp;sourceID=23","2152200")</f>
        <v>2152200</v>
      </c>
    </row>
    <row r="141" spans="1:13">
      <c r="A141" s="3">
        <v>2</v>
      </c>
      <c r="B141" s="3">
        <v>2</v>
      </c>
      <c r="C141" s="3">
        <v>29</v>
      </c>
      <c r="D141" s="3">
        <v>15</v>
      </c>
      <c r="E141" s="3">
        <f>((1/(INDEX(E0!J$4:J$52,C141,1)-INDEX(E0!J$4:J$52,D141,1))))*100000000</f>
        <v>0</v>
      </c>
      <c r="F141" s="4" t="str">
        <f>HYPERLINK("http://141.218.60.56/~jnz1568/getInfo.php?workbook=02_02.xlsx&amp;sheet=A0&amp;row=141&amp;col=6&amp;number=&amp;sourceID=27","")</f>
        <v/>
      </c>
      <c r="G141" s="4" t="str">
        <f>HYPERLINK("http://141.218.60.56/~jnz1568/getInfo.php?workbook=02_02.xlsx&amp;sheet=A0&amp;row=141&amp;col=7&amp;number=&amp;sourceID=26","")</f>
        <v/>
      </c>
      <c r="H141" s="4" t="str">
        <f>HYPERLINK("http://141.218.60.56/~jnz1568/getInfo.php?workbook=02_02.xlsx&amp;sheet=A0&amp;row=141&amp;col=8&amp;number=&amp;sourceID=26","")</f>
        <v/>
      </c>
      <c r="I141" s="4" t="str">
        <f>HYPERLINK("http://141.218.60.56/~jnz1568/getInfo.php?workbook=02_02.xlsx&amp;sheet=A0&amp;row=141&amp;col=9&amp;number=11624000&amp;sourceID=15","11624000")</f>
        <v>11624000</v>
      </c>
      <c r="J141" s="4" t="str">
        <f>HYPERLINK("http://141.218.60.56/~jnz1568/getInfo.php?workbook=02_02.xlsx&amp;sheet=A0&amp;row=141&amp;col=10&amp;number=&amp;sourceID=15","")</f>
        <v/>
      </c>
      <c r="K141" s="4" t="str">
        <f>HYPERLINK("http://141.218.60.56/~jnz1568/getInfo.php?workbook=02_02.xlsx&amp;sheet=A0&amp;row=141&amp;col=11&amp;number=&amp;sourceID=15","")</f>
        <v/>
      </c>
      <c r="L141" s="4" t="str">
        <f>HYPERLINK("http://141.218.60.56/~jnz1568/getInfo.php?workbook=02_02.xlsx&amp;sheet=A0&amp;row=141&amp;col=12&amp;number=&amp;sourceID=15","")</f>
        <v/>
      </c>
      <c r="M141" s="4" t="str">
        <f>HYPERLINK("http://141.218.60.56/~jnz1568/getInfo.php?workbook=02_02.xlsx&amp;sheet=A0&amp;row=141&amp;col=13&amp;number=11625000&amp;sourceID=23","11625000")</f>
        <v>11625000</v>
      </c>
    </row>
    <row r="142" spans="1:13">
      <c r="A142" s="3">
        <v>2</v>
      </c>
      <c r="B142" s="3">
        <v>2</v>
      </c>
      <c r="C142" s="3">
        <v>29</v>
      </c>
      <c r="D142" s="3">
        <v>16</v>
      </c>
      <c r="E142" s="3">
        <f>((1/(INDEX(E0!J$4:J$52,C142,1)-INDEX(E0!J$4:J$52,D142,1))))*100000000</f>
        <v>0</v>
      </c>
      <c r="F142" s="4" t="str">
        <f>HYPERLINK("http://141.218.60.56/~jnz1568/getInfo.php?workbook=02_02.xlsx&amp;sheet=A0&amp;row=142&amp;col=6&amp;number=&amp;sourceID=27","")</f>
        <v/>
      </c>
      <c r="G142" s="4" t="str">
        <f>HYPERLINK("http://141.218.60.56/~jnz1568/getInfo.php?workbook=02_02.xlsx&amp;sheet=A0&amp;row=142&amp;col=7&amp;number=&amp;sourceID=26","")</f>
        <v/>
      </c>
      <c r="H142" s="4" t="str">
        <f>HYPERLINK("http://141.218.60.56/~jnz1568/getInfo.php?workbook=02_02.xlsx&amp;sheet=A0&amp;row=142&amp;col=8&amp;number=&amp;sourceID=26","")</f>
        <v/>
      </c>
      <c r="I142" s="4" t="str">
        <f>HYPERLINK("http://141.218.60.56/~jnz1568/getInfo.php?workbook=02_02.xlsx&amp;sheet=A0&amp;row=142&amp;col=9&amp;number=523.5&amp;sourceID=15","523.5")</f>
        <v>523.5</v>
      </c>
      <c r="J142" s="4" t="str">
        <f>HYPERLINK("http://141.218.60.56/~jnz1568/getInfo.php?workbook=02_02.xlsx&amp;sheet=A0&amp;row=142&amp;col=10&amp;number=&amp;sourceID=15","")</f>
        <v/>
      </c>
      <c r="K142" s="4" t="str">
        <f>HYPERLINK("http://141.218.60.56/~jnz1568/getInfo.php?workbook=02_02.xlsx&amp;sheet=A0&amp;row=142&amp;col=11&amp;number=&amp;sourceID=15","")</f>
        <v/>
      </c>
      <c r="L142" s="4" t="str">
        <f>HYPERLINK("http://141.218.60.56/~jnz1568/getInfo.php?workbook=02_02.xlsx&amp;sheet=A0&amp;row=142&amp;col=12&amp;number=&amp;sourceID=15","")</f>
        <v/>
      </c>
      <c r="M142" s="4" t="str">
        <f>HYPERLINK("http://141.218.60.56/~jnz1568/getInfo.php?workbook=02_02.xlsx&amp;sheet=A0&amp;row=142&amp;col=13&amp;number=530.74&amp;sourceID=23","530.74")</f>
        <v>530.74</v>
      </c>
    </row>
    <row r="143" spans="1:13">
      <c r="A143" s="3">
        <v>2</v>
      </c>
      <c r="B143" s="3">
        <v>2</v>
      </c>
      <c r="C143" s="3">
        <v>29</v>
      </c>
      <c r="D143" s="3">
        <v>18</v>
      </c>
      <c r="E143" s="3">
        <f>((1/(INDEX(E0!J$4:J$52,C143,1)-INDEX(E0!J$4:J$52,D143,1))))*100000000</f>
        <v>0</v>
      </c>
      <c r="F143" s="4" t="str">
        <f>HYPERLINK("http://141.218.60.56/~jnz1568/getInfo.php?workbook=02_02.xlsx&amp;sheet=A0&amp;row=143&amp;col=6&amp;number=&amp;sourceID=27","")</f>
        <v/>
      </c>
      <c r="G143" s="4" t="str">
        <f>HYPERLINK("http://141.218.60.56/~jnz1568/getInfo.php?workbook=02_02.xlsx&amp;sheet=A0&amp;row=143&amp;col=7&amp;number=&amp;sourceID=26","")</f>
        <v/>
      </c>
      <c r="H143" s="4" t="str">
        <f>HYPERLINK("http://141.218.60.56/~jnz1568/getInfo.php?workbook=02_02.xlsx&amp;sheet=A0&amp;row=143&amp;col=8&amp;number=&amp;sourceID=26","")</f>
        <v/>
      </c>
      <c r="I143" s="4" t="str">
        <f>HYPERLINK("http://141.218.60.56/~jnz1568/getInfo.php?workbook=02_02.xlsx&amp;sheet=A0&amp;row=143&amp;col=9&amp;number=&amp;sourceID=15","")</f>
        <v/>
      </c>
      <c r="J143" s="4" t="str">
        <f>HYPERLINK("http://141.218.60.56/~jnz1568/getInfo.php?workbook=02_02.xlsx&amp;sheet=A0&amp;row=143&amp;col=10&amp;number=&amp;sourceID=15","")</f>
        <v/>
      </c>
      <c r="K143" s="4" t="str">
        <f>HYPERLINK("http://141.218.60.56/~jnz1568/getInfo.php?workbook=02_02.xlsx&amp;sheet=A0&amp;row=143&amp;col=11&amp;number=&amp;sourceID=15","")</f>
        <v/>
      </c>
      <c r="L143" s="4" t="str">
        <f>HYPERLINK("http://141.218.60.56/~jnz1568/getInfo.php?workbook=02_02.xlsx&amp;sheet=A0&amp;row=143&amp;col=12&amp;number=&amp;sourceID=15","")</f>
        <v/>
      </c>
      <c r="M143" s="4" t="str">
        <f>HYPERLINK("http://141.218.60.56/~jnz1568/getInfo.php?workbook=02_02.xlsx&amp;sheet=A0&amp;row=143&amp;col=13&amp;number=9.2938e-09&amp;sourceID=23","9.2938e-09")</f>
        <v>9.2938e-09</v>
      </c>
    </row>
    <row r="144" spans="1:13">
      <c r="A144" s="3">
        <v>2</v>
      </c>
      <c r="B144" s="3">
        <v>2</v>
      </c>
      <c r="C144" s="3">
        <v>29</v>
      </c>
      <c r="D144" s="3">
        <v>23</v>
      </c>
      <c r="E144" s="3">
        <f>((1/(INDEX(E0!J$4:J$52,C144,1)-INDEX(E0!J$4:J$52,D144,1))))*100000000</f>
        <v>0</v>
      </c>
      <c r="F144" s="4" t="str">
        <f>HYPERLINK("http://141.218.60.56/~jnz1568/getInfo.php?workbook=02_02.xlsx&amp;sheet=A0&amp;row=144&amp;col=6&amp;number=&amp;sourceID=27","")</f>
        <v/>
      </c>
      <c r="G144" s="4" t="str">
        <f>HYPERLINK("http://141.218.60.56/~jnz1568/getInfo.php?workbook=02_02.xlsx&amp;sheet=A0&amp;row=144&amp;col=7&amp;number=&amp;sourceID=26","")</f>
        <v/>
      </c>
      <c r="H144" s="4" t="str">
        <f>HYPERLINK("http://141.218.60.56/~jnz1568/getInfo.php?workbook=02_02.xlsx&amp;sheet=A0&amp;row=144&amp;col=8&amp;number=&amp;sourceID=26","")</f>
        <v/>
      </c>
      <c r="I144" s="4" t="str">
        <f>HYPERLINK("http://141.218.60.56/~jnz1568/getInfo.php?workbook=02_02.xlsx&amp;sheet=A0&amp;row=144&amp;col=9&amp;number=&amp;sourceID=15","")</f>
        <v/>
      </c>
      <c r="J144" s="4" t="str">
        <f>HYPERLINK("http://141.218.60.56/~jnz1568/getInfo.php?workbook=02_02.xlsx&amp;sheet=A0&amp;row=144&amp;col=10&amp;number=&amp;sourceID=15","")</f>
        <v/>
      </c>
      <c r="K144" s="4" t="str">
        <f>HYPERLINK("http://141.218.60.56/~jnz1568/getInfo.php?workbook=02_02.xlsx&amp;sheet=A0&amp;row=144&amp;col=11&amp;number=&amp;sourceID=15","")</f>
        <v/>
      </c>
      <c r="L144" s="4" t="str">
        <f>HYPERLINK("http://141.218.60.56/~jnz1568/getInfo.php?workbook=02_02.xlsx&amp;sheet=A0&amp;row=144&amp;col=12&amp;number=&amp;sourceID=15","")</f>
        <v/>
      </c>
      <c r="M144" s="4" t="str">
        <f>HYPERLINK("http://141.218.60.56/~jnz1568/getInfo.php?workbook=02_02.xlsx&amp;sheet=A0&amp;row=144&amp;col=13&amp;number=0.0003166&amp;sourceID=23","0.0003166")</f>
        <v>0.0003166</v>
      </c>
    </row>
    <row r="145" spans="1:13">
      <c r="A145" s="3">
        <v>2</v>
      </c>
      <c r="B145" s="3">
        <v>2</v>
      </c>
      <c r="C145" s="3">
        <v>29</v>
      </c>
      <c r="D145" s="3">
        <v>24</v>
      </c>
      <c r="E145" s="3">
        <f>((1/(INDEX(E0!J$4:J$52,C145,1)-INDEX(E0!J$4:J$52,D145,1))))*100000000</f>
        <v>0</v>
      </c>
      <c r="F145" s="4" t="str">
        <f>HYPERLINK("http://141.218.60.56/~jnz1568/getInfo.php?workbook=02_02.xlsx&amp;sheet=A0&amp;row=145&amp;col=6&amp;number=&amp;sourceID=27","")</f>
        <v/>
      </c>
      <c r="G145" s="4" t="str">
        <f>HYPERLINK("http://141.218.60.56/~jnz1568/getInfo.php?workbook=02_02.xlsx&amp;sheet=A0&amp;row=145&amp;col=7&amp;number=&amp;sourceID=26","")</f>
        <v/>
      </c>
      <c r="H145" s="4" t="str">
        <f>HYPERLINK("http://141.218.60.56/~jnz1568/getInfo.php?workbook=02_02.xlsx&amp;sheet=A0&amp;row=145&amp;col=8&amp;number=&amp;sourceID=26","")</f>
        <v/>
      </c>
      <c r="I145" s="4" t="str">
        <f>HYPERLINK("http://141.218.60.56/~jnz1568/getInfo.php?workbook=02_02.xlsx&amp;sheet=A0&amp;row=145&amp;col=9&amp;number=&amp;sourceID=15","")</f>
        <v/>
      </c>
      <c r="J145" s="4" t="str">
        <f>HYPERLINK("http://141.218.60.56/~jnz1568/getInfo.php?workbook=02_02.xlsx&amp;sheet=A0&amp;row=145&amp;col=10&amp;number=&amp;sourceID=15","")</f>
        <v/>
      </c>
      <c r="K145" s="4" t="str">
        <f>HYPERLINK("http://141.218.60.56/~jnz1568/getInfo.php?workbook=02_02.xlsx&amp;sheet=A0&amp;row=145&amp;col=11&amp;number=&amp;sourceID=15","")</f>
        <v/>
      </c>
      <c r="L145" s="4" t="str">
        <f>HYPERLINK("http://141.218.60.56/~jnz1568/getInfo.php?workbook=02_02.xlsx&amp;sheet=A0&amp;row=145&amp;col=12&amp;number=&amp;sourceID=15","")</f>
        <v/>
      </c>
      <c r="M145" s="4" t="str">
        <f>HYPERLINK("http://141.218.60.56/~jnz1568/getInfo.php?workbook=02_02.xlsx&amp;sheet=A0&amp;row=145&amp;col=13&amp;number=0.011069&amp;sourceID=23","0.011069")</f>
        <v>0.011069</v>
      </c>
    </row>
    <row r="146" spans="1:13">
      <c r="A146" s="3">
        <v>2</v>
      </c>
      <c r="B146" s="3">
        <v>2</v>
      </c>
      <c r="C146" s="3">
        <v>29</v>
      </c>
      <c r="D146" s="3">
        <v>25</v>
      </c>
      <c r="E146" s="3">
        <f>((1/(INDEX(E0!J$4:J$52,C146,1)-INDEX(E0!J$4:J$52,D146,1))))*100000000</f>
        <v>0</v>
      </c>
      <c r="F146" s="4" t="str">
        <f>HYPERLINK("http://141.218.60.56/~jnz1568/getInfo.php?workbook=02_02.xlsx&amp;sheet=A0&amp;row=146&amp;col=6&amp;number=&amp;sourceID=27","")</f>
        <v/>
      </c>
      <c r="G146" s="4" t="str">
        <f>HYPERLINK("http://141.218.60.56/~jnz1568/getInfo.php?workbook=02_02.xlsx&amp;sheet=A0&amp;row=146&amp;col=7&amp;number=&amp;sourceID=26","")</f>
        <v/>
      </c>
      <c r="H146" s="4" t="str">
        <f>HYPERLINK("http://141.218.60.56/~jnz1568/getInfo.php?workbook=02_02.xlsx&amp;sheet=A0&amp;row=146&amp;col=8&amp;number=&amp;sourceID=26","")</f>
        <v/>
      </c>
      <c r="I146" s="4" t="str">
        <f>HYPERLINK("http://141.218.60.56/~jnz1568/getInfo.php?workbook=02_02.xlsx&amp;sheet=A0&amp;row=146&amp;col=9&amp;number=&amp;sourceID=15","")</f>
        <v/>
      </c>
      <c r="J146" s="4" t="str">
        <f>HYPERLINK("http://141.218.60.56/~jnz1568/getInfo.php?workbook=02_02.xlsx&amp;sheet=A0&amp;row=146&amp;col=10&amp;number=&amp;sourceID=15","")</f>
        <v/>
      </c>
      <c r="K146" s="4" t="str">
        <f>HYPERLINK("http://141.218.60.56/~jnz1568/getInfo.php?workbook=02_02.xlsx&amp;sheet=A0&amp;row=146&amp;col=11&amp;number=&amp;sourceID=15","")</f>
        <v/>
      </c>
      <c r="L146" s="4" t="str">
        <f>HYPERLINK("http://141.218.60.56/~jnz1568/getInfo.php?workbook=02_02.xlsx&amp;sheet=A0&amp;row=146&amp;col=12&amp;number=&amp;sourceID=15","")</f>
        <v/>
      </c>
      <c r="M146" s="4" t="str">
        <f>HYPERLINK("http://141.218.60.56/~jnz1568/getInfo.php?workbook=02_02.xlsx&amp;sheet=A0&amp;row=146&amp;col=13&amp;number=0.059267&amp;sourceID=23","0.059267")</f>
        <v>0.059267</v>
      </c>
    </row>
    <row r="147" spans="1:13">
      <c r="A147" s="3">
        <v>2</v>
      </c>
      <c r="B147" s="3">
        <v>2</v>
      </c>
      <c r="C147" s="3">
        <v>29</v>
      </c>
      <c r="D147" s="3">
        <v>26</v>
      </c>
      <c r="E147" s="3">
        <f>((1/(INDEX(E0!J$4:J$52,C147,1)-INDEX(E0!J$4:J$52,D147,1))))*100000000</f>
        <v>0</v>
      </c>
      <c r="F147" s="4" t="str">
        <f>HYPERLINK("http://141.218.60.56/~jnz1568/getInfo.php?workbook=02_02.xlsx&amp;sheet=A0&amp;row=147&amp;col=6&amp;number=&amp;sourceID=27","")</f>
        <v/>
      </c>
      <c r="G147" s="4" t="str">
        <f>HYPERLINK("http://141.218.60.56/~jnz1568/getInfo.php?workbook=02_02.xlsx&amp;sheet=A0&amp;row=147&amp;col=7&amp;number=&amp;sourceID=26","")</f>
        <v/>
      </c>
      <c r="H147" s="4" t="str">
        <f>HYPERLINK("http://141.218.60.56/~jnz1568/getInfo.php?workbook=02_02.xlsx&amp;sheet=A0&amp;row=147&amp;col=8&amp;number=&amp;sourceID=26","")</f>
        <v/>
      </c>
      <c r="I147" s="4" t="str">
        <f>HYPERLINK("http://141.218.60.56/~jnz1568/getInfo.php?workbook=02_02.xlsx&amp;sheet=A0&amp;row=147&amp;col=9&amp;number=&amp;sourceID=15","")</f>
        <v/>
      </c>
      <c r="J147" s="4" t="str">
        <f>HYPERLINK("http://141.218.60.56/~jnz1568/getInfo.php?workbook=02_02.xlsx&amp;sheet=A0&amp;row=147&amp;col=10&amp;number=&amp;sourceID=15","")</f>
        <v/>
      </c>
      <c r="K147" s="4" t="str">
        <f>HYPERLINK("http://141.218.60.56/~jnz1568/getInfo.php?workbook=02_02.xlsx&amp;sheet=A0&amp;row=147&amp;col=11&amp;number=&amp;sourceID=15","")</f>
        <v/>
      </c>
      <c r="L147" s="4" t="str">
        <f>HYPERLINK("http://141.218.60.56/~jnz1568/getInfo.php?workbook=02_02.xlsx&amp;sheet=A0&amp;row=147&amp;col=12&amp;number=&amp;sourceID=15","")</f>
        <v/>
      </c>
      <c r="M147" s="4" t="str">
        <f>HYPERLINK("http://141.218.60.56/~jnz1568/getInfo.php?workbook=02_02.xlsx&amp;sheet=A0&amp;row=147&amp;col=13&amp;number=5.4621e-07&amp;sourceID=23","5.4621e-07")</f>
        <v>5.4621e-07</v>
      </c>
    </row>
    <row r="148" spans="1:13">
      <c r="A148" s="3">
        <v>2</v>
      </c>
      <c r="B148" s="3">
        <v>2</v>
      </c>
      <c r="C148" s="3">
        <v>30</v>
      </c>
      <c r="D148" s="3">
        <v>7</v>
      </c>
      <c r="E148" s="3">
        <f>((1/(INDEX(E0!J$4:J$52,C148,1)-INDEX(E0!J$4:J$52,D148,1))))*100000000</f>
        <v>0</v>
      </c>
      <c r="F148" s="4" t="str">
        <f>HYPERLINK("http://141.218.60.56/~jnz1568/getInfo.php?workbook=02_02.xlsx&amp;sheet=A0&amp;row=148&amp;col=6&amp;number=&amp;sourceID=27","")</f>
        <v/>
      </c>
      <c r="G148" s="4" t="str">
        <f>HYPERLINK("http://141.218.60.56/~jnz1568/getInfo.php?workbook=02_02.xlsx&amp;sheet=A0&amp;row=148&amp;col=7&amp;number=&amp;sourceID=26","")</f>
        <v/>
      </c>
      <c r="H148" s="4" t="str">
        <f>HYPERLINK("http://141.218.60.56/~jnz1568/getInfo.php?workbook=02_02.xlsx&amp;sheet=A0&amp;row=148&amp;col=8&amp;number=&amp;sourceID=26","")</f>
        <v/>
      </c>
      <c r="I148" s="4" t="str">
        <f>HYPERLINK("http://141.218.60.56/~jnz1568/getInfo.php?workbook=02_02.xlsx&amp;sheet=A0&amp;row=148&amp;col=9&amp;number=&amp;sourceID=15","")</f>
        <v/>
      </c>
      <c r="J148" s="4" t="str">
        <f>HYPERLINK("http://141.218.60.56/~jnz1568/getInfo.php?workbook=02_02.xlsx&amp;sheet=A0&amp;row=148&amp;col=10&amp;number=62.19&amp;sourceID=15","62.19")</f>
        <v>62.19</v>
      </c>
      <c r="K148" s="4" t="str">
        <f>HYPERLINK("http://141.218.60.56/~jnz1568/getInfo.php?workbook=02_02.xlsx&amp;sheet=A0&amp;row=148&amp;col=11&amp;number=&amp;sourceID=15","")</f>
        <v/>
      </c>
      <c r="L148" s="4" t="str">
        <f>HYPERLINK("http://141.218.60.56/~jnz1568/getInfo.php?workbook=02_02.xlsx&amp;sheet=A0&amp;row=148&amp;col=12&amp;number=&amp;sourceID=15","")</f>
        <v/>
      </c>
      <c r="M148" s="4" t="str">
        <f>HYPERLINK("http://141.218.60.56/~jnz1568/getInfo.php?workbook=02_02.xlsx&amp;sheet=A0&amp;row=148&amp;col=13&amp;number=&amp;sourceID=23","")</f>
        <v/>
      </c>
    </row>
    <row r="149" spans="1:13">
      <c r="A149" s="3">
        <v>2</v>
      </c>
      <c r="B149" s="3">
        <v>2</v>
      </c>
      <c r="C149" s="3">
        <v>30</v>
      </c>
      <c r="D149" s="3">
        <v>13</v>
      </c>
      <c r="E149" s="3">
        <f>((1/(INDEX(E0!J$4:J$52,C149,1)-INDEX(E0!J$4:J$52,D149,1))))*100000000</f>
        <v>0</v>
      </c>
      <c r="F149" s="4" t="str">
        <f>HYPERLINK("http://141.218.60.56/~jnz1568/getInfo.php?workbook=02_02.xlsx&amp;sheet=A0&amp;row=149&amp;col=6&amp;number=&amp;sourceID=27","")</f>
        <v/>
      </c>
      <c r="G149" s="4" t="str">
        <f>HYPERLINK("http://141.218.60.56/~jnz1568/getInfo.php?workbook=02_02.xlsx&amp;sheet=A0&amp;row=149&amp;col=7&amp;number=&amp;sourceID=26","")</f>
        <v/>
      </c>
      <c r="H149" s="4" t="str">
        <f>HYPERLINK("http://141.218.60.56/~jnz1568/getInfo.php?workbook=02_02.xlsx&amp;sheet=A0&amp;row=149&amp;col=8&amp;number=&amp;sourceID=26","")</f>
        <v/>
      </c>
      <c r="I149" s="4" t="str">
        <f>HYPERLINK("http://141.218.60.56/~jnz1568/getInfo.php?workbook=02_02.xlsx&amp;sheet=A0&amp;row=149&amp;col=9&amp;number=561100&amp;sourceID=15","561100")</f>
        <v>561100</v>
      </c>
      <c r="J149" s="4" t="str">
        <f>HYPERLINK("http://141.218.60.56/~jnz1568/getInfo.php?workbook=02_02.xlsx&amp;sheet=A0&amp;row=149&amp;col=10&amp;number=&amp;sourceID=15","")</f>
        <v/>
      </c>
      <c r="K149" s="4" t="str">
        <f>HYPERLINK("http://141.218.60.56/~jnz1568/getInfo.php?workbook=02_02.xlsx&amp;sheet=A0&amp;row=149&amp;col=11&amp;number=&amp;sourceID=15","")</f>
        <v/>
      </c>
      <c r="L149" s="4" t="str">
        <f>HYPERLINK("http://141.218.60.56/~jnz1568/getInfo.php?workbook=02_02.xlsx&amp;sheet=A0&amp;row=149&amp;col=12&amp;number=&amp;sourceID=15","")</f>
        <v/>
      </c>
      <c r="M149" s="4" t="str">
        <f>HYPERLINK("http://141.218.60.56/~jnz1568/getInfo.php?workbook=02_02.xlsx&amp;sheet=A0&amp;row=149&amp;col=13&amp;number=&amp;sourceID=23","")</f>
        <v/>
      </c>
    </row>
    <row r="150" spans="1:13">
      <c r="A150" s="3">
        <v>2</v>
      </c>
      <c r="B150" s="3">
        <v>2</v>
      </c>
      <c r="C150" s="3">
        <v>30</v>
      </c>
      <c r="D150" s="3">
        <v>14</v>
      </c>
      <c r="E150" s="3">
        <f>((1/(INDEX(E0!J$4:J$52,C150,1)-INDEX(E0!J$4:J$52,D150,1))))*100000000</f>
        <v>0</v>
      </c>
      <c r="F150" s="4" t="str">
        <f>HYPERLINK("http://141.218.60.56/~jnz1568/getInfo.php?workbook=02_02.xlsx&amp;sheet=A0&amp;row=150&amp;col=6&amp;number=&amp;sourceID=27","")</f>
        <v/>
      </c>
      <c r="G150" s="4" t="str">
        <f>HYPERLINK("http://141.218.60.56/~jnz1568/getInfo.php?workbook=02_02.xlsx&amp;sheet=A0&amp;row=150&amp;col=7&amp;number=&amp;sourceID=26","")</f>
        <v/>
      </c>
      <c r="H150" s="4" t="str">
        <f>HYPERLINK("http://141.218.60.56/~jnz1568/getInfo.php?workbook=02_02.xlsx&amp;sheet=A0&amp;row=150&amp;col=8&amp;number=&amp;sourceID=26","")</f>
        <v/>
      </c>
      <c r="I150" s="4" t="str">
        <f>HYPERLINK("http://141.218.60.56/~jnz1568/getInfo.php?workbook=02_02.xlsx&amp;sheet=A0&amp;row=150&amp;col=9&amp;number=4294000&amp;sourceID=15","4294000")</f>
        <v>4294000</v>
      </c>
      <c r="J150" s="4" t="str">
        <f>HYPERLINK("http://141.218.60.56/~jnz1568/getInfo.php?workbook=02_02.xlsx&amp;sheet=A0&amp;row=150&amp;col=10&amp;number=&amp;sourceID=15","")</f>
        <v/>
      </c>
      <c r="K150" s="4" t="str">
        <f>HYPERLINK("http://141.218.60.56/~jnz1568/getInfo.php?workbook=02_02.xlsx&amp;sheet=A0&amp;row=150&amp;col=11&amp;number=&amp;sourceID=15","")</f>
        <v/>
      </c>
      <c r="L150" s="4" t="str">
        <f>HYPERLINK("http://141.218.60.56/~jnz1568/getInfo.php?workbook=02_02.xlsx&amp;sheet=A0&amp;row=150&amp;col=12&amp;number=&amp;sourceID=15","")</f>
        <v/>
      </c>
      <c r="M150" s="4" t="str">
        <f>HYPERLINK("http://141.218.60.56/~jnz1568/getInfo.php?workbook=02_02.xlsx&amp;sheet=A0&amp;row=150&amp;col=13&amp;number=&amp;sourceID=23","")</f>
        <v/>
      </c>
    </row>
    <row r="151" spans="1:13">
      <c r="A151" s="3">
        <v>2</v>
      </c>
      <c r="B151" s="3">
        <v>2</v>
      </c>
      <c r="C151" s="3">
        <v>30</v>
      </c>
      <c r="D151" s="3">
        <v>16</v>
      </c>
      <c r="E151" s="3">
        <f>((1/(INDEX(E0!J$4:J$52,C151,1)-INDEX(E0!J$4:J$52,D151,1))))*100000000</f>
        <v>0</v>
      </c>
      <c r="F151" s="4" t="str">
        <f>HYPERLINK("http://141.218.60.56/~jnz1568/getInfo.php?workbook=02_02.xlsx&amp;sheet=A0&amp;row=151&amp;col=6&amp;number=&amp;sourceID=27","")</f>
        <v/>
      </c>
      <c r="G151" s="4" t="str">
        <f>HYPERLINK("http://141.218.60.56/~jnz1568/getInfo.php?workbook=02_02.xlsx&amp;sheet=A0&amp;row=151&amp;col=7&amp;number=&amp;sourceID=26","")</f>
        <v/>
      </c>
      <c r="H151" s="4" t="str">
        <f>HYPERLINK("http://141.218.60.56/~jnz1568/getInfo.php?workbook=02_02.xlsx&amp;sheet=A0&amp;row=151&amp;col=8&amp;number=&amp;sourceID=26","")</f>
        <v/>
      </c>
      <c r="I151" s="4" t="str">
        <f>HYPERLINK("http://141.218.60.56/~jnz1568/getInfo.php?workbook=02_02.xlsx&amp;sheet=A0&amp;row=151&amp;col=9&amp;number=8978000&amp;sourceID=15","8978000")</f>
        <v>8978000</v>
      </c>
      <c r="J151" s="4" t="str">
        <f>HYPERLINK("http://141.218.60.56/~jnz1568/getInfo.php?workbook=02_02.xlsx&amp;sheet=A0&amp;row=151&amp;col=10&amp;number=&amp;sourceID=15","")</f>
        <v/>
      </c>
      <c r="K151" s="4" t="str">
        <f>HYPERLINK("http://141.218.60.56/~jnz1568/getInfo.php?workbook=02_02.xlsx&amp;sheet=A0&amp;row=151&amp;col=11&amp;number=&amp;sourceID=15","")</f>
        <v/>
      </c>
      <c r="L151" s="4" t="str">
        <f>HYPERLINK("http://141.218.60.56/~jnz1568/getInfo.php?workbook=02_02.xlsx&amp;sheet=A0&amp;row=151&amp;col=12&amp;number=&amp;sourceID=15","")</f>
        <v/>
      </c>
      <c r="M151" s="4" t="str">
        <f>HYPERLINK("http://141.218.60.56/~jnz1568/getInfo.php?workbook=02_02.xlsx&amp;sheet=A0&amp;row=151&amp;col=13&amp;number=&amp;sourceID=23","")</f>
        <v/>
      </c>
    </row>
    <row r="152" spans="1:13">
      <c r="A152" s="3">
        <v>2</v>
      </c>
      <c r="B152" s="3">
        <v>2</v>
      </c>
      <c r="C152" s="3">
        <v>31</v>
      </c>
      <c r="D152" s="3">
        <v>1</v>
      </c>
      <c r="E152" s="3">
        <f>((1/(INDEX(E0!J$4:J$52,C152,1)-INDEX(E0!J$4:J$52,D152,1))))*100000000</f>
        <v>0</v>
      </c>
      <c r="F152" s="4" t="str">
        <f>HYPERLINK("http://141.218.60.56/~jnz1568/getInfo.php?workbook=02_02.xlsx&amp;sheet=A0&amp;row=152&amp;col=6&amp;number=&amp;sourceID=27","")</f>
        <v/>
      </c>
      <c r="G152" s="4" t="str">
        <f>HYPERLINK("http://141.218.60.56/~jnz1568/getInfo.php?workbook=02_02.xlsx&amp;sheet=A0&amp;row=152&amp;col=7&amp;number=&amp;sourceID=26","")</f>
        <v/>
      </c>
      <c r="H152" s="4" t="str">
        <f>HYPERLINK("http://141.218.60.56/~jnz1568/getInfo.php?workbook=02_02.xlsx&amp;sheet=A0&amp;row=152&amp;col=8&amp;number=&amp;sourceID=26","")</f>
        <v/>
      </c>
      <c r="I152" s="4" t="str">
        <f>HYPERLINK("http://141.218.60.56/~jnz1568/getInfo.php?workbook=02_02.xlsx&amp;sheet=A0&amp;row=152&amp;col=9&amp;number=243560000&amp;sourceID=15","243560000")</f>
        <v>243560000</v>
      </c>
      <c r="J152" s="4" t="str">
        <f>HYPERLINK("http://141.218.60.56/~jnz1568/getInfo.php?workbook=02_02.xlsx&amp;sheet=A0&amp;row=152&amp;col=10&amp;number=&amp;sourceID=15","")</f>
        <v/>
      </c>
      <c r="K152" s="4" t="str">
        <f>HYPERLINK("http://141.218.60.56/~jnz1568/getInfo.php?workbook=02_02.xlsx&amp;sheet=A0&amp;row=152&amp;col=11&amp;number=&amp;sourceID=15","")</f>
        <v/>
      </c>
      <c r="L152" s="4" t="str">
        <f>HYPERLINK("http://141.218.60.56/~jnz1568/getInfo.php?workbook=02_02.xlsx&amp;sheet=A0&amp;row=152&amp;col=12&amp;number=&amp;sourceID=15","")</f>
        <v/>
      </c>
      <c r="M152" s="4" t="str">
        <f>HYPERLINK("http://141.218.60.56/~jnz1568/getInfo.php?workbook=02_02.xlsx&amp;sheet=A0&amp;row=152&amp;col=13&amp;number=243370000&amp;sourceID=23","243370000")</f>
        <v>243370000</v>
      </c>
    </row>
    <row r="153" spans="1:13">
      <c r="A153" s="3">
        <v>2</v>
      </c>
      <c r="B153" s="3">
        <v>2</v>
      </c>
      <c r="C153" s="3">
        <v>31</v>
      </c>
      <c r="D153" s="3">
        <v>2</v>
      </c>
      <c r="E153" s="3">
        <f>((1/(INDEX(E0!J$4:J$52,C153,1)-INDEX(E0!J$4:J$52,D153,1))))*100000000</f>
        <v>0</v>
      </c>
      <c r="F153" s="4" t="str">
        <f>HYPERLINK("http://141.218.60.56/~jnz1568/getInfo.php?workbook=02_02.xlsx&amp;sheet=A0&amp;row=153&amp;col=6&amp;number=&amp;sourceID=27","")</f>
        <v/>
      </c>
      <c r="G153" s="4" t="str">
        <f>HYPERLINK("http://141.218.60.56/~jnz1568/getInfo.php?workbook=02_02.xlsx&amp;sheet=A0&amp;row=153&amp;col=7&amp;number=&amp;sourceID=26","")</f>
        <v/>
      </c>
      <c r="H153" s="4" t="str">
        <f>HYPERLINK("http://141.218.60.56/~jnz1568/getInfo.php?workbook=02_02.xlsx&amp;sheet=A0&amp;row=153&amp;col=8&amp;number=&amp;sourceID=26","")</f>
        <v/>
      </c>
      <c r="I153" s="4" t="str">
        <f>HYPERLINK("http://141.218.60.56/~jnz1568/getInfo.php?workbook=02_02.xlsx&amp;sheet=A0&amp;row=153&amp;col=9&amp;number=&amp;sourceID=15","")</f>
        <v/>
      </c>
      <c r="J153" s="4" t="str">
        <f>HYPERLINK("http://141.218.60.56/~jnz1568/getInfo.php?workbook=02_02.xlsx&amp;sheet=A0&amp;row=153&amp;col=10&amp;number=&amp;sourceID=15","")</f>
        <v/>
      </c>
      <c r="K153" s="4" t="str">
        <f>HYPERLINK("http://141.218.60.56/~jnz1568/getInfo.php?workbook=02_02.xlsx&amp;sheet=A0&amp;row=153&amp;col=11&amp;number=&amp;sourceID=15","")</f>
        <v/>
      </c>
      <c r="L153" s="4" t="str">
        <f>HYPERLINK("http://141.218.60.56/~jnz1568/getInfo.php?workbook=02_02.xlsx&amp;sheet=A0&amp;row=153&amp;col=12&amp;number=&amp;sourceID=15","")</f>
        <v/>
      </c>
      <c r="M153" s="4" t="str">
        <f>HYPERLINK("http://141.218.60.56/~jnz1568/getInfo.php?workbook=02_02.xlsx&amp;sheet=A0&amp;row=153&amp;col=13&amp;number=0.15209&amp;sourceID=23","0.15209")</f>
        <v>0.15209</v>
      </c>
    </row>
    <row r="154" spans="1:13">
      <c r="A154" s="3">
        <v>2</v>
      </c>
      <c r="B154" s="3">
        <v>2</v>
      </c>
      <c r="C154" s="3">
        <v>31</v>
      </c>
      <c r="D154" s="3">
        <v>3</v>
      </c>
      <c r="E154" s="3">
        <f>((1/(INDEX(E0!J$4:J$52,C154,1)-INDEX(E0!J$4:J$52,D154,1))))*100000000</f>
        <v>0</v>
      </c>
      <c r="F154" s="4" t="str">
        <f>HYPERLINK("http://141.218.60.56/~jnz1568/getInfo.php?workbook=02_02.xlsx&amp;sheet=A0&amp;row=154&amp;col=6&amp;number=&amp;sourceID=27","")</f>
        <v/>
      </c>
      <c r="G154" s="4" t="str">
        <f>HYPERLINK("http://141.218.60.56/~jnz1568/getInfo.php?workbook=02_02.xlsx&amp;sheet=A0&amp;row=154&amp;col=7&amp;number=&amp;sourceID=26","")</f>
        <v/>
      </c>
      <c r="H154" s="4" t="str">
        <f>HYPERLINK("http://141.218.60.56/~jnz1568/getInfo.php?workbook=02_02.xlsx&amp;sheet=A0&amp;row=154&amp;col=8&amp;number=&amp;sourceID=26","")</f>
        <v/>
      </c>
      <c r="I154" s="4" t="str">
        <f>HYPERLINK("http://141.218.60.56/~jnz1568/getInfo.php?workbook=02_02.xlsx&amp;sheet=A0&amp;row=154&amp;col=9&amp;number=6950700&amp;sourceID=15","6950700")</f>
        <v>6950700</v>
      </c>
      <c r="J154" s="4" t="str">
        <f>HYPERLINK("http://141.218.60.56/~jnz1568/getInfo.php?workbook=02_02.xlsx&amp;sheet=A0&amp;row=154&amp;col=10&amp;number=&amp;sourceID=15","")</f>
        <v/>
      </c>
      <c r="K154" s="4" t="str">
        <f>HYPERLINK("http://141.218.60.56/~jnz1568/getInfo.php?workbook=02_02.xlsx&amp;sheet=A0&amp;row=154&amp;col=11&amp;number=&amp;sourceID=15","")</f>
        <v/>
      </c>
      <c r="L154" s="4" t="str">
        <f>HYPERLINK("http://141.218.60.56/~jnz1568/getInfo.php?workbook=02_02.xlsx&amp;sheet=A0&amp;row=154&amp;col=12&amp;number=&amp;sourceID=15","")</f>
        <v/>
      </c>
      <c r="M154" s="4" t="str">
        <f>HYPERLINK("http://141.218.60.56/~jnz1568/getInfo.php?workbook=02_02.xlsx&amp;sheet=A0&amp;row=154&amp;col=13&amp;number=6952600&amp;sourceID=23","6952600")</f>
        <v>6952600</v>
      </c>
    </row>
    <row r="155" spans="1:13">
      <c r="A155" s="3">
        <v>2</v>
      </c>
      <c r="B155" s="3">
        <v>2</v>
      </c>
      <c r="C155" s="3">
        <v>31</v>
      </c>
      <c r="D155" s="3">
        <v>7</v>
      </c>
      <c r="E155" s="3">
        <f>((1/(INDEX(E0!J$4:J$52,C155,1)-INDEX(E0!J$4:J$52,D155,1))))*100000000</f>
        <v>0</v>
      </c>
      <c r="F155" s="4" t="str">
        <f>HYPERLINK("http://141.218.60.56/~jnz1568/getInfo.php?workbook=02_02.xlsx&amp;sheet=A0&amp;row=155&amp;col=6&amp;number=&amp;sourceID=27","")</f>
        <v/>
      </c>
      <c r="G155" s="4" t="str">
        <f>HYPERLINK("http://141.218.60.56/~jnz1568/getInfo.php?workbook=02_02.xlsx&amp;sheet=A0&amp;row=155&amp;col=7&amp;number=&amp;sourceID=26","")</f>
        <v/>
      </c>
      <c r="H155" s="4" t="str">
        <f>HYPERLINK("http://141.218.60.56/~jnz1568/getInfo.php?workbook=02_02.xlsx&amp;sheet=A0&amp;row=155&amp;col=8&amp;number=&amp;sourceID=26","")</f>
        <v/>
      </c>
      <c r="I155" s="4" t="str">
        <f>HYPERLINK("http://141.218.60.56/~jnz1568/getInfo.php?workbook=02_02.xlsx&amp;sheet=A0&amp;row=155&amp;col=9&amp;number=&amp;sourceID=15","")</f>
        <v/>
      </c>
      <c r="J155" s="4" t="str">
        <f>HYPERLINK("http://141.218.60.56/~jnz1568/getInfo.php?workbook=02_02.xlsx&amp;sheet=A0&amp;row=155&amp;col=10&amp;number=10.28&amp;sourceID=15","10.28")</f>
        <v>10.28</v>
      </c>
      <c r="K155" s="4" t="str">
        <f>HYPERLINK("http://141.218.60.56/~jnz1568/getInfo.php?workbook=02_02.xlsx&amp;sheet=A0&amp;row=155&amp;col=11&amp;number=&amp;sourceID=15","")</f>
        <v/>
      </c>
      <c r="L155" s="4" t="str">
        <f>HYPERLINK("http://141.218.60.56/~jnz1568/getInfo.php?workbook=02_02.xlsx&amp;sheet=A0&amp;row=155&amp;col=12&amp;number=&amp;sourceID=15","")</f>
        <v/>
      </c>
      <c r="M155" s="4" t="str">
        <f>HYPERLINK("http://141.218.60.56/~jnz1568/getInfo.php?workbook=02_02.xlsx&amp;sheet=A0&amp;row=155&amp;col=13&amp;number=&amp;sourceID=23","")</f>
        <v/>
      </c>
    </row>
    <row r="156" spans="1:13">
      <c r="A156" s="3">
        <v>2</v>
      </c>
      <c r="B156" s="3">
        <v>2</v>
      </c>
      <c r="C156" s="3">
        <v>31</v>
      </c>
      <c r="D156" s="3">
        <v>8</v>
      </c>
      <c r="E156" s="3">
        <f>((1/(INDEX(E0!J$4:J$52,C156,1)-INDEX(E0!J$4:J$52,D156,1))))*100000000</f>
        <v>0</v>
      </c>
      <c r="F156" s="4" t="str">
        <f>HYPERLINK("http://141.218.60.56/~jnz1568/getInfo.php?workbook=02_02.xlsx&amp;sheet=A0&amp;row=156&amp;col=6&amp;number=&amp;sourceID=27","")</f>
        <v/>
      </c>
      <c r="G156" s="4" t="str">
        <f>HYPERLINK("http://141.218.60.56/~jnz1568/getInfo.php?workbook=02_02.xlsx&amp;sheet=A0&amp;row=156&amp;col=7&amp;number=&amp;sourceID=26","")</f>
        <v/>
      </c>
      <c r="H156" s="4" t="str">
        <f>HYPERLINK("http://141.218.60.56/~jnz1568/getInfo.php?workbook=02_02.xlsx&amp;sheet=A0&amp;row=156&amp;col=8&amp;number=&amp;sourceID=26","")</f>
        <v/>
      </c>
      <c r="I156" s="4" t="str">
        <f>HYPERLINK("http://141.218.60.56/~jnz1568/getInfo.php?workbook=02_02.xlsx&amp;sheet=A0&amp;row=156&amp;col=9&amp;number=&amp;sourceID=15","")</f>
        <v/>
      </c>
      <c r="J156" s="4" t="str">
        <f>HYPERLINK("http://141.218.60.56/~jnz1568/getInfo.php?workbook=02_02.xlsx&amp;sheet=A0&amp;row=156&amp;col=10&amp;number=&amp;sourceID=15","")</f>
        <v/>
      </c>
      <c r="K156" s="4" t="str">
        <f>HYPERLINK("http://141.218.60.56/~jnz1568/getInfo.php?workbook=02_02.xlsx&amp;sheet=A0&amp;row=156&amp;col=11&amp;number=&amp;sourceID=15","")</f>
        <v/>
      </c>
      <c r="L156" s="4" t="str">
        <f>HYPERLINK("http://141.218.60.56/~jnz1568/getInfo.php?workbook=02_02.xlsx&amp;sheet=A0&amp;row=156&amp;col=12&amp;number=&amp;sourceID=15","")</f>
        <v/>
      </c>
      <c r="M156" s="4" t="str">
        <f>HYPERLINK("http://141.218.60.56/~jnz1568/getInfo.php?workbook=02_02.xlsx&amp;sheet=A0&amp;row=156&amp;col=13&amp;number=0.0059256&amp;sourceID=23","0.0059256")</f>
        <v>0.0059256</v>
      </c>
    </row>
    <row r="157" spans="1:13">
      <c r="A157" s="3">
        <v>2</v>
      </c>
      <c r="B157" s="3">
        <v>2</v>
      </c>
      <c r="C157" s="3">
        <v>31</v>
      </c>
      <c r="D157" s="3">
        <v>9</v>
      </c>
      <c r="E157" s="3">
        <f>((1/(INDEX(E0!J$4:J$52,C157,1)-INDEX(E0!J$4:J$52,D157,1))))*100000000</f>
        <v>0</v>
      </c>
      <c r="F157" s="4" t="str">
        <f>HYPERLINK("http://141.218.60.56/~jnz1568/getInfo.php?workbook=02_02.xlsx&amp;sheet=A0&amp;row=157&amp;col=6&amp;number=&amp;sourceID=27","")</f>
        <v/>
      </c>
      <c r="G157" s="4" t="str">
        <f>HYPERLINK("http://141.218.60.56/~jnz1568/getInfo.php?workbook=02_02.xlsx&amp;sheet=A0&amp;row=157&amp;col=7&amp;number=&amp;sourceID=26","")</f>
        <v/>
      </c>
      <c r="H157" s="4" t="str">
        <f>HYPERLINK("http://141.218.60.56/~jnz1568/getInfo.php?workbook=02_02.xlsx&amp;sheet=A0&amp;row=157&amp;col=8&amp;number=&amp;sourceID=26","")</f>
        <v/>
      </c>
      <c r="I157" s="4" t="str">
        <f>HYPERLINK("http://141.218.60.56/~jnz1568/getInfo.php?workbook=02_02.xlsx&amp;sheet=A0&amp;row=157&amp;col=9&amp;number=1405700&amp;sourceID=15","1405700")</f>
        <v>1405700</v>
      </c>
      <c r="J157" s="4" t="str">
        <f>HYPERLINK("http://141.218.60.56/~jnz1568/getInfo.php?workbook=02_02.xlsx&amp;sheet=A0&amp;row=157&amp;col=10&amp;number=&amp;sourceID=15","")</f>
        <v/>
      </c>
      <c r="K157" s="4" t="str">
        <f>HYPERLINK("http://141.218.60.56/~jnz1568/getInfo.php?workbook=02_02.xlsx&amp;sheet=A0&amp;row=157&amp;col=11&amp;number=&amp;sourceID=15","")</f>
        <v/>
      </c>
      <c r="L157" s="4" t="str">
        <f>HYPERLINK("http://141.218.60.56/~jnz1568/getInfo.php?workbook=02_02.xlsx&amp;sheet=A0&amp;row=157&amp;col=12&amp;number=&amp;sourceID=15","")</f>
        <v/>
      </c>
      <c r="M157" s="4" t="str">
        <f>HYPERLINK("http://141.218.60.56/~jnz1568/getInfo.php?workbook=02_02.xlsx&amp;sheet=A0&amp;row=157&amp;col=13&amp;number=1406000&amp;sourceID=23","1406000")</f>
        <v>1406000</v>
      </c>
    </row>
    <row r="158" spans="1:13">
      <c r="A158" s="3">
        <v>2</v>
      </c>
      <c r="B158" s="3">
        <v>2</v>
      </c>
      <c r="C158" s="3">
        <v>31</v>
      </c>
      <c r="D158" s="3">
        <v>14</v>
      </c>
      <c r="E158" s="3">
        <f>((1/(INDEX(E0!J$4:J$52,C158,1)-INDEX(E0!J$4:J$52,D158,1))))*100000000</f>
        <v>0</v>
      </c>
      <c r="F158" s="4" t="str">
        <f>HYPERLINK("http://141.218.60.56/~jnz1568/getInfo.php?workbook=02_02.xlsx&amp;sheet=A0&amp;row=158&amp;col=6&amp;number=&amp;sourceID=27","")</f>
        <v/>
      </c>
      <c r="G158" s="4" t="str">
        <f>HYPERLINK("http://141.218.60.56/~jnz1568/getInfo.php?workbook=02_02.xlsx&amp;sheet=A0&amp;row=158&amp;col=7&amp;number=&amp;sourceID=26","")</f>
        <v/>
      </c>
      <c r="H158" s="4" t="str">
        <f>HYPERLINK("http://141.218.60.56/~jnz1568/getInfo.php?workbook=02_02.xlsx&amp;sheet=A0&amp;row=158&amp;col=8&amp;number=&amp;sourceID=26","")</f>
        <v/>
      </c>
      <c r="I158" s="4" t="str">
        <f>HYPERLINK("http://141.218.60.56/~jnz1568/getInfo.php?workbook=02_02.xlsx&amp;sheet=A0&amp;row=158&amp;col=9&amp;number=&amp;sourceID=15","")</f>
        <v/>
      </c>
      <c r="J158" s="4" t="str">
        <f>HYPERLINK("http://141.218.60.56/~jnz1568/getInfo.php?workbook=02_02.xlsx&amp;sheet=A0&amp;row=158&amp;col=10&amp;number=&amp;sourceID=15","")</f>
        <v/>
      </c>
      <c r="K158" s="4" t="str">
        <f>HYPERLINK("http://141.218.60.56/~jnz1568/getInfo.php?workbook=02_02.xlsx&amp;sheet=A0&amp;row=158&amp;col=11&amp;number=&amp;sourceID=15","")</f>
        <v/>
      </c>
      <c r="L158" s="4" t="str">
        <f>HYPERLINK("http://141.218.60.56/~jnz1568/getInfo.php?workbook=02_02.xlsx&amp;sheet=A0&amp;row=158&amp;col=12&amp;number=&amp;sourceID=15","")</f>
        <v/>
      </c>
      <c r="M158" s="4" t="str">
        <f>HYPERLINK("http://141.218.60.56/~jnz1568/getInfo.php?workbook=02_02.xlsx&amp;sheet=A0&amp;row=158&amp;col=13&amp;number=70.841&amp;sourceID=23","70.841")</f>
        <v>70.841</v>
      </c>
    </row>
    <row r="159" spans="1:13">
      <c r="A159" s="3">
        <v>2</v>
      </c>
      <c r="B159" s="3">
        <v>2</v>
      </c>
      <c r="C159" s="3">
        <v>31</v>
      </c>
      <c r="D159" s="3">
        <v>15</v>
      </c>
      <c r="E159" s="3">
        <f>((1/(INDEX(E0!J$4:J$52,C159,1)-INDEX(E0!J$4:J$52,D159,1))))*100000000</f>
        <v>0</v>
      </c>
      <c r="F159" s="4" t="str">
        <f>HYPERLINK("http://141.218.60.56/~jnz1568/getInfo.php?workbook=02_02.xlsx&amp;sheet=A0&amp;row=159&amp;col=6&amp;number=&amp;sourceID=27","")</f>
        <v/>
      </c>
      <c r="G159" s="4" t="str">
        <f>HYPERLINK("http://141.218.60.56/~jnz1568/getInfo.php?workbook=02_02.xlsx&amp;sheet=A0&amp;row=159&amp;col=7&amp;number=&amp;sourceID=26","")</f>
        <v/>
      </c>
      <c r="H159" s="4" t="str">
        <f>HYPERLINK("http://141.218.60.56/~jnz1568/getInfo.php?workbook=02_02.xlsx&amp;sheet=A0&amp;row=159&amp;col=8&amp;number=&amp;sourceID=26","")</f>
        <v/>
      </c>
      <c r="I159" s="4" t="str">
        <f>HYPERLINK("http://141.218.60.56/~jnz1568/getInfo.php?workbook=02_02.xlsx&amp;sheet=A0&amp;row=159&amp;col=9&amp;number=&amp;sourceID=15","")</f>
        <v/>
      </c>
      <c r="J159" s="4" t="str">
        <f>HYPERLINK("http://141.218.60.56/~jnz1568/getInfo.php?workbook=02_02.xlsx&amp;sheet=A0&amp;row=159&amp;col=10&amp;number=&amp;sourceID=15","")</f>
        <v/>
      </c>
      <c r="K159" s="4" t="str">
        <f>HYPERLINK("http://141.218.60.56/~jnz1568/getInfo.php?workbook=02_02.xlsx&amp;sheet=A0&amp;row=159&amp;col=11&amp;number=&amp;sourceID=15","")</f>
        <v/>
      </c>
      <c r="L159" s="4" t="str">
        <f>HYPERLINK("http://141.218.60.56/~jnz1568/getInfo.php?workbook=02_02.xlsx&amp;sheet=A0&amp;row=159&amp;col=12&amp;number=&amp;sourceID=15","")</f>
        <v/>
      </c>
      <c r="M159" s="4" t="str">
        <f>HYPERLINK("http://141.218.60.56/~jnz1568/getInfo.php?workbook=02_02.xlsx&amp;sheet=A0&amp;row=159&amp;col=13&amp;number=0.0046326&amp;sourceID=23","0.0046326")</f>
        <v>0.0046326</v>
      </c>
    </row>
    <row r="160" spans="1:13">
      <c r="A160" s="3">
        <v>2</v>
      </c>
      <c r="B160" s="3">
        <v>2</v>
      </c>
      <c r="C160" s="3">
        <v>31</v>
      </c>
      <c r="D160" s="3">
        <v>16</v>
      </c>
      <c r="E160" s="3">
        <f>((1/(INDEX(E0!J$4:J$52,C160,1)-INDEX(E0!J$4:J$52,D160,1))))*100000000</f>
        <v>0</v>
      </c>
      <c r="F160" s="4" t="str">
        <f>HYPERLINK("http://141.218.60.56/~jnz1568/getInfo.php?workbook=02_02.xlsx&amp;sheet=A0&amp;row=160&amp;col=6&amp;number=&amp;sourceID=27","")</f>
        <v/>
      </c>
      <c r="G160" s="4" t="str">
        <f>HYPERLINK("http://141.218.60.56/~jnz1568/getInfo.php?workbook=02_02.xlsx&amp;sheet=A0&amp;row=160&amp;col=7&amp;number=&amp;sourceID=26","")</f>
        <v/>
      </c>
      <c r="H160" s="4" t="str">
        <f>HYPERLINK("http://141.218.60.56/~jnz1568/getInfo.php?workbook=02_02.xlsx&amp;sheet=A0&amp;row=160&amp;col=8&amp;number=&amp;sourceID=26","")</f>
        <v/>
      </c>
      <c r="I160" s="4" t="str">
        <f>HYPERLINK("http://141.218.60.56/~jnz1568/getInfo.php?workbook=02_02.xlsx&amp;sheet=A0&amp;row=160&amp;col=9&amp;number=296300&amp;sourceID=15","296300")</f>
        <v>296300</v>
      </c>
      <c r="J160" s="4" t="str">
        <f>HYPERLINK("http://141.218.60.56/~jnz1568/getInfo.php?workbook=02_02.xlsx&amp;sheet=A0&amp;row=160&amp;col=10&amp;number=&amp;sourceID=15","")</f>
        <v/>
      </c>
      <c r="K160" s="4" t="str">
        <f>HYPERLINK("http://141.218.60.56/~jnz1568/getInfo.php?workbook=02_02.xlsx&amp;sheet=A0&amp;row=160&amp;col=11&amp;number=&amp;sourceID=15","")</f>
        <v/>
      </c>
      <c r="L160" s="4" t="str">
        <f>HYPERLINK("http://141.218.60.56/~jnz1568/getInfo.php?workbook=02_02.xlsx&amp;sheet=A0&amp;row=160&amp;col=12&amp;number=&amp;sourceID=15","")</f>
        <v/>
      </c>
      <c r="M160" s="4" t="str">
        <f>HYPERLINK("http://141.218.60.56/~jnz1568/getInfo.php?workbook=02_02.xlsx&amp;sheet=A0&amp;row=160&amp;col=13&amp;number=296500&amp;sourceID=23","296500")</f>
        <v>296500</v>
      </c>
    </row>
    <row r="161" spans="1:13">
      <c r="A161" s="3">
        <v>2</v>
      </c>
      <c r="B161" s="3">
        <v>2</v>
      </c>
      <c r="C161" s="3">
        <v>31</v>
      </c>
      <c r="D161" s="3">
        <v>17</v>
      </c>
      <c r="E161" s="3">
        <f>((1/(INDEX(E0!J$4:J$52,C161,1)-INDEX(E0!J$4:J$52,D161,1))))*100000000</f>
        <v>0</v>
      </c>
      <c r="F161" s="4" t="str">
        <f>HYPERLINK("http://141.218.60.56/~jnz1568/getInfo.php?workbook=02_02.xlsx&amp;sheet=A0&amp;row=161&amp;col=6&amp;number=&amp;sourceID=27","")</f>
        <v/>
      </c>
      <c r="G161" s="4" t="str">
        <f>HYPERLINK("http://141.218.60.56/~jnz1568/getInfo.php?workbook=02_02.xlsx&amp;sheet=A0&amp;row=161&amp;col=7&amp;number=&amp;sourceID=26","")</f>
        <v/>
      </c>
      <c r="H161" s="4" t="str">
        <f>HYPERLINK("http://141.218.60.56/~jnz1568/getInfo.php?workbook=02_02.xlsx&amp;sheet=A0&amp;row=161&amp;col=8&amp;number=&amp;sourceID=26","")</f>
        <v/>
      </c>
      <c r="I161" s="4" t="str">
        <f>HYPERLINK("http://141.218.60.56/~jnz1568/getInfo.php?workbook=02_02.xlsx&amp;sheet=A0&amp;row=161&amp;col=9&amp;number=&amp;sourceID=15","")</f>
        <v/>
      </c>
      <c r="J161" s="4" t="str">
        <f>HYPERLINK("http://141.218.60.56/~jnz1568/getInfo.php?workbook=02_02.xlsx&amp;sheet=A0&amp;row=161&amp;col=10&amp;number=2.529&amp;sourceID=15","2.529")</f>
        <v>2.529</v>
      </c>
      <c r="K161" s="4" t="str">
        <f>HYPERLINK("http://141.218.60.56/~jnz1568/getInfo.php?workbook=02_02.xlsx&amp;sheet=A0&amp;row=161&amp;col=11&amp;number=&amp;sourceID=15","")</f>
        <v/>
      </c>
      <c r="L161" s="4" t="str">
        <f>HYPERLINK("http://141.218.60.56/~jnz1568/getInfo.php?workbook=02_02.xlsx&amp;sheet=A0&amp;row=161&amp;col=12&amp;number=&amp;sourceID=15","")</f>
        <v/>
      </c>
      <c r="M161" s="4" t="str">
        <f>HYPERLINK("http://141.218.60.56/~jnz1568/getInfo.php?workbook=02_02.xlsx&amp;sheet=A0&amp;row=161&amp;col=13&amp;number=&amp;sourceID=23","")</f>
        <v/>
      </c>
    </row>
    <row r="162" spans="1:13">
      <c r="A162" s="3">
        <v>2</v>
      </c>
      <c r="B162" s="3">
        <v>2</v>
      </c>
      <c r="C162" s="3">
        <v>31</v>
      </c>
      <c r="D162" s="3">
        <v>18</v>
      </c>
      <c r="E162" s="3">
        <f>((1/(INDEX(E0!J$4:J$52,C162,1)-INDEX(E0!J$4:J$52,D162,1))))*100000000</f>
        <v>0</v>
      </c>
      <c r="F162" s="4" t="str">
        <f>HYPERLINK("http://141.218.60.56/~jnz1568/getInfo.php?workbook=02_02.xlsx&amp;sheet=A0&amp;row=162&amp;col=6&amp;number=&amp;sourceID=27","")</f>
        <v/>
      </c>
      <c r="G162" s="4" t="str">
        <f>HYPERLINK("http://141.218.60.56/~jnz1568/getInfo.php?workbook=02_02.xlsx&amp;sheet=A0&amp;row=162&amp;col=7&amp;number=&amp;sourceID=26","")</f>
        <v/>
      </c>
      <c r="H162" s="4" t="str">
        <f>HYPERLINK("http://141.218.60.56/~jnz1568/getInfo.php?workbook=02_02.xlsx&amp;sheet=A0&amp;row=162&amp;col=8&amp;number=&amp;sourceID=26","")</f>
        <v/>
      </c>
      <c r="I162" s="4" t="str">
        <f>HYPERLINK("http://141.218.60.56/~jnz1568/getInfo.php?workbook=02_02.xlsx&amp;sheet=A0&amp;row=162&amp;col=9&amp;number=&amp;sourceID=15","")</f>
        <v/>
      </c>
      <c r="J162" s="4" t="str">
        <f>HYPERLINK("http://141.218.60.56/~jnz1568/getInfo.php?workbook=02_02.xlsx&amp;sheet=A0&amp;row=162&amp;col=10&amp;number=&amp;sourceID=15","")</f>
        <v/>
      </c>
      <c r="K162" s="4" t="str">
        <f>HYPERLINK("http://141.218.60.56/~jnz1568/getInfo.php?workbook=02_02.xlsx&amp;sheet=A0&amp;row=162&amp;col=11&amp;number=&amp;sourceID=15","")</f>
        <v/>
      </c>
      <c r="L162" s="4" t="str">
        <f>HYPERLINK("http://141.218.60.56/~jnz1568/getInfo.php?workbook=02_02.xlsx&amp;sheet=A0&amp;row=162&amp;col=12&amp;number=&amp;sourceID=15","")</f>
        <v/>
      </c>
      <c r="M162" s="4" t="str">
        <f>HYPERLINK("http://141.218.60.56/~jnz1568/getInfo.php?workbook=02_02.xlsx&amp;sheet=A0&amp;row=162&amp;col=13&amp;number=0.03131&amp;sourceID=23","0.03131")</f>
        <v>0.03131</v>
      </c>
    </row>
    <row r="163" spans="1:13">
      <c r="A163" s="3">
        <v>2</v>
      </c>
      <c r="B163" s="3">
        <v>2</v>
      </c>
      <c r="C163" s="3">
        <v>31</v>
      </c>
      <c r="D163" s="3">
        <v>19</v>
      </c>
      <c r="E163" s="3">
        <f>((1/(INDEX(E0!J$4:J$52,C163,1)-INDEX(E0!J$4:J$52,D163,1))))*100000000</f>
        <v>0</v>
      </c>
      <c r="F163" s="4" t="str">
        <f>HYPERLINK("http://141.218.60.56/~jnz1568/getInfo.php?workbook=02_02.xlsx&amp;sheet=A0&amp;row=163&amp;col=6&amp;number=&amp;sourceID=27","")</f>
        <v/>
      </c>
      <c r="G163" s="4" t="str">
        <f>HYPERLINK("http://141.218.60.56/~jnz1568/getInfo.php?workbook=02_02.xlsx&amp;sheet=A0&amp;row=163&amp;col=7&amp;number=&amp;sourceID=26","")</f>
        <v/>
      </c>
      <c r="H163" s="4" t="str">
        <f>HYPERLINK("http://141.218.60.56/~jnz1568/getInfo.php?workbook=02_02.xlsx&amp;sheet=A0&amp;row=163&amp;col=8&amp;number=&amp;sourceID=26","")</f>
        <v/>
      </c>
      <c r="I163" s="4" t="str">
        <f>HYPERLINK("http://141.218.60.56/~jnz1568/getInfo.php?workbook=02_02.xlsx&amp;sheet=A0&amp;row=163&amp;col=9&amp;number=58221&amp;sourceID=15","58221")</f>
        <v>58221</v>
      </c>
      <c r="J163" s="4" t="str">
        <f>HYPERLINK("http://141.218.60.56/~jnz1568/getInfo.php?workbook=02_02.xlsx&amp;sheet=A0&amp;row=163&amp;col=10&amp;number=&amp;sourceID=15","")</f>
        <v/>
      </c>
      <c r="K163" s="4" t="str">
        <f>HYPERLINK("http://141.218.60.56/~jnz1568/getInfo.php?workbook=02_02.xlsx&amp;sheet=A0&amp;row=163&amp;col=11&amp;number=&amp;sourceID=15","")</f>
        <v/>
      </c>
      <c r="L163" s="4" t="str">
        <f>HYPERLINK("http://141.218.60.56/~jnz1568/getInfo.php?workbook=02_02.xlsx&amp;sheet=A0&amp;row=163&amp;col=12&amp;number=&amp;sourceID=15","")</f>
        <v/>
      </c>
      <c r="M163" s="4" t="str">
        <f>HYPERLINK("http://141.218.60.56/~jnz1568/getInfo.php?workbook=02_02.xlsx&amp;sheet=A0&amp;row=163&amp;col=13&amp;number=58164&amp;sourceID=23","58164")</f>
        <v>58164</v>
      </c>
    </row>
    <row r="164" spans="1:13">
      <c r="A164" s="3">
        <v>2</v>
      </c>
      <c r="B164" s="3">
        <v>2</v>
      </c>
      <c r="C164" s="3">
        <v>31</v>
      </c>
      <c r="D164" s="3">
        <v>24</v>
      </c>
      <c r="E164" s="3">
        <f>((1/(INDEX(E0!J$4:J$52,C164,1)-INDEX(E0!J$4:J$52,D164,1))))*100000000</f>
        <v>0</v>
      </c>
      <c r="F164" s="4" t="str">
        <f>HYPERLINK("http://141.218.60.56/~jnz1568/getInfo.php?workbook=02_02.xlsx&amp;sheet=A0&amp;row=164&amp;col=6&amp;number=&amp;sourceID=27","")</f>
        <v/>
      </c>
      <c r="G164" s="4" t="str">
        <f>HYPERLINK("http://141.218.60.56/~jnz1568/getInfo.php?workbook=02_02.xlsx&amp;sheet=A0&amp;row=164&amp;col=7&amp;number=&amp;sourceID=26","")</f>
        <v/>
      </c>
      <c r="H164" s="4" t="str">
        <f>HYPERLINK("http://141.218.60.56/~jnz1568/getInfo.php?workbook=02_02.xlsx&amp;sheet=A0&amp;row=164&amp;col=8&amp;number=&amp;sourceID=26","")</f>
        <v/>
      </c>
      <c r="I164" s="4" t="str">
        <f>HYPERLINK("http://141.218.60.56/~jnz1568/getInfo.php?workbook=02_02.xlsx&amp;sheet=A0&amp;row=164&amp;col=9&amp;number=0.008058&amp;sourceID=15","0.008058")</f>
        <v>0.008058</v>
      </c>
      <c r="J164" s="4" t="str">
        <f>HYPERLINK("http://141.218.60.56/~jnz1568/getInfo.php?workbook=02_02.xlsx&amp;sheet=A0&amp;row=164&amp;col=10&amp;number=&amp;sourceID=15","")</f>
        <v/>
      </c>
      <c r="K164" s="4" t="str">
        <f>HYPERLINK("http://141.218.60.56/~jnz1568/getInfo.php?workbook=02_02.xlsx&amp;sheet=A0&amp;row=164&amp;col=11&amp;number=&amp;sourceID=15","")</f>
        <v/>
      </c>
      <c r="L164" s="4" t="str">
        <f>HYPERLINK("http://141.218.60.56/~jnz1568/getInfo.php?workbook=02_02.xlsx&amp;sheet=A0&amp;row=164&amp;col=12&amp;number=&amp;sourceID=15","")</f>
        <v/>
      </c>
      <c r="M164" s="4" t="str">
        <f>HYPERLINK("http://141.218.60.56/~jnz1568/getInfo.php?workbook=02_02.xlsx&amp;sheet=A0&amp;row=164&amp;col=13&amp;number=0.0080184&amp;sourceID=23","0.0080184")</f>
        <v>0.0080184</v>
      </c>
    </row>
    <row r="165" spans="1:13">
      <c r="A165" s="3">
        <v>2</v>
      </c>
      <c r="B165" s="3">
        <v>2</v>
      </c>
      <c r="C165" s="3">
        <v>31</v>
      </c>
      <c r="D165" s="3">
        <v>25</v>
      </c>
      <c r="E165" s="3">
        <f>((1/(INDEX(E0!J$4:J$52,C165,1)-INDEX(E0!J$4:J$52,D165,1))))*100000000</f>
        <v>0</v>
      </c>
      <c r="F165" s="4" t="str">
        <f>HYPERLINK("http://141.218.60.56/~jnz1568/getInfo.php?workbook=02_02.xlsx&amp;sheet=A0&amp;row=165&amp;col=6&amp;number=&amp;sourceID=27","")</f>
        <v/>
      </c>
      <c r="G165" s="4" t="str">
        <f>HYPERLINK("http://141.218.60.56/~jnz1568/getInfo.php?workbook=02_02.xlsx&amp;sheet=A0&amp;row=165&amp;col=7&amp;number=&amp;sourceID=26","")</f>
        <v/>
      </c>
      <c r="H165" s="4" t="str">
        <f>HYPERLINK("http://141.218.60.56/~jnz1568/getInfo.php?workbook=02_02.xlsx&amp;sheet=A0&amp;row=165&amp;col=8&amp;number=&amp;sourceID=26","")</f>
        <v/>
      </c>
      <c r="I165" s="4" t="str">
        <f>HYPERLINK("http://141.218.60.56/~jnz1568/getInfo.php?workbook=02_02.xlsx&amp;sheet=A0&amp;row=165&amp;col=9&amp;number=1.024e-06&amp;sourceID=15","1.024e-06")</f>
        <v>1.024e-06</v>
      </c>
      <c r="J165" s="4" t="str">
        <f>HYPERLINK("http://141.218.60.56/~jnz1568/getInfo.php?workbook=02_02.xlsx&amp;sheet=A0&amp;row=165&amp;col=10&amp;number=&amp;sourceID=15","")</f>
        <v/>
      </c>
      <c r="K165" s="4" t="str">
        <f>HYPERLINK("http://141.218.60.56/~jnz1568/getInfo.php?workbook=02_02.xlsx&amp;sheet=A0&amp;row=165&amp;col=11&amp;number=&amp;sourceID=15","")</f>
        <v/>
      </c>
      <c r="L165" s="4" t="str">
        <f>HYPERLINK("http://141.218.60.56/~jnz1568/getInfo.php?workbook=02_02.xlsx&amp;sheet=A0&amp;row=165&amp;col=12&amp;number=&amp;sourceID=15","")</f>
        <v/>
      </c>
      <c r="M165" s="4" t="str">
        <f>HYPERLINK("http://141.218.60.56/~jnz1568/getInfo.php?workbook=02_02.xlsx&amp;sheet=A0&amp;row=165&amp;col=13&amp;number=9.9893e-07&amp;sourceID=23","9.9893e-07")</f>
        <v>9.9893e-07</v>
      </c>
    </row>
    <row r="166" spans="1:13">
      <c r="A166" s="3">
        <v>2</v>
      </c>
      <c r="B166" s="3">
        <v>2</v>
      </c>
      <c r="C166" s="3">
        <v>31</v>
      </c>
      <c r="D166" s="3">
        <v>26</v>
      </c>
      <c r="E166" s="3">
        <f>((1/(INDEX(E0!J$4:J$52,C166,1)-INDEX(E0!J$4:J$52,D166,1))))*100000000</f>
        <v>0</v>
      </c>
      <c r="F166" s="4" t="str">
        <f>HYPERLINK("http://141.218.60.56/~jnz1568/getInfo.php?workbook=02_02.xlsx&amp;sheet=A0&amp;row=166&amp;col=6&amp;number=&amp;sourceID=27","")</f>
        <v/>
      </c>
      <c r="G166" s="4" t="str">
        <f>HYPERLINK("http://141.218.60.56/~jnz1568/getInfo.php?workbook=02_02.xlsx&amp;sheet=A0&amp;row=166&amp;col=7&amp;number=&amp;sourceID=26","")</f>
        <v/>
      </c>
      <c r="H166" s="4" t="str">
        <f>HYPERLINK("http://141.218.60.56/~jnz1568/getInfo.php?workbook=02_02.xlsx&amp;sheet=A0&amp;row=166&amp;col=8&amp;number=&amp;sourceID=26","")</f>
        <v/>
      </c>
      <c r="I166" s="4" t="str">
        <f>HYPERLINK("http://141.218.60.56/~jnz1568/getInfo.php?workbook=02_02.xlsx&amp;sheet=A0&amp;row=166&amp;col=9&amp;number=56.862&amp;sourceID=15","56.862")</f>
        <v>56.862</v>
      </c>
      <c r="J166" s="4" t="str">
        <f>HYPERLINK("http://141.218.60.56/~jnz1568/getInfo.php?workbook=02_02.xlsx&amp;sheet=A0&amp;row=166&amp;col=10&amp;number=&amp;sourceID=15","")</f>
        <v/>
      </c>
      <c r="K166" s="4" t="str">
        <f>HYPERLINK("http://141.218.60.56/~jnz1568/getInfo.php?workbook=02_02.xlsx&amp;sheet=A0&amp;row=166&amp;col=11&amp;number=&amp;sourceID=15","")</f>
        <v/>
      </c>
      <c r="L166" s="4" t="str">
        <f>HYPERLINK("http://141.218.60.56/~jnz1568/getInfo.php?workbook=02_02.xlsx&amp;sheet=A0&amp;row=166&amp;col=12&amp;number=&amp;sourceID=15","")</f>
        <v/>
      </c>
      <c r="M166" s="4" t="str">
        <f>HYPERLINK("http://141.218.60.56/~jnz1568/getInfo.php?workbook=02_02.xlsx&amp;sheet=A0&amp;row=166&amp;col=13&amp;number=55.294&amp;sourceID=23","55.294")</f>
        <v>55.294</v>
      </c>
    </row>
    <row r="167" spans="1:13">
      <c r="A167" s="3">
        <v>2</v>
      </c>
      <c r="B167" s="3">
        <v>2</v>
      </c>
      <c r="C167" s="3">
        <v>32</v>
      </c>
      <c r="D167" s="3">
        <v>4</v>
      </c>
      <c r="E167" s="3">
        <f>((1/(INDEX(E0!J$4:J$52,C167,1)-INDEX(E0!J$4:J$52,D167,1))))*100000000</f>
        <v>0</v>
      </c>
      <c r="F167" s="4" t="str">
        <f>HYPERLINK("http://141.218.60.56/~jnz1568/getInfo.php?workbook=02_02.xlsx&amp;sheet=A0&amp;row=167&amp;col=6&amp;number=&amp;sourceID=27","")</f>
        <v/>
      </c>
      <c r="G167" s="4" t="str">
        <f>HYPERLINK("http://141.218.60.56/~jnz1568/getInfo.php?workbook=02_02.xlsx&amp;sheet=A0&amp;row=167&amp;col=7&amp;number=&amp;sourceID=26","")</f>
        <v/>
      </c>
      <c r="H167" s="4" t="str">
        <f>HYPERLINK("http://141.218.60.56/~jnz1568/getInfo.php?workbook=02_02.xlsx&amp;sheet=A0&amp;row=167&amp;col=8&amp;number=&amp;sourceID=26","")</f>
        <v/>
      </c>
      <c r="I167" s="4" t="str">
        <f>HYPERLINK("http://141.218.60.56/~jnz1568/getInfo.php?workbook=02_02.xlsx&amp;sheet=A0&amp;row=167&amp;col=9&amp;number=2473800&amp;sourceID=15","2473800")</f>
        <v>2473800</v>
      </c>
      <c r="J167" s="4" t="str">
        <f>HYPERLINK("http://141.218.60.56/~jnz1568/getInfo.php?workbook=02_02.xlsx&amp;sheet=A0&amp;row=167&amp;col=10&amp;number=&amp;sourceID=15","")</f>
        <v/>
      </c>
      <c r="K167" s="4" t="str">
        <f>HYPERLINK("http://141.218.60.56/~jnz1568/getInfo.php?workbook=02_02.xlsx&amp;sheet=A0&amp;row=167&amp;col=11&amp;number=&amp;sourceID=15","")</f>
        <v/>
      </c>
      <c r="L167" s="4" t="str">
        <f>HYPERLINK("http://141.218.60.56/~jnz1568/getInfo.php?workbook=02_02.xlsx&amp;sheet=A0&amp;row=167&amp;col=12&amp;number=&amp;sourceID=15","")</f>
        <v/>
      </c>
      <c r="M167" s="4" t="str">
        <f>HYPERLINK("http://141.218.60.56/~jnz1568/getInfo.php?workbook=02_02.xlsx&amp;sheet=A0&amp;row=167&amp;col=13&amp;number=2473500&amp;sourceID=23","2473500")</f>
        <v>2473500</v>
      </c>
    </row>
    <row r="168" spans="1:13">
      <c r="A168" s="3">
        <v>2</v>
      </c>
      <c r="B168" s="3">
        <v>2</v>
      </c>
      <c r="C168" s="3">
        <v>32</v>
      </c>
      <c r="D168" s="3">
        <v>5</v>
      </c>
      <c r="E168" s="3">
        <f>((1/(INDEX(E0!J$4:J$52,C168,1)-INDEX(E0!J$4:J$52,D168,1))))*100000000</f>
        <v>0</v>
      </c>
      <c r="F168" s="4" t="str">
        <f>HYPERLINK("http://141.218.60.56/~jnz1568/getInfo.php?workbook=02_02.xlsx&amp;sheet=A0&amp;row=168&amp;col=6&amp;number=&amp;sourceID=27","")</f>
        <v/>
      </c>
      <c r="G168" s="4" t="str">
        <f>HYPERLINK("http://141.218.60.56/~jnz1568/getInfo.php?workbook=02_02.xlsx&amp;sheet=A0&amp;row=168&amp;col=7&amp;number=&amp;sourceID=26","")</f>
        <v/>
      </c>
      <c r="H168" s="4" t="str">
        <f>HYPERLINK("http://141.218.60.56/~jnz1568/getInfo.php?workbook=02_02.xlsx&amp;sheet=A0&amp;row=168&amp;col=8&amp;number=&amp;sourceID=26","")</f>
        <v/>
      </c>
      <c r="I168" s="4" t="str">
        <f>HYPERLINK("http://141.218.60.56/~jnz1568/getInfo.php?workbook=02_02.xlsx&amp;sheet=A0&amp;row=168&amp;col=9&amp;number=1484300&amp;sourceID=15","1484300")</f>
        <v>1484300</v>
      </c>
      <c r="J168" s="4" t="str">
        <f>HYPERLINK("http://141.218.60.56/~jnz1568/getInfo.php?workbook=02_02.xlsx&amp;sheet=A0&amp;row=168&amp;col=10&amp;number=&amp;sourceID=15","")</f>
        <v/>
      </c>
      <c r="K168" s="4" t="str">
        <f>HYPERLINK("http://141.218.60.56/~jnz1568/getInfo.php?workbook=02_02.xlsx&amp;sheet=A0&amp;row=168&amp;col=11&amp;number=&amp;sourceID=15","")</f>
        <v/>
      </c>
      <c r="L168" s="4" t="str">
        <f>HYPERLINK("http://141.218.60.56/~jnz1568/getInfo.php?workbook=02_02.xlsx&amp;sheet=A0&amp;row=168&amp;col=12&amp;number=&amp;sourceID=15","")</f>
        <v/>
      </c>
      <c r="M168" s="4" t="str">
        <f>HYPERLINK("http://141.218.60.56/~jnz1568/getInfo.php?workbook=02_02.xlsx&amp;sheet=A0&amp;row=168&amp;col=13&amp;number=1484000&amp;sourceID=23","1484000")</f>
        <v>1484000</v>
      </c>
    </row>
    <row r="169" spans="1:13">
      <c r="A169" s="3">
        <v>2</v>
      </c>
      <c r="B169" s="3">
        <v>2</v>
      </c>
      <c r="C169" s="3">
        <v>32</v>
      </c>
      <c r="D169" s="3">
        <v>6</v>
      </c>
      <c r="E169" s="3">
        <f>((1/(INDEX(E0!J$4:J$52,C169,1)-INDEX(E0!J$4:J$52,D169,1))))*100000000</f>
        <v>0</v>
      </c>
      <c r="F169" s="4" t="str">
        <f>HYPERLINK("http://141.218.60.56/~jnz1568/getInfo.php?workbook=02_02.xlsx&amp;sheet=A0&amp;row=169&amp;col=6&amp;number=&amp;sourceID=27","")</f>
        <v/>
      </c>
      <c r="G169" s="4" t="str">
        <f>HYPERLINK("http://141.218.60.56/~jnz1568/getInfo.php?workbook=02_02.xlsx&amp;sheet=A0&amp;row=169&amp;col=7&amp;number=&amp;sourceID=26","")</f>
        <v/>
      </c>
      <c r="H169" s="4" t="str">
        <f>HYPERLINK("http://141.218.60.56/~jnz1568/getInfo.php?workbook=02_02.xlsx&amp;sheet=A0&amp;row=169&amp;col=8&amp;number=&amp;sourceID=26","")</f>
        <v/>
      </c>
      <c r="I169" s="4" t="str">
        <f>HYPERLINK("http://141.218.60.56/~jnz1568/getInfo.php?workbook=02_02.xlsx&amp;sheet=A0&amp;row=169&amp;col=9&amp;number=494760&amp;sourceID=15","494760")</f>
        <v>494760</v>
      </c>
      <c r="J169" s="4" t="str">
        <f>HYPERLINK("http://141.218.60.56/~jnz1568/getInfo.php?workbook=02_02.xlsx&amp;sheet=A0&amp;row=169&amp;col=10&amp;number=&amp;sourceID=15","")</f>
        <v/>
      </c>
      <c r="K169" s="4" t="str">
        <f>HYPERLINK("http://141.218.60.56/~jnz1568/getInfo.php?workbook=02_02.xlsx&amp;sheet=A0&amp;row=169&amp;col=11&amp;number=&amp;sourceID=15","")</f>
        <v/>
      </c>
      <c r="L169" s="4" t="str">
        <f>HYPERLINK("http://141.218.60.56/~jnz1568/getInfo.php?workbook=02_02.xlsx&amp;sheet=A0&amp;row=169&amp;col=12&amp;number=&amp;sourceID=15","")</f>
        <v/>
      </c>
      <c r="M169" s="4" t="str">
        <f>HYPERLINK("http://141.218.60.56/~jnz1568/getInfo.php?workbook=02_02.xlsx&amp;sheet=A0&amp;row=169&amp;col=13&amp;number=494670&amp;sourceID=23","494670")</f>
        <v>494670</v>
      </c>
    </row>
    <row r="170" spans="1:13">
      <c r="A170" s="3">
        <v>2</v>
      </c>
      <c r="B170" s="3">
        <v>2</v>
      </c>
      <c r="C170" s="3">
        <v>32</v>
      </c>
      <c r="D170" s="3">
        <v>7</v>
      </c>
      <c r="E170" s="3">
        <f>((1/(INDEX(E0!J$4:J$52,C170,1)-INDEX(E0!J$4:J$52,D170,1))))*100000000</f>
        <v>0</v>
      </c>
      <c r="F170" s="4" t="str">
        <f>HYPERLINK("http://141.218.60.56/~jnz1568/getInfo.php?workbook=02_02.xlsx&amp;sheet=A0&amp;row=170&amp;col=6&amp;number=&amp;sourceID=27","")</f>
        <v/>
      </c>
      <c r="G170" s="4" t="str">
        <f>HYPERLINK("http://141.218.60.56/~jnz1568/getInfo.php?workbook=02_02.xlsx&amp;sheet=A0&amp;row=170&amp;col=7&amp;number=&amp;sourceID=26","")</f>
        <v/>
      </c>
      <c r="H170" s="4" t="str">
        <f>HYPERLINK("http://141.218.60.56/~jnz1568/getInfo.php?workbook=02_02.xlsx&amp;sheet=A0&amp;row=170&amp;col=8&amp;number=&amp;sourceID=26","")</f>
        <v/>
      </c>
      <c r="I170" s="4" t="str">
        <f>HYPERLINK("http://141.218.60.56/~jnz1568/getInfo.php?workbook=02_02.xlsx&amp;sheet=A0&amp;row=170&amp;col=9&amp;number=&amp;sourceID=15","")</f>
        <v/>
      </c>
      <c r="J170" s="4" t="str">
        <f>HYPERLINK("http://141.218.60.56/~jnz1568/getInfo.php?workbook=02_02.xlsx&amp;sheet=A0&amp;row=170&amp;col=10&amp;number=&amp;sourceID=15","")</f>
        <v/>
      </c>
      <c r="K170" s="4" t="str">
        <f>HYPERLINK("http://141.218.60.56/~jnz1568/getInfo.php?workbook=02_02.xlsx&amp;sheet=A0&amp;row=170&amp;col=11&amp;number=&amp;sourceID=15","")</f>
        <v/>
      </c>
      <c r="L170" s="4" t="str">
        <f>HYPERLINK("http://141.218.60.56/~jnz1568/getInfo.php?workbook=02_02.xlsx&amp;sheet=A0&amp;row=170&amp;col=12&amp;number=&amp;sourceID=15","")</f>
        <v/>
      </c>
      <c r="M170" s="4" t="str">
        <f>HYPERLINK("http://141.218.60.56/~jnz1568/getInfo.php?workbook=02_02.xlsx&amp;sheet=A0&amp;row=170&amp;col=13&amp;number=0.1118&amp;sourceID=23","0.1118")</f>
        <v>0.1118</v>
      </c>
    </row>
    <row r="171" spans="1:13">
      <c r="A171" s="3">
        <v>2</v>
      </c>
      <c r="B171" s="3">
        <v>2</v>
      </c>
      <c r="C171" s="3">
        <v>32</v>
      </c>
      <c r="D171" s="3">
        <v>10</v>
      </c>
      <c r="E171" s="3">
        <f>((1/(INDEX(E0!J$4:J$52,C171,1)-INDEX(E0!J$4:J$52,D171,1))))*100000000</f>
        <v>0</v>
      </c>
      <c r="F171" s="4" t="str">
        <f>HYPERLINK("http://141.218.60.56/~jnz1568/getInfo.php?workbook=02_02.xlsx&amp;sheet=A0&amp;row=171&amp;col=6&amp;number=&amp;sourceID=27","")</f>
        <v/>
      </c>
      <c r="G171" s="4" t="str">
        <f>HYPERLINK("http://141.218.60.56/~jnz1568/getInfo.php?workbook=02_02.xlsx&amp;sheet=A0&amp;row=171&amp;col=7&amp;number=&amp;sourceID=26","")</f>
        <v/>
      </c>
      <c r="H171" s="4" t="str">
        <f>HYPERLINK("http://141.218.60.56/~jnz1568/getInfo.php?workbook=02_02.xlsx&amp;sheet=A0&amp;row=171&amp;col=8&amp;number=&amp;sourceID=26","")</f>
        <v/>
      </c>
      <c r="I171" s="4" t="str">
        <f>HYPERLINK("http://141.218.60.56/~jnz1568/getInfo.php?workbook=02_02.xlsx&amp;sheet=A0&amp;row=171&amp;col=9&amp;number=1517600&amp;sourceID=15","1517600")</f>
        <v>1517600</v>
      </c>
      <c r="J171" s="4" t="str">
        <f>HYPERLINK("http://141.218.60.56/~jnz1568/getInfo.php?workbook=02_02.xlsx&amp;sheet=A0&amp;row=171&amp;col=10&amp;number=&amp;sourceID=15","")</f>
        <v/>
      </c>
      <c r="K171" s="4" t="str">
        <f>HYPERLINK("http://141.218.60.56/~jnz1568/getInfo.php?workbook=02_02.xlsx&amp;sheet=A0&amp;row=171&amp;col=11&amp;number=&amp;sourceID=15","")</f>
        <v/>
      </c>
      <c r="L171" s="4" t="str">
        <f>HYPERLINK("http://141.218.60.56/~jnz1568/getInfo.php?workbook=02_02.xlsx&amp;sheet=A0&amp;row=171&amp;col=12&amp;number=&amp;sourceID=15","")</f>
        <v/>
      </c>
      <c r="M171" s="4" t="str">
        <f>HYPERLINK("http://141.218.60.56/~jnz1568/getInfo.php?workbook=02_02.xlsx&amp;sheet=A0&amp;row=171&amp;col=13&amp;number=1518400&amp;sourceID=23","1518400")</f>
        <v>1518400</v>
      </c>
    </row>
    <row r="172" spans="1:13">
      <c r="A172" s="3">
        <v>2</v>
      </c>
      <c r="B172" s="3">
        <v>2</v>
      </c>
      <c r="C172" s="3">
        <v>32</v>
      </c>
      <c r="D172" s="3">
        <v>11</v>
      </c>
      <c r="E172" s="3">
        <f>((1/(INDEX(E0!J$4:J$52,C172,1)-INDEX(E0!J$4:J$52,D172,1))))*100000000</f>
        <v>0</v>
      </c>
      <c r="F172" s="4" t="str">
        <f>HYPERLINK("http://141.218.60.56/~jnz1568/getInfo.php?workbook=02_02.xlsx&amp;sheet=A0&amp;row=172&amp;col=6&amp;number=&amp;sourceID=27","")</f>
        <v/>
      </c>
      <c r="G172" s="4" t="str">
        <f>HYPERLINK("http://141.218.60.56/~jnz1568/getInfo.php?workbook=02_02.xlsx&amp;sheet=A0&amp;row=172&amp;col=7&amp;number=&amp;sourceID=26","")</f>
        <v/>
      </c>
      <c r="H172" s="4" t="str">
        <f>HYPERLINK("http://141.218.60.56/~jnz1568/getInfo.php?workbook=02_02.xlsx&amp;sheet=A0&amp;row=172&amp;col=8&amp;number=&amp;sourceID=26","")</f>
        <v/>
      </c>
      <c r="I172" s="4" t="str">
        <f>HYPERLINK("http://141.218.60.56/~jnz1568/getInfo.php?workbook=02_02.xlsx&amp;sheet=A0&amp;row=172&amp;col=9&amp;number=910570&amp;sourceID=15","910570")</f>
        <v>910570</v>
      </c>
      <c r="J172" s="4" t="str">
        <f>HYPERLINK("http://141.218.60.56/~jnz1568/getInfo.php?workbook=02_02.xlsx&amp;sheet=A0&amp;row=172&amp;col=10&amp;number=&amp;sourceID=15","")</f>
        <v/>
      </c>
      <c r="K172" s="4" t="str">
        <f>HYPERLINK("http://141.218.60.56/~jnz1568/getInfo.php?workbook=02_02.xlsx&amp;sheet=A0&amp;row=172&amp;col=11&amp;number=&amp;sourceID=15","")</f>
        <v/>
      </c>
      <c r="L172" s="4" t="str">
        <f>HYPERLINK("http://141.218.60.56/~jnz1568/getInfo.php?workbook=02_02.xlsx&amp;sheet=A0&amp;row=172&amp;col=12&amp;number=&amp;sourceID=15","")</f>
        <v/>
      </c>
      <c r="M172" s="4" t="str">
        <f>HYPERLINK("http://141.218.60.56/~jnz1568/getInfo.php?workbook=02_02.xlsx&amp;sheet=A0&amp;row=172&amp;col=13&amp;number=911060&amp;sourceID=23","911060")</f>
        <v>911060</v>
      </c>
    </row>
    <row r="173" spans="1:13">
      <c r="A173" s="3">
        <v>2</v>
      </c>
      <c r="B173" s="3">
        <v>2</v>
      </c>
      <c r="C173" s="3">
        <v>32</v>
      </c>
      <c r="D173" s="3">
        <v>12</v>
      </c>
      <c r="E173" s="3">
        <f>((1/(INDEX(E0!J$4:J$52,C173,1)-INDEX(E0!J$4:J$52,D173,1))))*100000000</f>
        <v>0</v>
      </c>
      <c r="F173" s="4" t="str">
        <f>HYPERLINK("http://141.218.60.56/~jnz1568/getInfo.php?workbook=02_02.xlsx&amp;sheet=A0&amp;row=173&amp;col=6&amp;number=&amp;sourceID=27","")</f>
        <v/>
      </c>
      <c r="G173" s="4" t="str">
        <f>HYPERLINK("http://141.218.60.56/~jnz1568/getInfo.php?workbook=02_02.xlsx&amp;sheet=A0&amp;row=173&amp;col=7&amp;number=&amp;sourceID=26","")</f>
        <v/>
      </c>
      <c r="H173" s="4" t="str">
        <f>HYPERLINK("http://141.218.60.56/~jnz1568/getInfo.php?workbook=02_02.xlsx&amp;sheet=A0&amp;row=173&amp;col=8&amp;number=&amp;sourceID=26","")</f>
        <v/>
      </c>
      <c r="I173" s="4" t="str">
        <f>HYPERLINK("http://141.218.60.56/~jnz1568/getInfo.php?workbook=02_02.xlsx&amp;sheet=A0&amp;row=173&amp;col=9&amp;number=303520&amp;sourceID=15","303520")</f>
        <v>303520</v>
      </c>
      <c r="J173" s="4" t="str">
        <f>HYPERLINK("http://141.218.60.56/~jnz1568/getInfo.php?workbook=02_02.xlsx&amp;sheet=A0&amp;row=173&amp;col=10&amp;number=&amp;sourceID=15","")</f>
        <v/>
      </c>
      <c r="K173" s="4" t="str">
        <f>HYPERLINK("http://141.218.60.56/~jnz1568/getInfo.php?workbook=02_02.xlsx&amp;sheet=A0&amp;row=173&amp;col=11&amp;number=&amp;sourceID=15","")</f>
        <v/>
      </c>
      <c r="L173" s="4" t="str">
        <f>HYPERLINK("http://141.218.60.56/~jnz1568/getInfo.php?workbook=02_02.xlsx&amp;sheet=A0&amp;row=173&amp;col=12&amp;number=&amp;sourceID=15","")</f>
        <v/>
      </c>
      <c r="M173" s="4" t="str">
        <f>HYPERLINK("http://141.218.60.56/~jnz1568/getInfo.php?workbook=02_02.xlsx&amp;sheet=A0&amp;row=173&amp;col=13&amp;number=303690&amp;sourceID=23","303690")</f>
        <v>303690</v>
      </c>
    </row>
    <row r="174" spans="1:13">
      <c r="A174" s="3">
        <v>2</v>
      </c>
      <c r="B174" s="3">
        <v>2</v>
      </c>
      <c r="C174" s="3">
        <v>32</v>
      </c>
      <c r="D174" s="3">
        <v>17</v>
      </c>
      <c r="E174" s="3">
        <f>((1/(INDEX(E0!J$4:J$52,C174,1)-INDEX(E0!J$4:J$52,D174,1))))*100000000</f>
        <v>0</v>
      </c>
      <c r="F174" s="4" t="str">
        <f>HYPERLINK("http://141.218.60.56/~jnz1568/getInfo.php?workbook=02_02.xlsx&amp;sheet=A0&amp;row=174&amp;col=6&amp;number=&amp;sourceID=27","")</f>
        <v/>
      </c>
      <c r="G174" s="4" t="str">
        <f>HYPERLINK("http://141.218.60.56/~jnz1568/getInfo.php?workbook=02_02.xlsx&amp;sheet=A0&amp;row=174&amp;col=7&amp;number=&amp;sourceID=26","")</f>
        <v/>
      </c>
      <c r="H174" s="4" t="str">
        <f>HYPERLINK("http://141.218.60.56/~jnz1568/getInfo.php?workbook=02_02.xlsx&amp;sheet=A0&amp;row=174&amp;col=8&amp;number=&amp;sourceID=26","")</f>
        <v/>
      </c>
      <c r="I174" s="4" t="str">
        <f>HYPERLINK("http://141.218.60.56/~jnz1568/getInfo.php?workbook=02_02.xlsx&amp;sheet=A0&amp;row=174&amp;col=9&amp;number=&amp;sourceID=15","")</f>
        <v/>
      </c>
      <c r="J174" s="4" t="str">
        <f>HYPERLINK("http://141.218.60.56/~jnz1568/getInfo.php?workbook=02_02.xlsx&amp;sheet=A0&amp;row=174&amp;col=10&amp;number=&amp;sourceID=15","")</f>
        <v/>
      </c>
      <c r="K174" s="4" t="str">
        <f>HYPERLINK("http://141.218.60.56/~jnz1568/getInfo.php?workbook=02_02.xlsx&amp;sheet=A0&amp;row=174&amp;col=11&amp;number=&amp;sourceID=15","")</f>
        <v/>
      </c>
      <c r="L174" s="4" t="str">
        <f>HYPERLINK("http://141.218.60.56/~jnz1568/getInfo.php?workbook=02_02.xlsx&amp;sheet=A0&amp;row=174&amp;col=12&amp;number=&amp;sourceID=15","")</f>
        <v/>
      </c>
      <c r="M174" s="4" t="str">
        <f>HYPERLINK("http://141.218.60.56/~jnz1568/getInfo.php?workbook=02_02.xlsx&amp;sheet=A0&amp;row=174&amp;col=13&amp;number=0.059027&amp;sourceID=23","0.059027")</f>
        <v>0.059027</v>
      </c>
    </row>
    <row r="175" spans="1:13">
      <c r="A175" s="3">
        <v>2</v>
      </c>
      <c r="B175" s="3">
        <v>2</v>
      </c>
      <c r="C175" s="3">
        <v>32</v>
      </c>
      <c r="D175" s="3">
        <v>20</v>
      </c>
      <c r="E175" s="3">
        <f>((1/(INDEX(E0!J$4:J$52,C175,1)-INDEX(E0!J$4:J$52,D175,1))))*100000000</f>
        <v>0</v>
      </c>
      <c r="F175" s="4" t="str">
        <f>HYPERLINK("http://141.218.60.56/~jnz1568/getInfo.php?workbook=02_02.xlsx&amp;sheet=A0&amp;row=175&amp;col=6&amp;number=&amp;sourceID=27","")</f>
        <v/>
      </c>
      <c r="G175" s="4" t="str">
        <f>HYPERLINK("http://141.218.60.56/~jnz1568/getInfo.php?workbook=02_02.xlsx&amp;sheet=A0&amp;row=175&amp;col=7&amp;number=&amp;sourceID=26","")</f>
        <v/>
      </c>
      <c r="H175" s="4" t="str">
        <f>HYPERLINK("http://141.218.60.56/~jnz1568/getInfo.php?workbook=02_02.xlsx&amp;sheet=A0&amp;row=175&amp;col=8&amp;number=&amp;sourceID=26","")</f>
        <v/>
      </c>
      <c r="I175" s="4" t="str">
        <f>HYPERLINK("http://141.218.60.56/~jnz1568/getInfo.php?workbook=02_02.xlsx&amp;sheet=A0&amp;row=175&amp;col=9&amp;number=1123700&amp;sourceID=15","1123700")</f>
        <v>1123700</v>
      </c>
      <c r="J175" s="4" t="str">
        <f>HYPERLINK("http://141.218.60.56/~jnz1568/getInfo.php?workbook=02_02.xlsx&amp;sheet=A0&amp;row=175&amp;col=10&amp;number=&amp;sourceID=15","")</f>
        <v/>
      </c>
      <c r="K175" s="4" t="str">
        <f>HYPERLINK("http://141.218.60.56/~jnz1568/getInfo.php?workbook=02_02.xlsx&amp;sheet=A0&amp;row=175&amp;col=11&amp;number=&amp;sourceID=15","")</f>
        <v/>
      </c>
      <c r="L175" s="4" t="str">
        <f>HYPERLINK("http://141.218.60.56/~jnz1568/getInfo.php?workbook=02_02.xlsx&amp;sheet=A0&amp;row=175&amp;col=12&amp;number=&amp;sourceID=15","")</f>
        <v/>
      </c>
      <c r="M175" s="4" t="str">
        <f>HYPERLINK("http://141.218.60.56/~jnz1568/getInfo.php?workbook=02_02.xlsx&amp;sheet=A0&amp;row=175&amp;col=13&amp;number=1123900&amp;sourceID=23","1123900")</f>
        <v>1123900</v>
      </c>
    </row>
    <row r="176" spans="1:13">
      <c r="A176" s="3">
        <v>2</v>
      </c>
      <c r="B176" s="3">
        <v>2</v>
      </c>
      <c r="C176" s="3">
        <v>32</v>
      </c>
      <c r="D176" s="3">
        <v>21</v>
      </c>
      <c r="E176" s="3">
        <f>((1/(INDEX(E0!J$4:J$52,C176,1)-INDEX(E0!J$4:J$52,D176,1))))*100000000</f>
        <v>0</v>
      </c>
      <c r="F176" s="4" t="str">
        <f>HYPERLINK("http://141.218.60.56/~jnz1568/getInfo.php?workbook=02_02.xlsx&amp;sheet=A0&amp;row=176&amp;col=6&amp;number=&amp;sourceID=27","")</f>
        <v/>
      </c>
      <c r="G176" s="4" t="str">
        <f>HYPERLINK("http://141.218.60.56/~jnz1568/getInfo.php?workbook=02_02.xlsx&amp;sheet=A0&amp;row=176&amp;col=7&amp;number=&amp;sourceID=26","")</f>
        <v/>
      </c>
      <c r="H176" s="4" t="str">
        <f>HYPERLINK("http://141.218.60.56/~jnz1568/getInfo.php?workbook=02_02.xlsx&amp;sheet=A0&amp;row=176&amp;col=8&amp;number=&amp;sourceID=26","")</f>
        <v/>
      </c>
      <c r="I176" s="4" t="str">
        <f>HYPERLINK("http://141.218.60.56/~jnz1568/getInfo.php?workbook=02_02.xlsx&amp;sheet=A0&amp;row=176&amp;col=9&amp;number=674210&amp;sourceID=15","674210")</f>
        <v>674210</v>
      </c>
      <c r="J176" s="4" t="str">
        <f>HYPERLINK("http://141.218.60.56/~jnz1568/getInfo.php?workbook=02_02.xlsx&amp;sheet=A0&amp;row=176&amp;col=10&amp;number=&amp;sourceID=15","")</f>
        <v/>
      </c>
      <c r="K176" s="4" t="str">
        <f>HYPERLINK("http://141.218.60.56/~jnz1568/getInfo.php?workbook=02_02.xlsx&amp;sheet=A0&amp;row=176&amp;col=11&amp;number=&amp;sourceID=15","")</f>
        <v/>
      </c>
      <c r="L176" s="4" t="str">
        <f>HYPERLINK("http://141.218.60.56/~jnz1568/getInfo.php?workbook=02_02.xlsx&amp;sheet=A0&amp;row=176&amp;col=12&amp;number=&amp;sourceID=15","")</f>
        <v/>
      </c>
      <c r="M176" s="4" t="str">
        <f>HYPERLINK("http://141.218.60.56/~jnz1568/getInfo.php?workbook=02_02.xlsx&amp;sheet=A0&amp;row=176&amp;col=13&amp;number=674320&amp;sourceID=23","674320")</f>
        <v>674320</v>
      </c>
    </row>
    <row r="177" spans="1:13">
      <c r="A177" s="3">
        <v>2</v>
      </c>
      <c r="B177" s="3">
        <v>2</v>
      </c>
      <c r="C177" s="3">
        <v>32</v>
      </c>
      <c r="D177" s="3">
        <v>22</v>
      </c>
      <c r="E177" s="3">
        <f>((1/(INDEX(E0!J$4:J$52,C177,1)-INDEX(E0!J$4:J$52,D177,1))))*100000000</f>
        <v>0</v>
      </c>
      <c r="F177" s="4" t="str">
        <f>HYPERLINK("http://141.218.60.56/~jnz1568/getInfo.php?workbook=02_02.xlsx&amp;sheet=A0&amp;row=177&amp;col=6&amp;number=&amp;sourceID=27","")</f>
        <v/>
      </c>
      <c r="G177" s="4" t="str">
        <f>HYPERLINK("http://141.218.60.56/~jnz1568/getInfo.php?workbook=02_02.xlsx&amp;sheet=A0&amp;row=177&amp;col=7&amp;number=&amp;sourceID=26","")</f>
        <v/>
      </c>
      <c r="H177" s="4" t="str">
        <f>HYPERLINK("http://141.218.60.56/~jnz1568/getInfo.php?workbook=02_02.xlsx&amp;sheet=A0&amp;row=177&amp;col=8&amp;number=&amp;sourceID=26","")</f>
        <v/>
      </c>
      <c r="I177" s="4" t="str">
        <f>HYPERLINK("http://141.218.60.56/~jnz1568/getInfo.php?workbook=02_02.xlsx&amp;sheet=A0&amp;row=177&amp;col=9&amp;number=224740&amp;sourceID=15","224740")</f>
        <v>224740</v>
      </c>
      <c r="J177" s="4" t="str">
        <f>HYPERLINK("http://141.218.60.56/~jnz1568/getInfo.php?workbook=02_02.xlsx&amp;sheet=A0&amp;row=177&amp;col=10&amp;number=&amp;sourceID=15","")</f>
        <v/>
      </c>
      <c r="K177" s="4" t="str">
        <f>HYPERLINK("http://141.218.60.56/~jnz1568/getInfo.php?workbook=02_02.xlsx&amp;sheet=A0&amp;row=177&amp;col=11&amp;number=&amp;sourceID=15","")</f>
        <v/>
      </c>
      <c r="L177" s="4" t="str">
        <f>HYPERLINK("http://141.218.60.56/~jnz1568/getInfo.php?workbook=02_02.xlsx&amp;sheet=A0&amp;row=177&amp;col=12&amp;number=&amp;sourceID=15","")</f>
        <v/>
      </c>
      <c r="M177" s="4" t="str">
        <f>HYPERLINK("http://141.218.60.56/~jnz1568/getInfo.php?workbook=02_02.xlsx&amp;sheet=A0&amp;row=177&amp;col=13&amp;number=224780&amp;sourceID=23","224780")</f>
        <v>224780</v>
      </c>
    </row>
    <row r="178" spans="1:13">
      <c r="A178" s="3">
        <v>2</v>
      </c>
      <c r="B178" s="3">
        <v>2</v>
      </c>
      <c r="C178" s="3">
        <v>32</v>
      </c>
      <c r="D178" s="3">
        <v>29</v>
      </c>
      <c r="E178" s="3">
        <f>((1/(INDEX(E0!J$4:J$52,C178,1)-INDEX(E0!J$4:J$52,D178,1))))*100000000</f>
        <v>0</v>
      </c>
      <c r="F178" s="4" t="str">
        <f>HYPERLINK("http://141.218.60.56/~jnz1568/getInfo.php?workbook=02_02.xlsx&amp;sheet=A0&amp;row=178&amp;col=6&amp;number=&amp;sourceID=27","")</f>
        <v/>
      </c>
      <c r="G178" s="4" t="str">
        <f>HYPERLINK("http://141.218.60.56/~jnz1568/getInfo.php?workbook=02_02.xlsx&amp;sheet=A0&amp;row=178&amp;col=7&amp;number=&amp;sourceID=26","")</f>
        <v/>
      </c>
      <c r="H178" s="4" t="str">
        <f>HYPERLINK("http://141.218.60.56/~jnz1568/getInfo.php?workbook=02_02.xlsx&amp;sheet=A0&amp;row=178&amp;col=8&amp;number=&amp;sourceID=26","")</f>
        <v/>
      </c>
      <c r="I178" s="4" t="str">
        <f>HYPERLINK("http://141.218.60.56/~jnz1568/getInfo.php?workbook=02_02.xlsx&amp;sheet=A0&amp;row=178&amp;col=9&amp;number=&amp;sourceID=15","")</f>
        <v/>
      </c>
      <c r="J178" s="4" t="str">
        <f>HYPERLINK("http://141.218.60.56/~jnz1568/getInfo.php?workbook=02_02.xlsx&amp;sheet=A0&amp;row=178&amp;col=10&amp;number=&amp;sourceID=15","")</f>
        <v/>
      </c>
      <c r="K178" s="4" t="str">
        <f>HYPERLINK("http://141.218.60.56/~jnz1568/getInfo.php?workbook=02_02.xlsx&amp;sheet=A0&amp;row=178&amp;col=11&amp;number=&amp;sourceID=15","")</f>
        <v/>
      </c>
      <c r="L178" s="4" t="str">
        <f>HYPERLINK("http://141.218.60.56/~jnz1568/getInfo.php?workbook=02_02.xlsx&amp;sheet=A0&amp;row=178&amp;col=12&amp;number=&amp;sourceID=15","")</f>
        <v/>
      </c>
      <c r="M178" s="4" t="str">
        <f>HYPERLINK("http://141.218.60.56/~jnz1568/getInfo.php?workbook=02_02.xlsx&amp;sheet=A0&amp;row=178&amp;col=13&amp;number=1.1772e-08&amp;sourceID=23","1.1772e-08")</f>
        <v>1.1772e-08</v>
      </c>
    </row>
    <row r="179" spans="1:13">
      <c r="A179" s="3">
        <v>2</v>
      </c>
      <c r="B179" s="3">
        <v>2</v>
      </c>
      <c r="C179" s="3">
        <v>32</v>
      </c>
      <c r="D179" s="3">
        <v>31</v>
      </c>
      <c r="E179" s="3">
        <f>((1/(INDEX(E0!J$4:J$52,C179,1)-INDEX(E0!J$4:J$52,D179,1))))*100000000</f>
        <v>0</v>
      </c>
      <c r="F179" s="4" t="str">
        <f>HYPERLINK("http://141.218.60.56/~jnz1568/getInfo.php?workbook=02_02.xlsx&amp;sheet=A0&amp;row=179&amp;col=6&amp;number=&amp;sourceID=27","")</f>
        <v/>
      </c>
      <c r="G179" s="4" t="str">
        <f>HYPERLINK("http://141.218.60.56/~jnz1568/getInfo.php?workbook=02_02.xlsx&amp;sheet=A0&amp;row=179&amp;col=7&amp;number=&amp;sourceID=26","")</f>
        <v/>
      </c>
      <c r="H179" s="4" t="str">
        <f>HYPERLINK("http://141.218.60.56/~jnz1568/getInfo.php?workbook=02_02.xlsx&amp;sheet=A0&amp;row=179&amp;col=8&amp;number=&amp;sourceID=26","")</f>
        <v/>
      </c>
      <c r="I179" s="4" t="str">
        <f>HYPERLINK("http://141.218.60.56/~jnz1568/getInfo.php?workbook=02_02.xlsx&amp;sheet=A0&amp;row=179&amp;col=9&amp;number=&amp;sourceID=15","")</f>
        <v/>
      </c>
      <c r="J179" s="4" t="str">
        <f>HYPERLINK("http://141.218.60.56/~jnz1568/getInfo.php?workbook=02_02.xlsx&amp;sheet=A0&amp;row=179&amp;col=10&amp;number=&amp;sourceID=15","")</f>
        <v/>
      </c>
      <c r="K179" s="4" t="str">
        <f>HYPERLINK("http://141.218.60.56/~jnz1568/getInfo.php?workbook=02_02.xlsx&amp;sheet=A0&amp;row=179&amp;col=11&amp;number=&amp;sourceID=15","")</f>
        <v/>
      </c>
      <c r="L179" s="4" t="str">
        <f>HYPERLINK("http://141.218.60.56/~jnz1568/getInfo.php?workbook=02_02.xlsx&amp;sheet=A0&amp;row=179&amp;col=12&amp;number=&amp;sourceID=15","")</f>
        <v/>
      </c>
      <c r="M179" s="4" t="str">
        <f>HYPERLINK("http://141.218.60.56/~jnz1568/getInfo.php?workbook=02_02.xlsx&amp;sheet=A0&amp;row=179&amp;col=13&amp;number=0.044179&amp;sourceID=23","0.044179")</f>
        <v>0.044179</v>
      </c>
    </row>
    <row r="180" spans="1:13">
      <c r="A180" s="3">
        <v>2</v>
      </c>
      <c r="B180" s="3">
        <v>2</v>
      </c>
      <c r="C180" s="3">
        <v>33</v>
      </c>
      <c r="D180" s="3">
        <v>5</v>
      </c>
      <c r="E180" s="3">
        <f>((1/(INDEX(E0!J$4:J$52,C180,1)-INDEX(E0!J$4:J$52,D180,1))))*100000000</f>
        <v>0</v>
      </c>
      <c r="F180" s="4" t="str">
        <f>HYPERLINK("http://141.218.60.56/~jnz1568/getInfo.php?workbook=02_02.xlsx&amp;sheet=A0&amp;row=180&amp;col=6&amp;number=&amp;sourceID=27","")</f>
        <v/>
      </c>
      <c r="G180" s="4" t="str">
        <f>HYPERLINK("http://141.218.60.56/~jnz1568/getInfo.php?workbook=02_02.xlsx&amp;sheet=A0&amp;row=180&amp;col=7&amp;number=&amp;sourceID=26","")</f>
        <v/>
      </c>
      <c r="H180" s="4" t="str">
        <f>HYPERLINK("http://141.218.60.56/~jnz1568/getInfo.php?workbook=02_02.xlsx&amp;sheet=A0&amp;row=180&amp;col=8&amp;number=&amp;sourceID=26","")</f>
        <v/>
      </c>
      <c r="I180" s="4" t="str">
        <f>HYPERLINK("http://141.218.60.56/~jnz1568/getInfo.php?workbook=02_02.xlsx&amp;sheet=A0&amp;row=180&amp;col=9&amp;number=&amp;sourceID=15","")</f>
        <v/>
      </c>
      <c r="J180" s="4" t="str">
        <f>HYPERLINK("http://141.218.60.56/~jnz1568/getInfo.php?workbook=02_02.xlsx&amp;sheet=A0&amp;row=180&amp;col=10&amp;number=&amp;sourceID=15","")</f>
        <v/>
      </c>
      <c r="K180" s="4" t="str">
        <f>HYPERLINK("http://141.218.60.56/~jnz1568/getInfo.php?workbook=02_02.xlsx&amp;sheet=A0&amp;row=180&amp;col=11&amp;number=&amp;sourceID=15","")</f>
        <v/>
      </c>
      <c r="L180" s="4" t="str">
        <f>HYPERLINK("http://141.218.60.56/~jnz1568/getInfo.php?workbook=02_02.xlsx&amp;sheet=A0&amp;row=180&amp;col=12&amp;number=&amp;sourceID=15","")</f>
        <v/>
      </c>
      <c r="M180" s="4" t="str">
        <f>HYPERLINK("http://141.218.60.56/~jnz1568/getInfo.php?workbook=02_02.xlsx&amp;sheet=A0&amp;row=180&amp;col=13&amp;number=0.21331&amp;sourceID=23","0.21331")</f>
        <v>0.21331</v>
      </c>
    </row>
    <row r="181" spans="1:13">
      <c r="A181" s="3">
        <v>2</v>
      </c>
      <c r="B181" s="3">
        <v>2</v>
      </c>
      <c r="C181" s="3">
        <v>33</v>
      </c>
      <c r="D181" s="3">
        <v>7</v>
      </c>
      <c r="E181" s="3">
        <f>((1/(INDEX(E0!J$4:J$52,C181,1)-INDEX(E0!J$4:J$52,D181,1))))*100000000</f>
        <v>0</v>
      </c>
      <c r="F181" s="4" t="str">
        <f>HYPERLINK("http://141.218.60.56/~jnz1568/getInfo.php?workbook=02_02.xlsx&amp;sheet=A0&amp;row=181&amp;col=6&amp;number=&amp;sourceID=27","")</f>
        <v/>
      </c>
      <c r="G181" s="4" t="str">
        <f>HYPERLINK("http://141.218.60.56/~jnz1568/getInfo.php?workbook=02_02.xlsx&amp;sheet=A0&amp;row=181&amp;col=7&amp;number=&amp;sourceID=26","")</f>
        <v/>
      </c>
      <c r="H181" s="4" t="str">
        <f>HYPERLINK("http://141.218.60.56/~jnz1568/getInfo.php?workbook=02_02.xlsx&amp;sheet=A0&amp;row=181&amp;col=8&amp;number=&amp;sourceID=26","")</f>
        <v/>
      </c>
      <c r="I181" s="4" t="str">
        <f>HYPERLINK("http://141.218.60.56/~jnz1568/getInfo.php?workbook=02_02.xlsx&amp;sheet=A0&amp;row=181&amp;col=9&amp;number=3268900&amp;sourceID=15","3268900")</f>
        <v>3268900</v>
      </c>
      <c r="J181" s="4" t="str">
        <f>HYPERLINK("http://141.218.60.56/~jnz1568/getInfo.php?workbook=02_02.xlsx&amp;sheet=A0&amp;row=181&amp;col=10&amp;number=&amp;sourceID=15","")</f>
        <v/>
      </c>
      <c r="K181" s="4" t="str">
        <f>HYPERLINK("http://141.218.60.56/~jnz1568/getInfo.php?workbook=02_02.xlsx&amp;sheet=A0&amp;row=181&amp;col=11&amp;number=&amp;sourceID=15","")</f>
        <v/>
      </c>
      <c r="L181" s="4" t="str">
        <f>HYPERLINK("http://141.218.60.56/~jnz1568/getInfo.php?workbook=02_02.xlsx&amp;sheet=A0&amp;row=181&amp;col=12&amp;number=&amp;sourceID=15","")</f>
        <v/>
      </c>
      <c r="M181" s="4" t="str">
        <f>HYPERLINK("http://141.218.60.56/~jnz1568/getInfo.php?workbook=02_02.xlsx&amp;sheet=A0&amp;row=181&amp;col=13&amp;number=3268400&amp;sourceID=23","3268400")</f>
        <v>3268400</v>
      </c>
    </row>
    <row r="182" spans="1:13">
      <c r="A182" s="3">
        <v>2</v>
      </c>
      <c r="B182" s="3">
        <v>2</v>
      </c>
      <c r="C182" s="3">
        <v>33</v>
      </c>
      <c r="D182" s="3">
        <v>11</v>
      </c>
      <c r="E182" s="3">
        <f>((1/(INDEX(E0!J$4:J$52,C182,1)-INDEX(E0!J$4:J$52,D182,1))))*100000000</f>
        <v>0</v>
      </c>
      <c r="F182" s="4" t="str">
        <f>HYPERLINK("http://141.218.60.56/~jnz1568/getInfo.php?workbook=02_02.xlsx&amp;sheet=A0&amp;row=182&amp;col=6&amp;number=&amp;sourceID=27","")</f>
        <v/>
      </c>
      <c r="G182" s="4" t="str">
        <f>HYPERLINK("http://141.218.60.56/~jnz1568/getInfo.php?workbook=02_02.xlsx&amp;sheet=A0&amp;row=182&amp;col=7&amp;number=&amp;sourceID=26","")</f>
        <v/>
      </c>
      <c r="H182" s="4" t="str">
        <f>HYPERLINK("http://141.218.60.56/~jnz1568/getInfo.php?workbook=02_02.xlsx&amp;sheet=A0&amp;row=182&amp;col=8&amp;number=&amp;sourceID=26","")</f>
        <v/>
      </c>
      <c r="I182" s="4" t="str">
        <f>HYPERLINK("http://141.218.60.56/~jnz1568/getInfo.php?workbook=02_02.xlsx&amp;sheet=A0&amp;row=182&amp;col=9&amp;number=&amp;sourceID=15","")</f>
        <v/>
      </c>
      <c r="J182" s="4" t="str">
        <f>HYPERLINK("http://141.218.60.56/~jnz1568/getInfo.php?workbook=02_02.xlsx&amp;sheet=A0&amp;row=182&amp;col=10&amp;number=&amp;sourceID=15","")</f>
        <v/>
      </c>
      <c r="K182" s="4" t="str">
        <f>HYPERLINK("http://141.218.60.56/~jnz1568/getInfo.php?workbook=02_02.xlsx&amp;sheet=A0&amp;row=182&amp;col=11&amp;number=&amp;sourceID=15","")</f>
        <v/>
      </c>
      <c r="L182" s="4" t="str">
        <f>HYPERLINK("http://141.218.60.56/~jnz1568/getInfo.php?workbook=02_02.xlsx&amp;sheet=A0&amp;row=182&amp;col=12&amp;number=&amp;sourceID=15","")</f>
        <v/>
      </c>
      <c r="M182" s="4" t="str">
        <f>HYPERLINK("http://141.218.60.56/~jnz1568/getInfo.php?workbook=02_02.xlsx&amp;sheet=A0&amp;row=182&amp;col=13&amp;number=0.10856&amp;sourceID=23","0.10856")</f>
        <v>0.10856</v>
      </c>
    </row>
    <row r="183" spans="1:13">
      <c r="A183" s="3">
        <v>2</v>
      </c>
      <c r="B183" s="3">
        <v>2</v>
      </c>
      <c r="C183" s="3">
        <v>33</v>
      </c>
      <c r="D183" s="3">
        <v>16</v>
      </c>
      <c r="E183" s="3">
        <f>((1/(INDEX(E0!J$4:J$52,C183,1)-INDEX(E0!J$4:J$52,D183,1))))*100000000</f>
        <v>0</v>
      </c>
      <c r="F183" s="4" t="str">
        <f>HYPERLINK("http://141.218.60.56/~jnz1568/getInfo.php?workbook=02_02.xlsx&amp;sheet=A0&amp;row=183&amp;col=6&amp;number=&amp;sourceID=27","")</f>
        <v/>
      </c>
      <c r="G183" s="4" t="str">
        <f>HYPERLINK("http://141.218.60.56/~jnz1568/getInfo.php?workbook=02_02.xlsx&amp;sheet=A0&amp;row=183&amp;col=7&amp;number=&amp;sourceID=26","")</f>
        <v/>
      </c>
      <c r="H183" s="4" t="str">
        <f>HYPERLINK("http://141.218.60.56/~jnz1568/getInfo.php?workbook=02_02.xlsx&amp;sheet=A0&amp;row=183&amp;col=8&amp;number=&amp;sourceID=26","")</f>
        <v/>
      </c>
      <c r="I183" s="4" t="str">
        <f>HYPERLINK("http://141.218.60.56/~jnz1568/getInfo.php?workbook=02_02.xlsx&amp;sheet=A0&amp;row=183&amp;col=9&amp;number=&amp;sourceID=15","")</f>
        <v/>
      </c>
      <c r="J183" s="4" t="str">
        <f>HYPERLINK("http://141.218.60.56/~jnz1568/getInfo.php?workbook=02_02.xlsx&amp;sheet=A0&amp;row=183&amp;col=10&amp;number=0.74166&amp;sourceID=15","0.74166")</f>
        <v>0.74166</v>
      </c>
      <c r="K183" s="4" t="str">
        <f>HYPERLINK("http://141.218.60.56/~jnz1568/getInfo.php?workbook=02_02.xlsx&amp;sheet=A0&amp;row=183&amp;col=11&amp;number=&amp;sourceID=15","")</f>
        <v/>
      </c>
      <c r="L183" s="4" t="str">
        <f>HYPERLINK("http://141.218.60.56/~jnz1568/getInfo.php?workbook=02_02.xlsx&amp;sheet=A0&amp;row=183&amp;col=12&amp;number=&amp;sourceID=15","")</f>
        <v/>
      </c>
      <c r="M183" s="4" t="str">
        <f>HYPERLINK("http://141.218.60.56/~jnz1568/getInfo.php?workbook=02_02.xlsx&amp;sheet=A0&amp;row=183&amp;col=13&amp;number=&amp;sourceID=23","")</f>
        <v/>
      </c>
    </row>
    <row r="184" spans="1:13">
      <c r="A184" s="3">
        <v>2</v>
      </c>
      <c r="B184" s="3">
        <v>2</v>
      </c>
      <c r="C184" s="3">
        <v>33</v>
      </c>
      <c r="D184" s="3">
        <v>17</v>
      </c>
      <c r="E184" s="3">
        <f>((1/(INDEX(E0!J$4:J$52,C184,1)-INDEX(E0!J$4:J$52,D184,1))))*100000000</f>
        <v>0</v>
      </c>
      <c r="F184" s="4" t="str">
        <f>HYPERLINK("http://141.218.60.56/~jnz1568/getInfo.php?workbook=02_02.xlsx&amp;sheet=A0&amp;row=184&amp;col=6&amp;number=&amp;sourceID=27","")</f>
        <v/>
      </c>
      <c r="G184" s="4" t="str">
        <f>HYPERLINK("http://141.218.60.56/~jnz1568/getInfo.php?workbook=02_02.xlsx&amp;sheet=A0&amp;row=184&amp;col=7&amp;number=&amp;sourceID=26","")</f>
        <v/>
      </c>
      <c r="H184" s="4" t="str">
        <f>HYPERLINK("http://141.218.60.56/~jnz1568/getInfo.php?workbook=02_02.xlsx&amp;sheet=A0&amp;row=184&amp;col=8&amp;number=&amp;sourceID=26","")</f>
        <v/>
      </c>
      <c r="I184" s="4" t="str">
        <f>HYPERLINK("http://141.218.60.56/~jnz1568/getInfo.php?workbook=02_02.xlsx&amp;sheet=A0&amp;row=184&amp;col=9&amp;number=2057200&amp;sourceID=15","2057200")</f>
        <v>2057200</v>
      </c>
      <c r="J184" s="4" t="str">
        <f>HYPERLINK("http://141.218.60.56/~jnz1568/getInfo.php?workbook=02_02.xlsx&amp;sheet=A0&amp;row=184&amp;col=10&amp;number=&amp;sourceID=15","")</f>
        <v/>
      </c>
      <c r="K184" s="4" t="str">
        <f>HYPERLINK("http://141.218.60.56/~jnz1568/getInfo.php?workbook=02_02.xlsx&amp;sheet=A0&amp;row=184&amp;col=11&amp;number=&amp;sourceID=15","")</f>
        <v/>
      </c>
      <c r="L184" s="4" t="str">
        <f>HYPERLINK("http://141.218.60.56/~jnz1568/getInfo.php?workbook=02_02.xlsx&amp;sheet=A0&amp;row=184&amp;col=12&amp;number=&amp;sourceID=15","")</f>
        <v/>
      </c>
      <c r="M184" s="4" t="str">
        <f>HYPERLINK("http://141.218.60.56/~jnz1568/getInfo.php?workbook=02_02.xlsx&amp;sheet=A0&amp;row=184&amp;col=13&amp;number=2057100&amp;sourceID=23","2057100")</f>
        <v>2057100</v>
      </c>
    </row>
    <row r="185" spans="1:13">
      <c r="A185" s="3">
        <v>2</v>
      </c>
      <c r="B185" s="3">
        <v>2</v>
      </c>
      <c r="C185" s="3">
        <v>33</v>
      </c>
      <c r="D185" s="3">
        <v>21</v>
      </c>
      <c r="E185" s="3">
        <f>((1/(INDEX(E0!J$4:J$52,C185,1)-INDEX(E0!J$4:J$52,D185,1))))*100000000</f>
        <v>0</v>
      </c>
      <c r="F185" s="4" t="str">
        <f>HYPERLINK("http://141.218.60.56/~jnz1568/getInfo.php?workbook=02_02.xlsx&amp;sheet=A0&amp;row=185&amp;col=6&amp;number=&amp;sourceID=27","")</f>
        <v/>
      </c>
      <c r="G185" s="4" t="str">
        <f>HYPERLINK("http://141.218.60.56/~jnz1568/getInfo.php?workbook=02_02.xlsx&amp;sheet=A0&amp;row=185&amp;col=7&amp;number=&amp;sourceID=26","")</f>
        <v/>
      </c>
      <c r="H185" s="4" t="str">
        <f>HYPERLINK("http://141.218.60.56/~jnz1568/getInfo.php?workbook=02_02.xlsx&amp;sheet=A0&amp;row=185&amp;col=8&amp;number=&amp;sourceID=26","")</f>
        <v/>
      </c>
      <c r="I185" s="4" t="str">
        <f>HYPERLINK("http://141.218.60.56/~jnz1568/getInfo.php?workbook=02_02.xlsx&amp;sheet=A0&amp;row=185&amp;col=9&amp;number=&amp;sourceID=15","")</f>
        <v/>
      </c>
      <c r="J185" s="4" t="str">
        <f>HYPERLINK("http://141.218.60.56/~jnz1568/getInfo.php?workbook=02_02.xlsx&amp;sheet=A0&amp;row=185&amp;col=10&amp;number=&amp;sourceID=15","")</f>
        <v/>
      </c>
      <c r="K185" s="4" t="str">
        <f>HYPERLINK("http://141.218.60.56/~jnz1568/getInfo.php?workbook=02_02.xlsx&amp;sheet=A0&amp;row=185&amp;col=11&amp;number=&amp;sourceID=15","")</f>
        <v/>
      </c>
      <c r="L185" s="4" t="str">
        <f>HYPERLINK("http://141.218.60.56/~jnz1568/getInfo.php?workbook=02_02.xlsx&amp;sheet=A0&amp;row=185&amp;col=12&amp;number=&amp;sourceID=15","")</f>
        <v/>
      </c>
      <c r="M185" s="4" t="str">
        <f>HYPERLINK("http://141.218.60.56/~jnz1568/getInfo.php?workbook=02_02.xlsx&amp;sheet=A0&amp;row=185&amp;col=13&amp;number=0.07288&amp;sourceID=23","0.07288")</f>
        <v>0.07288</v>
      </c>
    </row>
    <row r="186" spans="1:13">
      <c r="A186" s="3">
        <v>2</v>
      </c>
      <c r="B186" s="3">
        <v>2</v>
      </c>
      <c r="C186" s="3">
        <v>33</v>
      </c>
      <c r="D186" s="3">
        <v>26</v>
      </c>
      <c r="E186" s="3">
        <f>((1/(INDEX(E0!J$4:J$52,C186,1)-INDEX(E0!J$4:J$52,D186,1))))*100000000</f>
        <v>0</v>
      </c>
      <c r="F186" s="4" t="str">
        <f>HYPERLINK("http://141.218.60.56/~jnz1568/getInfo.php?workbook=02_02.xlsx&amp;sheet=A0&amp;row=186&amp;col=6&amp;number=&amp;sourceID=27","")</f>
        <v/>
      </c>
      <c r="G186" s="4" t="str">
        <f>HYPERLINK("http://141.218.60.56/~jnz1568/getInfo.php?workbook=02_02.xlsx&amp;sheet=A0&amp;row=186&amp;col=7&amp;number=&amp;sourceID=26","")</f>
        <v/>
      </c>
      <c r="H186" s="4" t="str">
        <f>HYPERLINK("http://141.218.60.56/~jnz1568/getInfo.php?workbook=02_02.xlsx&amp;sheet=A0&amp;row=186&amp;col=8&amp;number=&amp;sourceID=26","")</f>
        <v/>
      </c>
      <c r="I186" s="4" t="str">
        <f>HYPERLINK("http://141.218.60.56/~jnz1568/getInfo.php?workbook=02_02.xlsx&amp;sheet=A0&amp;row=186&amp;col=9&amp;number=&amp;sourceID=15","")</f>
        <v/>
      </c>
      <c r="J186" s="4" t="str">
        <f>HYPERLINK("http://141.218.60.56/~jnz1568/getInfo.php?workbook=02_02.xlsx&amp;sheet=A0&amp;row=186&amp;col=10&amp;number=0.38108&amp;sourceID=15","0.38108")</f>
        <v>0.38108</v>
      </c>
      <c r="K186" s="4" t="str">
        <f>HYPERLINK("http://141.218.60.56/~jnz1568/getInfo.php?workbook=02_02.xlsx&amp;sheet=A0&amp;row=186&amp;col=11&amp;number=&amp;sourceID=15","")</f>
        <v/>
      </c>
      <c r="L186" s="4" t="str">
        <f>HYPERLINK("http://141.218.60.56/~jnz1568/getInfo.php?workbook=02_02.xlsx&amp;sheet=A0&amp;row=186&amp;col=12&amp;number=&amp;sourceID=15","")</f>
        <v/>
      </c>
      <c r="M186" s="4" t="str">
        <f>HYPERLINK("http://141.218.60.56/~jnz1568/getInfo.php?workbook=02_02.xlsx&amp;sheet=A0&amp;row=186&amp;col=13&amp;number=&amp;sourceID=23","")</f>
        <v/>
      </c>
    </row>
    <row r="187" spans="1:13">
      <c r="A187" s="3">
        <v>2</v>
      </c>
      <c r="B187" s="3">
        <v>2</v>
      </c>
      <c r="C187" s="3">
        <v>33</v>
      </c>
      <c r="D187" s="3">
        <v>31</v>
      </c>
      <c r="E187" s="3">
        <f>((1/(INDEX(E0!J$4:J$52,C187,1)-INDEX(E0!J$4:J$52,D187,1))))*100000000</f>
        <v>0</v>
      </c>
      <c r="F187" s="4" t="str">
        <f>HYPERLINK("http://141.218.60.56/~jnz1568/getInfo.php?workbook=02_02.xlsx&amp;sheet=A0&amp;row=187&amp;col=6&amp;number=&amp;sourceID=27","")</f>
        <v/>
      </c>
      <c r="G187" s="4" t="str">
        <f>HYPERLINK("http://141.218.60.56/~jnz1568/getInfo.php?workbook=02_02.xlsx&amp;sheet=A0&amp;row=187&amp;col=7&amp;number=&amp;sourceID=26","")</f>
        <v/>
      </c>
      <c r="H187" s="4" t="str">
        <f>HYPERLINK("http://141.218.60.56/~jnz1568/getInfo.php?workbook=02_02.xlsx&amp;sheet=A0&amp;row=187&amp;col=8&amp;number=&amp;sourceID=26","")</f>
        <v/>
      </c>
      <c r="I187" s="4" t="str">
        <f>HYPERLINK("http://141.218.60.56/~jnz1568/getInfo.php?workbook=02_02.xlsx&amp;sheet=A0&amp;row=187&amp;col=9&amp;number=1496100&amp;sourceID=15","1496100")</f>
        <v>1496100</v>
      </c>
      <c r="J187" s="4" t="str">
        <f>HYPERLINK("http://141.218.60.56/~jnz1568/getInfo.php?workbook=02_02.xlsx&amp;sheet=A0&amp;row=187&amp;col=10&amp;number=&amp;sourceID=15","")</f>
        <v/>
      </c>
      <c r="K187" s="4" t="str">
        <f>HYPERLINK("http://141.218.60.56/~jnz1568/getInfo.php?workbook=02_02.xlsx&amp;sheet=A0&amp;row=187&amp;col=11&amp;number=&amp;sourceID=15","")</f>
        <v/>
      </c>
      <c r="L187" s="4" t="str">
        <f>HYPERLINK("http://141.218.60.56/~jnz1568/getInfo.php?workbook=02_02.xlsx&amp;sheet=A0&amp;row=187&amp;col=12&amp;number=&amp;sourceID=15","")</f>
        <v/>
      </c>
      <c r="M187" s="4" t="str">
        <f>HYPERLINK("http://141.218.60.56/~jnz1568/getInfo.php?workbook=02_02.xlsx&amp;sheet=A0&amp;row=187&amp;col=13&amp;number=1495700&amp;sourceID=23","1495700")</f>
        <v>1495700</v>
      </c>
    </row>
    <row r="188" spans="1:13">
      <c r="A188" s="3">
        <v>2</v>
      </c>
      <c r="B188" s="3">
        <v>2</v>
      </c>
      <c r="C188" s="3">
        <v>34</v>
      </c>
      <c r="D188" s="3">
        <v>1</v>
      </c>
      <c r="E188" s="3">
        <f>((1/(INDEX(E0!J$4:J$52,C188,1)-INDEX(E0!J$4:J$52,D188,1))))*100000000</f>
        <v>0</v>
      </c>
      <c r="F188" s="4" t="str">
        <f>HYPERLINK("http://141.218.60.56/~jnz1568/getInfo.php?workbook=02_02.xlsx&amp;sheet=A0&amp;row=188&amp;col=6&amp;number=&amp;sourceID=27","")</f>
        <v/>
      </c>
      <c r="G188" s="4" t="str">
        <f>HYPERLINK("http://141.218.60.56/~jnz1568/getInfo.php?workbook=02_02.xlsx&amp;sheet=A0&amp;row=188&amp;col=7&amp;number=&amp;sourceID=26","")</f>
        <v/>
      </c>
      <c r="H188" s="4" t="str">
        <f>HYPERLINK("http://141.218.60.56/~jnz1568/getInfo.php?workbook=02_02.xlsx&amp;sheet=A0&amp;row=188&amp;col=8&amp;number=&amp;sourceID=26","")</f>
        <v/>
      </c>
      <c r="I188" s="4" t="str">
        <f>HYPERLINK("http://141.218.60.56/~jnz1568/getInfo.php?workbook=02_02.xlsx&amp;sheet=A0&amp;row=188&amp;col=9&amp;number=&amp;sourceID=15","")</f>
        <v/>
      </c>
      <c r="J188" s="4" t="str">
        <f>HYPERLINK("http://141.218.60.56/~jnz1568/getInfo.php?workbook=02_02.xlsx&amp;sheet=A0&amp;row=188&amp;col=10&amp;number=&amp;sourceID=15","")</f>
        <v/>
      </c>
      <c r="K188" s="4" t="str">
        <f>HYPERLINK("http://141.218.60.56/~jnz1568/getInfo.php?workbook=02_02.xlsx&amp;sheet=A0&amp;row=188&amp;col=11&amp;number=&amp;sourceID=15","")</f>
        <v/>
      </c>
      <c r="L188" s="4" t="str">
        <f>HYPERLINK("http://141.218.60.56/~jnz1568/getInfo.php?workbook=02_02.xlsx&amp;sheet=A0&amp;row=188&amp;col=12&amp;number=0.0264&amp;sourceID=15","0.0264")</f>
        <v>0.0264</v>
      </c>
      <c r="M188" s="4" t="str">
        <f>HYPERLINK("http://141.218.60.56/~jnz1568/getInfo.php?workbook=02_02.xlsx&amp;sheet=A0&amp;row=188&amp;col=13&amp;number=&amp;sourceID=23","")</f>
        <v/>
      </c>
    </row>
    <row r="189" spans="1:13">
      <c r="A189" s="3">
        <v>2</v>
      </c>
      <c r="B189" s="3">
        <v>2</v>
      </c>
      <c r="C189" s="3">
        <v>34</v>
      </c>
      <c r="D189" s="3">
        <v>2</v>
      </c>
      <c r="E189" s="3">
        <f>((1/(INDEX(E0!J$4:J$52,C189,1)-INDEX(E0!J$4:J$52,D189,1))))*100000000</f>
        <v>0</v>
      </c>
      <c r="F189" s="4" t="str">
        <f>HYPERLINK("http://141.218.60.56/~jnz1568/getInfo.php?workbook=02_02.xlsx&amp;sheet=A0&amp;row=189&amp;col=6&amp;number=&amp;sourceID=27","")</f>
        <v/>
      </c>
      <c r="G189" s="4" t="str">
        <f>HYPERLINK("http://141.218.60.56/~jnz1568/getInfo.php?workbook=02_02.xlsx&amp;sheet=A0&amp;row=189&amp;col=7&amp;number=&amp;sourceID=26","")</f>
        <v/>
      </c>
      <c r="H189" s="4" t="str">
        <f>HYPERLINK("http://141.218.60.56/~jnz1568/getInfo.php?workbook=02_02.xlsx&amp;sheet=A0&amp;row=189&amp;col=8&amp;number=&amp;sourceID=26","")</f>
        <v/>
      </c>
      <c r="I189" s="4" t="str">
        <f>HYPERLINK("http://141.218.60.56/~jnz1568/getInfo.php?workbook=02_02.xlsx&amp;sheet=A0&amp;row=189&amp;col=9&amp;number=3200600&amp;sourceID=15","3200600")</f>
        <v>3200600</v>
      </c>
      <c r="J189" s="4" t="str">
        <f>HYPERLINK("http://141.218.60.56/~jnz1568/getInfo.php?workbook=02_02.xlsx&amp;sheet=A0&amp;row=189&amp;col=10&amp;number=&amp;sourceID=15","")</f>
        <v/>
      </c>
      <c r="K189" s="4" t="str">
        <f>HYPERLINK("http://141.218.60.56/~jnz1568/getInfo.php?workbook=02_02.xlsx&amp;sheet=A0&amp;row=189&amp;col=11&amp;number=&amp;sourceID=15","")</f>
        <v/>
      </c>
      <c r="L189" s="4" t="str">
        <f>HYPERLINK("http://141.218.60.56/~jnz1568/getInfo.php?workbook=02_02.xlsx&amp;sheet=A0&amp;row=189&amp;col=12&amp;number=&amp;sourceID=15","")</f>
        <v/>
      </c>
      <c r="M189" s="4" t="str">
        <f>HYPERLINK("http://141.218.60.56/~jnz1568/getInfo.php?workbook=02_02.xlsx&amp;sheet=A0&amp;row=189&amp;col=13&amp;number=3200300&amp;sourceID=23","3200300")</f>
        <v>3200300</v>
      </c>
    </row>
    <row r="190" spans="1:13">
      <c r="A190" s="3">
        <v>2</v>
      </c>
      <c r="B190" s="3">
        <v>2</v>
      </c>
      <c r="C190" s="3">
        <v>34</v>
      </c>
      <c r="D190" s="3">
        <v>8</v>
      </c>
      <c r="E190" s="3">
        <f>((1/(INDEX(E0!J$4:J$52,C190,1)-INDEX(E0!J$4:J$52,D190,1))))*100000000</f>
        <v>0</v>
      </c>
      <c r="F190" s="4" t="str">
        <f>HYPERLINK("http://141.218.60.56/~jnz1568/getInfo.php?workbook=02_02.xlsx&amp;sheet=A0&amp;row=190&amp;col=6&amp;number=&amp;sourceID=27","")</f>
        <v/>
      </c>
      <c r="G190" s="4" t="str">
        <f>HYPERLINK("http://141.218.60.56/~jnz1568/getInfo.php?workbook=02_02.xlsx&amp;sheet=A0&amp;row=190&amp;col=7&amp;number=&amp;sourceID=26","")</f>
        <v/>
      </c>
      <c r="H190" s="4" t="str">
        <f>HYPERLINK("http://141.218.60.56/~jnz1568/getInfo.php?workbook=02_02.xlsx&amp;sheet=A0&amp;row=190&amp;col=8&amp;number=&amp;sourceID=26","")</f>
        <v/>
      </c>
      <c r="I190" s="4" t="str">
        <f>HYPERLINK("http://141.218.60.56/~jnz1568/getInfo.php?workbook=02_02.xlsx&amp;sheet=A0&amp;row=190&amp;col=9&amp;number=568680&amp;sourceID=15","568680")</f>
        <v>568680</v>
      </c>
      <c r="J190" s="4" t="str">
        <f>HYPERLINK("http://141.218.60.56/~jnz1568/getInfo.php?workbook=02_02.xlsx&amp;sheet=A0&amp;row=190&amp;col=10&amp;number=&amp;sourceID=15","")</f>
        <v/>
      </c>
      <c r="K190" s="4" t="str">
        <f>HYPERLINK("http://141.218.60.56/~jnz1568/getInfo.php?workbook=02_02.xlsx&amp;sheet=A0&amp;row=190&amp;col=11&amp;number=&amp;sourceID=15","")</f>
        <v/>
      </c>
      <c r="L190" s="4" t="str">
        <f>HYPERLINK("http://141.218.60.56/~jnz1568/getInfo.php?workbook=02_02.xlsx&amp;sheet=A0&amp;row=190&amp;col=12&amp;number=&amp;sourceID=15","")</f>
        <v/>
      </c>
      <c r="M190" s="4" t="str">
        <f>HYPERLINK("http://141.218.60.56/~jnz1568/getInfo.php?workbook=02_02.xlsx&amp;sheet=A0&amp;row=190&amp;col=13&amp;number=568620&amp;sourceID=23","568620")</f>
        <v>568620</v>
      </c>
    </row>
    <row r="191" spans="1:13">
      <c r="A191" s="3">
        <v>2</v>
      </c>
      <c r="B191" s="3">
        <v>2</v>
      </c>
      <c r="C191" s="3">
        <v>34</v>
      </c>
      <c r="D191" s="3">
        <v>13</v>
      </c>
      <c r="E191" s="3">
        <f>((1/(INDEX(E0!J$4:J$52,C191,1)-INDEX(E0!J$4:J$52,D191,1))))*100000000</f>
        <v>0</v>
      </c>
      <c r="F191" s="4" t="str">
        <f>HYPERLINK("http://141.218.60.56/~jnz1568/getInfo.php?workbook=02_02.xlsx&amp;sheet=A0&amp;row=191&amp;col=6&amp;number=&amp;sourceID=27","")</f>
        <v/>
      </c>
      <c r="G191" s="4" t="str">
        <f>HYPERLINK("http://141.218.60.56/~jnz1568/getInfo.php?workbook=02_02.xlsx&amp;sheet=A0&amp;row=191&amp;col=7&amp;number=&amp;sourceID=26","")</f>
        <v/>
      </c>
      <c r="H191" s="4" t="str">
        <f>HYPERLINK("http://141.218.60.56/~jnz1568/getInfo.php?workbook=02_02.xlsx&amp;sheet=A0&amp;row=191&amp;col=8&amp;number=&amp;sourceID=26","")</f>
        <v/>
      </c>
      <c r="I191" s="4" t="str">
        <f>HYPERLINK("http://141.218.60.56/~jnz1568/getInfo.php?workbook=02_02.xlsx&amp;sheet=A0&amp;row=191&amp;col=9&amp;number=229270&amp;sourceID=15","229270")</f>
        <v>229270</v>
      </c>
      <c r="J191" s="4" t="str">
        <f>HYPERLINK("http://141.218.60.56/~jnz1568/getInfo.php?workbook=02_02.xlsx&amp;sheet=A0&amp;row=191&amp;col=10&amp;number=&amp;sourceID=15","")</f>
        <v/>
      </c>
      <c r="K191" s="4" t="str">
        <f>HYPERLINK("http://141.218.60.56/~jnz1568/getInfo.php?workbook=02_02.xlsx&amp;sheet=A0&amp;row=191&amp;col=11&amp;number=&amp;sourceID=15","")</f>
        <v/>
      </c>
      <c r="L191" s="4" t="str">
        <f>HYPERLINK("http://141.218.60.56/~jnz1568/getInfo.php?workbook=02_02.xlsx&amp;sheet=A0&amp;row=191&amp;col=12&amp;number=&amp;sourceID=15","")</f>
        <v/>
      </c>
      <c r="M191" s="4" t="str">
        <f>HYPERLINK("http://141.218.60.56/~jnz1568/getInfo.php?workbook=02_02.xlsx&amp;sheet=A0&amp;row=191&amp;col=13&amp;number=229790&amp;sourceID=23","229790")</f>
        <v>229790</v>
      </c>
    </row>
    <row r="192" spans="1:13">
      <c r="A192" s="3">
        <v>2</v>
      </c>
      <c r="B192" s="3">
        <v>2</v>
      </c>
      <c r="C192" s="3">
        <v>34</v>
      </c>
      <c r="D192" s="3">
        <v>14</v>
      </c>
      <c r="E192" s="3">
        <f>((1/(INDEX(E0!J$4:J$52,C192,1)-INDEX(E0!J$4:J$52,D192,1))))*100000000</f>
        <v>0</v>
      </c>
      <c r="F192" s="4" t="str">
        <f>HYPERLINK("http://141.218.60.56/~jnz1568/getInfo.php?workbook=02_02.xlsx&amp;sheet=A0&amp;row=192&amp;col=6&amp;number=&amp;sourceID=27","")</f>
        <v/>
      </c>
      <c r="G192" s="4" t="str">
        <f>HYPERLINK("http://141.218.60.56/~jnz1568/getInfo.php?workbook=02_02.xlsx&amp;sheet=A0&amp;row=192&amp;col=7&amp;number=&amp;sourceID=26","")</f>
        <v/>
      </c>
      <c r="H192" s="4" t="str">
        <f>HYPERLINK("http://141.218.60.56/~jnz1568/getInfo.php?workbook=02_02.xlsx&amp;sheet=A0&amp;row=192&amp;col=8&amp;number=&amp;sourceID=26","")</f>
        <v/>
      </c>
      <c r="I192" s="4" t="str">
        <f>HYPERLINK("http://141.218.60.56/~jnz1568/getInfo.php?workbook=02_02.xlsx&amp;sheet=A0&amp;row=192&amp;col=9&amp;number=40931&amp;sourceID=15","40931")</f>
        <v>40931</v>
      </c>
      <c r="J192" s="4" t="str">
        <f>HYPERLINK("http://141.218.60.56/~jnz1568/getInfo.php?workbook=02_02.xlsx&amp;sheet=A0&amp;row=192&amp;col=10&amp;number=&amp;sourceID=15","")</f>
        <v/>
      </c>
      <c r="K192" s="4" t="str">
        <f>HYPERLINK("http://141.218.60.56/~jnz1568/getInfo.php?workbook=02_02.xlsx&amp;sheet=A0&amp;row=192&amp;col=11&amp;number=&amp;sourceID=15","")</f>
        <v/>
      </c>
      <c r="L192" s="4" t="str">
        <f>HYPERLINK("http://141.218.60.56/~jnz1568/getInfo.php?workbook=02_02.xlsx&amp;sheet=A0&amp;row=192&amp;col=12&amp;number=&amp;sourceID=15","")</f>
        <v/>
      </c>
      <c r="M192" s="4" t="str">
        <f>HYPERLINK("http://141.218.60.56/~jnz1568/getInfo.php?workbook=02_02.xlsx&amp;sheet=A0&amp;row=192&amp;col=13&amp;number=41024&amp;sourceID=23","41024")</f>
        <v>41024</v>
      </c>
    </row>
    <row r="193" spans="1:13">
      <c r="A193" s="3">
        <v>2</v>
      </c>
      <c r="B193" s="3">
        <v>2</v>
      </c>
      <c r="C193" s="3">
        <v>34</v>
      </c>
      <c r="D193" s="3">
        <v>15</v>
      </c>
      <c r="E193" s="3">
        <f>((1/(INDEX(E0!J$4:J$52,C193,1)-INDEX(E0!J$4:J$52,D193,1))))*100000000</f>
        <v>0</v>
      </c>
      <c r="F193" s="4" t="str">
        <f>HYPERLINK("http://141.218.60.56/~jnz1568/getInfo.php?workbook=02_02.xlsx&amp;sheet=A0&amp;row=193&amp;col=6&amp;number=&amp;sourceID=27","")</f>
        <v/>
      </c>
      <c r="G193" s="4" t="str">
        <f>HYPERLINK("http://141.218.60.56/~jnz1568/getInfo.php?workbook=02_02.xlsx&amp;sheet=A0&amp;row=193&amp;col=7&amp;number=&amp;sourceID=26","")</f>
        <v/>
      </c>
      <c r="H193" s="4" t="str">
        <f>HYPERLINK("http://141.218.60.56/~jnz1568/getInfo.php?workbook=02_02.xlsx&amp;sheet=A0&amp;row=193&amp;col=8&amp;number=&amp;sourceID=26","")</f>
        <v/>
      </c>
      <c r="I193" s="4" t="str">
        <f>HYPERLINK("http://141.218.60.56/~jnz1568/getInfo.php?workbook=02_02.xlsx&amp;sheet=A0&amp;row=193&amp;col=9&amp;number=2729.4&amp;sourceID=15","2729.4")</f>
        <v>2729.4</v>
      </c>
      <c r="J193" s="4" t="str">
        <f>HYPERLINK("http://141.218.60.56/~jnz1568/getInfo.php?workbook=02_02.xlsx&amp;sheet=A0&amp;row=193&amp;col=10&amp;number=&amp;sourceID=15","")</f>
        <v/>
      </c>
      <c r="K193" s="4" t="str">
        <f>HYPERLINK("http://141.218.60.56/~jnz1568/getInfo.php?workbook=02_02.xlsx&amp;sheet=A0&amp;row=193&amp;col=11&amp;number=&amp;sourceID=15","")</f>
        <v/>
      </c>
      <c r="L193" s="4" t="str">
        <f>HYPERLINK("http://141.218.60.56/~jnz1568/getInfo.php?workbook=02_02.xlsx&amp;sheet=A0&amp;row=193&amp;col=12&amp;number=&amp;sourceID=15","")</f>
        <v/>
      </c>
      <c r="M193" s="4" t="str">
        <f>HYPERLINK("http://141.218.60.56/~jnz1568/getInfo.php?workbook=02_02.xlsx&amp;sheet=A0&amp;row=193&amp;col=13&amp;number=2735.8&amp;sourceID=23","2735.8")</f>
        <v>2735.8</v>
      </c>
    </row>
    <row r="194" spans="1:13">
      <c r="A194" s="3">
        <v>2</v>
      </c>
      <c r="B194" s="3">
        <v>2</v>
      </c>
      <c r="C194" s="3">
        <v>34</v>
      </c>
      <c r="D194" s="3">
        <v>16</v>
      </c>
      <c r="E194" s="3">
        <f>((1/(INDEX(E0!J$4:J$52,C194,1)-INDEX(E0!J$4:J$52,D194,1))))*100000000</f>
        <v>0</v>
      </c>
      <c r="F194" s="4" t="str">
        <f>HYPERLINK("http://141.218.60.56/~jnz1568/getInfo.php?workbook=02_02.xlsx&amp;sheet=A0&amp;row=194&amp;col=6&amp;number=&amp;sourceID=27","")</f>
        <v/>
      </c>
      <c r="G194" s="4" t="str">
        <f>HYPERLINK("http://141.218.60.56/~jnz1568/getInfo.php?workbook=02_02.xlsx&amp;sheet=A0&amp;row=194&amp;col=7&amp;number=&amp;sourceID=26","")</f>
        <v/>
      </c>
      <c r="H194" s="4" t="str">
        <f>HYPERLINK("http://141.218.60.56/~jnz1568/getInfo.php?workbook=02_02.xlsx&amp;sheet=A0&amp;row=194&amp;col=8&amp;number=&amp;sourceID=26","")</f>
        <v/>
      </c>
      <c r="I194" s="4" t="str">
        <f>HYPERLINK("http://141.218.60.56/~jnz1568/getInfo.php?workbook=02_02.xlsx&amp;sheet=A0&amp;row=194&amp;col=9&amp;number=&amp;sourceID=15","")</f>
        <v/>
      </c>
      <c r="J194" s="4" t="str">
        <f>HYPERLINK("http://141.218.60.56/~jnz1568/getInfo.php?workbook=02_02.xlsx&amp;sheet=A0&amp;row=194&amp;col=10&amp;number=&amp;sourceID=15","")</f>
        <v/>
      </c>
      <c r="K194" s="4" t="str">
        <f>HYPERLINK("http://141.218.60.56/~jnz1568/getInfo.php?workbook=02_02.xlsx&amp;sheet=A0&amp;row=194&amp;col=11&amp;number=&amp;sourceID=15","")</f>
        <v/>
      </c>
      <c r="L194" s="4" t="str">
        <f>HYPERLINK("http://141.218.60.56/~jnz1568/getInfo.php?workbook=02_02.xlsx&amp;sheet=A0&amp;row=194&amp;col=12&amp;number=&amp;sourceID=15","")</f>
        <v/>
      </c>
      <c r="M194" s="4" t="str">
        <f>HYPERLINK("http://141.218.60.56/~jnz1568/getInfo.php?workbook=02_02.xlsx&amp;sheet=A0&amp;row=194&amp;col=13&amp;number=10.152&amp;sourceID=23","10.152")</f>
        <v>10.152</v>
      </c>
    </row>
    <row r="195" spans="1:13">
      <c r="A195" s="3">
        <v>2</v>
      </c>
      <c r="B195" s="3">
        <v>2</v>
      </c>
      <c r="C195" s="3">
        <v>34</v>
      </c>
      <c r="D195" s="3">
        <v>18</v>
      </c>
      <c r="E195" s="3">
        <f>((1/(INDEX(E0!J$4:J$52,C195,1)-INDEX(E0!J$4:J$52,D195,1))))*100000000</f>
        <v>0</v>
      </c>
      <c r="F195" s="4" t="str">
        <f>HYPERLINK("http://141.218.60.56/~jnz1568/getInfo.php?workbook=02_02.xlsx&amp;sheet=A0&amp;row=195&amp;col=6&amp;number=&amp;sourceID=27","")</f>
        <v/>
      </c>
      <c r="G195" s="4" t="str">
        <f>HYPERLINK("http://141.218.60.56/~jnz1568/getInfo.php?workbook=02_02.xlsx&amp;sheet=A0&amp;row=195&amp;col=7&amp;number=&amp;sourceID=26","")</f>
        <v/>
      </c>
      <c r="H195" s="4" t="str">
        <f>HYPERLINK("http://141.218.60.56/~jnz1568/getInfo.php?workbook=02_02.xlsx&amp;sheet=A0&amp;row=195&amp;col=8&amp;number=&amp;sourceID=26","")</f>
        <v/>
      </c>
      <c r="I195" s="4" t="str">
        <f>HYPERLINK("http://141.218.60.56/~jnz1568/getInfo.php?workbook=02_02.xlsx&amp;sheet=A0&amp;row=195&amp;col=9&amp;number=120680&amp;sourceID=15","120680")</f>
        <v>120680</v>
      </c>
      <c r="J195" s="4" t="str">
        <f>HYPERLINK("http://141.218.60.56/~jnz1568/getInfo.php?workbook=02_02.xlsx&amp;sheet=A0&amp;row=195&amp;col=10&amp;number=&amp;sourceID=15","")</f>
        <v/>
      </c>
      <c r="K195" s="4" t="str">
        <f>HYPERLINK("http://141.218.60.56/~jnz1568/getInfo.php?workbook=02_02.xlsx&amp;sheet=A0&amp;row=195&amp;col=11&amp;number=&amp;sourceID=15","")</f>
        <v/>
      </c>
      <c r="L195" s="4" t="str">
        <f>HYPERLINK("http://141.218.60.56/~jnz1568/getInfo.php?workbook=02_02.xlsx&amp;sheet=A0&amp;row=195&amp;col=12&amp;number=&amp;sourceID=15","")</f>
        <v/>
      </c>
      <c r="M195" s="4" t="str">
        <f>HYPERLINK("http://141.218.60.56/~jnz1568/getInfo.php?workbook=02_02.xlsx&amp;sheet=A0&amp;row=195&amp;col=13&amp;number=120600&amp;sourceID=23","120600")</f>
        <v>120600</v>
      </c>
    </row>
    <row r="196" spans="1:13">
      <c r="A196" s="3">
        <v>2</v>
      </c>
      <c r="B196" s="3">
        <v>2</v>
      </c>
      <c r="C196" s="3">
        <v>34</v>
      </c>
      <c r="D196" s="3">
        <v>23</v>
      </c>
      <c r="E196" s="3">
        <f>((1/(INDEX(E0!J$4:J$52,C196,1)-INDEX(E0!J$4:J$52,D196,1))))*100000000</f>
        <v>0</v>
      </c>
      <c r="F196" s="4" t="str">
        <f>HYPERLINK("http://141.218.60.56/~jnz1568/getInfo.php?workbook=02_02.xlsx&amp;sheet=A0&amp;row=196&amp;col=6&amp;number=&amp;sourceID=27","")</f>
        <v/>
      </c>
      <c r="G196" s="4" t="str">
        <f>HYPERLINK("http://141.218.60.56/~jnz1568/getInfo.php?workbook=02_02.xlsx&amp;sheet=A0&amp;row=196&amp;col=7&amp;number=&amp;sourceID=26","")</f>
        <v/>
      </c>
      <c r="H196" s="4" t="str">
        <f>HYPERLINK("http://141.218.60.56/~jnz1568/getInfo.php?workbook=02_02.xlsx&amp;sheet=A0&amp;row=196&amp;col=8&amp;number=&amp;sourceID=26","")</f>
        <v/>
      </c>
      <c r="I196" s="4" t="str">
        <f>HYPERLINK("http://141.218.60.56/~jnz1568/getInfo.php?workbook=02_02.xlsx&amp;sheet=A0&amp;row=196&amp;col=9&amp;number=274780&amp;sourceID=15","274780")</f>
        <v>274780</v>
      </c>
      <c r="J196" s="4" t="str">
        <f>HYPERLINK("http://141.218.60.56/~jnz1568/getInfo.php?workbook=02_02.xlsx&amp;sheet=A0&amp;row=196&amp;col=10&amp;number=&amp;sourceID=15","")</f>
        <v/>
      </c>
      <c r="K196" s="4" t="str">
        <f>HYPERLINK("http://141.218.60.56/~jnz1568/getInfo.php?workbook=02_02.xlsx&amp;sheet=A0&amp;row=196&amp;col=11&amp;number=&amp;sourceID=15","")</f>
        <v/>
      </c>
      <c r="L196" s="4" t="str">
        <f>HYPERLINK("http://141.218.60.56/~jnz1568/getInfo.php?workbook=02_02.xlsx&amp;sheet=A0&amp;row=196&amp;col=12&amp;number=&amp;sourceID=15","")</f>
        <v/>
      </c>
      <c r="M196" s="4" t="str">
        <f>HYPERLINK("http://141.218.60.56/~jnz1568/getInfo.php?workbook=02_02.xlsx&amp;sheet=A0&amp;row=196&amp;col=13&amp;number=275310&amp;sourceID=23","275310")</f>
        <v>275310</v>
      </c>
    </row>
    <row r="197" spans="1:13">
      <c r="A197" s="3">
        <v>2</v>
      </c>
      <c r="B197" s="3">
        <v>2</v>
      </c>
      <c r="C197" s="3">
        <v>34</v>
      </c>
      <c r="D197" s="3">
        <v>24</v>
      </c>
      <c r="E197" s="3">
        <f>((1/(INDEX(E0!J$4:J$52,C197,1)-INDEX(E0!J$4:J$52,D197,1))))*100000000</f>
        <v>0</v>
      </c>
      <c r="F197" s="4" t="str">
        <f>HYPERLINK("http://141.218.60.56/~jnz1568/getInfo.php?workbook=02_02.xlsx&amp;sheet=A0&amp;row=197&amp;col=6&amp;number=&amp;sourceID=27","")</f>
        <v/>
      </c>
      <c r="G197" s="4" t="str">
        <f>HYPERLINK("http://141.218.60.56/~jnz1568/getInfo.php?workbook=02_02.xlsx&amp;sheet=A0&amp;row=197&amp;col=7&amp;number=&amp;sourceID=26","")</f>
        <v/>
      </c>
      <c r="H197" s="4" t="str">
        <f>HYPERLINK("http://141.218.60.56/~jnz1568/getInfo.php?workbook=02_02.xlsx&amp;sheet=A0&amp;row=197&amp;col=8&amp;number=&amp;sourceID=26","")</f>
        <v/>
      </c>
      <c r="I197" s="4" t="str">
        <f>HYPERLINK("http://141.218.60.56/~jnz1568/getInfo.php?workbook=02_02.xlsx&amp;sheet=A0&amp;row=197&amp;col=9&amp;number=49061&amp;sourceID=15","49061")</f>
        <v>49061</v>
      </c>
      <c r="J197" s="4" t="str">
        <f>HYPERLINK("http://141.218.60.56/~jnz1568/getInfo.php?workbook=02_02.xlsx&amp;sheet=A0&amp;row=197&amp;col=10&amp;number=&amp;sourceID=15","")</f>
        <v/>
      </c>
      <c r="K197" s="4" t="str">
        <f>HYPERLINK("http://141.218.60.56/~jnz1568/getInfo.php?workbook=02_02.xlsx&amp;sheet=A0&amp;row=197&amp;col=11&amp;number=&amp;sourceID=15","")</f>
        <v/>
      </c>
      <c r="L197" s="4" t="str">
        <f>HYPERLINK("http://141.218.60.56/~jnz1568/getInfo.php?workbook=02_02.xlsx&amp;sheet=A0&amp;row=197&amp;col=12&amp;number=&amp;sourceID=15","")</f>
        <v/>
      </c>
      <c r="M197" s="4" t="str">
        <f>HYPERLINK("http://141.218.60.56/~jnz1568/getInfo.php?workbook=02_02.xlsx&amp;sheet=A0&amp;row=197&amp;col=13&amp;number=49156&amp;sourceID=23","49156")</f>
        <v>49156</v>
      </c>
    </row>
    <row r="198" spans="1:13">
      <c r="A198" s="3">
        <v>2</v>
      </c>
      <c r="B198" s="3">
        <v>2</v>
      </c>
      <c r="C198" s="3">
        <v>34</v>
      </c>
      <c r="D198" s="3">
        <v>25</v>
      </c>
      <c r="E198" s="3">
        <f>((1/(INDEX(E0!J$4:J$52,C198,1)-INDEX(E0!J$4:J$52,D198,1))))*100000000</f>
        <v>0</v>
      </c>
      <c r="F198" s="4" t="str">
        <f>HYPERLINK("http://141.218.60.56/~jnz1568/getInfo.php?workbook=02_02.xlsx&amp;sheet=A0&amp;row=198&amp;col=6&amp;number=&amp;sourceID=27","")</f>
        <v/>
      </c>
      <c r="G198" s="4" t="str">
        <f>HYPERLINK("http://141.218.60.56/~jnz1568/getInfo.php?workbook=02_02.xlsx&amp;sheet=A0&amp;row=198&amp;col=7&amp;number=&amp;sourceID=26","")</f>
        <v/>
      </c>
      <c r="H198" s="4" t="str">
        <f>HYPERLINK("http://141.218.60.56/~jnz1568/getInfo.php?workbook=02_02.xlsx&amp;sheet=A0&amp;row=198&amp;col=8&amp;number=&amp;sourceID=26","")</f>
        <v/>
      </c>
      <c r="I198" s="4" t="str">
        <f>HYPERLINK("http://141.218.60.56/~jnz1568/getInfo.php?workbook=02_02.xlsx&amp;sheet=A0&amp;row=198&amp;col=9&amp;number=3271.1&amp;sourceID=15","3271.1")</f>
        <v>3271.1</v>
      </c>
      <c r="J198" s="4" t="str">
        <f>HYPERLINK("http://141.218.60.56/~jnz1568/getInfo.php?workbook=02_02.xlsx&amp;sheet=A0&amp;row=198&amp;col=10&amp;number=&amp;sourceID=15","")</f>
        <v/>
      </c>
      <c r="K198" s="4" t="str">
        <f>HYPERLINK("http://141.218.60.56/~jnz1568/getInfo.php?workbook=02_02.xlsx&amp;sheet=A0&amp;row=198&amp;col=11&amp;number=&amp;sourceID=15","")</f>
        <v/>
      </c>
      <c r="L198" s="4" t="str">
        <f>HYPERLINK("http://141.218.60.56/~jnz1568/getInfo.php?workbook=02_02.xlsx&amp;sheet=A0&amp;row=198&amp;col=12&amp;number=&amp;sourceID=15","")</f>
        <v/>
      </c>
      <c r="M198" s="4" t="str">
        <f>HYPERLINK("http://141.218.60.56/~jnz1568/getInfo.php?workbook=02_02.xlsx&amp;sheet=A0&amp;row=198&amp;col=13&amp;number=3277.7&amp;sourceID=23","3277.7")</f>
        <v>3277.7</v>
      </c>
    </row>
    <row r="199" spans="1:13">
      <c r="A199" s="3">
        <v>2</v>
      </c>
      <c r="B199" s="3">
        <v>2</v>
      </c>
      <c r="C199" s="3">
        <v>34</v>
      </c>
      <c r="D199" s="3">
        <v>26</v>
      </c>
      <c r="E199" s="3">
        <f>((1/(INDEX(E0!J$4:J$52,C199,1)-INDEX(E0!J$4:J$52,D199,1))))*100000000</f>
        <v>0</v>
      </c>
      <c r="F199" s="4" t="str">
        <f>HYPERLINK("http://141.218.60.56/~jnz1568/getInfo.php?workbook=02_02.xlsx&amp;sheet=A0&amp;row=199&amp;col=6&amp;number=&amp;sourceID=27","")</f>
        <v/>
      </c>
      <c r="G199" s="4" t="str">
        <f>HYPERLINK("http://141.218.60.56/~jnz1568/getInfo.php?workbook=02_02.xlsx&amp;sheet=A0&amp;row=199&amp;col=7&amp;number=&amp;sourceID=26","")</f>
        <v/>
      </c>
      <c r="H199" s="4" t="str">
        <f>HYPERLINK("http://141.218.60.56/~jnz1568/getInfo.php?workbook=02_02.xlsx&amp;sheet=A0&amp;row=199&amp;col=8&amp;number=&amp;sourceID=26","")</f>
        <v/>
      </c>
      <c r="I199" s="4" t="str">
        <f>HYPERLINK("http://141.218.60.56/~jnz1568/getInfo.php?workbook=02_02.xlsx&amp;sheet=A0&amp;row=199&amp;col=9&amp;number=6.356&amp;sourceID=15","6.356")</f>
        <v>6.356</v>
      </c>
      <c r="J199" s="4" t="str">
        <f>HYPERLINK("http://141.218.60.56/~jnz1568/getInfo.php?workbook=02_02.xlsx&amp;sheet=A0&amp;row=199&amp;col=10&amp;number=&amp;sourceID=15","")</f>
        <v/>
      </c>
      <c r="K199" s="4" t="str">
        <f>HYPERLINK("http://141.218.60.56/~jnz1568/getInfo.php?workbook=02_02.xlsx&amp;sheet=A0&amp;row=199&amp;col=11&amp;number=&amp;sourceID=15","")</f>
        <v/>
      </c>
      <c r="L199" s="4" t="str">
        <f>HYPERLINK("http://141.218.60.56/~jnz1568/getInfo.php?workbook=02_02.xlsx&amp;sheet=A0&amp;row=199&amp;col=12&amp;number=&amp;sourceID=15","")</f>
        <v/>
      </c>
      <c r="M199" s="4" t="str">
        <f>HYPERLINK("http://141.218.60.56/~jnz1568/getInfo.php?workbook=02_02.xlsx&amp;sheet=A0&amp;row=199&amp;col=13&amp;number=6.5677&amp;sourceID=23","6.5677")</f>
        <v>6.5677</v>
      </c>
    </row>
    <row r="200" spans="1:13">
      <c r="A200" s="3">
        <v>2</v>
      </c>
      <c r="B200" s="3">
        <v>2</v>
      </c>
      <c r="C200" s="3">
        <v>34</v>
      </c>
      <c r="D200" s="3">
        <v>32</v>
      </c>
      <c r="E200" s="3">
        <f>((1/(INDEX(E0!J$4:J$52,C200,1)-INDEX(E0!J$4:J$52,D200,1))))*100000000</f>
        <v>0</v>
      </c>
      <c r="F200" s="4" t="str">
        <f>HYPERLINK("http://141.218.60.56/~jnz1568/getInfo.php?workbook=02_02.xlsx&amp;sheet=A0&amp;row=200&amp;col=6&amp;number=&amp;sourceID=27","")</f>
        <v/>
      </c>
      <c r="G200" s="4" t="str">
        <f>HYPERLINK("http://141.218.60.56/~jnz1568/getInfo.php?workbook=02_02.xlsx&amp;sheet=A0&amp;row=200&amp;col=7&amp;number=&amp;sourceID=26","")</f>
        <v/>
      </c>
      <c r="H200" s="4" t="str">
        <f>HYPERLINK("http://141.218.60.56/~jnz1568/getInfo.php?workbook=02_02.xlsx&amp;sheet=A0&amp;row=200&amp;col=8&amp;number=&amp;sourceID=26","")</f>
        <v/>
      </c>
      <c r="I200" s="4" t="str">
        <f>HYPERLINK("http://141.218.60.56/~jnz1568/getInfo.php?workbook=02_02.xlsx&amp;sheet=A0&amp;row=200&amp;col=9&amp;number=70086&amp;sourceID=15","70086")</f>
        <v>70086</v>
      </c>
      <c r="J200" s="4" t="str">
        <f>HYPERLINK("http://141.218.60.56/~jnz1568/getInfo.php?workbook=02_02.xlsx&amp;sheet=A0&amp;row=200&amp;col=10&amp;number=&amp;sourceID=15","")</f>
        <v/>
      </c>
      <c r="K200" s="4" t="str">
        <f>HYPERLINK("http://141.218.60.56/~jnz1568/getInfo.php?workbook=02_02.xlsx&amp;sheet=A0&amp;row=200&amp;col=11&amp;number=&amp;sourceID=15","")</f>
        <v/>
      </c>
      <c r="L200" s="4" t="str">
        <f>HYPERLINK("http://141.218.60.56/~jnz1568/getInfo.php?workbook=02_02.xlsx&amp;sheet=A0&amp;row=200&amp;col=12&amp;number=&amp;sourceID=15","")</f>
        <v/>
      </c>
      <c r="M200" s="4" t="str">
        <f>HYPERLINK("http://141.218.60.56/~jnz1568/getInfo.php?workbook=02_02.xlsx&amp;sheet=A0&amp;row=200&amp;col=13&amp;number=70116&amp;sourceID=23","70116")</f>
        <v>70116</v>
      </c>
    </row>
    <row r="201" spans="1:13">
      <c r="A201" s="3">
        <v>2</v>
      </c>
      <c r="B201" s="3">
        <v>2</v>
      </c>
      <c r="C201" s="3">
        <v>35</v>
      </c>
      <c r="D201" s="3">
        <v>1</v>
      </c>
      <c r="E201" s="3">
        <f>((1/(INDEX(E0!J$4:J$52,C201,1)-INDEX(E0!J$4:J$52,D201,1))))*100000000</f>
        <v>0</v>
      </c>
      <c r="F201" s="4" t="str">
        <f>HYPERLINK("http://141.218.60.56/~jnz1568/getInfo.php?workbook=02_02.xlsx&amp;sheet=A0&amp;row=201&amp;col=6&amp;number=&amp;sourceID=27","")</f>
        <v/>
      </c>
      <c r="G201" s="4" t="str">
        <f>HYPERLINK("http://141.218.60.56/~jnz1568/getInfo.php?workbook=02_02.xlsx&amp;sheet=A0&amp;row=201&amp;col=7&amp;number=&amp;sourceID=26","")</f>
        <v/>
      </c>
      <c r="H201" s="4" t="str">
        <f>HYPERLINK("http://141.218.60.56/~jnz1568/getInfo.php?workbook=02_02.xlsx&amp;sheet=A0&amp;row=201&amp;col=8&amp;number=&amp;sourceID=26","")</f>
        <v/>
      </c>
      <c r="I201" s="4" t="str">
        <f>HYPERLINK("http://141.218.60.56/~jnz1568/getInfo.php?workbook=02_02.xlsx&amp;sheet=A0&amp;row=201&amp;col=9&amp;number=&amp;sourceID=15","")</f>
        <v/>
      </c>
      <c r="J201" s="4" t="str">
        <f>HYPERLINK("http://141.218.60.56/~jnz1568/getInfo.php?workbook=02_02.xlsx&amp;sheet=A0&amp;row=201&amp;col=10&amp;number=&amp;sourceID=15","")</f>
        <v/>
      </c>
      <c r="K201" s="4" t="str">
        <f>HYPERLINK("http://141.218.60.56/~jnz1568/getInfo.php?workbook=02_02.xlsx&amp;sheet=A0&amp;row=201&amp;col=11&amp;number=&amp;sourceID=15","")</f>
        <v/>
      </c>
      <c r="L201" s="4" t="str">
        <f>HYPERLINK("http://141.218.60.56/~jnz1568/getInfo.php?workbook=02_02.xlsx&amp;sheet=A0&amp;row=201&amp;col=12&amp;number=&amp;sourceID=15","")</f>
        <v/>
      </c>
      <c r="M201" s="4" t="str">
        <f>HYPERLINK("http://141.218.60.56/~jnz1568/getInfo.php?workbook=02_02.xlsx&amp;sheet=A0&amp;row=201&amp;col=13&amp;number=8.8918&amp;sourceID=23","8.8918")</f>
        <v>8.8918</v>
      </c>
    </row>
    <row r="202" spans="1:13">
      <c r="A202" s="3">
        <v>2</v>
      </c>
      <c r="B202" s="3">
        <v>2</v>
      </c>
      <c r="C202" s="3">
        <v>35</v>
      </c>
      <c r="D202" s="3">
        <v>2</v>
      </c>
      <c r="E202" s="3">
        <f>((1/(INDEX(E0!J$4:J$52,C202,1)-INDEX(E0!J$4:J$52,D202,1))))*100000000</f>
        <v>0</v>
      </c>
      <c r="F202" s="4" t="str">
        <f>HYPERLINK("http://141.218.60.56/~jnz1568/getInfo.php?workbook=02_02.xlsx&amp;sheet=A0&amp;row=202&amp;col=6&amp;number=&amp;sourceID=27","")</f>
        <v/>
      </c>
      <c r="G202" s="4" t="str">
        <f>HYPERLINK("http://141.218.60.56/~jnz1568/getInfo.php?workbook=02_02.xlsx&amp;sheet=A0&amp;row=202&amp;col=7&amp;number=&amp;sourceID=26","")</f>
        <v/>
      </c>
      <c r="H202" s="4" t="str">
        <f>HYPERLINK("http://141.218.60.56/~jnz1568/getInfo.php?workbook=02_02.xlsx&amp;sheet=A0&amp;row=202&amp;col=8&amp;number=&amp;sourceID=26","")</f>
        <v/>
      </c>
      <c r="I202" s="4" t="str">
        <f>HYPERLINK("http://141.218.60.56/~jnz1568/getInfo.php?workbook=02_02.xlsx&amp;sheet=A0&amp;row=202&amp;col=9&amp;number=3200600&amp;sourceID=15","3200600")</f>
        <v>3200600</v>
      </c>
      <c r="J202" s="4" t="str">
        <f>HYPERLINK("http://141.218.60.56/~jnz1568/getInfo.php?workbook=02_02.xlsx&amp;sheet=A0&amp;row=202&amp;col=10&amp;number=&amp;sourceID=15","")</f>
        <v/>
      </c>
      <c r="K202" s="4" t="str">
        <f>HYPERLINK("http://141.218.60.56/~jnz1568/getInfo.php?workbook=02_02.xlsx&amp;sheet=A0&amp;row=202&amp;col=11&amp;number=&amp;sourceID=15","")</f>
        <v/>
      </c>
      <c r="L202" s="4" t="str">
        <f>HYPERLINK("http://141.218.60.56/~jnz1568/getInfo.php?workbook=02_02.xlsx&amp;sheet=A0&amp;row=202&amp;col=12&amp;number=&amp;sourceID=15","")</f>
        <v/>
      </c>
      <c r="M202" s="4" t="str">
        <f>HYPERLINK("http://141.218.60.56/~jnz1568/getInfo.php?workbook=02_02.xlsx&amp;sheet=A0&amp;row=202&amp;col=13&amp;number=3200400&amp;sourceID=23","3200400")</f>
        <v>3200400</v>
      </c>
    </row>
    <row r="203" spans="1:13">
      <c r="A203" s="3">
        <v>2</v>
      </c>
      <c r="B203" s="3">
        <v>2</v>
      </c>
      <c r="C203" s="3">
        <v>35</v>
      </c>
      <c r="D203" s="3">
        <v>3</v>
      </c>
      <c r="E203" s="3">
        <f>((1/(INDEX(E0!J$4:J$52,C203,1)-INDEX(E0!J$4:J$52,D203,1))))*100000000</f>
        <v>0</v>
      </c>
      <c r="F203" s="4" t="str">
        <f>HYPERLINK("http://141.218.60.56/~jnz1568/getInfo.php?workbook=02_02.xlsx&amp;sheet=A0&amp;row=203&amp;col=6&amp;number=&amp;sourceID=27","")</f>
        <v/>
      </c>
      <c r="G203" s="4" t="str">
        <f>HYPERLINK("http://141.218.60.56/~jnz1568/getInfo.php?workbook=02_02.xlsx&amp;sheet=A0&amp;row=203&amp;col=7&amp;number=&amp;sourceID=26","")</f>
        <v/>
      </c>
      <c r="H203" s="4" t="str">
        <f>HYPERLINK("http://141.218.60.56/~jnz1568/getInfo.php?workbook=02_02.xlsx&amp;sheet=A0&amp;row=203&amp;col=8&amp;number=&amp;sourceID=26","")</f>
        <v/>
      </c>
      <c r="I203" s="4" t="str">
        <f>HYPERLINK("http://141.218.60.56/~jnz1568/getInfo.php?workbook=02_02.xlsx&amp;sheet=A0&amp;row=203&amp;col=9&amp;number=&amp;sourceID=15","")</f>
        <v/>
      </c>
      <c r="J203" s="4" t="str">
        <f>HYPERLINK("http://141.218.60.56/~jnz1568/getInfo.php?workbook=02_02.xlsx&amp;sheet=A0&amp;row=203&amp;col=10&amp;number=&amp;sourceID=15","")</f>
        <v/>
      </c>
      <c r="K203" s="4" t="str">
        <f>HYPERLINK("http://141.218.60.56/~jnz1568/getInfo.php?workbook=02_02.xlsx&amp;sheet=A0&amp;row=203&amp;col=11&amp;number=&amp;sourceID=15","")</f>
        <v/>
      </c>
      <c r="L203" s="4" t="str">
        <f>HYPERLINK("http://141.218.60.56/~jnz1568/getInfo.php?workbook=02_02.xlsx&amp;sheet=A0&amp;row=203&amp;col=12&amp;number=&amp;sourceID=15","")</f>
        <v/>
      </c>
      <c r="M203" s="4" t="str">
        <f>HYPERLINK("http://141.218.60.56/~jnz1568/getInfo.php?workbook=02_02.xlsx&amp;sheet=A0&amp;row=203&amp;col=13&amp;number=0.33356&amp;sourceID=23","0.33356")</f>
        <v>0.33356</v>
      </c>
    </row>
    <row r="204" spans="1:13">
      <c r="A204" s="3">
        <v>2</v>
      </c>
      <c r="B204" s="3">
        <v>2</v>
      </c>
      <c r="C204" s="3">
        <v>35</v>
      </c>
      <c r="D204" s="3">
        <v>8</v>
      </c>
      <c r="E204" s="3">
        <f>((1/(INDEX(E0!J$4:J$52,C204,1)-INDEX(E0!J$4:J$52,D204,1))))*100000000</f>
        <v>0</v>
      </c>
      <c r="F204" s="4" t="str">
        <f>HYPERLINK("http://141.218.60.56/~jnz1568/getInfo.php?workbook=02_02.xlsx&amp;sheet=A0&amp;row=204&amp;col=6&amp;number=&amp;sourceID=27","")</f>
        <v/>
      </c>
      <c r="G204" s="4" t="str">
        <f>HYPERLINK("http://141.218.60.56/~jnz1568/getInfo.php?workbook=02_02.xlsx&amp;sheet=A0&amp;row=204&amp;col=7&amp;number=&amp;sourceID=26","")</f>
        <v/>
      </c>
      <c r="H204" s="4" t="str">
        <f>HYPERLINK("http://141.218.60.56/~jnz1568/getInfo.php?workbook=02_02.xlsx&amp;sheet=A0&amp;row=204&amp;col=8&amp;number=&amp;sourceID=26","")</f>
        <v/>
      </c>
      <c r="I204" s="4" t="str">
        <f>HYPERLINK("http://141.218.60.56/~jnz1568/getInfo.php?workbook=02_02.xlsx&amp;sheet=A0&amp;row=204&amp;col=9&amp;number=568680&amp;sourceID=15","568680")</f>
        <v>568680</v>
      </c>
      <c r="J204" s="4" t="str">
        <f>HYPERLINK("http://141.218.60.56/~jnz1568/getInfo.php?workbook=02_02.xlsx&amp;sheet=A0&amp;row=204&amp;col=10&amp;number=&amp;sourceID=15","")</f>
        <v/>
      </c>
      <c r="K204" s="4" t="str">
        <f>HYPERLINK("http://141.218.60.56/~jnz1568/getInfo.php?workbook=02_02.xlsx&amp;sheet=A0&amp;row=204&amp;col=11&amp;number=&amp;sourceID=15","")</f>
        <v/>
      </c>
      <c r="L204" s="4" t="str">
        <f>HYPERLINK("http://141.218.60.56/~jnz1568/getInfo.php?workbook=02_02.xlsx&amp;sheet=A0&amp;row=204&amp;col=12&amp;number=&amp;sourceID=15","")</f>
        <v/>
      </c>
      <c r="M204" s="4" t="str">
        <f>HYPERLINK("http://141.218.60.56/~jnz1568/getInfo.php?workbook=02_02.xlsx&amp;sheet=A0&amp;row=204&amp;col=13&amp;number=568580&amp;sourceID=23","568580")</f>
        <v>568580</v>
      </c>
    </row>
    <row r="205" spans="1:13">
      <c r="A205" s="3">
        <v>2</v>
      </c>
      <c r="B205" s="3">
        <v>2</v>
      </c>
      <c r="C205" s="3">
        <v>35</v>
      </c>
      <c r="D205" s="3">
        <v>9</v>
      </c>
      <c r="E205" s="3">
        <f>((1/(INDEX(E0!J$4:J$52,C205,1)-INDEX(E0!J$4:J$52,D205,1))))*100000000</f>
        <v>0</v>
      </c>
      <c r="F205" s="4" t="str">
        <f>HYPERLINK("http://141.218.60.56/~jnz1568/getInfo.php?workbook=02_02.xlsx&amp;sheet=A0&amp;row=205&amp;col=6&amp;number=&amp;sourceID=27","")</f>
        <v/>
      </c>
      <c r="G205" s="4" t="str">
        <f>HYPERLINK("http://141.218.60.56/~jnz1568/getInfo.php?workbook=02_02.xlsx&amp;sheet=A0&amp;row=205&amp;col=7&amp;number=&amp;sourceID=26","")</f>
        <v/>
      </c>
      <c r="H205" s="4" t="str">
        <f>HYPERLINK("http://141.218.60.56/~jnz1568/getInfo.php?workbook=02_02.xlsx&amp;sheet=A0&amp;row=205&amp;col=8&amp;number=&amp;sourceID=26","")</f>
        <v/>
      </c>
      <c r="I205" s="4" t="str">
        <f>HYPERLINK("http://141.218.60.56/~jnz1568/getInfo.php?workbook=02_02.xlsx&amp;sheet=A0&amp;row=205&amp;col=9&amp;number=&amp;sourceID=15","")</f>
        <v/>
      </c>
      <c r="J205" s="4" t="str">
        <f>HYPERLINK("http://141.218.60.56/~jnz1568/getInfo.php?workbook=02_02.xlsx&amp;sheet=A0&amp;row=205&amp;col=10&amp;number=&amp;sourceID=15","")</f>
        <v/>
      </c>
      <c r="K205" s="4" t="str">
        <f>HYPERLINK("http://141.218.60.56/~jnz1568/getInfo.php?workbook=02_02.xlsx&amp;sheet=A0&amp;row=205&amp;col=11&amp;number=&amp;sourceID=15","")</f>
        <v/>
      </c>
      <c r="L205" s="4" t="str">
        <f>HYPERLINK("http://141.218.60.56/~jnz1568/getInfo.php?workbook=02_02.xlsx&amp;sheet=A0&amp;row=205&amp;col=12&amp;number=&amp;sourceID=15","")</f>
        <v/>
      </c>
      <c r="M205" s="4" t="str">
        <f>HYPERLINK("http://141.218.60.56/~jnz1568/getInfo.php?workbook=02_02.xlsx&amp;sheet=A0&amp;row=205&amp;col=13&amp;number=0.094066&amp;sourceID=23","0.094066")</f>
        <v>0.094066</v>
      </c>
    </row>
    <row r="206" spans="1:13">
      <c r="A206" s="3">
        <v>2</v>
      </c>
      <c r="B206" s="3">
        <v>2</v>
      </c>
      <c r="C206" s="3">
        <v>35</v>
      </c>
      <c r="D206" s="3">
        <v>14</v>
      </c>
      <c r="E206" s="3">
        <f>((1/(INDEX(E0!J$4:J$52,C206,1)-INDEX(E0!J$4:J$52,D206,1))))*100000000</f>
        <v>0</v>
      </c>
      <c r="F206" s="4" t="str">
        <f>HYPERLINK("http://141.218.60.56/~jnz1568/getInfo.php?workbook=02_02.xlsx&amp;sheet=A0&amp;row=206&amp;col=6&amp;number=&amp;sourceID=27","")</f>
        <v/>
      </c>
      <c r="G206" s="4" t="str">
        <f>HYPERLINK("http://141.218.60.56/~jnz1568/getInfo.php?workbook=02_02.xlsx&amp;sheet=A0&amp;row=206&amp;col=7&amp;number=&amp;sourceID=26","")</f>
        <v/>
      </c>
      <c r="H206" s="4" t="str">
        <f>HYPERLINK("http://141.218.60.56/~jnz1568/getInfo.php?workbook=02_02.xlsx&amp;sheet=A0&amp;row=206&amp;col=8&amp;number=&amp;sourceID=26","")</f>
        <v/>
      </c>
      <c r="I206" s="4" t="str">
        <f>HYPERLINK("http://141.218.60.56/~jnz1568/getInfo.php?workbook=02_02.xlsx&amp;sheet=A0&amp;row=206&amp;col=9&amp;number=204660&amp;sourceID=15","204660")</f>
        <v>204660</v>
      </c>
      <c r="J206" s="4" t="str">
        <f>HYPERLINK("http://141.218.60.56/~jnz1568/getInfo.php?workbook=02_02.xlsx&amp;sheet=A0&amp;row=206&amp;col=10&amp;number=&amp;sourceID=15","")</f>
        <v/>
      </c>
      <c r="K206" s="4" t="str">
        <f>HYPERLINK("http://141.218.60.56/~jnz1568/getInfo.php?workbook=02_02.xlsx&amp;sheet=A0&amp;row=206&amp;col=11&amp;number=&amp;sourceID=15","")</f>
        <v/>
      </c>
      <c r="L206" s="4" t="str">
        <f>HYPERLINK("http://141.218.60.56/~jnz1568/getInfo.php?workbook=02_02.xlsx&amp;sheet=A0&amp;row=206&amp;col=12&amp;number=&amp;sourceID=15","")</f>
        <v/>
      </c>
      <c r="M206" s="4" t="str">
        <f>HYPERLINK("http://141.218.60.56/~jnz1568/getInfo.php?workbook=02_02.xlsx&amp;sheet=A0&amp;row=206&amp;col=13&amp;number=205110&amp;sourceID=23","205110")</f>
        <v>205110</v>
      </c>
    </row>
    <row r="207" spans="1:13">
      <c r="A207" s="3">
        <v>2</v>
      </c>
      <c r="B207" s="3">
        <v>2</v>
      </c>
      <c r="C207" s="3">
        <v>35</v>
      </c>
      <c r="D207" s="3">
        <v>15</v>
      </c>
      <c r="E207" s="3">
        <f>((1/(INDEX(E0!J$4:J$52,C207,1)-INDEX(E0!J$4:J$52,D207,1))))*100000000</f>
        <v>0</v>
      </c>
      <c r="F207" s="4" t="str">
        <f>HYPERLINK("http://141.218.60.56/~jnz1568/getInfo.php?workbook=02_02.xlsx&amp;sheet=A0&amp;row=207&amp;col=6&amp;number=&amp;sourceID=27","")</f>
        <v/>
      </c>
      <c r="G207" s="4" t="str">
        <f>HYPERLINK("http://141.218.60.56/~jnz1568/getInfo.php?workbook=02_02.xlsx&amp;sheet=A0&amp;row=207&amp;col=7&amp;number=&amp;sourceID=26","")</f>
        <v/>
      </c>
      <c r="H207" s="4" t="str">
        <f>HYPERLINK("http://141.218.60.56/~jnz1568/getInfo.php?workbook=02_02.xlsx&amp;sheet=A0&amp;row=207&amp;col=8&amp;number=&amp;sourceID=26","")</f>
        <v/>
      </c>
      <c r="I207" s="4" t="str">
        <f>HYPERLINK("http://141.218.60.56/~jnz1568/getInfo.php?workbook=02_02.xlsx&amp;sheet=A0&amp;row=207&amp;col=9&amp;number=68235&amp;sourceID=15","68235")</f>
        <v>68235</v>
      </c>
      <c r="J207" s="4" t="str">
        <f>HYPERLINK("http://141.218.60.56/~jnz1568/getInfo.php?workbook=02_02.xlsx&amp;sheet=A0&amp;row=207&amp;col=10&amp;number=&amp;sourceID=15","")</f>
        <v/>
      </c>
      <c r="K207" s="4" t="str">
        <f>HYPERLINK("http://141.218.60.56/~jnz1568/getInfo.php?workbook=02_02.xlsx&amp;sheet=A0&amp;row=207&amp;col=11&amp;number=&amp;sourceID=15","")</f>
        <v/>
      </c>
      <c r="L207" s="4" t="str">
        <f>HYPERLINK("http://141.218.60.56/~jnz1568/getInfo.php?workbook=02_02.xlsx&amp;sheet=A0&amp;row=207&amp;col=12&amp;number=&amp;sourceID=15","")</f>
        <v/>
      </c>
      <c r="M207" s="4" t="str">
        <f>HYPERLINK("http://141.218.60.56/~jnz1568/getInfo.php?workbook=02_02.xlsx&amp;sheet=A0&amp;row=207&amp;col=13&amp;number=68388&amp;sourceID=23","68388")</f>
        <v>68388</v>
      </c>
    </row>
    <row r="208" spans="1:13">
      <c r="A208" s="3">
        <v>2</v>
      </c>
      <c r="B208" s="3">
        <v>2</v>
      </c>
      <c r="C208" s="3">
        <v>35</v>
      </c>
      <c r="D208" s="3">
        <v>16</v>
      </c>
      <c r="E208" s="3">
        <f>((1/(INDEX(E0!J$4:J$52,C208,1)-INDEX(E0!J$4:J$52,D208,1))))*100000000</f>
        <v>0</v>
      </c>
      <c r="F208" s="4" t="str">
        <f>HYPERLINK("http://141.218.60.56/~jnz1568/getInfo.php?workbook=02_02.xlsx&amp;sheet=A0&amp;row=208&amp;col=6&amp;number=&amp;sourceID=27","")</f>
        <v/>
      </c>
      <c r="G208" s="4" t="str">
        <f>HYPERLINK("http://141.218.60.56/~jnz1568/getInfo.php?workbook=02_02.xlsx&amp;sheet=A0&amp;row=208&amp;col=7&amp;number=&amp;sourceID=26","")</f>
        <v/>
      </c>
      <c r="H208" s="4" t="str">
        <f>HYPERLINK("http://141.218.60.56/~jnz1568/getInfo.php?workbook=02_02.xlsx&amp;sheet=A0&amp;row=208&amp;col=8&amp;number=&amp;sourceID=26","")</f>
        <v/>
      </c>
      <c r="I208" s="4" t="str">
        <f>HYPERLINK("http://141.218.60.56/~jnz1568/getInfo.php?workbook=02_02.xlsx&amp;sheet=A0&amp;row=208&amp;col=9&amp;number=&amp;sourceID=15","")</f>
        <v/>
      </c>
      <c r="J208" s="4" t="str">
        <f>HYPERLINK("http://141.218.60.56/~jnz1568/getInfo.php?workbook=02_02.xlsx&amp;sheet=A0&amp;row=208&amp;col=10&amp;number=&amp;sourceID=15","")</f>
        <v/>
      </c>
      <c r="K208" s="4" t="str">
        <f>HYPERLINK("http://141.218.60.56/~jnz1568/getInfo.php?workbook=02_02.xlsx&amp;sheet=A0&amp;row=208&amp;col=11&amp;number=&amp;sourceID=15","")</f>
        <v/>
      </c>
      <c r="L208" s="4" t="str">
        <f>HYPERLINK("http://141.218.60.56/~jnz1568/getInfo.php?workbook=02_02.xlsx&amp;sheet=A0&amp;row=208&amp;col=12&amp;number=&amp;sourceID=15","")</f>
        <v/>
      </c>
      <c r="M208" s="4" t="str">
        <f>HYPERLINK("http://141.218.60.56/~jnz1568/getInfo.php?workbook=02_02.xlsx&amp;sheet=A0&amp;row=208&amp;col=13&amp;number=48.904&amp;sourceID=23","48.904")</f>
        <v>48.904</v>
      </c>
    </row>
    <row r="209" spans="1:13">
      <c r="A209" s="3">
        <v>2</v>
      </c>
      <c r="B209" s="3">
        <v>2</v>
      </c>
      <c r="C209" s="3">
        <v>35</v>
      </c>
      <c r="D209" s="3">
        <v>18</v>
      </c>
      <c r="E209" s="3">
        <f>((1/(INDEX(E0!J$4:J$52,C209,1)-INDEX(E0!J$4:J$52,D209,1))))*100000000</f>
        <v>0</v>
      </c>
      <c r="F209" s="4" t="str">
        <f>HYPERLINK("http://141.218.60.56/~jnz1568/getInfo.php?workbook=02_02.xlsx&amp;sheet=A0&amp;row=209&amp;col=6&amp;number=&amp;sourceID=27","")</f>
        <v/>
      </c>
      <c r="G209" s="4" t="str">
        <f>HYPERLINK("http://141.218.60.56/~jnz1568/getInfo.php?workbook=02_02.xlsx&amp;sheet=A0&amp;row=209&amp;col=7&amp;number=&amp;sourceID=26","")</f>
        <v/>
      </c>
      <c r="H209" s="4" t="str">
        <f>HYPERLINK("http://141.218.60.56/~jnz1568/getInfo.php?workbook=02_02.xlsx&amp;sheet=A0&amp;row=209&amp;col=8&amp;number=&amp;sourceID=26","")</f>
        <v/>
      </c>
      <c r="I209" s="4" t="str">
        <f>HYPERLINK("http://141.218.60.56/~jnz1568/getInfo.php?workbook=02_02.xlsx&amp;sheet=A0&amp;row=209&amp;col=9&amp;number=120680&amp;sourceID=15","120680")</f>
        <v>120680</v>
      </c>
      <c r="J209" s="4" t="str">
        <f>HYPERLINK("http://141.218.60.56/~jnz1568/getInfo.php?workbook=02_02.xlsx&amp;sheet=A0&amp;row=209&amp;col=10&amp;number=&amp;sourceID=15","")</f>
        <v/>
      </c>
      <c r="K209" s="4" t="str">
        <f>HYPERLINK("http://141.218.60.56/~jnz1568/getInfo.php?workbook=02_02.xlsx&amp;sheet=A0&amp;row=209&amp;col=11&amp;number=&amp;sourceID=15","")</f>
        <v/>
      </c>
      <c r="L209" s="4" t="str">
        <f>HYPERLINK("http://141.218.60.56/~jnz1568/getInfo.php?workbook=02_02.xlsx&amp;sheet=A0&amp;row=209&amp;col=12&amp;number=&amp;sourceID=15","")</f>
        <v/>
      </c>
      <c r="M209" s="4" t="str">
        <f>HYPERLINK("http://141.218.60.56/~jnz1568/getInfo.php?workbook=02_02.xlsx&amp;sheet=A0&amp;row=209&amp;col=13&amp;number=120580&amp;sourceID=23","120580")</f>
        <v>120580</v>
      </c>
    </row>
    <row r="210" spans="1:13">
      <c r="A210" s="3">
        <v>2</v>
      </c>
      <c r="B210" s="3">
        <v>2</v>
      </c>
      <c r="C210" s="3">
        <v>35</v>
      </c>
      <c r="D210" s="3">
        <v>19</v>
      </c>
      <c r="E210" s="3">
        <f>((1/(INDEX(E0!J$4:J$52,C210,1)-INDEX(E0!J$4:J$52,D210,1))))*100000000</f>
        <v>0</v>
      </c>
      <c r="F210" s="4" t="str">
        <f>HYPERLINK("http://141.218.60.56/~jnz1568/getInfo.php?workbook=02_02.xlsx&amp;sheet=A0&amp;row=210&amp;col=6&amp;number=&amp;sourceID=27","")</f>
        <v/>
      </c>
      <c r="G210" s="4" t="str">
        <f>HYPERLINK("http://141.218.60.56/~jnz1568/getInfo.php?workbook=02_02.xlsx&amp;sheet=A0&amp;row=210&amp;col=7&amp;number=&amp;sourceID=26","")</f>
        <v/>
      </c>
      <c r="H210" s="4" t="str">
        <f>HYPERLINK("http://141.218.60.56/~jnz1568/getInfo.php?workbook=02_02.xlsx&amp;sheet=A0&amp;row=210&amp;col=8&amp;number=&amp;sourceID=26","")</f>
        <v/>
      </c>
      <c r="I210" s="4" t="str">
        <f>HYPERLINK("http://141.218.60.56/~jnz1568/getInfo.php?workbook=02_02.xlsx&amp;sheet=A0&amp;row=210&amp;col=9&amp;number=&amp;sourceID=15","")</f>
        <v/>
      </c>
      <c r="J210" s="4" t="str">
        <f>HYPERLINK("http://141.218.60.56/~jnz1568/getInfo.php?workbook=02_02.xlsx&amp;sheet=A0&amp;row=210&amp;col=10&amp;number=&amp;sourceID=15","")</f>
        <v/>
      </c>
      <c r="K210" s="4" t="str">
        <f>HYPERLINK("http://141.218.60.56/~jnz1568/getInfo.php?workbook=02_02.xlsx&amp;sheet=A0&amp;row=210&amp;col=11&amp;number=&amp;sourceID=15","")</f>
        <v/>
      </c>
      <c r="L210" s="4" t="str">
        <f>HYPERLINK("http://141.218.60.56/~jnz1568/getInfo.php?workbook=02_02.xlsx&amp;sheet=A0&amp;row=210&amp;col=12&amp;number=&amp;sourceID=15","")</f>
        <v/>
      </c>
      <c r="M210" s="4" t="str">
        <f>HYPERLINK("http://141.218.60.56/~jnz1568/getInfo.php?workbook=02_02.xlsx&amp;sheet=A0&amp;row=210&amp;col=13&amp;number=0.036175&amp;sourceID=23","0.036175")</f>
        <v>0.036175</v>
      </c>
    </row>
    <row r="211" spans="1:13">
      <c r="A211" s="3">
        <v>2</v>
      </c>
      <c r="B211" s="3">
        <v>2</v>
      </c>
      <c r="C211" s="3">
        <v>35</v>
      </c>
      <c r="D211" s="3">
        <v>24</v>
      </c>
      <c r="E211" s="3">
        <f>((1/(INDEX(E0!J$4:J$52,C211,1)-INDEX(E0!J$4:J$52,D211,1))))*100000000</f>
        <v>0</v>
      </c>
      <c r="F211" s="4" t="str">
        <f>HYPERLINK("http://141.218.60.56/~jnz1568/getInfo.php?workbook=02_02.xlsx&amp;sheet=A0&amp;row=211&amp;col=6&amp;number=&amp;sourceID=27","")</f>
        <v/>
      </c>
      <c r="G211" s="4" t="str">
        <f>HYPERLINK("http://141.218.60.56/~jnz1568/getInfo.php?workbook=02_02.xlsx&amp;sheet=A0&amp;row=211&amp;col=7&amp;number=&amp;sourceID=26","")</f>
        <v/>
      </c>
      <c r="H211" s="4" t="str">
        <f>HYPERLINK("http://141.218.60.56/~jnz1568/getInfo.php?workbook=02_02.xlsx&amp;sheet=A0&amp;row=211&amp;col=8&amp;number=&amp;sourceID=26","")</f>
        <v/>
      </c>
      <c r="I211" s="4" t="str">
        <f>HYPERLINK("http://141.218.60.56/~jnz1568/getInfo.php?workbook=02_02.xlsx&amp;sheet=A0&amp;row=211&amp;col=9&amp;number=245300&amp;sourceID=15","245300")</f>
        <v>245300</v>
      </c>
      <c r="J211" s="4" t="str">
        <f>HYPERLINK("http://141.218.60.56/~jnz1568/getInfo.php?workbook=02_02.xlsx&amp;sheet=A0&amp;row=211&amp;col=10&amp;number=&amp;sourceID=15","")</f>
        <v/>
      </c>
      <c r="K211" s="4" t="str">
        <f>HYPERLINK("http://141.218.60.56/~jnz1568/getInfo.php?workbook=02_02.xlsx&amp;sheet=A0&amp;row=211&amp;col=11&amp;number=&amp;sourceID=15","")</f>
        <v/>
      </c>
      <c r="L211" s="4" t="str">
        <f>HYPERLINK("http://141.218.60.56/~jnz1568/getInfo.php?workbook=02_02.xlsx&amp;sheet=A0&amp;row=211&amp;col=12&amp;number=&amp;sourceID=15","")</f>
        <v/>
      </c>
      <c r="M211" s="4" t="str">
        <f>HYPERLINK("http://141.218.60.56/~jnz1568/getInfo.php?workbook=02_02.xlsx&amp;sheet=A0&amp;row=211&amp;col=13&amp;number=245780&amp;sourceID=23","245780")</f>
        <v>245780</v>
      </c>
    </row>
    <row r="212" spans="1:13">
      <c r="A212" s="3">
        <v>2</v>
      </c>
      <c r="B212" s="3">
        <v>2</v>
      </c>
      <c r="C212" s="3">
        <v>35</v>
      </c>
      <c r="D212" s="3">
        <v>25</v>
      </c>
      <c r="E212" s="3">
        <f>((1/(INDEX(E0!J$4:J$52,C212,1)-INDEX(E0!J$4:J$52,D212,1))))*100000000</f>
        <v>0</v>
      </c>
      <c r="F212" s="4" t="str">
        <f>HYPERLINK("http://141.218.60.56/~jnz1568/getInfo.php?workbook=02_02.xlsx&amp;sheet=A0&amp;row=212&amp;col=6&amp;number=&amp;sourceID=27","")</f>
        <v/>
      </c>
      <c r="G212" s="4" t="str">
        <f>HYPERLINK("http://141.218.60.56/~jnz1568/getInfo.php?workbook=02_02.xlsx&amp;sheet=A0&amp;row=212&amp;col=7&amp;number=&amp;sourceID=26","")</f>
        <v/>
      </c>
      <c r="H212" s="4" t="str">
        <f>HYPERLINK("http://141.218.60.56/~jnz1568/getInfo.php?workbook=02_02.xlsx&amp;sheet=A0&amp;row=212&amp;col=8&amp;number=&amp;sourceID=26","")</f>
        <v/>
      </c>
      <c r="I212" s="4" t="str">
        <f>HYPERLINK("http://141.218.60.56/~jnz1568/getInfo.php?workbook=02_02.xlsx&amp;sheet=A0&amp;row=212&amp;col=9&amp;number=81779&amp;sourceID=15","81779")</f>
        <v>81779</v>
      </c>
      <c r="J212" s="4" t="str">
        <f>HYPERLINK("http://141.218.60.56/~jnz1568/getInfo.php?workbook=02_02.xlsx&amp;sheet=A0&amp;row=212&amp;col=10&amp;number=&amp;sourceID=15","")</f>
        <v/>
      </c>
      <c r="K212" s="4" t="str">
        <f>HYPERLINK("http://141.218.60.56/~jnz1568/getInfo.php?workbook=02_02.xlsx&amp;sheet=A0&amp;row=212&amp;col=11&amp;number=&amp;sourceID=15","")</f>
        <v/>
      </c>
      <c r="L212" s="4" t="str">
        <f>HYPERLINK("http://141.218.60.56/~jnz1568/getInfo.php?workbook=02_02.xlsx&amp;sheet=A0&amp;row=212&amp;col=12&amp;number=&amp;sourceID=15","")</f>
        <v/>
      </c>
      <c r="M212" s="4" t="str">
        <f>HYPERLINK("http://141.218.60.56/~jnz1568/getInfo.php?workbook=02_02.xlsx&amp;sheet=A0&amp;row=212&amp;col=13&amp;number=81938&amp;sourceID=23","81938")</f>
        <v>81938</v>
      </c>
    </row>
    <row r="213" spans="1:13">
      <c r="A213" s="3">
        <v>2</v>
      </c>
      <c r="B213" s="3">
        <v>2</v>
      </c>
      <c r="C213" s="3">
        <v>35</v>
      </c>
      <c r="D213" s="3">
        <v>26</v>
      </c>
      <c r="E213" s="3">
        <f>((1/(INDEX(E0!J$4:J$52,C213,1)-INDEX(E0!J$4:J$52,D213,1))))*100000000</f>
        <v>0</v>
      </c>
      <c r="F213" s="4" t="str">
        <f>HYPERLINK("http://141.218.60.56/~jnz1568/getInfo.php?workbook=02_02.xlsx&amp;sheet=A0&amp;row=213&amp;col=6&amp;number=&amp;sourceID=27","")</f>
        <v/>
      </c>
      <c r="G213" s="4" t="str">
        <f>HYPERLINK("http://141.218.60.56/~jnz1568/getInfo.php?workbook=02_02.xlsx&amp;sheet=A0&amp;row=213&amp;col=7&amp;number=&amp;sourceID=26","")</f>
        <v/>
      </c>
      <c r="H213" s="4" t="str">
        <f>HYPERLINK("http://141.218.60.56/~jnz1568/getInfo.php?workbook=02_02.xlsx&amp;sheet=A0&amp;row=213&amp;col=8&amp;number=&amp;sourceID=26","")</f>
        <v/>
      </c>
      <c r="I213" s="4" t="str">
        <f>HYPERLINK("http://141.218.60.56/~jnz1568/getInfo.php?workbook=02_02.xlsx&amp;sheet=A0&amp;row=213&amp;col=9&amp;number=30.76&amp;sourceID=15","30.76")</f>
        <v>30.76</v>
      </c>
      <c r="J213" s="4" t="str">
        <f>HYPERLINK("http://141.218.60.56/~jnz1568/getInfo.php?workbook=02_02.xlsx&amp;sheet=A0&amp;row=213&amp;col=10&amp;number=&amp;sourceID=15","")</f>
        <v/>
      </c>
      <c r="K213" s="4" t="str">
        <f>HYPERLINK("http://141.218.60.56/~jnz1568/getInfo.php?workbook=02_02.xlsx&amp;sheet=A0&amp;row=213&amp;col=11&amp;number=&amp;sourceID=15","")</f>
        <v/>
      </c>
      <c r="L213" s="4" t="str">
        <f>HYPERLINK("http://141.218.60.56/~jnz1568/getInfo.php?workbook=02_02.xlsx&amp;sheet=A0&amp;row=213&amp;col=12&amp;number=&amp;sourceID=15","")</f>
        <v/>
      </c>
      <c r="M213" s="4" t="str">
        <f>HYPERLINK("http://141.218.60.56/~jnz1568/getInfo.php?workbook=02_02.xlsx&amp;sheet=A0&amp;row=213&amp;col=13&amp;number=31.213&amp;sourceID=23","31.213")</f>
        <v>31.213</v>
      </c>
    </row>
    <row r="214" spans="1:13">
      <c r="A214" s="3">
        <v>2</v>
      </c>
      <c r="B214" s="3">
        <v>2</v>
      </c>
      <c r="C214" s="3">
        <v>35</v>
      </c>
      <c r="D214" s="3">
        <v>32</v>
      </c>
      <c r="E214" s="3">
        <f>((1/(INDEX(E0!J$4:J$52,C214,1)-INDEX(E0!J$4:J$52,D214,1))))*100000000</f>
        <v>0</v>
      </c>
      <c r="F214" s="4" t="str">
        <f>HYPERLINK("http://141.218.60.56/~jnz1568/getInfo.php?workbook=02_02.xlsx&amp;sheet=A0&amp;row=214&amp;col=6&amp;number=&amp;sourceID=27","")</f>
        <v/>
      </c>
      <c r="G214" s="4" t="str">
        <f>HYPERLINK("http://141.218.60.56/~jnz1568/getInfo.php?workbook=02_02.xlsx&amp;sheet=A0&amp;row=214&amp;col=7&amp;number=&amp;sourceID=26","")</f>
        <v/>
      </c>
      <c r="H214" s="4" t="str">
        <f>HYPERLINK("http://141.218.60.56/~jnz1568/getInfo.php?workbook=02_02.xlsx&amp;sheet=A0&amp;row=214&amp;col=8&amp;number=&amp;sourceID=26","")</f>
        <v/>
      </c>
      <c r="I214" s="4" t="str">
        <f>HYPERLINK("http://141.218.60.56/~jnz1568/getInfo.php?workbook=02_02.xlsx&amp;sheet=A0&amp;row=214&amp;col=9&amp;number=70086&amp;sourceID=15","70086")</f>
        <v>70086</v>
      </c>
      <c r="J214" s="4" t="str">
        <f>HYPERLINK("http://141.218.60.56/~jnz1568/getInfo.php?workbook=02_02.xlsx&amp;sheet=A0&amp;row=214&amp;col=10&amp;number=&amp;sourceID=15","")</f>
        <v/>
      </c>
      <c r="K214" s="4" t="str">
        <f>HYPERLINK("http://141.218.60.56/~jnz1568/getInfo.php?workbook=02_02.xlsx&amp;sheet=A0&amp;row=214&amp;col=11&amp;number=&amp;sourceID=15","")</f>
        <v/>
      </c>
      <c r="L214" s="4" t="str">
        <f>HYPERLINK("http://141.218.60.56/~jnz1568/getInfo.php?workbook=02_02.xlsx&amp;sheet=A0&amp;row=214&amp;col=12&amp;number=&amp;sourceID=15","")</f>
        <v/>
      </c>
      <c r="M214" s="4" t="str">
        <f>HYPERLINK("http://141.218.60.56/~jnz1568/getInfo.php?workbook=02_02.xlsx&amp;sheet=A0&amp;row=214&amp;col=13&amp;number=70119&amp;sourceID=23","70119")</f>
        <v>70119</v>
      </c>
    </row>
    <row r="215" spans="1:13">
      <c r="A215" s="3">
        <v>2</v>
      </c>
      <c r="B215" s="3">
        <v>2</v>
      </c>
      <c r="C215" s="3">
        <v>35</v>
      </c>
      <c r="D215" s="3">
        <v>33</v>
      </c>
      <c r="E215" s="3">
        <f>((1/(INDEX(E0!J$4:J$52,C215,1)-INDEX(E0!J$4:J$52,D215,1))))*100000000</f>
        <v>0</v>
      </c>
      <c r="F215" s="4" t="str">
        <f>HYPERLINK("http://141.218.60.56/~jnz1568/getInfo.php?workbook=02_02.xlsx&amp;sheet=A0&amp;row=215&amp;col=6&amp;number=&amp;sourceID=27","")</f>
        <v/>
      </c>
      <c r="G215" s="4" t="str">
        <f>HYPERLINK("http://141.218.60.56/~jnz1568/getInfo.php?workbook=02_02.xlsx&amp;sheet=A0&amp;row=215&amp;col=7&amp;number=&amp;sourceID=26","")</f>
        <v/>
      </c>
      <c r="H215" s="4" t="str">
        <f>HYPERLINK("http://141.218.60.56/~jnz1568/getInfo.php?workbook=02_02.xlsx&amp;sheet=A0&amp;row=215&amp;col=8&amp;number=&amp;sourceID=26","")</f>
        <v/>
      </c>
      <c r="I215" s="4" t="str">
        <f>HYPERLINK("http://141.218.60.56/~jnz1568/getInfo.php?workbook=02_02.xlsx&amp;sheet=A0&amp;row=215&amp;col=9&amp;number=&amp;sourceID=15","")</f>
        <v/>
      </c>
      <c r="J215" s="4" t="str">
        <f>HYPERLINK("http://141.218.60.56/~jnz1568/getInfo.php?workbook=02_02.xlsx&amp;sheet=A0&amp;row=215&amp;col=10&amp;number=&amp;sourceID=15","")</f>
        <v/>
      </c>
      <c r="K215" s="4" t="str">
        <f>HYPERLINK("http://141.218.60.56/~jnz1568/getInfo.php?workbook=02_02.xlsx&amp;sheet=A0&amp;row=215&amp;col=11&amp;number=&amp;sourceID=15","")</f>
        <v/>
      </c>
      <c r="L215" s="4" t="str">
        <f>HYPERLINK("http://141.218.60.56/~jnz1568/getInfo.php?workbook=02_02.xlsx&amp;sheet=A0&amp;row=215&amp;col=12&amp;number=&amp;sourceID=15","")</f>
        <v/>
      </c>
      <c r="M215" s="4" t="str">
        <f>HYPERLINK("http://141.218.60.56/~jnz1568/getInfo.php?workbook=02_02.xlsx&amp;sheet=A0&amp;row=215&amp;col=13&amp;number=0.00013662&amp;sourceID=23","0.00013662")</f>
        <v>0.00013662</v>
      </c>
    </row>
    <row r="216" spans="1:13">
      <c r="A216" s="3">
        <v>2</v>
      </c>
      <c r="B216" s="3">
        <v>2</v>
      </c>
      <c r="C216" s="3">
        <v>36</v>
      </c>
      <c r="D216" s="3">
        <v>2</v>
      </c>
      <c r="E216" s="3">
        <f>((1/(INDEX(E0!J$4:J$52,C216,1)-INDEX(E0!J$4:J$52,D216,1))))*100000000</f>
        <v>0</v>
      </c>
      <c r="F216" s="4" t="str">
        <f>HYPERLINK("http://141.218.60.56/~jnz1568/getInfo.php?workbook=02_02.xlsx&amp;sheet=A0&amp;row=216&amp;col=6&amp;number=&amp;sourceID=27","")</f>
        <v/>
      </c>
      <c r="G216" s="4" t="str">
        <f>HYPERLINK("http://141.218.60.56/~jnz1568/getInfo.php?workbook=02_02.xlsx&amp;sheet=A0&amp;row=216&amp;col=7&amp;number=&amp;sourceID=26","")</f>
        <v/>
      </c>
      <c r="H216" s="4" t="str">
        <f>HYPERLINK("http://141.218.60.56/~jnz1568/getInfo.php?workbook=02_02.xlsx&amp;sheet=A0&amp;row=216&amp;col=8&amp;number=&amp;sourceID=26","")</f>
        <v/>
      </c>
      <c r="I216" s="4" t="str">
        <f>HYPERLINK("http://141.218.60.56/~jnz1568/getInfo.php?workbook=02_02.xlsx&amp;sheet=A0&amp;row=216&amp;col=9&amp;number=3200600&amp;sourceID=15","3200600")</f>
        <v>3200600</v>
      </c>
      <c r="J216" s="4" t="str">
        <f>HYPERLINK("http://141.218.60.56/~jnz1568/getInfo.php?workbook=02_02.xlsx&amp;sheet=A0&amp;row=216&amp;col=10&amp;number=&amp;sourceID=15","")</f>
        <v/>
      </c>
      <c r="K216" s="4" t="str">
        <f>HYPERLINK("http://141.218.60.56/~jnz1568/getInfo.php?workbook=02_02.xlsx&amp;sheet=A0&amp;row=216&amp;col=11&amp;number=&amp;sourceID=15","")</f>
        <v/>
      </c>
      <c r="L216" s="4" t="str">
        <f>HYPERLINK("http://141.218.60.56/~jnz1568/getInfo.php?workbook=02_02.xlsx&amp;sheet=A0&amp;row=216&amp;col=12&amp;number=&amp;sourceID=15","")</f>
        <v/>
      </c>
      <c r="M216" s="4" t="str">
        <f>HYPERLINK("http://141.218.60.56/~jnz1568/getInfo.php?workbook=02_02.xlsx&amp;sheet=A0&amp;row=216&amp;col=13&amp;number=3199700&amp;sourceID=23","3199700")</f>
        <v>3199700</v>
      </c>
    </row>
    <row r="217" spans="1:13">
      <c r="A217" s="3">
        <v>2</v>
      </c>
      <c r="B217" s="3">
        <v>2</v>
      </c>
      <c r="C217" s="3">
        <v>36</v>
      </c>
      <c r="D217" s="3">
        <v>8</v>
      </c>
      <c r="E217" s="3">
        <f>((1/(INDEX(E0!J$4:J$52,C217,1)-INDEX(E0!J$4:J$52,D217,1))))*100000000</f>
        <v>0</v>
      </c>
      <c r="F217" s="4" t="str">
        <f>HYPERLINK("http://141.218.60.56/~jnz1568/getInfo.php?workbook=02_02.xlsx&amp;sheet=A0&amp;row=217&amp;col=6&amp;number=&amp;sourceID=27","")</f>
        <v/>
      </c>
      <c r="G217" s="4" t="str">
        <f>HYPERLINK("http://141.218.60.56/~jnz1568/getInfo.php?workbook=02_02.xlsx&amp;sheet=A0&amp;row=217&amp;col=7&amp;number=&amp;sourceID=26","")</f>
        <v/>
      </c>
      <c r="H217" s="4" t="str">
        <f>HYPERLINK("http://141.218.60.56/~jnz1568/getInfo.php?workbook=02_02.xlsx&amp;sheet=A0&amp;row=217&amp;col=8&amp;number=&amp;sourceID=26","")</f>
        <v/>
      </c>
      <c r="I217" s="4" t="str">
        <f>HYPERLINK("http://141.218.60.56/~jnz1568/getInfo.php?workbook=02_02.xlsx&amp;sheet=A0&amp;row=217&amp;col=9&amp;number=568680&amp;sourceID=15","568680")</f>
        <v>568680</v>
      </c>
      <c r="J217" s="4" t="str">
        <f>HYPERLINK("http://141.218.60.56/~jnz1568/getInfo.php?workbook=02_02.xlsx&amp;sheet=A0&amp;row=217&amp;col=10&amp;number=&amp;sourceID=15","")</f>
        <v/>
      </c>
      <c r="K217" s="4" t="str">
        <f>HYPERLINK("http://141.218.60.56/~jnz1568/getInfo.php?workbook=02_02.xlsx&amp;sheet=A0&amp;row=217&amp;col=11&amp;number=&amp;sourceID=15","")</f>
        <v/>
      </c>
      <c r="L217" s="4" t="str">
        <f>HYPERLINK("http://141.218.60.56/~jnz1568/getInfo.php?workbook=02_02.xlsx&amp;sheet=A0&amp;row=217&amp;col=12&amp;number=&amp;sourceID=15","")</f>
        <v/>
      </c>
      <c r="M217" s="4" t="str">
        <f>HYPERLINK("http://141.218.60.56/~jnz1568/getInfo.php?workbook=02_02.xlsx&amp;sheet=A0&amp;row=217&amp;col=13&amp;number=568360&amp;sourceID=23","568360")</f>
        <v>568360</v>
      </c>
    </row>
    <row r="218" spans="1:13">
      <c r="A218" s="3">
        <v>2</v>
      </c>
      <c r="B218" s="3">
        <v>2</v>
      </c>
      <c r="C218" s="3">
        <v>36</v>
      </c>
      <c r="D218" s="3">
        <v>15</v>
      </c>
      <c r="E218" s="3">
        <f>((1/(INDEX(E0!J$4:J$52,C218,1)-INDEX(E0!J$4:J$52,D218,1))))*100000000</f>
        <v>0</v>
      </c>
      <c r="F218" s="4" t="str">
        <f>HYPERLINK("http://141.218.60.56/~jnz1568/getInfo.php?workbook=02_02.xlsx&amp;sheet=A0&amp;row=218&amp;col=6&amp;number=&amp;sourceID=27","")</f>
        <v/>
      </c>
      <c r="G218" s="4" t="str">
        <f>HYPERLINK("http://141.218.60.56/~jnz1568/getInfo.php?workbook=02_02.xlsx&amp;sheet=A0&amp;row=218&amp;col=7&amp;number=&amp;sourceID=26","")</f>
        <v/>
      </c>
      <c r="H218" s="4" t="str">
        <f>HYPERLINK("http://141.218.60.56/~jnz1568/getInfo.php?workbook=02_02.xlsx&amp;sheet=A0&amp;row=218&amp;col=8&amp;number=&amp;sourceID=26","")</f>
        <v/>
      </c>
      <c r="I218" s="4" t="str">
        <f>HYPERLINK("http://141.218.60.56/~jnz1568/getInfo.php?workbook=02_02.xlsx&amp;sheet=A0&amp;row=218&amp;col=9&amp;number=272940&amp;sourceID=15","272940")</f>
        <v>272940</v>
      </c>
      <c r="J218" s="4" t="str">
        <f>HYPERLINK("http://141.218.60.56/~jnz1568/getInfo.php?workbook=02_02.xlsx&amp;sheet=A0&amp;row=218&amp;col=10&amp;number=&amp;sourceID=15","")</f>
        <v/>
      </c>
      <c r="K218" s="4" t="str">
        <f>HYPERLINK("http://141.218.60.56/~jnz1568/getInfo.php?workbook=02_02.xlsx&amp;sheet=A0&amp;row=218&amp;col=11&amp;number=&amp;sourceID=15","")</f>
        <v/>
      </c>
      <c r="L218" s="4" t="str">
        <f>HYPERLINK("http://141.218.60.56/~jnz1568/getInfo.php?workbook=02_02.xlsx&amp;sheet=A0&amp;row=218&amp;col=12&amp;number=&amp;sourceID=15","")</f>
        <v/>
      </c>
      <c r="M218" s="4" t="str">
        <f>HYPERLINK("http://141.218.60.56/~jnz1568/getInfo.php?workbook=02_02.xlsx&amp;sheet=A0&amp;row=218&amp;col=13&amp;number=273480&amp;sourceID=23","273480")</f>
        <v>273480</v>
      </c>
    </row>
    <row r="219" spans="1:13">
      <c r="A219" s="3">
        <v>2</v>
      </c>
      <c r="B219" s="3">
        <v>2</v>
      </c>
      <c r="C219" s="3">
        <v>36</v>
      </c>
      <c r="D219" s="3">
        <v>18</v>
      </c>
      <c r="E219" s="3">
        <f>((1/(INDEX(E0!J$4:J$52,C219,1)-INDEX(E0!J$4:J$52,D219,1))))*100000000</f>
        <v>0</v>
      </c>
      <c r="F219" s="4" t="str">
        <f>HYPERLINK("http://141.218.60.56/~jnz1568/getInfo.php?workbook=02_02.xlsx&amp;sheet=A0&amp;row=219&amp;col=6&amp;number=&amp;sourceID=27","")</f>
        <v/>
      </c>
      <c r="G219" s="4" t="str">
        <f>HYPERLINK("http://141.218.60.56/~jnz1568/getInfo.php?workbook=02_02.xlsx&amp;sheet=A0&amp;row=219&amp;col=7&amp;number=&amp;sourceID=26","")</f>
        <v/>
      </c>
      <c r="H219" s="4" t="str">
        <f>HYPERLINK("http://141.218.60.56/~jnz1568/getInfo.php?workbook=02_02.xlsx&amp;sheet=A0&amp;row=219&amp;col=8&amp;number=&amp;sourceID=26","")</f>
        <v/>
      </c>
      <c r="I219" s="4" t="str">
        <f>HYPERLINK("http://141.218.60.56/~jnz1568/getInfo.php?workbook=02_02.xlsx&amp;sheet=A0&amp;row=219&amp;col=9&amp;number=120680&amp;sourceID=15","120680")</f>
        <v>120680</v>
      </c>
      <c r="J219" s="4" t="str">
        <f>HYPERLINK("http://141.218.60.56/~jnz1568/getInfo.php?workbook=02_02.xlsx&amp;sheet=A0&amp;row=219&amp;col=10&amp;number=&amp;sourceID=15","")</f>
        <v/>
      </c>
      <c r="K219" s="4" t="str">
        <f>HYPERLINK("http://141.218.60.56/~jnz1568/getInfo.php?workbook=02_02.xlsx&amp;sheet=A0&amp;row=219&amp;col=11&amp;number=&amp;sourceID=15","")</f>
        <v/>
      </c>
      <c r="L219" s="4" t="str">
        <f>HYPERLINK("http://141.218.60.56/~jnz1568/getInfo.php?workbook=02_02.xlsx&amp;sheet=A0&amp;row=219&amp;col=12&amp;number=&amp;sourceID=15","")</f>
        <v/>
      </c>
      <c r="M219" s="4" t="str">
        <f>HYPERLINK("http://141.218.60.56/~jnz1568/getInfo.php?workbook=02_02.xlsx&amp;sheet=A0&amp;row=219&amp;col=13&amp;number=120510&amp;sourceID=23","120510")</f>
        <v>120510</v>
      </c>
    </row>
    <row r="220" spans="1:13">
      <c r="A220" s="3">
        <v>2</v>
      </c>
      <c r="B220" s="3">
        <v>2</v>
      </c>
      <c r="C220" s="3">
        <v>36</v>
      </c>
      <c r="D220" s="3">
        <v>25</v>
      </c>
      <c r="E220" s="3">
        <f>((1/(INDEX(E0!J$4:J$52,C220,1)-INDEX(E0!J$4:J$52,D220,1))))*100000000</f>
        <v>0</v>
      </c>
      <c r="F220" s="4" t="str">
        <f>HYPERLINK("http://141.218.60.56/~jnz1568/getInfo.php?workbook=02_02.xlsx&amp;sheet=A0&amp;row=220&amp;col=6&amp;number=&amp;sourceID=27","")</f>
        <v/>
      </c>
      <c r="G220" s="4" t="str">
        <f>HYPERLINK("http://141.218.60.56/~jnz1568/getInfo.php?workbook=02_02.xlsx&amp;sheet=A0&amp;row=220&amp;col=7&amp;number=&amp;sourceID=26","")</f>
        <v/>
      </c>
      <c r="H220" s="4" t="str">
        <f>HYPERLINK("http://141.218.60.56/~jnz1568/getInfo.php?workbook=02_02.xlsx&amp;sheet=A0&amp;row=220&amp;col=8&amp;number=&amp;sourceID=26","")</f>
        <v/>
      </c>
      <c r="I220" s="4" t="str">
        <f>HYPERLINK("http://141.218.60.56/~jnz1568/getInfo.php?workbook=02_02.xlsx&amp;sheet=A0&amp;row=220&amp;col=9&amp;number=327110&amp;sourceID=15","327110")</f>
        <v>327110</v>
      </c>
      <c r="J220" s="4" t="str">
        <f>HYPERLINK("http://141.218.60.56/~jnz1568/getInfo.php?workbook=02_02.xlsx&amp;sheet=A0&amp;row=220&amp;col=10&amp;number=&amp;sourceID=15","")</f>
        <v/>
      </c>
      <c r="K220" s="4" t="str">
        <f>HYPERLINK("http://141.218.60.56/~jnz1568/getInfo.php?workbook=02_02.xlsx&amp;sheet=A0&amp;row=220&amp;col=11&amp;number=&amp;sourceID=15","")</f>
        <v/>
      </c>
      <c r="L220" s="4" t="str">
        <f>HYPERLINK("http://141.218.60.56/~jnz1568/getInfo.php?workbook=02_02.xlsx&amp;sheet=A0&amp;row=220&amp;col=12&amp;number=&amp;sourceID=15","")</f>
        <v/>
      </c>
      <c r="M220" s="4" t="str">
        <f>HYPERLINK("http://141.218.60.56/~jnz1568/getInfo.php?workbook=02_02.xlsx&amp;sheet=A0&amp;row=220&amp;col=13&amp;number=327680&amp;sourceID=23","327680")</f>
        <v>327680</v>
      </c>
    </row>
    <row r="221" spans="1:13">
      <c r="A221" s="3">
        <v>2</v>
      </c>
      <c r="B221" s="3">
        <v>2</v>
      </c>
      <c r="C221" s="3">
        <v>36</v>
      </c>
      <c r="D221" s="3">
        <v>32</v>
      </c>
      <c r="E221" s="3">
        <f>((1/(INDEX(E0!J$4:J$52,C221,1)-INDEX(E0!J$4:J$52,D221,1))))*100000000</f>
        <v>0</v>
      </c>
      <c r="F221" s="4" t="str">
        <f>HYPERLINK("http://141.218.60.56/~jnz1568/getInfo.php?workbook=02_02.xlsx&amp;sheet=A0&amp;row=221&amp;col=6&amp;number=&amp;sourceID=27","")</f>
        <v/>
      </c>
      <c r="G221" s="4" t="str">
        <f>HYPERLINK("http://141.218.60.56/~jnz1568/getInfo.php?workbook=02_02.xlsx&amp;sheet=A0&amp;row=221&amp;col=7&amp;number=&amp;sourceID=26","")</f>
        <v/>
      </c>
      <c r="H221" s="4" t="str">
        <f>HYPERLINK("http://141.218.60.56/~jnz1568/getInfo.php?workbook=02_02.xlsx&amp;sheet=A0&amp;row=221&amp;col=8&amp;number=&amp;sourceID=26","")</f>
        <v/>
      </c>
      <c r="I221" s="4" t="str">
        <f>HYPERLINK("http://141.218.60.56/~jnz1568/getInfo.php?workbook=02_02.xlsx&amp;sheet=A0&amp;row=221&amp;col=9&amp;number=70086&amp;sourceID=15","70086")</f>
        <v>70086</v>
      </c>
      <c r="J221" s="4" t="str">
        <f>HYPERLINK("http://141.218.60.56/~jnz1568/getInfo.php?workbook=02_02.xlsx&amp;sheet=A0&amp;row=221&amp;col=10&amp;number=&amp;sourceID=15","")</f>
        <v/>
      </c>
      <c r="K221" s="4" t="str">
        <f>HYPERLINK("http://141.218.60.56/~jnz1568/getInfo.php?workbook=02_02.xlsx&amp;sheet=A0&amp;row=221&amp;col=11&amp;number=&amp;sourceID=15","")</f>
        <v/>
      </c>
      <c r="L221" s="4" t="str">
        <f>HYPERLINK("http://141.218.60.56/~jnz1568/getInfo.php?workbook=02_02.xlsx&amp;sheet=A0&amp;row=221&amp;col=12&amp;number=&amp;sourceID=15","")</f>
        <v/>
      </c>
      <c r="M221" s="4" t="str">
        <f>HYPERLINK("http://141.218.60.56/~jnz1568/getInfo.php?workbook=02_02.xlsx&amp;sheet=A0&amp;row=221&amp;col=13&amp;number=70145&amp;sourceID=23","70145")</f>
        <v>70145</v>
      </c>
    </row>
    <row r="222" spans="1:13">
      <c r="A222" s="3">
        <v>2</v>
      </c>
      <c r="B222" s="3">
        <v>2</v>
      </c>
      <c r="C222" s="3">
        <v>37</v>
      </c>
      <c r="D222" s="3">
        <v>4</v>
      </c>
      <c r="E222" s="3">
        <f>((1/(INDEX(E0!J$4:J$52,C222,1)-INDEX(E0!J$4:J$52,D222,1))))*100000000</f>
        <v>0</v>
      </c>
      <c r="F222" s="4" t="str">
        <f>HYPERLINK("http://141.218.60.56/~jnz1568/getInfo.php?workbook=02_02.xlsx&amp;sheet=A0&amp;row=222&amp;col=6&amp;number=&amp;sourceID=27","")</f>
        <v/>
      </c>
      <c r="G222" s="4" t="str">
        <f>HYPERLINK("http://141.218.60.56/~jnz1568/getInfo.php?workbook=02_02.xlsx&amp;sheet=A0&amp;row=222&amp;col=7&amp;number=&amp;sourceID=26","")</f>
        <v/>
      </c>
      <c r="H222" s="4" t="str">
        <f>HYPERLINK("http://141.218.60.56/~jnz1568/getInfo.php?workbook=02_02.xlsx&amp;sheet=A0&amp;row=222&amp;col=8&amp;number=&amp;sourceID=26","")</f>
        <v/>
      </c>
      <c r="I222" s="4" t="str">
        <f>HYPERLINK("http://141.218.60.56/~jnz1568/getInfo.php?workbook=02_02.xlsx&amp;sheet=A0&amp;row=222&amp;col=9&amp;number=11601000&amp;sourceID=15","11601000")</f>
        <v>11601000</v>
      </c>
      <c r="J222" s="4" t="str">
        <f>HYPERLINK("http://141.218.60.56/~jnz1568/getInfo.php?workbook=02_02.xlsx&amp;sheet=A0&amp;row=222&amp;col=10&amp;number=&amp;sourceID=15","")</f>
        <v/>
      </c>
      <c r="K222" s="4" t="str">
        <f>HYPERLINK("http://141.218.60.56/~jnz1568/getInfo.php?workbook=02_02.xlsx&amp;sheet=A0&amp;row=222&amp;col=11&amp;number=&amp;sourceID=15","")</f>
        <v/>
      </c>
      <c r="L222" s="4" t="str">
        <f>HYPERLINK("http://141.218.60.56/~jnz1568/getInfo.php?workbook=02_02.xlsx&amp;sheet=A0&amp;row=222&amp;col=12&amp;number=&amp;sourceID=15","")</f>
        <v/>
      </c>
      <c r="M222" s="4" t="str">
        <f>HYPERLINK("http://141.218.60.56/~jnz1568/getInfo.php?workbook=02_02.xlsx&amp;sheet=A0&amp;row=222&amp;col=13&amp;number=11606000&amp;sourceID=23","11606000")</f>
        <v>11606000</v>
      </c>
    </row>
    <row r="223" spans="1:13">
      <c r="A223" s="3">
        <v>2</v>
      </c>
      <c r="B223" s="3">
        <v>2</v>
      </c>
      <c r="C223" s="3">
        <v>37</v>
      </c>
      <c r="D223" s="3">
        <v>10</v>
      </c>
      <c r="E223" s="3">
        <f>((1/(INDEX(E0!J$4:J$52,C223,1)-INDEX(E0!J$4:J$52,D223,1))))*100000000</f>
        <v>0</v>
      </c>
      <c r="F223" s="4" t="str">
        <f>HYPERLINK("http://141.218.60.56/~jnz1568/getInfo.php?workbook=02_02.xlsx&amp;sheet=A0&amp;row=223&amp;col=6&amp;number=&amp;sourceID=27","")</f>
        <v/>
      </c>
      <c r="G223" s="4" t="str">
        <f>HYPERLINK("http://141.218.60.56/~jnz1568/getInfo.php?workbook=02_02.xlsx&amp;sheet=A0&amp;row=223&amp;col=7&amp;number=&amp;sourceID=26","")</f>
        <v/>
      </c>
      <c r="H223" s="4" t="str">
        <f>HYPERLINK("http://141.218.60.56/~jnz1568/getInfo.php?workbook=02_02.xlsx&amp;sheet=A0&amp;row=223&amp;col=8&amp;number=&amp;sourceID=26","")</f>
        <v/>
      </c>
      <c r="I223" s="4" t="str">
        <f>HYPERLINK("http://141.218.60.56/~jnz1568/getInfo.php?workbook=02_02.xlsx&amp;sheet=A0&amp;row=223&amp;col=9&amp;number=3478200&amp;sourceID=15","3478200")</f>
        <v>3478200</v>
      </c>
      <c r="J223" s="4" t="str">
        <f>HYPERLINK("http://141.218.60.56/~jnz1568/getInfo.php?workbook=02_02.xlsx&amp;sheet=A0&amp;row=223&amp;col=10&amp;number=&amp;sourceID=15","")</f>
        <v/>
      </c>
      <c r="K223" s="4" t="str">
        <f>HYPERLINK("http://141.218.60.56/~jnz1568/getInfo.php?workbook=02_02.xlsx&amp;sheet=A0&amp;row=223&amp;col=11&amp;number=&amp;sourceID=15","")</f>
        <v/>
      </c>
      <c r="L223" s="4" t="str">
        <f>HYPERLINK("http://141.218.60.56/~jnz1568/getInfo.php?workbook=02_02.xlsx&amp;sheet=A0&amp;row=223&amp;col=12&amp;number=&amp;sourceID=15","")</f>
        <v/>
      </c>
      <c r="M223" s="4" t="str">
        <f>HYPERLINK("http://141.218.60.56/~jnz1568/getInfo.php?workbook=02_02.xlsx&amp;sheet=A0&amp;row=223&amp;col=13&amp;number=3477600&amp;sourceID=23","3477600")</f>
        <v>3477600</v>
      </c>
    </row>
    <row r="224" spans="1:13">
      <c r="A224" s="3">
        <v>2</v>
      </c>
      <c r="B224" s="3">
        <v>2</v>
      </c>
      <c r="C224" s="3">
        <v>37</v>
      </c>
      <c r="D224" s="3">
        <v>20</v>
      </c>
      <c r="E224" s="3">
        <f>((1/(INDEX(E0!J$4:J$52,C224,1)-INDEX(E0!J$4:J$52,D224,1))))*100000000</f>
        <v>0</v>
      </c>
      <c r="F224" s="4" t="str">
        <f>HYPERLINK("http://141.218.60.56/~jnz1568/getInfo.php?workbook=02_02.xlsx&amp;sheet=A0&amp;row=224&amp;col=6&amp;number=&amp;sourceID=27","")</f>
        <v/>
      </c>
      <c r="G224" s="4" t="str">
        <f>HYPERLINK("http://141.218.60.56/~jnz1568/getInfo.php?workbook=02_02.xlsx&amp;sheet=A0&amp;row=224&amp;col=7&amp;number=&amp;sourceID=26","")</f>
        <v/>
      </c>
      <c r="H224" s="4" t="str">
        <f>HYPERLINK("http://141.218.60.56/~jnz1568/getInfo.php?workbook=02_02.xlsx&amp;sheet=A0&amp;row=224&amp;col=8&amp;number=&amp;sourceID=26","")</f>
        <v/>
      </c>
      <c r="I224" s="4" t="str">
        <f>HYPERLINK("http://141.218.60.56/~jnz1568/getInfo.php?workbook=02_02.xlsx&amp;sheet=A0&amp;row=224&amp;col=9&amp;number=1279300&amp;sourceID=15","1279300")</f>
        <v>1279300</v>
      </c>
      <c r="J224" s="4" t="str">
        <f>HYPERLINK("http://141.218.60.56/~jnz1568/getInfo.php?workbook=02_02.xlsx&amp;sheet=A0&amp;row=224&amp;col=10&amp;number=&amp;sourceID=15","")</f>
        <v/>
      </c>
      <c r="K224" s="4" t="str">
        <f>HYPERLINK("http://141.218.60.56/~jnz1568/getInfo.php?workbook=02_02.xlsx&amp;sheet=A0&amp;row=224&amp;col=11&amp;number=&amp;sourceID=15","")</f>
        <v/>
      </c>
      <c r="L224" s="4" t="str">
        <f>HYPERLINK("http://141.218.60.56/~jnz1568/getInfo.php?workbook=02_02.xlsx&amp;sheet=A0&amp;row=224&amp;col=12&amp;number=&amp;sourceID=15","")</f>
        <v/>
      </c>
      <c r="M224" s="4" t="str">
        <f>HYPERLINK("http://141.218.60.56/~jnz1568/getInfo.php?workbook=02_02.xlsx&amp;sheet=A0&amp;row=224&amp;col=13&amp;number=1277600&amp;sourceID=23","1277600")</f>
        <v>1277600</v>
      </c>
    </row>
    <row r="225" spans="1:13">
      <c r="A225" s="3">
        <v>2</v>
      </c>
      <c r="B225" s="3">
        <v>2</v>
      </c>
      <c r="C225" s="3">
        <v>37</v>
      </c>
      <c r="D225" s="3">
        <v>27</v>
      </c>
      <c r="E225" s="3">
        <f>((1/(INDEX(E0!J$4:J$52,C225,1)-INDEX(E0!J$4:J$52,D225,1))))*100000000</f>
        <v>0</v>
      </c>
      <c r="F225" s="4" t="str">
        <f>HYPERLINK("http://141.218.60.56/~jnz1568/getInfo.php?workbook=02_02.xlsx&amp;sheet=A0&amp;row=225&amp;col=6&amp;number=&amp;sourceID=27","")</f>
        <v/>
      </c>
      <c r="G225" s="4" t="str">
        <f>HYPERLINK("http://141.218.60.56/~jnz1568/getInfo.php?workbook=02_02.xlsx&amp;sheet=A0&amp;row=225&amp;col=7&amp;number=&amp;sourceID=26","")</f>
        <v/>
      </c>
      <c r="H225" s="4" t="str">
        <f>HYPERLINK("http://141.218.60.56/~jnz1568/getInfo.php?workbook=02_02.xlsx&amp;sheet=A0&amp;row=225&amp;col=8&amp;number=&amp;sourceID=26","")</f>
        <v/>
      </c>
      <c r="I225" s="4" t="str">
        <f>HYPERLINK("http://141.218.60.56/~jnz1568/getInfo.php?workbook=02_02.xlsx&amp;sheet=A0&amp;row=225&amp;col=9&amp;number=2617.8&amp;sourceID=15","2617.8")</f>
        <v>2617.8</v>
      </c>
      <c r="J225" s="4" t="str">
        <f>HYPERLINK("http://141.218.60.56/~jnz1568/getInfo.php?workbook=02_02.xlsx&amp;sheet=A0&amp;row=225&amp;col=10&amp;number=&amp;sourceID=15","")</f>
        <v/>
      </c>
      <c r="K225" s="4" t="str">
        <f>HYPERLINK("http://141.218.60.56/~jnz1568/getInfo.php?workbook=02_02.xlsx&amp;sheet=A0&amp;row=225&amp;col=11&amp;number=&amp;sourceID=15","")</f>
        <v/>
      </c>
      <c r="L225" s="4" t="str">
        <f>HYPERLINK("http://141.218.60.56/~jnz1568/getInfo.php?workbook=02_02.xlsx&amp;sheet=A0&amp;row=225&amp;col=12&amp;number=&amp;sourceID=15","")</f>
        <v/>
      </c>
      <c r="M225" s="4" t="str">
        <f>HYPERLINK("http://141.218.60.56/~jnz1568/getInfo.php?workbook=02_02.xlsx&amp;sheet=A0&amp;row=225&amp;col=13&amp;number=&amp;sourceID=23","")</f>
        <v/>
      </c>
    </row>
    <row r="226" spans="1:13">
      <c r="A226" s="3">
        <v>2</v>
      </c>
      <c r="B226" s="3">
        <v>2</v>
      </c>
      <c r="C226" s="3">
        <v>37</v>
      </c>
      <c r="D226" s="3">
        <v>28</v>
      </c>
      <c r="E226" s="3">
        <f>((1/(INDEX(E0!J$4:J$52,C226,1)-INDEX(E0!J$4:J$52,D226,1))))*100000000</f>
        <v>0</v>
      </c>
      <c r="F226" s="4" t="str">
        <f>HYPERLINK("http://141.218.60.56/~jnz1568/getInfo.php?workbook=02_02.xlsx&amp;sheet=A0&amp;row=226&amp;col=6&amp;number=&amp;sourceID=27","")</f>
        <v/>
      </c>
      <c r="G226" s="4" t="str">
        <f>HYPERLINK("http://141.218.60.56/~jnz1568/getInfo.php?workbook=02_02.xlsx&amp;sheet=A0&amp;row=226&amp;col=7&amp;number=&amp;sourceID=26","")</f>
        <v/>
      </c>
      <c r="H226" s="4" t="str">
        <f>HYPERLINK("http://141.218.60.56/~jnz1568/getInfo.php?workbook=02_02.xlsx&amp;sheet=A0&amp;row=226&amp;col=8&amp;number=&amp;sourceID=26","")</f>
        <v/>
      </c>
      <c r="I226" s="4" t="str">
        <f>HYPERLINK("http://141.218.60.56/~jnz1568/getInfo.php?workbook=02_02.xlsx&amp;sheet=A0&amp;row=226&amp;col=9&amp;number=47698&amp;sourceID=15","47698")</f>
        <v>47698</v>
      </c>
      <c r="J226" s="4" t="str">
        <f>HYPERLINK("http://141.218.60.56/~jnz1568/getInfo.php?workbook=02_02.xlsx&amp;sheet=A0&amp;row=226&amp;col=10&amp;number=&amp;sourceID=15","")</f>
        <v/>
      </c>
      <c r="K226" s="4" t="str">
        <f>HYPERLINK("http://141.218.60.56/~jnz1568/getInfo.php?workbook=02_02.xlsx&amp;sheet=A0&amp;row=226&amp;col=11&amp;number=&amp;sourceID=15","")</f>
        <v/>
      </c>
      <c r="L226" s="4" t="str">
        <f>HYPERLINK("http://141.218.60.56/~jnz1568/getInfo.php?workbook=02_02.xlsx&amp;sheet=A0&amp;row=226&amp;col=12&amp;number=&amp;sourceID=15","")</f>
        <v/>
      </c>
      <c r="M226" s="4" t="str">
        <f>HYPERLINK("http://141.218.60.56/~jnz1568/getInfo.php?workbook=02_02.xlsx&amp;sheet=A0&amp;row=226&amp;col=13&amp;number=&amp;sourceID=23","")</f>
        <v/>
      </c>
    </row>
    <row r="227" spans="1:13">
      <c r="A227" s="3">
        <v>2</v>
      </c>
      <c r="B227" s="3">
        <v>2</v>
      </c>
      <c r="C227" s="3">
        <v>37</v>
      </c>
      <c r="D227" s="3">
        <v>29</v>
      </c>
      <c r="E227" s="3">
        <f>((1/(INDEX(E0!J$4:J$52,C227,1)-INDEX(E0!J$4:J$52,D227,1))))*100000000</f>
        <v>0</v>
      </c>
      <c r="F227" s="4" t="str">
        <f>HYPERLINK("http://141.218.60.56/~jnz1568/getInfo.php?workbook=02_02.xlsx&amp;sheet=A0&amp;row=227&amp;col=6&amp;number=&amp;sourceID=27","")</f>
        <v/>
      </c>
      <c r="G227" s="4" t="str">
        <f>HYPERLINK("http://141.218.60.56/~jnz1568/getInfo.php?workbook=02_02.xlsx&amp;sheet=A0&amp;row=227&amp;col=7&amp;number=&amp;sourceID=26","")</f>
        <v/>
      </c>
      <c r="H227" s="4" t="str">
        <f>HYPERLINK("http://141.218.60.56/~jnz1568/getInfo.php?workbook=02_02.xlsx&amp;sheet=A0&amp;row=227&amp;col=8&amp;number=&amp;sourceID=26","")</f>
        <v/>
      </c>
      <c r="I227" s="4" t="str">
        <f>HYPERLINK("http://141.218.60.56/~jnz1568/getInfo.php?workbook=02_02.xlsx&amp;sheet=A0&amp;row=227&amp;col=9&amp;number=117.77&amp;sourceID=15","117.77")</f>
        <v>117.77</v>
      </c>
      <c r="J227" s="4" t="str">
        <f>HYPERLINK("http://141.218.60.56/~jnz1568/getInfo.php?workbook=02_02.xlsx&amp;sheet=A0&amp;row=227&amp;col=10&amp;number=&amp;sourceID=15","")</f>
        <v/>
      </c>
      <c r="K227" s="4" t="str">
        <f>HYPERLINK("http://141.218.60.56/~jnz1568/getInfo.php?workbook=02_02.xlsx&amp;sheet=A0&amp;row=227&amp;col=11&amp;number=&amp;sourceID=15","")</f>
        <v/>
      </c>
      <c r="L227" s="4" t="str">
        <f>HYPERLINK("http://141.218.60.56/~jnz1568/getInfo.php?workbook=02_02.xlsx&amp;sheet=A0&amp;row=227&amp;col=12&amp;number=&amp;sourceID=15","")</f>
        <v/>
      </c>
      <c r="M227" s="4" t="str">
        <f>HYPERLINK("http://141.218.60.56/~jnz1568/getInfo.php?workbook=02_02.xlsx&amp;sheet=A0&amp;row=227&amp;col=13&amp;number=117.48&amp;sourceID=23","117.48")</f>
        <v>117.48</v>
      </c>
    </row>
    <row r="228" spans="1:13">
      <c r="A228" s="3">
        <v>2</v>
      </c>
      <c r="B228" s="3">
        <v>2</v>
      </c>
      <c r="C228" s="3">
        <v>37</v>
      </c>
      <c r="D228" s="3">
        <v>30</v>
      </c>
      <c r="E228" s="3">
        <f>((1/(INDEX(E0!J$4:J$52,C228,1)-INDEX(E0!J$4:J$52,D228,1))))*100000000</f>
        <v>0</v>
      </c>
      <c r="F228" s="4" t="str">
        <f>HYPERLINK("http://141.218.60.56/~jnz1568/getInfo.php?workbook=02_02.xlsx&amp;sheet=A0&amp;row=228&amp;col=6&amp;number=&amp;sourceID=27","")</f>
        <v/>
      </c>
      <c r="G228" s="4" t="str">
        <f>HYPERLINK("http://141.218.60.56/~jnz1568/getInfo.php?workbook=02_02.xlsx&amp;sheet=A0&amp;row=228&amp;col=7&amp;number=&amp;sourceID=26","")</f>
        <v/>
      </c>
      <c r="H228" s="4" t="str">
        <f>HYPERLINK("http://141.218.60.56/~jnz1568/getInfo.php?workbook=02_02.xlsx&amp;sheet=A0&amp;row=228&amp;col=8&amp;number=&amp;sourceID=26","")</f>
        <v/>
      </c>
      <c r="I228" s="4" t="str">
        <f>HYPERLINK("http://141.218.60.56/~jnz1568/getInfo.php?workbook=02_02.xlsx&amp;sheet=A0&amp;row=228&amp;col=9&amp;number=1504&amp;sourceID=15","1504")</f>
        <v>1504</v>
      </c>
      <c r="J228" s="4" t="str">
        <f>HYPERLINK("http://141.218.60.56/~jnz1568/getInfo.php?workbook=02_02.xlsx&amp;sheet=A0&amp;row=228&amp;col=10&amp;number=&amp;sourceID=15","")</f>
        <v/>
      </c>
      <c r="K228" s="4" t="str">
        <f>HYPERLINK("http://141.218.60.56/~jnz1568/getInfo.php?workbook=02_02.xlsx&amp;sheet=A0&amp;row=228&amp;col=11&amp;number=&amp;sourceID=15","")</f>
        <v/>
      </c>
      <c r="L228" s="4" t="str">
        <f>HYPERLINK("http://141.218.60.56/~jnz1568/getInfo.php?workbook=02_02.xlsx&amp;sheet=A0&amp;row=228&amp;col=12&amp;number=&amp;sourceID=15","")</f>
        <v/>
      </c>
      <c r="M228" s="4" t="str">
        <f>HYPERLINK("http://141.218.60.56/~jnz1568/getInfo.php?workbook=02_02.xlsx&amp;sheet=A0&amp;row=228&amp;col=13&amp;number=&amp;sourceID=23","")</f>
        <v/>
      </c>
    </row>
    <row r="229" spans="1:13">
      <c r="A229" s="3">
        <v>2</v>
      </c>
      <c r="B229" s="3">
        <v>2</v>
      </c>
      <c r="C229" s="3">
        <v>37</v>
      </c>
      <c r="D229" s="3">
        <v>34</v>
      </c>
      <c r="E229" s="3">
        <f>((1/(INDEX(E0!J$4:J$52,C229,1)-INDEX(E0!J$4:J$52,D229,1))))*100000000</f>
        <v>0</v>
      </c>
      <c r="F229" s="4" t="str">
        <f>HYPERLINK("http://141.218.60.56/~jnz1568/getInfo.php?workbook=02_02.xlsx&amp;sheet=A0&amp;row=229&amp;col=6&amp;number=&amp;sourceID=27","")</f>
        <v/>
      </c>
      <c r="G229" s="4" t="str">
        <f>HYPERLINK("http://141.218.60.56/~jnz1568/getInfo.php?workbook=02_02.xlsx&amp;sheet=A0&amp;row=229&amp;col=7&amp;number=&amp;sourceID=26","")</f>
        <v/>
      </c>
      <c r="H229" s="4" t="str">
        <f>HYPERLINK("http://141.218.60.56/~jnz1568/getInfo.php?workbook=02_02.xlsx&amp;sheet=A0&amp;row=229&amp;col=8&amp;number=&amp;sourceID=26","")</f>
        <v/>
      </c>
      <c r="I229" s="4" t="str">
        <f>HYPERLINK("http://141.218.60.56/~jnz1568/getInfo.php?workbook=02_02.xlsx&amp;sheet=A0&amp;row=229&amp;col=9&amp;number=1517.5&amp;sourceID=15","1517.5")</f>
        <v>1517.5</v>
      </c>
      <c r="J229" s="4" t="str">
        <f>HYPERLINK("http://141.218.60.56/~jnz1568/getInfo.php?workbook=02_02.xlsx&amp;sheet=A0&amp;row=229&amp;col=10&amp;number=&amp;sourceID=15","")</f>
        <v/>
      </c>
      <c r="K229" s="4" t="str">
        <f>HYPERLINK("http://141.218.60.56/~jnz1568/getInfo.php?workbook=02_02.xlsx&amp;sheet=A0&amp;row=229&amp;col=11&amp;number=&amp;sourceID=15","")</f>
        <v/>
      </c>
      <c r="L229" s="4" t="str">
        <f>HYPERLINK("http://141.218.60.56/~jnz1568/getInfo.php?workbook=02_02.xlsx&amp;sheet=A0&amp;row=229&amp;col=12&amp;number=&amp;sourceID=15","")</f>
        <v/>
      </c>
      <c r="M229" s="4" t="str">
        <f>HYPERLINK("http://141.218.60.56/~jnz1568/getInfo.php?workbook=02_02.xlsx&amp;sheet=A0&amp;row=229&amp;col=13&amp;number=1541.1&amp;sourceID=23","1541.1")</f>
        <v>1541.1</v>
      </c>
    </row>
    <row r="230" spans="1:13">
      <c r="A230" s="3">
        <v>2</v>
      </c>
      <c r="B230" s="3">
        <v>2</v>
      </c>
      <c r="C230" s="3">
        <v>38</v>
      </c>
      <c r="D230" s="3">
        <v>4</v>
      </c>
      <c r="E230" s="3">
        <f>((1/(INDEX(E0!J$4:J$52,C230,1)-INDEX(E0!J$4:J$52,D230,1))))*100000000</f>
        <v>0</v>
      </c>
      <c r="F230" s="4" t="str">
        <f>HYPERLINK("http://141.218.60.56/~jnz1568/getInfo.php?workbook=02_02.xlsx&amp;sheet=A0&amp;row=230&amp;col=6&amp;number=&amp;sourceID=27","")</f>
        <v/>
      </c>
      <c r="G230" s="4" t="str">
        <f>HYPERLINK("http://141.218.60.56/~jnz1568/getInfo.php?workbook=02_02.xlsx&amp;sheet=A0&amp;row=230&amp;col=7&amp;number=&amp;sourceID=26","")</f>
        <v/>
      </c>
      <c r="H230" s="4" t="str">
        <f>HYPERLINK("http://141.218.60.56/~jnz1568/getInfo.php?workbook=02_02.xlsx&amp;sheet=A0&amp;row=230&amp;col=8&amp;number=&amp;sourceID=26","")</f>
        <v/>
      </c>
      <c r="I230" s="4" t="str">
        <f>HYPERLINK("http://141.218.60.56/~jnz1568/getInfo.php?workbook=02_02.xlsx&amp;sheet=A0&amp;row=230&amp;col=9&amp;number=2899900&amp;sourceID=15","2899900")</f>
        <v>2899900</v>
      </c>
      <c r="J230" s="4" t="str">
        <f>HYPERLINK("http://141.218.60.56/~jnz1568/getInfo.php?workbook=02_02.xlsx&amp;sheet=A0&amp;row=230&amp;col=10&amp;number=&amp;sourceID=15","")</f>
        <v/>
      </c>
      <c r="K230" s="4" t="str">
        <f>HYPERLINK("http://141.218.60.56/~jnz1568/getInfo.php?workbook=02_02.xlsx&amp;sheet=A0&amp;row=230&amp;col=11&amp;number=&amp;sourceID=15","")</f>
        <v/>
      </c>
      <c r="L230" s="4" t="str">
        <f>HYPERLINK("http://141.218.60.56/~jnz1568/getInfo.php?workbook=02_02.xlsx&amp;sheet=A0&amp;row=230&amp;col=12&amp;number=&amp;sourceID=15","")</f>
        <v/>
      </c>
      <c r="M230" s="4" t="str">
        <f>HYPERLINK("http://141.218.60.56/~jnz1568/getInfo.php?workbook=02_02.xlsx&amp;sheet=A0&amp;row=230&amp;col=13&amp;number=2901100&amp;sourceID=23","2901100")</f>
        <v>2901100</v>
      </c>
    </row>
    <row r="231" spans="1:13">
      <c r="A231" s="3">
        <v>2</v>
      </c>
      <c r="B231" s="3">
        <v>2</v>
      </c>
      <c r="C231" s="3">
        <v>38</v>
      </c>
      <c r="D231" s="3">
        <v>5</v>
      </c>
      <c r="E231" s="3">
        <f>((1/(INDEX(E0!J$4:J$52,C231,1)-INDEX(E0!J$4:J$52,D231,1))))*100000000</f>
        <v>0</v>
      </c>
      <c r="F231" s="4" t="str">
        <f>HYPERLINK("http://141.218.60.56/~jnz1568/getInfo.php?workbook=02_02.xlsx&amp;sheet=A0&amp;row=231&amp;col=6&amp;number=&amp;sourceID=27","")</f>
        <v/>
      </c>
      <c r="G231" s="4" t="str">
        <f>HYPERLINK("http://141.218.60.56/~jnz1568/getInfo.php?workbook=02_02.xlsx&amp;sheet=A0&amp;row=231&amp;col=7&amp;number=&amp;sourceID=26","")</f>
        <v/>
      </c>
      <c r="H231" s="4" t="str">
        <f>HYPERLINK("http://141.218.60.56/~jnz1568/getInfo.php?workbook=02_02.xlsx&amp;sheet=A0&amp;row=231&amp;col=8&amp;number=&amp;sourceID=26","")</f>
        <v/>
      </c>
      <c r="I231" s="4" t="str">
        <f>HYPERLINK("http://141.218.60.56/~jnz1568/getInfo.php?workbook=02_02.xlsx&amp;sheet=A0&amp;row=231&amp;col=9&amp;number=8699700&amp;sourceID=15","8699700")</f>
        <v>8699700</v>
      </c>
      <c r="J231" s="4" t="str">
        <f>HYPERLINK("http://141.218.60.56/~jnz1568/getInfo.php?workbook=02_02.xlsx&amp;sheet=A0&amp;row=231&amp;col=10&amp;number=&amp;sourceID=15","")</f>
        <v/>
      </c>
      <c r="K231" s="4" t="str">
        <f>HYPERLINK("http://141.218.60.56/~jnz1568/getInfo.php?workbook=02_02.xlsx&amp;sheet=A0&amp;row=231&amp;col=11&amp;number=&amp;sourceID=15","")</f>
        <v/>
      </c>
      <c r="L231" s="4" t="str">
        <f>HYPERLINK("http://141.218.60.56/~jnz1568/getInfo.php?workbook=02_02.xlsx&amp;sheet=A0&amp;row=231&amp;col=12&amp;number=&amp;sourceID=15","")</f>
        <v/>
      </c>
      <c r="M231" s="4" t="str">
        <f>HYPERLINK("http://141.218.60.56/~jnz1568/getInfo.php?workbook=02_02.xlsx&amp;sheet=A0&amp;row=231&amp;col=13&amp;number=8703300&amp;sourceID=23","8703300")</f>
        <v>8703300</v>
      </c>
    </row>
    <row r="232" spans="1:13">
      <c r="A232" s="3">
        <v>2</v>
      </c>
      <c r="B232" s="3">
        <v>2</v>
      </c>
      <c r="C232" s="3">
        <v>38</v>
      </c>
      <c r="D232" s="3">
        <v>7</v>
      </c>
      <c r="E232" s="3">
        <f>((1/(INDEX(E0!J$4:J$52,C232,1)-INDEX(E0!J$4:J$52,D232,1))))*100000000</f>
        <v>0</v>
      </c>
      <c r="F232" s="4" t="str">
        <f>HYPERLINK("http://141.218.60.56/~jnz1568/getInfo.php?workbook=02_02.xlsx&amp;sheet=A0&amp;row=232&amp;col=6&amp;number=&amp;sourceID=27","")</f>
        <v/>
      </c>
      <c r="G232" s="4" t="str">
        <f>HYPERLINK("http://141.218.60.56/~jnz1568/getInfo.php?workbook=02_02.xlsx&amp;sheet=A0&amp;row=232&amp;col=7&amp;number=&amp;sourceID=26","")</f>
        <v/>
      </c>
      <c r="H232" s="4" t="str">
        <f>HYPERLINK("http://141.218.60.56/~jnz1568/getInfo.php?workbook=02_02.xlsx&amp;sheet=A0&amp;row=232&amp;col=8&amp;number=&amp;sourceID=26","")</f>
        <v/>
      </c>
      <c r="I232" s="4" t="str">
        <f>HYPERLINK("http://141.218.60.56/~jnz1568/getInfo.php?workbook=02_02.xlsx&amp;sheet=A0&amp;row=232&amp;col=9&amp;number=&amp;sourceID=15","")</f>
        <v/>
      </c>
      <c r="J232" s="4" t="str">
        <f>HYPERLINK("http://141.218.60.56/~jnz1568/getInfo.php?workbook=02_02.xlsx&amp;sheet=A0&amp;row=232&amp;col=10&amp;number=&amp;sourceID=15","")</f>
        <v/>
      </c>
      <c r="K232" s="4" t="str">
        <f>HYPERLINK("http://141.218.60.56/~jnz1568/getInfo.php?workbook=02_02.xlsx&amp;sheet=A0&amp;row=232&amp;col=11&amp;number=&amp;sourceID=15","")</f>
        <v/>
      </c>
      <c r="L232" s="4" t="str">
        <f>HYPERLINK("http://141.218.60.56/~jnz1568/getInfo.php?workbook=02_02.xlsx&amp;sheet=A0&amp;row=232&amp;col=12&amp;number=&amp;sourceID=15","")</f>
        <v/>
      </c>
      <c r="M232" s="4" t="str">
        <f>HYPERLINK("http://141.218.60.56/~jnz1568/getInfo.php?workbook=02_02.xlsx&amp;sheet=A0&amp;row=232&amp;col=13&amp;number=896.33&amp;sourceID=23","896.33")</f>
        <v>896.33</v>
      </c>
    </row>
    <row r="233" spans="1:13">
      <c r="A233" s="3">
        <v>2</v>
      </c>
      <c r="B233" s="3">
        <v>2</v>
      </c>
      <c r="C233" s="3">
        <v>38</v>
      </c>
      <c r="D233" s="3">
        <v>10</v>
      </c>
      <c r="E233" s="3">
        <f>((1/(INDEX(E0!J$4:J$52,C233,1)-INDEX(E0!J$4:J$52,D233,1))))*100000000</f>
        <v>0</v>
      </c>
      <c r="F233" s="4" t="str">
        <f>HYPERLINK("http://141.218.60.56/~jnz1568/getInfo.php?workbook=02_02.xlsx&amp;sheet=A0&amp;row=233&amp;col=6&amp;number=&amp;sourceID=27","")</f>
        <v/>
      </c>
      <c r="G233" s="4" t="str">
        <f>HYPERLINK("http://141.218.60.56/~jnz1568/getInfo.php?workbook=02_02.xlsx&amp;sheet=A0&amp;row=233&amp;col=7&amp;number=&amp;sourceID=26","")</f>
        <v/>
      </c>
      <c r="H233" s="4" t="str">
        <f>HYPERLINK("http://141.218.60.56/~jnz1568/getInfo.php?workbook=02_02.xlsx&amp;sheet=A0&amp;row=233&amp;col=8&amp;number=&amp;sourceID=26","")</f>
        <v/>
      </c>
      <c r="I233" s="4" t="str">
        <f>HYPERLINK("http://141.218.60.56/~jnz1568/getInfo.php?workbook=02_02.xlsx&amp;sheet=A0&amp;row=233&amp;col=9&amp;number=869460&amp;sourceID=15","869460")</f>
        <v>869460</v>
      </c>
      <c r="J233" s="4" t="str">
        <f>HYPERLINK("http://141.218.60.56/~jnz1568/getInfo.php?workbook=02_02.xlsx&amp;sheet=A0&amp;row=233&amp;col=10&amp;number=&amp;sourceID=15","")</f>
        <v/>
      </c>
      <c r="K233" s="4" t="str">
        <f>HYPERLINK("http://141.218.60.56/~jnz1568/getInfo.php?workbook=02_02.xlsx&amp;sheet=A0&amp;row=233&amp;col=11&amp;number=&amp;sourceID=15","")</f>
        <v/>
      </c>
      <c r="L233" s="4" t="str">
        <f>HYPERLINK("http://141.218.60.56/~jnz1568/getInfo.php?workbook=02_02.xlsx&amp;sheet=A0&amp;row=233&amp;col=12&amp;number=&amp;sourceID=15","")</f>
        <v/>
      </c>
      <c r="M233" s="4" t="str">
        <f>HYPERLINK("http://141.218.60.56/~jnz1568/getInfo.php?workbook=02_02.xlsx&amp;sheet=A0&amp;row=233&amp;col=13&amp;number=869310&amp;sourceID=23","869310")</f>
        <v>869310</v>
      </c>
    </row>
    <row r="234" spans="1:13">
      <c r="A234" s="3">
        <v>2</v>
      </c>
      <c r="B234" s="3">
        <v>2</v>
      </c>
      <c r="C234" s="3">
        <v>38</v>
      </c>
      <c r="D234" s="3">
        <v>11</v>
      </c>
      <c r="E234" s="3">
        <f>((1/(INDEX(E0!J$4:J$52,C234,1)-INDEX(E0!J$4:J$52,D234,1))))*100000000</f>
        <v>0</v>
      </c>
      <c r="F234" s="4" t="str">
        <f>HYPERLINK("http://141.218.60.56/~jnz1568/getInfo.php?workbook=02_02.xlsx&amp;sheet=A0&amp;row=234&amp;col=6&amp;number=&amp;sourceID=27","")</f>
        <v/>
      </c>
      <c r="G234" s="4" t="str">
        <f>HYPERLINK("http://141.218.60.56/~jnz1568/getInfo.php?workbook=02_02.xlsx&amp;sheet=A0&amp;row=234&amp;col=7&amp;number=&amp;sourceID=26","")</f>
        <v/>
      </c>
      <c r="H234" s="4" t="str">
        <f>HYPERLINK("http://141.218.60.56/~jnz1568/getInfo.php?workbook=02_02.xlsx&amp;sheet=A0&amp;row=234&amp;col=8&amp;number=&amp;sourceID=26","")</f>
        <v/>
      </c>
      <c r="I234" s="4" t="str">
        <f>HYPERLINK("http://141.218.60.56/~jnz1568/getInfo.php?workbook=02_02.xlsx&amp;sheet=A0&amp;row=234&amp;col=9&amp;number=2608400&amp;sourceID=15","2608400")</f>
        <v>2608400</v>
      </c>
      <c r="J234" s="4" t="str">
        <f>HYPERLINK("http://141.218.60.56/~jnz1568/getInfo.php?workbook=02_02.xlsx&amp;sheet=A0&amp;row=234&amp;col=10&amp;number=&amp;sourceID=15","")</f>
        <v/>
      </c>
      <c r="K234" s="4" t="str">
        <f>HYPERLINK("http://141.218.60.56/~jnz1568/getInfo.php?workbook=02_02.xlsx&amp;sheet=A0&amp;row=234&amp;col=11&amp;number=&amp;sourceID=15","")</f>
        <v/>
      </c>
      <c r="L234" s="4" t="str">
        <f>HYPERLINK("http://141.218.60.56/~jnz1568/getInfo.php?workbook=02_02.xlsx&amp;sheet=A0&amp;row=234&amp;col=12&amp;number=&amp;sourceID=15","")</f>
        <v/>
      </c>
      <c r="M234" s="4" t="str">
        <f>HYPERLINK("http://141.218.60.56/~jnz1568/getInfo.php?workbook=02_02.xlsx&amp;sheet=A0&amp;row=234&amp;col=13&amp;number=2607900&amp;sourceID=23","2607900")</f>
        <v>2607900</v>
      </c>
    </row>
    <row r="235" spans="1:13">
      <c r="A235" s="3">
        <v>2</v>
      </c>
      <c r="B235" s="3">
        <v>2</v>
      </c>
      <c r="C235" s="3">
        <v>38</v>
      </c>
      <c r="D235" s="3">
        <v>17</v>
      </c>
      <c r="E235" s="3">
        <f>((1/(INDEX(E0!J$4:J$52,C235,1)-INDEX(E0!J$4:J$52,D235,1))))*100000000</f>
        <v>0</v>
      </c>
      <c r="F235" s="4" t="str">
        <f>HYPERLINK("http://141.218.60.56/~jnz1568/getInfo.php?workbook=02_02.xlsx&amp;sheet=A0&amp;row=235&amp;col=6&amp;number=&amp;sourceID=27","")</f>
        <v/>
      </c>
      <c r="G235" s="4" t="str">
        <f>HYPERLINK("http://141.218.60.56/~jnz1568/getInfo.php?workbook=02_02.xlsx&amp;sheet=A0&amp;row=235&amp;col=7&amp;number=&amp;sourceID=26","")</f>
        <v/>
      </c>
      <c r="H235" s="4" t="str">
        <f>HYPERLINK("http://141.218.60.56/~jnz1568/getInfo.php?workbook=02_02.xlsx&amp;sheet=A0&amp;row=235&amp;col=8&amp;number=&amp;sourceID=26","")</f>
        <v/>
      </c>
      <c r="I235" s="4" t="str">
        <f>HYPERLINK("http://141.218.60.56/~jnz1568/getInfo.php?workbook=02_02.xlsx&amp;sheet=A0&amp;row=235&amp;col=9&amp;number=330.3&amp;sourceID=15","330.3")</f>
        <v>330.3</v>
      </c>
      <c r="J235" s="4" t="str">
        <f>HYPERLINK("http://141.218.60.56/~jnz1568/getInfo.php?workbook=02_02.xlsx&amp;sheet=A0&amp;row=235&amp;col=10&amp;number=&amp;sourceID=15","")</f>
        <v/>
      </c>
      <c r="K235" s="4" t="str">
        <f>HYPERLINK("http://141.218.60.56/~jnz1568/getInfo.php?workbook=02_02.xlsx&amp;sheet=A0&amp;row=235&amp;col=11&amp;number=&amp;sourceID=15","")</f>
        <v/>
      </c>
      <c r="L235" s="4" t="str">
        <f>HYPERLINK("http://141.218.60.56/~jnz1568/getInfo.php?workbook=02_02.xlsx&amp;sheet=A0&amp;row=235&amp;col=12&amp;number=&amp;sourceID=15","")</f>
        <v/>
      </c>
      <c r="M235" s="4" t="str">
        <f>HYPERLINK("http://141.218.60.56/~jnz1568/getInfo.php?workbook=02_02.xlsx&amp;sheet=A0&amp;row=235&amp;col=13&amp;number=337.05&amp;sourceID=23","337.05")</f>
        <v>337.05</v>
      </c>
    </row>
    <row r="236" spans="1:13">
      <c r="A236" s="3">
        <v>2</v>
      </c>
      <c r="B236" s="3">
        <v>2</v>
      </c>
      <c r="C236" s="3">
        <v>38</v>
      </c>
      <c r="D236" s="3">
        <v>20</v>
      </c>
      <c r="E236" s="3">
        <f>((1/(INDEX(E0!J$4:J$52,C236,1)-INDEX(E0!J$4:J$52,D236,1))))*100000000</f>
        <v>0</v>
      </c>
      <c r="F236" s="4" t="str">
        <f>HYPERLINK("http://141.218.60.56/~jnz1568/getInfo.php?workbook=02_02.xlsx&amp;sheet=A0&amp;row=236&amp;col=6&amp;number=&amp;sourceID=27","")</f>
        <v/>
      </c>
      <c r="G236" s="4" t="str">
        <f>HYPERLINK("http://141.218.60.56/~jnz1568/getInfo.php?workbook=02_02.xlsx&amp;sheet=A0&amp;row=236&amp;col=7&amp;number=&amp;sourceID=26","")</f>
        <v/>
      </c>
      <c r="H236" s="4" t="str">
        <f>HYPERLINK("http://141.218.60.56/~jnz1568/getInfo.php?workbook=02_02.xlsx&amp;sheet=A0&amp;row=236&amp;col=8&amp;number=&amp;sourceID=26","")</f>
        <v/>
      </c>
      <c r="I236" s="4" t="str">
        <f>HYPERLINK("http://141.218.60.56/~jnz1568/getInfo.php?workbook=02_02.xlsx&amp;sheet=A0&amp;row=236&amp;col=9&amp;number=319790&amp;sourceID=15","319790")</f>
        <v>319790</v>
      </c>
      <c r="J236" s="4" t="str">
        <f>HYPERLINK("http://141.218.60.56/~jnz1568/getInfo.php?workbook=02_02.xlsx&amp;sheet=A0&amp;row=236&amp;col=10&amp;number=&amp;sourceID=15","")</f>
        <v/>
      </c>
      <c r="K236" s="4" t="str">
        <f>HYPERLINK("http://141.218.60.56/~jnz1568/getInfo.php?workbook=02_02.xlsx&amp;sheet=A0&amp;row=236&amp;col=11&amp;number=&amp;sourceID=15","")</f>
        <v/>
      </c>
      <c r="L236" s="4" t="str">
        <f>HYPERLINK("http://141.218.60.56/~jnz1568/getInfo.php?workbook=02_02.xlsx&amp;sheet=A0&amp;row=236&amp;col=12&amp;number=&amp;sourceID=15","")</f>
        <v/>
      </c>
      <c r="M236" s="4" t="str">
        <f>HYPERLINK("http://141.218.60.56/~jnz1568/getInfo.php?workbook=02_02.xlsx&amp;sheet=A0&amp;row=236&amp;col=13&amp;number=319360&amp;sourceID=23","319360")</f>
        <v>319360</v>
      </c>
    </row>
    <row r="237" spans="1:13">
      <c r="A237" s="3">
        <v>2</v>
      </c>
      <c r="B237" s="3">
        <v>2</v>
      </c>
      <c r="C237" s="3">
        <v>38</v>
      </c>
      <c r="D237" s="3">
        <v>21</v>
      </c>
      <c r="E237" s="3">
        <f>((1/(INDEX(E0!J$4:J$52,C237,1)-INDEX(E0!J$4:J$52,D237,1))))*100000000</f>
        <v>0</v>
      </c>
      <c r="F237" s="4" t="str">
        <f>HYPERLINK("http://141.218.60.56/~jnz1568/getInfo.php?workbook=02_02.xlsx&amp;sheet=A0&amp;row=237&amp;col=6&amp;number=&amp;sourceID=27","")</f>
        <v/>
      </c>
      <c r="G237" s="4" t="str">
        <f>HYPERLINK("http://141.218.60.56/~jnz1568/getInfo.php?workbook=02_02.xlsx&amp;sheet=A0&amp;row=237&amp;col=7&amp;number=&amp;sourceID=26","")</f>
        <v/>
      </c>
      <c r="H237" s="4" t="str">
        <f>HYPERLINK("http://141.218.60.56/~jnz1568/getInfo.php?workbook=02_02.xlsx&amp;sheet=A0&amp;row=237&amp;col=8&amp;number=&amp;sourceID=26","")</f>
        <v/>
      </c>
      <c r="I237" s="4" t="str">
        <f>HYPERLINK("http://141.218.60.56/~jnz1568/getInfo.php?workbook=02_02.xlsx&amp;sheet=A0&amp;row=237&amp;col=9&amp;number=959370&amp;sourceID=15","959370")</f>
        <v>959370</v>
      </c>
      <c r="J237" s="4" t="str">
        <f>HYPERLINK("http://141.218.60.56/~jnz1568/getInfo.php?workbook=02_02.xlsx&amp;sheet=A0&amp;row=237&amp;col=10&amp;number=&amp;sourceID=15","")</f>
        <v/>
      </c>
      <c r="K237" s="4" t="str">
        <f>HYPERLINK("http://141.218.60.56/~jnz1568/getInfo.php?workbook=02_02.xlsx&amp;sheet=A0&amp;row=237&amp;col=11&amp;number=&amp;sourceID=15","")</f>
        <v/>
      </c>
      <c r="L237" s="4" t="str">
        <f>HYPERLINK("http://141.218.60.56/~jnz1568/getInfo.php?workbook=02_02.xlsx&amp;sheet=A0&amp;row=237&amp;col=12&amp;number=&amp;sourceID=15","")</f>
        <v/>
      </c>
      <c r="M237" s="4" t="str">
        <f>HYPERLINK("http://141.218.60.56/~jnz1568/getInfo.php?workbook=02_02.xlsx&amp;sheet=A0&amp;row=237&amp;col=13&amp;number=958100&amp;sourceID=23","958100")</f>
        <v>958100</v>
      </c>
    </row>
    <row r="238" spans="1:13">
      <c r="A238" s="3">
        <v>2</v>
      </c>
      <c r="B238" s="3">
        <v>2</v>
      </c>
      <c r="C238" s="3">
        <v>38</v>
      </c>
      <c r="D238" s="3">
        <v>27</v>
      </c>
      <c r="E238" s="3">
        <f>((1/(INDEX(E0!J$4:J$52,C238,1)-INDEX(E0!J$4:J$52,D238,1))))*100000000</f>
        <v>0</v>
      </c>
      <c r="F238" s="4" t="str">
        <f>HYPERLINK("http://141.218.60.56/~jnz1568/getInfo.php?workbook=02_02.xlsx&amp;sheet=A0&amp;row=238&amp;col=6&amp;number=&amp;sourceID=27","")</f>
        <v/>
      </c>
      <c r="G238" s="4" t="str">
        <f>HYPERLINK("http://141.218.60.56/~jnz1568/getInfo.php?workbook=02_02.xlsx&amp;sheet=A0&amp;row=238&amp;col=7&amp;number=&amp;sourceID=26","")</f>
        <v/>
      </c>
      <c r="H238" s="4" t="str">
        <f>HYPERLINK("http://141.218.60.56/~jnz1568/getInfo.php?workbook=02_02.xlsx&amp;sheet=A0&amp;row=238&amp;col=8&amp;number=&amp;sourceID=26","")</f>
        <v/>
      </c>
      <c r="I238" s="4" t="str">
        <f>HYPERLINK("http://141.218.60.56/~jnz1568/getInfo.php?workbook=02_02.xlsx&amp;sheet=A0&amp;row=238&amp;col=9&amp;number=29793&amp;sourceID=15","29793")</f>
        <v>29793</v>
      </c>
      <c r="J238" s="4" t="str">
        <f>HYPERLINK("http://141.218.60.56/~jnz1568/getInfo.php?workbook=02_02.xlsx&amp;sheet=A0&amp;row=238&amp;col=10&amp;number=&amp;sourceID=15","")</f>
        <v/>
      </c>
      <c r="K238" s="4" t="str">
        <f>HYPERLINK("http://141.218.60.56/~jnz1568/getInfo.php?workbook=02_02.xlsx&amp;sheet=A0&amp;row=238&amp;col=11&amp;number=&amp;sourceID=15","")</f>
        <v/>
      </c>
      <c r="L238" s="4" t="str">
        <f>HYPERLINK("http://141.218.60.56/~jnz1568/getInfo.php?workbook=02_02.xlsx&amp;sheet=A0&amp;row=238&amp;col=12&amp;number=&amp;sourceID=15","")</f>
        <v/>
      </c>
      <c r="M238" s="4" t="str">
        <f>HYPERLINK("http://141.218.60.56/~jnz1568/getInfo.php?workbook=02_02.xlsx&amp;sheet=A0&amp;row=238&amp;col=13&amp;number=&amp;sourceID=23","")</f>
        <v/>
      </c>
    </row>
    <row r="239" spans="1:13">
      <c r="A239" s="3">
        <v>2</v>
      </c>
      <c r="B239" s="3">
        <v>2</v>
      </c>
      <c r="C239" s="3">
        <v>38</v>
      </c>
      <c r="D239" s="3">
        <v>29</v>
      </c>
      <c r="E239" s="3">
        <f>((1/(INDEX(E0!J$4:J$52,C239,1)-INDEX(E0!J$4:J$52,D239,1))))*100000000</f>
        <v>0</v>
      </c>
      <c r="F239" s="4" t="str">
        <f>HYPERLINK("http://141.218.60.56/~jnz1568/getInfo.php?workbook=02_02.xlsx&amp;sheet=A0&amp;row=239&amp;col=6&amp;number=&amp;sourceID=27","")</f>
        <v/>
      </c>
      <c r="G239" s="4" t="str">
        <f>HYPERLINK("http://141.218.60.56/~jnz1568/getInfo.php?workbook=02_02.xlsx&amp;sheet=A0&amp;row=239&amp;col=7&amp;number=&amp;sourceID=26","")</f>
        <v/>
      </c>
      <c r="H239" s="4" t="str">
        <f>HYPERLINK("http://141.218.60.56/~jnz1568/getInfo.php?workbook=02_02.xlsx&amp;sheet=A0&amp;row=239&amp;col=8&amp;number=&amp;sourceID=26","")</f>
        <v/>
      </c>
      <c r="I239" s="4" t="str">
        <f>HYPERLINK("http://141.218.60.56/~jnz1568/getInfo.php?workbook=02_02.xlsx&amp;sheet=A0&amp;row=239&amp;col=9&amp;number=5770.3&amp;sourceID=15","5770.3")</f>
        <v>5770.3</v>
      </c>
      <c r="J239" s="4" t="str">
        <f>HYPERLINK("http://141.218.60.56/~jnz1568/getInfo.php?workbook=02_02.xlsx&amp;sheet=A0&amp;row=239&amp;col=10&amp;number=&amp;sourceID=15","")</f>
        <v/>
      </c>
      <c r="K239" s="4" t="str">
        <f>HYPERLINK("http://141.218.60.56/~jnz1568/getInfo.php?workbook=02_02.xlsx&amp;sheet=A0&amp;row=239&amp;col=11&amp;number=&amp;sourceID=15","")</f>
        <v/>
      </c>
      <c r="L239" s="4" t="str">
        <f>HYPERLINK("http://141.218.60.56/~jnz1568/getInfo.php?workbook=02_02.xlsx&amp;sheet=A0&amp;row=239&amp;col=12&amp;number=&amp;sourceID=15","")</f>
        <v/>
      </c>
      <c r="M239" s="4" t="str">
        <f>HYPERLINK("http://141.218.60.56/~jnz1568/getInfo.php?workbook=02_02.xlsx&amp;sheet=A0&amp;row=239&amp;col=13&amp;number=5755.8&amp;sourceID=23","5755.8")</f>
        <v>5755.8</v>
      </c>
    </row>
    <row r="240" spans="1:13">
      <c r="A240" s="3">
        <v>2</v>
      </c>
      <c r="B240" s="3">
        <v>2</v>
      </c>
      <c r="C240" s="3">
        <v>38</v>
      </c>
      <c r="D240" s="3">
        <v>30</v>
      </c>
      <c r="E240" s="3">
        <f>((1/(INDEX(E0!J$4:J$52,C240,1)-INDEX(E0!J$4:J$52,D240,1))))*100000000</f>
        <v>0</v>
      </c>
      <c r="F240" s="4" t="str">
        <f>HYPERLINK("http://141.218.60.56/~jnz1568/getInfo.php?workbook=02_02.xlsx&amp;sheet=A0&amp;row=240&amp;col=6&amp;number=&amp;sourceID=27","")</f>
        <v/>
      </c>
      <c r="G240" s="4" t="str">
        <f>HYPERLINK("http://141.218.60.56/~jnz1568/getInfo.php?workbook=02_02.xlsx&amp;sheet=A0&amp;row=240&amp;col=7&amp;number=&amp;sourceID=26","")</f>
        <v/>
      </c>
      <c r="H240" s="4" t="str">
        <f>HYPERLINK("http://141.218.60.56/~jnz1568/getInfo.php?workbook=02_02.xlsx&amp;sheet=A0&amp;row=240&amp;col=8&amp;number=&amp;sourceID=26","")</f>
        <v/>
      </c>
      <c r="I240" s="4" t="str">
        <f>HYPERLINK("http://141.218.60.56/~jnz1568/getInfo.php?workbook=02_02.xlsx&amp;sheet=A0&amp;row=240&amp;col=9&amp;number=16380&amp;sourceID=15","16380")</f>
        <v>16380</v>
      </c>
      <c r="J240" s="4" t="str">
        <f>HYPERLINK("http://141.218.60.56/~jnz1568/getInfo.php?workbook=02_02.xlsx&amp;sheet=A0&amp;row=240&amp;col=10&amp;number=&amp;sourceID=15","")</f>
        <v/>
      </c>
      <c r="K240" s="4" t="str">
        <f>HYPERLINK("http://141.218.60.56/~jnz1568/getInfo.php?workbook=02_02.xlsx&amp;sheet=A0&amp;row=240&amp;col=11&amp;number=&amp;sourceID=15","")</f>
        <v/>
      </c>
      <c r="L240" s="4" t="str">
        <f>HYPERLINK("http://141.218.60.56/~jnz1568/getInfo.php?workbook=02_02.xlsx&amp;sheet=A0&amp;row=240&amp;col=12&amp;number=&amp;sourceID=15","")</f>
        <v/>
      </c>
      <c r="M240" s="4" t="str">
        <f>HYPERLINK("http://141.218.60.56/~jnz1568/getInfo.php?workbook=02_02.xlsx&amp;sheet=A0&amp;row=240&amp;col=13&amp;number=&amp;sourceID=23","")</f>
        <v/>
      </c>
    </row>
    <row r="241" spans="1:13">
      <c r="A241" s="3">
        <v>2</v>
      </c>
      <c r="B241" s="3">
        <v>2</v>
      </c>
      <c r="C241" s="3">
        <v>38</v>
      </c>
      <c r="D241" s="3">
        <v>31</v>
      </c>
      <c r="E241" s="3">
        <f>((1/(INDEX(E0!J$4:J$52,C241,1)-INDEX(E0!J$4:J$52,D241,1))))*100000000</f>
        <v>0</v>
      </c>
      <c r="F241" s="4" t="str">
        <f>HYPERLINK("http://141.218.60.56/~jnz1568/getInfo.php?workbook=02_02.xlsx&amp;sheet=A0&amp;row=241&amp;col=6&amp;number=&amp;sourceID=27","")</f>
        <v/>
      </c>
      <c r="G241" s="4" t="str">
        <f>HYPERLINK("http://141.218.60.56/~jnz1568/getInfo.php?workbook=02_02.xlsx&amp;sheet=A0&amp;row=241&amp;col=7&amp;number=&amp;sourceID=26","")</f>
        <v/>
      </c>
      <c r="H241" s="4" t="str">
        <f>HYPERLINK("http://141.218.60.56/~jnz1568/getInfo.php?workbook=02_02.xlsx&amp;sheet=A0&amp;row=241&amp;col=8&amp;number=&amp;sourceID=26","")</f>
        <v/>
      </c>
      <c r="I241" s="4" t="str">
        <f>HYPERLINK("http://141.218.60.56/~jnz1568/getInfo.php?workbook=02_02.xlsx&amp;sheet=A0&amp;row=241&amp;col=9&amp;number=150.7&amp;sourceID=15","150.7")</f>
        <v>150.7</v>
      </c>
      <c r="J241" s="4" t="str">
        <f>HYPERLINK("http://141.218.60.56/~jnz1568/getInfo.php?workbook=02_02.xlsx&amp;sheet=A0&amp;row=241&amp;col=10&amp;number=&amp;sourceID=15","")</f>
        <v/>
      </c>
      <c r="K241" s="4" t="str">
        <f>HYPERLINK("http://141.218.60.56/~jnz1568/getInfo.php?workbook=02_02.xlsx&amp;sheet=A0&amp;row=241&amp;col=11&amp;number=&amp;sourceID=15","")</f>
        <v/>
      </c>
      <c r="L241" s="4" t="str">
        <f>HYPERLINK("http://141.218.60.56/~jnz1568/getInfo.php?workbook=02_02.xlsx&amp;sheet=A0&amp;row=241&amp;col=12&amp;number=&amp;sourceID=15","")</f>
        <v/>
      </c>
      <c r="M241" s="4" t="str">
        <f>HYPERLINK("http://141.218.60.56/~jnz1568/getInfo.php?workbook=02_02.xlsx&amp;sheet=A0&amp;row=241&amp;col=13&amp;number=153.25&amp;sourceID=23","153.25")</f>
        <v>153.25</v>
      </c>
    </row>
    <row r="242" spans="1:13">
      <c r="A242" s="3">
        <v>2</v>
      </c>
      <c r="B242" s="3">
        <v>2</v>
      </c>
      <c r="C242" s="3">
        <v>38</v>
      </c>
      <c r="D242" s="3">
        <v>34</v>
      </c>
      <c r="E242" s="3">
        <f>((1/(INDEX(E0!J$4:J$52,C242,1)-INDEX(E0!J$4:J$52,D242,1))))*100000000</f>
        <v>0</v>
      </c>
      <c r="F242" s="4" t="str">
        <f>HYPERLINK("http://141.218.60.56/~jnz1568/getInfo.php?workbook=02_02.xlsx&amp;sheet=A0&amp;row=242&amp;col=6&amp;number=&amp;sourceID=27","")</f>
        <v/>
      </c>
      <c r="G242" s="4" t="str">
        <f>HYPERLINK("http://141.218.60.56/~jnz1568/getInfo.php?workbook=02_02.xlsx&amp;sheet=A0&amp;row=242&amp;col=7&amp;number=&amp;sourceID=26","")</f>
        <v/>
      </c>
      <c r="H242" s="4" t="str">
        <f>HYPERLINK("http://141.218.60.56/~jnz1568/getInfo.php?workbook=02_02.xlsx&amp;sheet=A0&amp;row=242&amp;col=8&amp;number=&amp;sourceID=26","")</f>
        <v/>
      </c>
      <c r="I242" s="4" t="str">
        <f>HYPERLINK("http://141.218.60.56/~jnz1568/getInfo.php?workbook=02_02.xlsx&amp;sheet=A0&amp;row=242&amp;col=9&amp;number=379.33&amp;sourceID=15","379.33")</f>
        <v>379.33</v>
      </c>
      <c r="J242" s="4" t="str">
        <f>HYPERLINK("http://141.218.60.56/~jnz1568/getInfo.php?workbook=02_02.xlsx&amp;sheet=A0&amp;row=242&amp;col=10&amp;number=&amp;sourceID=15","")</f>
        <v/>
      </c>
      <c r="K242" s="4" t="str">
        <f>HYPERLINK("http://141.218.60.56/~jnz1568/getInfo.php?workbook=02_02.xlsx&amp;sheet=A0&amp;row=242&amp;col=11&amp;number=&amp;sourceID=15","")</f>
        <v/>
      </c>
      <c r="L242" s="4" t="str">
        <f>HYPERLINK("http://141.218.60.56/~jnz1568/getInfo.php?workbook=02_02.xlsx&amp;sheet=A0&amp;row=242&amp;col=12&amp;number=&amp;sourceID=15","")</f>
        <v/>
      </c>
      <c r="M242" s="4" t="str">
        <f>HYPERLINK("http://141.218.60.56/~jnz1568/getInfo.php?workbook=02_02.xlsx&amp;sheet=A0&amp;row=242&amp;col=13&amp;number=385.25&amp;sourceID=23","385.25")</f>
        <v>385.25</v>
      </c>
    </row>
    <row r="243" spans="1:13">
      <c r="A243" s="3">
        <v>2</v>
      </c>
      <c r="B243" s="3">
        <v>2</v>
      </c>
      <c r="C243" s="3">
        <v>38</v>
      </c>
      <c r="D243" s="3">
        <v>35</v>
      </c>
      <c r="E243" s="3">
        <f>((1/(INDEX(E0!J$4:J$52,C243,1)-INDEX(E0!J$4:J$52,D243,1))))*100000000</f>
        <v>0</v>
      </c>
      <c r="F243" s="4" t="str">
        <f>HYPERLINK("http://141.218.60.56/~jnz1568/getInfo.php?workbook=02_02.xlsx&amp;sheet=A0&amp;row=243&amp;col=6&amp;number=&amp;sourceID=27","")</f>
        <v/>
      </c>
      <c r="G243" s="4" t="str">
        <f>HYPERLINK("http://141.218.60.56/~jnz1568/getInfo.php?workbook=02_02.xlsx&amp;sheet=A0&amp;row=243&amp;col=7&amp;number=&amp;sourceID=26","")</f>
        <v/>
      </c>
      <c r="H243" s="4" t="str">
        <f>HYPERLINK("http://141.218.60.56/~jnz1568/getInfo.php?workbook=02_02.xlsx&amp;sheet=A0&amp;row=243&amp;col=8&amp;number=&amp;sourceID=26","")</f>
        <v/>
      </c>
      <c r="I243" s="4" t="str">
        <f>HYPERLINK("http://141.218.60.56/~jnz1568/getInfo.php?workbook=02_02.xlsx&amp;sheet=A0&amp;row=243&amp;col=9&amp;number=1138&amp;sourceID=15","1138")</f>
        <v>1138</v>
      </c>
      <c r="J243" s="4" t="str">
        <f>HYPERLINK("http://141.218.60.56/~jnz1568/getInfo.php?workbook=02_02.xlsx&amp;sheet=A0&amp;row=243&amp;col=10&amp;number=&amp;sourceID=15","")</f>
        <v/>
      </c>
      <c r="K243" s="4" t="str">
        <f>HYPERLINK("http://141.218.60.56/~jnz1568/getInfo.php?workbook=02_02.xlsx&amp;sheet=A0&amp;row=243&amp;col=11&amp;number=&amp;sourceID=15","")</f>
        <v/>
      </c>
      <c r="L243" s="4" t="str">
        <f>HYPERLINK("http://141.218.60.56/~jnz1568/getInfo.php?workbook=02_02.xlsx&amp;sheet=A0&amp;row=243&amp;col=12&amp;number=&amp;sourceID=15","")</f>
        <v/>
      </c>
      <c r="M243" s="4" t="str">
        <f>HYPERLINK("http://141.218.60.56/~jnz1568/getInfo.php?workbook=02_02.xlsx&amp;sheet=A0&amp;row=243&amp;col=13&amp;number=1155.5&amp;sourceID=23","1155.5")</f>
        <v>1155.5</v>
      </c>
    </row>
    <row r="244" spans="1:13">
      <c r="A244" s="3">
        <v>2</v>
      </c>
      <c r="B244" s="3">
        <v>2</v>
      </c>
      <c r="C244" s="3">
        <v>39</v>
      </c>
      <c r="D244" s="3">
        <v>4</v>
      </c>
      <c r="E244" s="3">
        <f>((1/(INDEX(E0!J$4:J$52,C244,1)-INDEX(E0!J$4:J$52,D244,1))))*100000000</f>
        <v>0</v>
      </c>
      <c r="F244" s="4" t="str">
        <f>HYPERLINK("http://141.218.60.56/~jnz1568/getInfo.php?workbook=02_02.xlsx&amp;sheet=A0&amp;row=244&amp;col=6&amp;number=&amp;sourceID=27","")</f>
        <v/>
      </c>
      <c r="G244" s="4" t="str">
        <f>HYPERLINK("http://141.218.60.56/~jnz1568/getInfo.php?workbook=02_02.xlsx&amp;sheet=A0&amp;row=244&amp;col=7&amp;number=&amp;sourceID=26","")</f>
        <v/>
      </c>
      <c r="H244" s="4" t="str">
        <f>HYPERLINK("http://141.218.60.56/~jnz1568/getInfo.php?workbook=02_02.xlsx&amp;sheet=A0&amp;row=244&amp;col=8&amp;number=&amp;sourceID=26","")</f>
        <v/>
      </c>
      <c r="I244" s="4" t="str">
        <f>HYPERLINK("http://141.218.60.56/~jnz1568/getInfo.php?workbook=02_02.xlsx&amp;sheet=A0&amp;row=244&amp;col=9&amp;number=322240&amp;sourceID=15","322240")</f>
        <v>322240</v>
      </c>
      <c r="J244" s="4" t="str">
        <f>HYPERLINK("http://141.218.60.56/~jnz1568/getInfo.php?workbook=02_02.xlsx&amp;sheet=A0&amp;row=244&amp;col=10&amp;number=&amp;sourceID=15","")</f>
        <v/>
      </c>
      <c r="K244" s="4" t="str">
        <f>HYPERLINK("http://141.218.60.56/~jnz1568/getInfo.php?workbook=02_02.xlsx&amp;sheet=A0&amp;row=244&amp;col=11&amp;number=&amp;sourceID=15","")</f>
        <v/>
      </c>
      <c r="L244" s="4" t="str">
        <f>HYPERLINK("http://141.218.60.56/~jnz1568/getInfo.php?workbook=02_02.xlsx&amp;sheet=A0&amp;row=244&amp;col=12&amp;number=&amp;sourceID=15","")</f>
        <v/>
      </c>
      <c r="M244" s="4" t="str">
        <f>HYPERLINK("http://141.218.60.56/~jnz1568/getInfo.php?workbook=02_02.xlsx&amp;sheet=A0&amp;row=244&amp;col=13&amp;number=322390&amp;sourceID=23","322390")</f>
        <v>322390</v>
      </c>
    </row>
    <row r="245" spans="1:13">
      <c r="A245" s="3">
        <v>2</v>
      </c>
      <c r="B245" s="3">
        <v>2</v>
      </c>
      <c r="C245" s="3">
        <v>39</v>
      </c>
      <c r="D245" s="3">
        <v>5</v>
      </c>
      <c r="E245" s="3">
        <f>((1/(INDEX(E0!J$4:J$52,C245,1)-INDEX(E0!J$4:J$52,D245,1))))*100000000</f>
        <v>0</v>
      </c>
      <c r="F245" s="4" t="str">
        <f>HYPERLINK("http://141.218.60.56/~jnz1568/getInfo.php?workbook=02_02.xlsx&amp;sheet=A0&amp;row=245&amp;col=6&amp;number=&amp;sourceID=27","")</f>
        <v/>
      </c>
      <c r="G245" s="4" t="str">
        <f>HYPERLINK("http://141.218.60.56/~jnz1568/getInfo.php?workbook=02_02.xlsx&amp;sheet=A0&amp;row=245&amp;col=7&amp;number=&amp;sourceID=26","")</f>
        <v/>
      </c>
      <c r="H245" s="4" t="str">
        <f>HYPERLINK("http://141.218.60.56/~jnz1568/getInfo.php?workbook=02_02.xlsx&amp;sheet=A0&amp;row=245&amp;col=8&amp;number=&amp;sourceID=26","")</f>
        <v/>
      </c>
      <c r="I245" s="4" t="str">
        <f>HYPERLINK("http://141.218.60.56/~jnz1568/getInfo.php?workbook=02_02.xlsx&amp;sheet=A0&amp;row=245&amp;col=9&amp;number=4833600&amp;sourceID=15","4833600")</f>
        <v>4833600</v>
      </c>
      <c r="J245" s="4" t="str">
        <f>HYPERLINK("http://141.218.60.56/~jnz1568/getInfo.php?workbook=02_02.xlsx&amp;sheet=A0&amp;row=245&amp;col=10&amp;number=&amp;sourceID=15","")</f>
        <v/>
      </c>
      <c r="K245" s="4" t="str">
        <f>HYPERLINK("http://141.218.60.56/~jnz1568/getInfo.php?workbook=02_02.xlsx&amp;sheet=A0&amp;row=245&amp;col=11&amp;number=&amp;sourceID=15","")</f>
        <v/>
      </c>
      <c r="L245" s="4" t="str">
        <f>HYPERLINK("http://141.218.60.56/~jnz1568/getInfo.php?workbook=02_02.xlsx&amp;sheet=A0&amp;row=245&amp;col=12&amp;number=&amp;sourceID=15","")</f>
        <v/>
      </c>
      <c r="M245" s="4" t="str">
        <f>HYPERLINK("http://141.218.60.56/~jnz1568/getInfo.php?workbook=02_02.xlsx&amp;sheet=A0&amp;row=245&amp;col=13&amp;number=4835700&amp;sourceID=23","4835700")</f>
        <v>4835700</v>
      </c>
    </row>
    <row r="246" spans="1:13">
      <c r="A246" s="3">
        <v>2</v>
      </c>
      <c r="B246" s="3">
        <v>2</v>
      </c>
      <c r="C246" s="3">
        <v>39</v>
      </c>
      <c r="D246" s="3">
        <v>6</v>
      </c>
      <c r="E246" s="3">
        <f>((1/(INDEX(E0!J$4:J$52,C246,1)-INDEX(E0!J$4:J$52,D246,1))))*100000000</f>
        <v>0</v>
      </c>
      <c r="F246" s="4" t="str">
        <f>HYPERLINK("http://141.218.60.56/~jnz1568/getInfo.php?workbook=02_02.xlsx&amp;sheet=A0&amp;row=246&amp;col=6&amp;number=&amp;sourceID=27","")</f>
        <v/>
      </c>
      <c r="G246" s="4" t="str">
        <f>HYPERLINK("http://141.218.60.56/~jnz1568/getInfo.php?workbook=02_02.xlsx&amp;sheet=A0&amp;row=246&amp;col=7&amp;number=&amp;sourceID=26","")</f>
        <v/>
      </c>
      <c r="H246" s="4" t="str">
        <f>HYPERLINK("http://141.218.60.56/~jnz1568/getInfo.php?workbook=02_02.xlsx&amp;sheet=A0&amp;row=246&amp;col=8&amp;number=&amp;sourceID=26","")</f>
        <v/>
      </c>
      <c r="I246" s="4" t="str">
        <f>HYPERLINK("http://141.218.60.56/~jnz1568/getInfo.php?workbook=02_02.xlsx&amp;sheet=A0&amp;row=246&amp;col=9&amp;number=6444800&amp;sourceID=15","6444800")</f>
        <v>6444800</v>
      </c>
      <c r="J246" s="4" t="str">
        <f>HYPERLINK("http://141.218.60.56/~jnz1568/getInfo.php?workbook=02_02.xlsx&amp;sheet=A0&amp;row=246&amp;col=10&amp;number=&amp;sourceID=15","")</f>
        <v/>
      </c>
      <c r="K246" s="4" t="str">
        <f>HYPERLINK("http://141.218.60.56/~jnz1568/getInfo.php?workbook=02_02.xlsx&amp;sheet=A0&amp;row=246&amp;col=11&amp;number=&amp;sourceID=15","")</f>
        <v/>
      </c>
      <c r="L246" s="4" t="str">
        <f>HYPERLINK("http://141.218.60.56/~jnz1568/getInfo.php?workbook=02_02.xlsx&amp;sheet=A0&amp;row=246&amp;col=12&amp;number=&amp;sourceID=15","")</f>
        <v/>
      </c>
      <c r="M246" s="4" t="str">
        <f>HYPERLINK("http://141.218.60.56/~jnz1568/getInfo.php?workbook=02_02.xlsx&amp;sheet=A0&amp;row=246&amp;col=13&amp;number=6446900&amp;sourceID=23","6446900")</f>
        <v>6446900</v>
      </c>
    </row>
    <row r="247" spans="1:13">
      <c r="A247" s="3">
        <v>2</v>
      </c>
      <c r="B247" s="3">
        <v>2</v>
      </c>
      <c r="C247" s="3">
        <v>39</v>
      </c>
      <c r="D247" s="3">
        <v>7</v>
      </c>
      <c r="E247" s="3">
        <f>((1/(INDEX(E0!J$4:J$52,C247,1)-INDEX(E0!J$4:J$52,D247,1))))*100000000</f>
        <v>0</v>
      </c>
      <c r="F247" s="4" t="str">
        <f>HYPERLINK("http://141.218.60.56/~jnz1568/getInfo.php?workbook=02_02.xlsx&amp;sheet=A0&amp;row=247&amp;col=6&amp;number=&amp;sourceID=27","")</f>
        <v/>
      </c>
      <c r="G247" s="4" t="str">
        <f>HYPERLINK("http://141.218.60.56/~jnz1568/getInfo.php?workbook=02_02.xlsx&amp;sheet=A0&amp;row=247&amp;col=7&amp;number=&amp;sourceID=26","")</f>
        <v/>
      </c>
      <c r="H247" s="4" t="str">
        <f>HYPERLINK("http://141.218.60.56/~jnz1568/getInfo.php?workbook=02_02.xlsx&amp;sheet=A0&amp;row=247&amp;col=8&amp;number=&amp;sourceID=26","")</f>
        <v/>
      </c>
      <c r="I247" s="4" t="str">
        <f>HYPERLINK("http://141.218.60.56/~jnz1568/getInfo.php?workbook=02_02.xlsx&amp;sheet=A0&amp;row=247&amp;col=9&amp;number=&amp;sourceID=15","")</f>
        <v/>
      </c>
      <c r="J247" s="4" t="str">
        <f>HYPERLINK("http://141.218.60.56/~jnz1568/getInfo.php?workbook=02_02.xlsx&amp;sheet=A0&amp;row=247&amp;col=10&amp;number=&amp;sourceID=15","")</f>
        <v/>
      </c>
      <c r="K247" s="4" t="str">
        <f>HYPERLINK("http://141.218.60.56/~jnz1568/getInfo.php?workbook=02_02.xlsx&amp;sheet=A0&amp;row=247&amp;col=11&amp;number=&amp;sourceID=15","")</f>
        <v/>
      </c>
      <c r="L247" s="4" t="str">
        <f>HYPERLINK("http://141.218.60.56/~jnz1568/getInfo.php?workbook=02_02.xlsx&amp;sheet=A0&amp;row=247&amp;col=12&amp;number=&amp;sourceID=15","")</f>
        <v/>
      </c>
      <c r="M247" s="4" t="str">
        <f>HYPERLINK("http://141.218.60.56/~jnz1568/getInfo.php?workbook=02_02.xlsx&amp;sheet=A0&amp;row=247&amp;col=13&amp;number=0.28785&amp;sourceID=23","0.28785")</f>
        <v>0.28785</v>
      </c>
    </row>
    <row r="248" spans="1:13">
      <c r="A248" s="3">
        <v>2</v>
      </c>
      <c r="B248" s="3">
        <v>2</v>
      </c>
      <c r="C248" s="3">
        <v>39</v>
      </c>
      <c r="D248" s="3">
        <v>10</v>
      </c>
      <c r="E248" s="3">
        <f>((1/(INDEX(E0!J$4:J$52,C248,1)-INDEX(E0!J$4:J$52,D248,1))))*100000000</f>
        <v>0</v>
      </c>
      <c r="F248" s="4" t="str">
        <f>HYPERLINK("http://141.218.60.56/~jnz1568/getInfo.php?workbook=02_02.xlsx&amp;sheet=A0&amp;row=248&amp;col=6&amp;number=&amp;sourceID=27","")</f>
        <v/>
      </c>
      <c r="G248" s="4" t="str">
        <f>HYPERLINK("http://141.218.60.56/~jnz1568/getInfo.php?workbook=02_02.xlsx&amp;sheet=A0&amp;row=248&amp;col=7&amp;number=&amp;sourceID=26","")</f>
        <v/>
      </c>
      <c r="H248" s="4" t="str">
        <f>HYPERLINK("http://141.218.60.56/~jnz1568/getInfo.php?workbook=02_02.xlsx&amp;sheet=A0&amp;row=248&amp;col=8&amp;number=&amp;sourceID=26","")</f>
        <v/>
      </c>
      <c r="I248" s="4" t="str">
        <f>HYPERLINK("http://141.218.60.56/~jnz1568/getInfo.php?workbook=02_02.xlsx&amp;sheet=A0&amp;row=248&amp;col=9&amp;number=96617&amp;sourceID=15","96617")</f>
        <v>96617</v>
      </c>
      <c r="J248" s="4" t="str">
        <f>HYPERLINK("http://141.218.60.56/~jnz1568/getInfo.php?workbook=02_02.xlsx&amp;sheet=A0&amp;row=248&amp;col=10&amp;number=&amp;sourceID=15","")</f>
        <v/>
      </c>
      <c r="K248" s="4" t="str">
        <f>HYPERLINK("http://141.218.60.56/~jnz1568/getInfo.php?workbook=02_02.xlsx&amp;sheet=A0&amp;row=248&amp;col=11&amp;number=&amp;sourceID=15","")</f>
        <v/>
      </c>
      <c r="L248" s="4" t="str">
        <f>HYPERLINK("http://141.218.60.56/~jnz1568/getInfo.php?workbook=02_02.xlsx&amp;sheet=A0&amp;row=248&amp;col=12&amp;number=&amp;sourceID=15","")</f>
        <v/>
      </c>
      <c r="M248" s="4" t="str">
        <f>HYPERLINK("http://141.218.60.56/~jnz1568/getInfo.php?workbook=02_02.xlsx&amp;sheet=A0&amp;row=248&amp;col=13&amp;number=96600&amp;sourceID=23","96600")</f>
        <v>96600</v>
      </c>
    </row>
    <row r="249" spans="1:13">
      <c r="A249" s="3">
        <v>2</v>
      </c>
      <c r="B249" s="3">
        <v>2</v>
      </c>
      <c r="C249" s="3">
        <v>39</v>
      </c>
      <c r="D249" s="3">
        <v>11</v>
      </c>
      <c r="E249" s="3">
        <f>((1/(INDEX(E0!J$4:J$52,C249,1)-INDEX(E0!J$4:J$52,D249,1))))*100000000</f>
        <v>0</v>
      </c>
      <c r="F249" s="4" t="str">
        <f>HYPERLINK("http://141.218.60.56/~jnz1568/getInfo.php?workbook=02_02.xlsx&amp;sheet=A0&amp;row=249&amp;col=6&amp;number=&amp;sourceID=27","")</f>
        <v/>
      </c>
      <c r="G249" s="4" t="str">
        <f>HYPERLINK("http://141.218.60.56/~jnz1568/getInfo.php?workbook=02_02.xlsx&amp;sheet=A0&amp;row=249&amp;col=7&amp;number=&amp;sourceID=26","")</f>
        <v/>
      </c>
      <c r="H249" s="4" t="str">
        <f>HYPERLINK("http://141.218.60.56/~jnz1568/getInfo.php?workbook=02_02.xlsx&amp;sheet=A0&amp;row=249&amp;col=8&amp;number=&amp;sourceID=26","")</f>
        <v/>
      </c>
      <c r="I249" s="4" t="str">
        <f>HYPERLINK("http://141.218.60.56/~jnz1568/getInfo.php?workbook=02_02.xlsx&amp;sheet=A0&amp;row=249&amp;col=9&amp;number=1449300&amp;sourceID=15","1449300")</f>
        <v>1449300</v>
      </c>
      <c r="J249" s="4" t="str">
        <f>HYPERLINK("http://141.218.60.56/~jnz1568/getInfo.php?workbook=02_02.xlsx&amp;sheet=A0&amp;row=249&amp;col=10&amp;number=&amp;sourceID=15","")</f>
        <v/>
      </c>
      <c r="K249" s="4" t="str">
        <f>HYPERLINK("http://141.218.60.56/~jnz1568/getInfo.php?workbook=02_02.xlsx&amp;sheet=A0&amp;row=249&amp;col=11&amp;number=&amp;sourceID=15","")</f>
        <v/>
      </c>
      <c r="L249" s="4" t="str">
        <f>HYPERLINK("http://141.218.60.56/~jnz1568/getInfo.php?workbook=02_02.xlsx&amp;sheet=A0&amp;row=249&amp;col=12&amp;number=&amp;sourceID=15","")</f>
        <v/>
      </c>
      <c r="M249" s="4" t="str">
        <f>HYPERLINK("http://141.218.60.56/~jnz1568/getInfo.php?workbook=02_02.xlsx&amp;sheet=A0&amp;row=249&amp;col=13&amp;number=1449000&amp;sourceID=23","1449000")</f>
        <v>1449000</v>
      </c>
    </row>
    <row r="250" spans="1:13">
      <c r="A250" s="3">
        <v>2</v>
      </c>
      <c r="B250" s="3">
        <v>2</v>
      </c>
      <c r="C250" s="3">
        <v>39</v>
      </c>
      <c r="D250" s="3">
        <v>12</v>
      </c>
      <c r="E250" s="3">
        <f>((1/(INDEX(E0!J$4:J$52,C250,1)-INDEX(E0!J$4:J$52,D250,1))))*100000000</f>
        <v>0</v>
      </c>
      <c r="F250" s="4" t="str">
        <f>HYPERLINK("http://141.218.60.56/~jnz1568/getInfo.php?workbook=02_02.xlsx&amp;sheet=A0&amp;row=250&amp;col=6&amp;number=&amp;sourceID=27","")</f>
        <v/>
      </c>
      <c r="G250" s="4" t="str">
        <f>HYPERLINK("http://141.218.60.56/~jnz1568/getInfo.php?workbook=02_02.xlsx&amp;sheet=A0&amp;row=250&amp;col=7&amp;number=&amp;sourceID=26","")</f>
        <v/>
      </c>
      <c r="H250" s="4" t="str">
        <f>HYPERLINK("http://141.218.60.56/~jnz1568/getInfo.php?workbook=02_02.xlsx&amp;sheet=A0&amp;row=250&amp;col=8&amp;number=&amp;sourceID=26","")</f>
        <v/>
      </c>
      <c r="I250" s="4" t="str">
        <f>HYPERLINK("http://141.218.60.56/~jnz1568/getInfo.php?workbook=02_02.xlsx&amp;sheet=A0&amp;row=250&amp;col=9&amp;number=1932300&amp;sourceID=15","1932300")</f>
        <v>1932300</v>
      </c>
      <c r="J250" s="4" t="str">
        <f>HYPERLINK("http://141.218.60.56/~jnz1568/getInfo.php?workbook=02_02.xlsx&amp;sheet=A0&amp;row=250&amp;col=10&amp;number=&amp;sourceID=15","")</f>
        <v/>
      </c>
      <c r="K250" s="4" t="str">
        <f>HYPERLINK("http://141.218.60.56/~jnz1568/getInfo.php?workbook=02_02.xlsx&amp;sheet=A0&amp;row=250&amp;col=11&amp;number=&amp;sourceID=15","")</f>
        <v/>
      </c>
      <c r="L250" s="4" t="str">
        <f>HYPERLINK("http://141.218.60.56/~jnz1568/getInfo.php?workbook=02_02.xlsx&amp;sheet=A0&amp;row=250&amp;col=12&amp;number=&amp;sourceID=15","")</f>
        <v/>
      </c>
      <c r="M250" s="4" t="str">
        <f>HYPERLINK("http://141.218.60.56/~jnz1568/getInfo.php?workbook=02_02.xlsx&amp;sheet=A0&amp;row=250&amp;col=13&amp;number=1932000&amp;sourceID=23","1932000")</f>
        <v>1932000</v>
      </c>
    </row>
    <row r="251" spans="1:13">
      <c r="A251" s="3">
        <v>2</v>
      </c>
      <c r="B251" s="3">
        <v>2</v>
      </c>
      <c r="C251" s="3">
        <v>39</v>
      </c>
      <c r="D251" s="3">
        <v>17</v>
      </c>
      <c r="E251" s="3">
        <f>((1/(INDEX(E0!J$4:J$52,C251,1)-INDEX(E0!J$4:J$52,D251,1))))*100000000</f>
        <v>0</v>
      </c>
      <c r="F251" s="4" t="str">
        <f>HYPERLINK("http://141.218.60.56/~jnz1568/getInfo.php?workbook=02_02.xlsx&amp;sheet=A0&amp;row=251&amp;col=6&amp;number=&amp;sourceID=27","")</f>
        <v/>
      </c>
      <c r="G251" s="4" t="str">
        <f>HYPERLINK("http://141.218.60.56/~jnz1568/getInfo.php?workbook=02_02.xlsx&amp;sheet=A0&amp;row=251&amp;col=7&amp;number=&amp;sourceID=26","")</f>
        <v/>
      </c>
      <c r="H251" s="4" t="str">
        <f>HYPERLINK("http://141.218.60.56/~jnz1568/getInfo.php?workbook=02_02.xlsx&amp;sheet=A0&amp;row=251&amp;col=8&amp;number=&amp;sourceID=26","")</f>
        <v/>
      </c>
      <c r="I251" s="4" t="str">
        <f>HYPERLINK("http://141.218.60.56/~jnz1568/getInfo.php?workbook=02_02.xlsx&amp;sheet=A0&amp;row=251&amp;col=9&amp;number=&amp;sourceID=15","")</f>
        <v/>
      </c>
      <c r="J251" s="4" t="str">
        <f>HYPERLINK("http://141.218.60.56/~jnz1568/getInfo.php?workbook=02_02.xlsx&amp;sheet=A0&amp;row=251&amp;col=10&amp;number=&amp;sourceID=15","")</f>
        <v/>
      </c>
      <c r="K251" s="4" t="str">
        <f>HYPERLINK("http://141.218.60.56/~jnz1568/getInfo.php?workbook=02_02.xlsx&amp;sheet=A0&amp;row=251&amp;col=11&amp;number=&amp;sourceID=15","")</f>
        <v/>
      </c>
      <c r="L251" s="4" t="str">
        <f>HYPERLINK("http://141.218.60.56/~jnz1568/getInfo.php?workbook=02_02.xlsx&amp;sheet=A0&amp;row=251&amp;col=12&amp;number=&amp;sourceID=15","")</f>
        <v/>
      </c>
      <c r="M251" s="4" t="str">
        <f>HYPERLINK("http://141.218.60.56/~jnz1568/getInfo.php?workbook=02_02.xlsx&amp;sheet=A0&amp;row=251&amp;col=13&amp;number=0.09244&amp;sourceID=23","0.09244")</f>
        <v>0.09244</v>
      </c>
    </row>
    <row r="252" spans="1:13">
      <c r="A252" s="3">
        <v>2</v>
      </c>
      <c r="B252" s="3">
        <v>2</v>
      </c>
      <c r="C252" s="3">
        <v>39</v>
      </c>
      <c r="D252" s="3">
        <v>20</v>
      </c>
      <c r="E252" s="3">
        <f>((1/(INDEX(E0!J$4:J$52,C252,1)-INDEX(E0!J$4:J$52,D252,1))))*100000000</f>
        <v>0</v>
      </c>
      <c r="F252" s="4" t="str">
        <f>HYPERLINK("http://141.218.60.56/~jnz1568/getInfo.php?workbook=02_02.xlsx&amp;sheet=A0&amp;row=252&amp;col=6&amp;number=&amp;sourceID=27","")</f>
        <v/>
      </c>
      <c r="G252" s="4" t="str">
        <f>HYPERLINK("http://141.218.60.56/~jnz1568/getInfo.php?workbook=02_02.xlsx&amp;sheet=A0&amp;row=252&amp;col=7&amp;number=&amp;sourceID=26","")</f>
        <v/>
      </c>
      <c r="H252" s="4" t="str">
        <f>HYPERLINK("http://141.218.60.56/~jnz1568/getInfo.php?workbook=02_02.xlsx&amp;sheet=A0&amp;row=252&amp;col=8&amp;number=&amp;sourceID=26","")</f>
        <v/>
      </c>
      <c r="I252" s="4" t="str">
        <f>HYPERLINK("http://141.218.60.56/~jnz1568/getInfo.php?workbook=02_02.xlsx&amp;sheet=A0&amp;row=252&amp;col=9&amp;number=35536&amp;sourceID=15","35536")</f>
        <v>35536</v>
      </c>
      <c r="J252" s="4" t="str">
        <f>HYPERLINK("http://141.218.60.56/~jnz1568/getInfo.php?workbook=02_02.xlsx&amp;sheet=A0&amp;row=252&amp;col=10&amp;number=&amp;sourceID=15","")</f>
        <v/>
      </c>
      <c r="K252" s="4" t="str">
        <f>HYPERLINK("http://141.218.60.56/~jnz1568/getInfo.php?workbook=02_02.xlsx&amp;sheet=A0&amp;row=252&amp;col=11&amp;number=&amp;sourceID=15","")</f>
        <v/>
      </c>
      <c r="L252" s="4" t="str">
        <f>HYPERLINK("http://141.218.60.56/~jnz1568/getInfo.php?workbook=02_02.xlsx&amp;sheet=A0&amp;row=252&amp;col=12&amp;number=&amp;sourceID=15","")</f>
        <v/>
      </c>
      <c r="M252" s="4" t="str">
        <f>HYPERLINK("http://141.218.60.56/~jnz1568/getInfo.php?workbook=02_02.xlsx&amp;sheet=A0&amp;row=252&amp;col=13&amp;number=35487&amp;sourceID=23","35487")</f>
        <v>35487</v>
      </c>
    </row>
    <row r="253" spans="1:13">
      <c r="A253" s="3">
        <v>2</v>
      </c>
      <c r="B253" s="3">
        <v>2</v>
      </c>
      <c r="C253" s="3">
        <v>39</v>
      </c>
      <c r="D253" s="3">
        <v>21</v>
      </c>
      <c r="E253" s="3">
        <f>((1/(INDEX(E0!J$4:J$52,C253,1)-INDEX(E0!J$4:J$52,D253,1))))*100000000</f>
        <v>0</v>
      </c>
      <c r="F253" s="4" t="str">
        <f>HYPERLINK("http://141.218.60.56/~jnz1568/getInfo.php?workbook=02_02.xlsx&amp;sheet=A0&amp;row=253&amp;col=6&amp;number=&amp;sourceID=27","")</f>
        <v/>
      </c>
      <c r="G253" s="4" t="str">
        <f>HYPERLINK("http://141.218.60.56/~jnz1568/getInfo.php?workbook=02_02.xlsx&amp;sheet=A0&amp;row=253&amp;col=7&amp;number=&amp;sourceID=26","")</f>
        <v/>
      </c>
      <c r="H253" s="4" t="str">
        <f>HYPERLINK("http://141.218.60.56/~jnz1568/getInfo.php?workbook=02_02.xlsx&amp;sheet=A0&amp;row=253&amp;col=8&amp;number=&amp;sourceID=26","")</f>
        <v/>
      </c>
      <c r="I253" s="4" t="str">
        <f>HYPERLINK("http://141.218.60.56/~jnz1568/getInfo.php?workbook=02_02.xlsx&amp;sheet=A0&amp;row=253&amp;col=9&amp;number=533030&amp;sourceID=15","533030")</f>
        <v>533030</v>
      </c>
      <c r="J253" s="4" t="str">
        <f>HYPERLINK("http://141.218.60.56/~jnz1568/getInfo.php?workbook=02_02.xlsx&amp;sheet=A0&amp;row=253&amp;col=10&amp;number=&amp;sourceID=15","")</f>
        <v/>
      </c>
      <c r="K253" s="4" t="str">
        <f>HYPERLINK("http://141.218.60.56/~jnz1568/getInfo.php?workbook=02_02.xlsx&amp;sheet=A0&amp;row=253&amp;col=11&amp;number=&amp;sourceID=15","")</f>
        <v/>
      </c>
      <c r="L253" s="4" t="str">
        <f>HYPERLINK("http://141.218.60.56/~jnz1568/getInfo.php?workbook=02_02.xlsx&amp;sheet=A0&amp;row=253&amp;col=12&amp;number=&amp;sourceID=15","")</f>
        <v/>
      </c>
      <c r="M253" s="4" t="str">
        <f>HYPERLINK("http://141.218.60.56/~jnz1568/getInfo.php?workbook=02_02.xlsx&amp;sheet=A0&amp;row=253&amp;col=13&amp;number=532320&amp;sourceID=23","532320")</f>
        <v>532320</v>
      </c>
    </row>
    <row r="254" spans="1:13">
      <c r="A254" s="3">
        <v>2</v>
      </c>
      <c r="B254" s="3">
        <v>2</v>
      </c>
      <c r="C254" s="3">
        <v>39</v>
      </c>
      <c r="D254" s="3">
        <v>22</v>
      </c>
      <c r="E254" s="3">
        <f>((1/(INDEX(E0!J$4:J$52,C254,1)-INDEX(E0!J$4:J$52,D254,1))))*100000000</f>
        <v>0</v>
      </c>
      <c r="F254" s="4" t="str">
        <f>HYPERLINK("http://141.218.60.56/~jnz1568/getInfo.php?workbook=02_02.xlsx&amp;sheet=A0&amp;row=254&amp;col=6&amp;number=&amp;sourceID=27","")</f>
        <v/>
      </c>
      <c r="G254" s="4" t="str">
        <f>HYPERLINK("http://141.218.60.56/~jnz1568/getInfo.php?workbook=02_02.xlsx&amp;sheet=A0&amp;row=254&amp;col=7&amp;number=&amp;sourceID=26","")</f>
        <v/>
      </c>
      <c r="H254" s="4" t="str">
        <f>HYPERLINK("http://141.218.60.56/~jnz1568/getInfo.php?workbook=02_02.xlsx&amp;sheet=A0&amp;row=254&amp;col=8&amp;number=&amp;sourceID=26","")</f>
        <v/>
      </c>
      <c r="I254" s="4" t="str">
        <f>HYPERLINK("http://141.218.60.56/~jnz1568/getInfo.php?workbook=02_02.xlsx&amp;sheet=A0&amp;row=254&amp;col=9&amp;number=710710&amp;sourceID=15","710710")</f>
        <v>710710</v>
      </c>
      <c r="J254" s="4" t="str">
        <f>HYPERLINK("http://141.218.60.56/~jnz1568/getInfo.php?workbook=02_02.xlsx&amp;sheet=A0&amp;row=254&amp;col=10&amp;number=&amp;sourceID=15","")</f>
        <v/>
      </c>
      <c r="K254" s="4" t="str">
        <f>HYPERLINK("http://141.218.60.56/~jnz1568/getInfo.php?workbook=02_02.xlsx&amp;sheet=A0&amp;row=254&amp;col=11&amp;number=&amp;sourceID=15","")</f>
        <v/>
      </c>
      <c r="L254" s="4" t="str">
        <f>HYPERLINK("http://141.218.60.56/~jnz1568/getInfo.php?workbook=02_02.xlsx&amp;sheet=A0&amp;row=254&amp;col=12&amp;number=&amp;sourceID=15","")</f>
        <v/>
      </c>
      <c r="M254" s="4" t="str">
        <f>HYPERLINK("http://141.218.60.56/~jnz1568/getInfo.php?workbook=02_02.xlsx&amp;sheet=A0&amp;row=254&amp;col=13&amp;number=709820&amp;sourceID=23","709820")</f>
        <v>709820</v>
      </c>
    </row>
    <row r="255" spans="1:13">
      <c r="A255" s="3">
        <v>2</v>
      </c>
      <c r="B255" s="3">
        <v>2</v>
      </c>
      <c r="C255" s="3">
        <v>39</v>
      </c>
      <c r="D255" s="3">
        <v>29</v>
      </c>
      <c r="E255" s="3">
        <f>((1/(INDEX(E0!J$4:J$52,C255,1)-INDEX(E0!J$4:J$52,D255,1))))*100000000</f>
        <v>0</v>
      </c>
      <c r="F255" s="4" t="str">
        <f>HYPERLINK("http://141.218.60.56/~jnz1568/getInfo.php?workbook=02_02.xlsx&amp;sheet=A0&amp;row=255&amp;col=6&amp;number=&amp;sourceID=27","")</f>
        <v/>
      </c>
      <c r="G255" s="4" t="str">
        <f>HYPERLINK("http://141.218.60.56/~jnz1568/getInfo.php?workbook=02_02.xlsx&amp;sheet=A0&amp;row=255&amp;col=7&amp;number=&amp;sourceID=26","")</f>
        <v/>
      </c>
      <c r="H255" s="4" t="str">
        <f>HYPERLINK("http://141.218.60.56/~jnz1568/getInfo.php?workbook=02_02.xlsx&amp;sheet=A0&amp;row=255&amp;col=8&amp;number=&amp;sourceID=26","")</f>
        <v/>
      </c>
      <c r="I255" s="4" t="str">
        <f>HYPERLINK("http://141.218.60.56/~jnz1568/getInfo.php?workbook=02_02.xlsx&amp;sheet=A0&amp;row=255&amp;col=9&amp;number=51938&amp;sourceID=15","51938")</f>
        <v>51938</v>
      </c>
      <c r="J255" s="4" t="str">
        <f>HYPERLINK("http://141.218.60.56/~jnz1568/getInfo.php?workbook=02_02.xlsx&amp;sheet=A0&amp;row=255&amp;col=10&amp;number=&amp;sourceID=15","")</f>
        <v/>
      </c>
      <c r="K255" s="4" t="str">
        <f>HYPERLINK("http://141.218.60.56/~jnz1568/getInfo.php?workbook=02_02.xlsx&amp;sheet=A0&amp;row=255&amp;col=11&amp;number=&amp;sourceID=15","")</f>
        <v/>
      </c>
      <c r="L255" s="4" t="str">
        <f>HYPERLINK("http://141.218.60.56/~jnz1568/getInfo.php?workbook=02_02.xlsx&amp;sheet=A0&amp;row=255&amp;col=12&amp;number=&amp;sourceID=15","")</f>
        <v/>
      </c>
      <c r="M255" s="4" t="str">
        <f>HYPERLINK("http://141.218.60.56/~jnz1568/getInfo.php?workbook=02_02.xlsx&amp;sheet=A0&amp;row=255&amp;col=13&amp;number=51804&amp;sourceID=23","51804")</f>
        <v>51804</v>
      </c>
    </row>
    <row r="256" spans="1:13">
      <c r="A256" s="3">
        <v>2</v>
      </c>
      <c r="B256" s="3">
        <v>2</v>
      </c>
      <c r="C256" s="3">
        <v>39</v>
      </c>
      <c r="D256" s="3">
        <v>31</v>
      </c>
      <c r="E256" s="3">
        <f>((1/(INDEX(E0!J$4:J$52,C256,1)-INDEX(E0!J$4:J$52,D256,1))))*100000000</f>
        <v>0</v>
      </c>
      <c r="F256" s="4" t="str">
        <f>HYPERLINK("http://141.218.60.56/~jnz1568/getInfo.php?workbook=02_02.xlsx&amp;sheet=A0&amp;row=256&amp;col=6&amp;number=&amp;sourceID=27","")</f>
        <v/>
      </c>
      <c r="G256" s="4" t="str">
        <f>HYPERLINK("http://141.218.60.56/~jnz1568/getInfo.php?workbook=02_02.xlsx&amp;sheet=A0&amp;row=256&amp;col=7&amp;number=&amp;sourceID=26","")</f>
        <v/>
      </c>
      <c r="H256" s="4" t="str">
        <f>HYPERLINK("http://141.218.60.56/~jnz1568/getInfo.php?workbook=02_02.xlsx&amp;sheet=A0&amp;row=256&amp;col=8&amp;number=&amp;sourceID=26","")</f>
        <v/>
      </c>
      <c r="I256" s="4" t="str">
        <f>HYPERLINK("http://141.218.60.56/~jnz1568/getInfo.php?workbook=02_02.xlsx&amp;sheet=A0&amp;row=256&amp;col=9&amp;number=&amp;sourceID=15","")</f>
        <v/>
      </c>
      <c r="J256" s="4" t="str">
        <f>HYPERLINK("http://141.218.60.56/~jnz1568/getInfo.php?workbook=02_02.xlsx&amp;sheet=A0&amp;row=256&amp;col=10&amp;number=&amp;sourceID=15","")</f>
        <v/>
      </c>
      <c r="K256" s="4" t="str">
        <f>HYPERLINK("http://141.218.60.56/~jnz1568/getInfo.php?workbook=02_02.xlsx&amp;sheet=A0&amp;row=256&amp;col=11&amp;number=&amp;sourceID=15","")</f>
        <v/>
      </c>
      <c r="L256" s="4" t="str">
        <f>HYPERLINK("http://141.218.60.56/~jnz1568/getInfo.php?workbook=02_02.xlsx&amp;sheet=A0&amp;row=256&amp;col=12&amp;number=&amp;sourceID=15","")</f>
        <v/>
      </c>
      <c r="M256" s="4" t="str">
        <f>HYPERLINK("http://141.218.60.56/~jnz1568/getInfo.php?workbook=02_02.xlsx&amp;sheet=A0&amp;row=256&amp;col=13&amp;number=0.04047&amp;sourceID=23","0.04047")</f>
        <v>0.04047</v>
      </c>
    </row>
    <row r="257" spans="1:13">
      <c r="A257" s="3">
        <v>2</v>
      </c>
      <c r="B257" s="3">
        <v>2</v>
      </c>
      <c r="C257" s="3">
        <v>39</v>
      </c>
      <c r="D257" s="3">
        <v>34</v>
      </c>
      <c r="E257" s="3">
        <f>((1/(INDEX(E0!J$4:J$52,C257,1)-INDEX(E0!J$4:J$52,D257,1))))*100000000</f>
        <v>0</v>
      </c>
      <c r="F257" s="4" t="str">
        <f>HYPERLINK("http://141.218.60.56/~jnz1568/getInfo.php?workbook=02_02.xlsx&amp;sheet=A0&amp;row=257&amp;col=6&amp;number=&amp;sourceID=27","")</f>
        <v/>
      </c>
      <c r="G257" s="4" t="str">
        <f>HYPERLINK("http://141.218.60.56/~jnz1568/getInfo.php?workbook=02_02.xlsx&amp;sheet=A0&amp;row=257&amp;col=7&amp;number=&amp;sourceID=26","")</f>
        <v/>
      </c>
      <c r="H257" s="4" t="str">
        <f>HYPERLINK("http://141.218.60.56/~jnz1568/getInfo.php?workbook=02_02.xlsx&amp;sheet=A0&amp;row=257&amp;col=8&amp;number=&amp;sourceID=26","")</f>
        <v/>
      </c>
      <c r="I257" s="4" t="str">
        <f>HYPERLINK("http://141.218.60.56/~jnz1568/getInfo.php?workbook=02_02.xlsx&amp;sheet=A0&amp;row=257&amp;col=9&amp;number=42.152&amp;sourceID=15","42.152")</f>
        <v>42.152</v>
      </c>
      <c r="J257" s="4" t="str">
        <f>HYPERLINK("http://141.218.60.56/~jnz1568/getInfo.php?workbook=02_02.xlsx&amp;sheet=A0&amp;row=257&amp;col=10&amp;number=&amp;sourceID=15","")</f>
        <v/>
      </c>
      <c r="K257" s="4" t="str">
        <f>HYPERLINK("http://141.218.60.56/~jnz1568/getInfo.php?workbook=02_02.xlsx&amp;sheet=A0&amp;row=257&amp;col=11&amp;number=&amp;sourceID=15","")</f>
        <v/>
      </c>
      <c r="L257" s="4" t="str">
        <f>HYPERLINK("http://141.218.60.56/~jnz1568/getInfo.php?workbook=02_02.xlsx&amp;sheet=A0&amp;row=257&amp;col=12&amp;number=&amp;sourceID=15","")</f>
        <v/>
      </c>
      <c r="M257" s="4" t="str">
        <f>HYPERLINK("http://141.218.60.56/~jnz1568/getInfo.php?workbook=02_02.xlsx&amp;sheet=A0&amp;row=257&amp;col=13&amp;number=42.82&amp;sourceID=23","42.82")</f>
        <v>42.82</v>
      </c>
    </row>
    <row r="258" spans="1:13">
      <c r="A258" s="3">
        <v>2</v>
      </c>
      <c r="B258" s="3">
        <v>2</v>
      </c>
      <c r="C258" s="3">
        <v>39</v>
      </c>
      <c r="D258" s="3">
        <v>35</v>
      </c>
      <c r="E258" s="3">
        <f>((1/(INDEX(E0!J$4:J$52,C258,1)-INDEX(E0!J$4:J$52,D258,1))))*100000000</f>
        <v>0</v>
      </c>
      <c r="F258" s="4" t="str">
        <f>HYPERLINK("http://141.218.60.56/~jnz1568/getInfo.php?workbook=02_02.xlsx&amp;sheet=A0&amp;row=258&amp;col=6&amp;number=&amp;sourceID=27","")</f>
        <v/>
      </c>
      <c r="G258" s="4" t="str">
        <f>HYPERLINK("http://141.218.60.56/~jnz1568/getInfo.php?workbook=02_02.xlsx&amp;sheet=A0&amp;row=258&amp;col=7&amp;number=&amp;sourceID=26","")</f>
        <v/>
      </c>
      <c r="H258" s="4" t="str">
        <f>HYPERLINK("http://141.218.60.56/~jnz1568/getInfo.php?workbook=02_02.xlsx&amp;sheet=A0&amp;row=258&amp;col=8&amp;number=&amp;sourceID=26","")</f>
        <v/>
      </c>
      <c r="I258" s="4" t="str">
        <f>HYPERLINK("http://141.218.60.56/~jnz1568/getInfo.php?workbook=02_02.xlsx&amp;sheet=A0&amp;row=258&amp;col=9&amp;number=632.28&amp;sourceID=15","632.28")</f>
        <v>632.28</v>
      </c>
      <c r="J258" s="4" t="str">
        <f>HYPERLINK("http://141.218.60.56/~jnz1568/getInfo.php?workbook=02_02.xlsx&amp;sheet=A0&amp;row=258&amp;col=10&amp;number=&amp;sourceID=15","")</f>
        <v/>
      </c>
      <c r="K258" s="4" t="str">
        <f>HYPERLINK("http://141.218.60.56/~jnz1568/getInfo.php?workbook=02_02.xlsx&amp;sheet=A0&amp;row=258&amp;col=11&amp;number=&amp;sourceID=15","")</f>
        <v/>
      </c>
      <c r="L258" s="4" t="str">
        <f>HYPERLINK("http://141.218.60.56/~jnz1568/getInfo.php?workbook=02_02.xlsx&amp;sheet=A0&amp;row=258&amp;col=12&amp;number=&amp;sourceID=15","")</f>
        <v/>
      </c>
      <c r="M258" s="4" t="str">
        <f>HYPERLINK("http://141.218.60.56/~jnz1568/getInfo.php?workbook=02_02.xlsx&amp;sheet=A0&amp;row=258&amp;col=13&amp;number=642.16&amp;sourceID=23","642.16")</f>
        <v>642.16</v>
      </c>
    </row>
    <row r="259" spans="1:13">
      <c r="A259" s="3">
        <v>2</v>
      </c>
      <c r="B259" s="3">
        <v>2</v>
      </c>
      <c r="C259" s="3">
        <v>39</v>
      </c>
      <c r="D259" s="3">
        <v>36</v>
      </c>
      <c r="E259" s="3">
        <f>((1/(INDEX(E0!J$4:J$52,C259,1)-INDEX(E0!J$4:J$52,D259,1))))*100000000</f>
        <v>0</v>
      </c>
      <c r="F259" s="4" t="str">
        <f>HYPERLINK("http://141.218.60.56/~jnz1568/getInfo.php?workbook=02_02.xlsx&amp;sheet=A0&amp;row=259&amp;col=6&amp;number=&amp;sourceID=27","")</f>
        <v/>
      </c>
      <c r="G259" s="4" t="str">
        <f>HYPERLINK("http://141.218.60.56/~jnz1568/getInfo.php?workbook=02_02.xlsx&amp;sheet=A0&amp;row=259&amp;col=7&amp;number=&amp;sourceID=26","")</f>
        <v/>
      </c>
      <c r="H259" s="4" t="str">
        <f>HYPERLINK("http://141.218.60.56/~jnz1568/getInfo.php?workbook=02_02.xlsx&amp;sheet=A0&amp;row=259&amp;col=8&amp;number=&amp;sourceID=26","")</f>
        <v/>
      </c>
      <c r="I259" s="4" t="str">
        <f>HYPERLINK("http://141.218.60.56/~jnz1568/getInfo.php?workbook=02_02.xlsx&amp;sheet=A0&amp;row=259&amp;col=9&amp;number=843.04&amp;sourceID=15","843.04")</f>
        <v>843.04</v>
      </c>
      <c r="J259" s="4" t="str">
        <f>HYPERLINK("http://141.218.60.56/~jnz1568/getInfo.php?workbook=02_02.xlsx&amp;sheet=A0&amp;row=259&amp;col=10&amp;number=&amp;sourceID=15","")</f>
        <v/>
      </c>
      <c r="K259" s="4" t="str">
        <f>HYPERLINK("http://141.218.60.56/~jnz1568/getInfo.php?workbook=02_02.xlsx&amp;sheet=A0&amp;row=259&amp;col=11&amp;number=&amp;sourceID=15","")</f>
        <v/>
      </c>
      <c r="L259" s="4" t="str">
        <f>HYPERLINK("http://141.218.60.56/~jnz1568/getInfo.php?workbook=02_02.xlsx&amp;sheet=A0&amp;row=259&amp;col=12&amp;number=&amp;sourceID=15","")</f>
        <v/>
      </c>
      <c r="M259" s="4" t="str">
        <f>HYPERLINK("http://141.218.60.56/~jnz1568/getInfo.php?workbook=02_02.xlsx&amp;sheet=A0&amp;row=259&amp;col=13&amp;number=854.96&amp;sourceID=23","854.96")</f>
        <v>854.96</v>
      </c>
    </row>
    <row r="260" spans="1:13">
      <c r="A260" s="3">
        <v>2</v>
      </c>
      <c r="B260" s="3">
        <v>2</v>
      </c>
      <c r="C260" s="3">
        <v>40</v>
      </c>
      <c r="D260" s="3">
        <v>1</v>
      </c>
      <c r="E260" s="3">
        <f>((1/(INDEX(E0!J$4:J$52,C260,1)-INDEX(E0!J$4:J$52,D260,1))))*100000000</f>
        <v>0</v>
      </c>
      <c r="F260" s="4" t="str">
        <f>HYPERLINK("http://141.218.60.56/~jnz1568/getInfo.php?workbook=02_02.xlsx&amp;sheet=A0&amp;row=260&amp;col=6&amp;number=&amp;sourceID=27","")</f>
        <v/>
      </c>
      <c r="G260" s="4" t="str">
        <f>HYPERLINK("http://141.218.60.56/~jnz1568/getInfo.php?workbook=02_02.xlsx&amp;sheet=A0&amp;row=260&amp;col=7&amp;number=&amp;sourceID=26","")</f>
        <v/>
      </c>
      <c r="H260" s="4" t="str">
        <f>HYPERLINK("http://141.218.60.56/~jnz1568/getInfo.php?workbook=02_02.xlsx&amp;sheet=A0&amp;row=260&amp;col=8&amp;number=&amp;sourceID=26","")</f>
        <v/>
      </c>
      <c r="I260" s="4" t="str">
        <f>HYPERLINK("http://141.218.60.56/~jnz1568/getInfo.php?workbook=02_02.xlsx&amp;sheet=A0&amp;row=260&amp;col=9&amp;number=&amp;sourceID=15","")</f>
        <v/>
      </c>
      <c r="J260" s="4" t="str">
        <f>HYPERLINK("http://141.218.60.56/~jnz1568/getInfo.php?workbook=02_02.xlsx&amp;sheet=A0&amp;row=260&amp;col=10&amp;number=431.36&amp;sourceID=15","431.36")</f>
        <v>431.36</v>
      </c>
      <c r="K260" s="4" t="str">
        <f>HYPERLINK("http://141.218.60.56/~jnz1568/getInfo.php?workbook=02_02.xlsx&amp;sheet=A0&amp;row=260&amp;col=11&amp;number=&amp;sourceID=15","")</f>
        <v/>
      </c>
      <c r="L260" s="4" t="str">
        <f>HYPERLINK("http://141.218.60.56/~jnz1568/getInfo.php?workbook=02_02.xlsx&amp;sheet=A0&amp;row=260&amp;col=12&amp;number=&amp;sourceID=15","")</f>
        <v/>
      </c>
      <c r="M260" s="4" t="str">
        <f>HYPERLINK("http://141.218.60.56/~jnz1568/getInfo.php?workbook=02_02.xlsx&amp;sheet=A0&amp;row=260&amp;col=13&amp;number=&amp;sourceID=23","")</f>
        <v/>
      </c>
    </row>
    <row r="261" spans="1:13">
      <c r="A261" s="3">
        <v>2</v>
      </c>
      <c r="B261" s="3">
        <v>2</v>
      </c>
      <c r="C261" s="3">
        <v>40</v>
      </c>
      <c r="D261" s="3">
        <v>3</v>
      </c>
      <c r="E261" s="3">
        <f>((1/(INDEX(E0!J$4:J$52,C261,1)-INDEX(E0!J$4:J$52,D261,1))))*100000000</f>
        <v>0</v>
      </c>
      <c r="F261" s="4" t="str">
        <f>HYPERLINK("http://141.218.60.56/~jnz1568/getInfo.php?workbook=02_02.xlsx&amp;sheet=A0&amp;row=261&amp;col=6&amp;number=&amp;sourceID=27","")</f>
        <v/>
      </c>
      <c r="G261" s="4" t="str">
        <f>HYPERLINK("http://141.218.60.56/~jnz1568/getInfo.php?workbook=02_02.xlsx&amp;sheet=A0&amp;row=261&amp;col=7&amp;number=&amp;sourceID=26","")</f>
        <v/>
      </c>
      <c r="H261" s="4" t="str">
        <f>HYPERLINK("http://141.218.60.56/~jnz1568/getInfo.php?workbook=02_02.xlsx&amp;sheet=A0&amp;row=261&amp;col=8&amp;number=&amp;sourceID=26","")</f>
        <v/>
      </c>
      <c r="I261" s="4" t="str">
        <f>HYPERLINK("http://141.218.60.56/~jnz1568/getInfo.php?workbook=02_02.xlsx&amp;sheet=A0&amp;row=261&amp;col=9&amp;number=&amp;sourceID=15","")</f>
        <v/>
      </c>
      <c r="J261" s="4" t="str">
        <f>HYPERLINK("http://141.218.60.56/~jnz1568/getInfo.php?workbook=02_02.xlsx&amp;sheet=A0&amp;row=261&amp;col=10&amp;number=8.2983&amp;sourceID=15","8.2983")</f>
        <v>8.2983</v>
      </c>
      <c r="K261" s="4" t="str">
        <f>HYPERLINK("http://141.218.60.56/~jnz1568/getInfo.php?workbook=02_02.xlsx&amp;sheet=A0&amp;row=261&amp;col=11&amp;number=&amp;sourceID=15","")</f>
        <v/>
      </c>
      <c r="L261" s="4" t="str">
        <f>HYPERLINK("http://141.218.60.56/~jnz1568/getInfo.php?workbook=02_02.xlsx&amp;sheet=A0&amp;row=261&amp;col=12&amp;number=&amp;sourceID=15","")</f>
        <v/>
      </c>
      <c r="M261" s="4" t="str">
        <f>HYPERLINK("http://141.218.60.56/~jnz1568/getInfo.php?workbook=02_02.xlsx&amp;sheet=A0&amp;row=261&amp;col=13&amp;number=&amp;sourceID=23","")</f>
        <v/>
      </c>
    </row>
    <row r="262" spans="1:13">
      <c r="A262" s="3">
        <v>2</v>
      </c>
      <c r="B262" s="3">
        <v>2</v>
      </c>
      <c r="C262" s="3">
        <v>40</v>
      </c>
      <c r="D262" s="3">
        <v>4</v>
      </c>
      <c r="E262" s="3">
        <f>((1/(INDEX(E0!J$4:J$52,C262,1)-INDEX(E0!J$4:J$52,D262,1))))*100000000</f>
        <v>0</v>
      </c>
      <c r="F262" s="4" t="str">
        <f>HYPERLINK("http://141.218.60.56/~jnz1568/getInfo.php?workbook=02_02.xlsx&amp;sheet=A0&amp;row=262&amp;col=6&amp;number=&amp;sourceID=27","")</f>
        <v/>
      </c>
      <c r="G262" s="4" t="str">
        <f>HYPERLINK("http://141.218.60.56/~jnz1568/getInfo.php?workbook=02_02.xlsx&amp;sheet=A0&amp;row=262&amp;col=7&amp;number=&amp;sourceID=26","")</f>
        <v/>
      </c>
      <c r="H262" s="4" t="str">
        <f>HYPERLINK("http://141.218.60.56/~jnz1568/getInfo.php?workbook=02_02.xlsx&amp;sheet=A0&amp;row=262&amp;col=8&amp;number=&amp;sourceID=26","")</f>
        <v/>
      </c>
      <c r="I262" s="4" t="str">
        <f>HYPERLINK("http://141.218.60.56/~jnz1568/getInfo.php?workbook=02_02.xlsx&amp;sheet=A0&amp;row=262&amp;col=9&amp;number=&amp;sourceID=15","")</f>
        <v/>
      </c>
      <c r="J262" s="4" t="str">
        <f>HYPERLINK("http://141.218.60.56/~jnz1568/getInfo.php?workbook=02_02.xlsx&amp;sheet=A0&amp;row=262&amp;col=10&amp;number=&amp;sourceID=15","")</f>
        <v/>
      </c>
      <c r="K262" s="4" t="str">
        <f>HYPERLINK("http://141.218.60.56/~jnz1568/getInfo.php?workbook=02_02.xlsx&amp;sheet=A0&amp;row=262&amp;col=11&amp;number=&amp;sourceID=15","")</f>
        <v/>
      </c>
      <c r="L262" s="4" t="str">
        <f>HYPERLINK("http://141.218.60.56/~jnz1568/getInfo.php?workbook=02_02.xlsx&amp;sheet=A0&amp;row=262&amp;col=12&amp;number=&amp;sourceID=15","")</f>
        <v/>
      </c>
      <c r="M262" s="4" t="str">
        <f>HYPERLINK("http://141.218.60.56/~jnz1568/getInfo.php?workbook=02_02.xlsx&amp;sheet=A0&amp;row=262&amp;col=13&amp;number=304.42&amp;sourceID=23","304.42")</f>
        <v>304.42</v>
      </c>
    </row>
    <row r="263" spans="1:13">
      <c r="A263" s="3">
        <v>2</v>
      </c>
      <c r="B263" s="3">
        <v>2</v>
      </c>
      <c r="C263" s="3">
        <v>40</v>
      </c>
      <c r="D263" s="3">
        <v>5</v>
      </c>
      <c r="E263" s="3">
        <f>((1/(INDEX(E0!J$4:J$52,C263,1)-INDEX(E0!J$4:J$52,D263,1))))*100000000</f>
        <v>0</v>
      </c>
      <c r="F263" s="4" t="str">
        <f>HYPERLINK("http://141.218.60.56/~jnz1568/getInfo.php?workbook=02_02.xlsx&amp;sheet=A0&amp;row=263&amp;col=6&amp;number=&amp;sourceID=27","")</f>
        <v/>
      </c>
      <c r="G263" s="4" t="str">
        <f>HYPERLINK("http://141.218.60.56/~jnz1568/getInfo.php?workbook=02_02.xlsx&amp;sheet=A0&amp;row=263&amp;col=7&amp;number=&amp;sourceID=26","")</f>
        <v/>
      </c>
      <c r="H263" s="4" t="str">
        <f>HYPERLINK("http://141.218.60.56/~jnz1568/getInfo.php?workbook=02_02.xlsx&amp;sheet=A0&amp;row=263&amp;col=8&amp;number=&amp;sourceID=26","")</f>
        <v/>
      </c>
      <c r="I263" s="4" t="str">
        <f>HYPERLINK("http://141.218.60.56/~jnz1568/getInfo.php?workbook=02_02.xlsx&amp;sheet=A0&amp;row=263&amp;col=9&amp;number=&amp;sourceID=15","")</f>
        <v/>
      </c>
      <c r="J263" s="4" t="str">
        <f>HYPERLINK("http://141.218.60.56/~jnz1568/getInfo.php?workbook=02_02.xlsx&amp;sheet=A0&amp;row=263&amp;col=10&amp;number=&amp;sourceID=15","")</f>
        <v/>
      </c>
      <c r="K263" s="4" t="str">
        <f>HYPERLINK("http://141.218.60.56/~jnz1568/getInfo.php?workbook=02_02.xlsx&amp;sheet=A0&amp;row=263&amp;col=11&amp;number=&amp;sourceID=15","")</f>
        <v/>
      </c>
      <c r="L263" s="4" t="str">
        <f>HYPERLINK("http://141.218.60.56/~jnz1568/getInfo.php?workbook=02_02.xlsx&amp;sheet=A0&amp;row=263&amp;col=12&amp;number=&amp;sourceID=15","")</f>
        <v/>
      </c>
      <c r="M263" s="4" t="str">
        <f>HYPERLINK("http://141.218.60.56/~jnz1568/getInfo.php?workbook=02_02.xlsx&amp;sheet=A0&amp;row=263&amp;col=13&amp;number=856.22&amp;sourceID=23","856.22")</f>
        <v>856.22</v>
      </c>
    </row>
    <row r="264" spans="1:13">
      <c r="A264" s="3">
        <v>2</v>
      </c>
      <c r="B264" s="3">
        <v>2</v>
      </c>
      <c r="C264" s="3">
        <v>40</v>
      </c>
      <c r="D264" s="3">
        <v>7</v>
      </c>
      <c r="E264" s="3">
        <f>((1/(INDEX(E0!J$4:J$52,C264,1)-INDEX(E0!J$4:J$52,D264,1))))*100000000</f>
        <v>0</v>
      </c>
      <c r="F264" s="4" t="str">
        <f>HYPERLINK("http://141.218.60.56/~jnz1568/getInfo.php?workbook=02_02.xlsx&amp;sheet=A0&amp;row=264&amp;col=6&amp;number=&amp;sourceID=27","")</f>
        <v/>
      </c>
      <c r="G264" s="4" t="str">
        <f>HYPERLINK("http://141.218.60.56/~jnz1568/getInfo.php?workbook=02_02.xlsx&amp;sheet=A0&amp;row=264&amp;col=7&amp;number=&amp;sourceID=26","")</f>
        <v/>
      </c>
      <c r="H264" s="4" t="str">
        <f>HYPERLINK("http://141.218.60.56/~jnz1568/getInfo.php?workbook=02_02.xlsx&amp;sheet=A0&amp;row=264&amp;col=8&amp;number=&amp;sourceID=26","")</f>
        <v/>
      </c>
      <c r="I264" s="4" t="str">
        <f>HYPERLINK("http://141.218.60.56/~jnz1568/getInfo.php?workbook=02_02.xlsx&amp;sheet=A0&amp;row=264&amp;col=9&amp;number=8988900&amp;sourceID=15","8988900")</f>
        <v>8988900</v>
      </c>
      <c r="J264" s="4" t="str">
        <f>HYPERLINK("http://141.218.60.56/~jnz1568/getInfo.php?workbook=02_02.xlsx&amp;sheet=A0&amp;row=264&amp;col=10&amp;number=&amp;sourceID=15","")</f>
        <v/>
      </c>
      <c r="K264" s="4" t="str">
        <f>HYPERLINK("http://141.218.60.56/~jnz1568/getInfo.php?workbook=02_02.xlsx&amp;sheet=A0&amp;row=264&amp;col=11&amp;number=&amp;sourceID=15","")</f>
        <v/>
      </c>
      <c r="L264" s="4" t="str">
        <f>HYPERLINK("http://141.218.60.56/~jnz1568/getInfo.php?workbook=02_02.xlsx&amp;sheet=A0&amp;row=264&amp;col=12&amp;number=&amp;sourceID=15","")</f>
        <v/>
      </c>
      <c r="M264" s="4" t="str">
        <f>HYPERLINK("http://141.218.60.56/~jnz1568/getInfo.php?workbook=02_02.xlsx&amp;sheet=A0&amp;row=264&amp;col=13&amp;number=8990900&amp;sourceID=23","8990900")</f>
        <v>8990900</v>
      </c>
    </row>
    <row r="265" spans="1:13">
      <c r="A265" s="3">
        <v>2</v>
      </c>
      <c r="B265" s="3">
        <v>2</v>
      </c>
      <c r="C265" s="3">
        <v>40</v>
      </c>
      <c r="D265" s="3">
        <v>9</v>
      </c>
      <c r="E265" s="3">
        <f>((1/(INDEX(E0!J$4:J$52,C265,1)-INDEX(E0!J$4:J$52,D265,1))))*100000000</f>
        <v>0</v>
      </c>
      <c r="F265" s="4" t="str">
        <f>HYPERLINK("http://141.218.60.56/~jnz1568/getInfo.php?workbook=02_02.xlsx&amp;sheet=A0&amp;row=265&amp;col=6&amp;number=&amp;sourceID=27","")</f>
        <v/>
      </c>
      <c r="G265" s="4" t="str">
        <f>HYPERLINK("http://141.218.60.56/~jnz1568/getInfo.php?workbook=02_02.xlsx&amp;sheet=A0&amp;row=265&amp;col=7&amp;number=&amp;sourceID=26","")</f>
        <v/>
      </c>
      <c r="H265" s="4" t="str">
        <f>HYPERLINK("http://141.218.60.56/~jnz1568/getInfo.php?workbook=02_02.xlsx&amp;sheet=A0&amp;row=265&amp;col=8&amp;number=&amp;sourceID=26","")</f>
        <v/>
      </c>
      <c r="I265" s="4" t="str">
        <f>HYPERLINK("http://141.218.60.56/~jnz1568/getInfo.php?workbook=02_02.xlsx&amp;sheet=A0&amp;row=265&amp;col=9&amp;number=&amp;sourceID=15","")</f>
        <v/>
      </c>
      <c r="J265" s="4" t="str">
        <f>HYPERLINK("http://141.218.60.56/~jnz1568/getInfo.php?workbook=02_02.xlsx&amp;sheet=A0&amp;row=265&amp;col=10&amp;number=2.514&amp;sourceID=15","2.514")</f>
        <v>2.514</v>
      </c>
      <c r="K265" s="4" t="str">
        <f>HYPERLINK("http://141.218.60.56/~jnz1568/getInfo.php?workbook=02_02.xlsx&amp;sheet=A0&amp;row=265&amp;col=11&amp;number=&amp;sourceID=15","")</f>
        <v/>
      </c>
      <c r="L265" s="4" t="str">
        <f>HYPERLINK("http://141.218.60.56/~jnz1568/getInfo.php?workbook=02_02.xlsx&amp;sheet=A0&amp;row=265&amp;col=12&amp;number=&amp;sourceID=15","")</f>
        <v/>
      </c>
      <c r="M265" s="4" t="str">
        <f>HYPERLINK("http://141.218.60.56/~jnz1568/getInfo.php?workbook=02_02.xlsx&amp;sheet=A0&amp;row=265&amp;col=13&amp;number=&amp;sourceID=23","")</f>
        <v/>
      </c>
    </row>
    <row r="266" spans="1:13">
      <c r="A266" s="3">
        <v>2</v>
      </c>
      <c r="B266" s="3">
        <v>2</v>
      </c>
      <c r="C266" s="3">
        <v>40</v>
      </c>
      <c r="D266" s="3">
        <v>10</v>
      </c>
      <c r="E266" s="3">
        <f>((1/(INDEX(E0!J$4:J$52,C266,1)-INDEX(E0!J$4:J$52,D266,1))))*100000000</f>
        <v>0</v>
      </c>
      <c r="F266" s="4" t="str">
        <f>HYPERLINK("http://141.218.60.56/~jnz1568/getInfo.php?workbook=02_02.xlsx&amp;sheet=A0&amp;row=266&amp;col=6&amp;number=&amp;sourceID=27","")</f>
        <v/>
      </c>
      <c r="G266" s="4" t="str">
        <f>HYPERLINK("http://141.218.60.56/~jnz1568/getInfo.php?workbook=02_02.xlsx&amp;sheet=A0&amp;row=266&amp;col=7&amp;number=&amp;sourceID=26","")</f>
        <v/>
      </c>
      <c r="H266" s="4" t="str">
        <f>HYPERLINK("http://141.218.60.56/~jnz1568/getInfo.php?workbook=02_02.xlsx&amp;sheet=A0&amp;row=266&amp;col=8&amp;number=&amp;sourceID=26","")</f>
        <v/>
      </c>
      <c r="I266" s="4" t="str">
        <f>HYPERLINK("http://141.218.60.56/~jnz1568/getInfo.php?workbook=02_02.xlsx&amp;sheet=A0&amp;row=266&amp;col=9&amp;number=88.99&amp;sourceID=15","88.99")</f>
        <v>88.99</v>
      </c>
      <c r="J266" s="4" t="str">
        <f>HYPERLINK("http://141.218.60.56/~jnz1568/getInfo.php?workbook=02_02.xlsx&amp;sheet=A0&amp;row=266&amp;col=10&amp;number=&amp;sourceID=15","")</f>
        <v/>
      </c>
      <c r="K266" s="4" t="str">
        <f>HYPERLINK("http://141.218.60.56/~jnz1568/getInfo.php?workbook=02_02.xlsx&amp;sheet=A0&amp;row=266&amp;col=11&amp;number=&amp;sourceID=15","")</f>
        <v/>
      </c>
      <c r="L266" s="4" t="str">
        <f>HYPERLINK("http://141.218.60.56/~jnz1568/getInfo.php?workbook=02_02.xlsx&amp;sheet=A0&amp;row=266&amp;col=12&amp;number=&amp;sourceID=15","")</f>
        <v/>
      </c>
      <c r="M266" s="4" t="str">
        <f>HYPERLINK("http://141.218.60.56/~jnz1568/getInfo.php?workbook=02_02.xlsx&amp;sheet=A0&amp;row=266&amp;col=13&amp;number=91.008&amp;sourceID=23","91.008")</f>
        <v>91.008</v>
      </c>
    </row>
    <row r="267" spans="1:13">
      <c r="A267" s="3">
        <v>2</v>
      </c>
      <c r="B267" s="3">
        <v>2</v>
      </c>
      <c r="C267" s="3">
        <v>40</v>
      </c>
      <c r="D267" s="3">
        <v>11</v>
      </c>
      <c r="E267" s="3">
        <f>((1/(INDEX(E0!J$4:J$52,C267,1)-INDEX(E0!J$4:J$52,D267,1))))*100000000</f>
        <v>0</v>
      </c>
      <c r="F267" s="4" t="str">
        <f>HYPERLINK("http://141.218.60.56/~jnz1568/getInfo.php?workbook=02_02.xlsx&amp;sheet=A0&amp;row=267&amp;col=6&amp;number=&amp;sourceID=27","")</f>
        <v/>
      </c>
      <c r="G267" s="4" t="str">
        <f>HYPERLINK("http://141.218.60.56/~jnz1568/getInfo.php?workbook=02_02.xlsx&amp;sheet=A0&amp;row=267&amp;col=7&amp;number=&amp;sourceID=26","")</f>
        <v/>
      </c>
      <c r="H267" s="4" t="str">
        <f>HYPERLINK("http://141.218.60.56/~jnz1568/getInfo.php?workbook=02_02.xlsx&amp;sheet=A0&amp;row=267&amp;col=8&amp;number=&amp;sourceID=26","")</f>
        <v/>
      </c>
      <c r="I267" s="4" t="str">
        <f>HYPERLINK("http://141.218.60.56/~jnz1568/getInfo.php?workbook=02_02.xlsx&amp;sheet=A0&amp;row=267&amp;col=9&amp;number=250&amp;sourceID=15","250")</f>
        <v>250</v>
      </c>
      <c r="J267" s="4" t="str">
        <f>HYPERLINK("http://141.218.60.56/~jnz1568/getInfo.php?workbook=02_02.xlsx&amp;sheet=A0&amp;row=267&amp;col=10&amp;number=&amp;sourceID=15","")</f>
        <v/>
      </c>
      <c r="K267" s="4" t="str">
        <f>HYPERLINK("http://141.218.60.56/~jnz1568/getInfo.php?workbook=02_02.xlsx&amp;sheet=A0&amp;row=267&amp;col=11&amp;number=&amp;sourceID=15","")</f>
        <v/>
      </c>
      <c r="L267" s="4" t="str">
        <f>HYPERLINK("http://141.218.60.56/~jnz1568/getInfo.php?workbook=02_02.xlsx&amp;sheet=A0&amp;row=267&amp;col=12&amp;number=&amp;sourceID=15","")</f>
        <v/>
      </c>
      <c r="M267" s="4" t="str">
        <f>HYPERLINK("http://141.218.60.56/~jnz1568/getInfo.php?workbook=02_02.xlsx&amp;sheet=A0&amp;row=267&amp;col=13&amp;number=257.24&amp;sourceID=23","257.24")</f>
        <v>257.24</v>
      </c>
    </row>
    <row r="268" spans="1:13">
      <c r="A268" s="3">
        <v>2</v>
      </c>
      <c r="B268" s="3">
        <v>2</v>
      </c>
      <c r="C268" s="3">
        <v>40</v>
      </c>
      <c r="D268" s="3">
        <v>17</v>
      </c>
      <c r="E268" s="3">
        <f>((1/(INDEX(E0!J$4:J$52,C268,1)-INDEX(E0!J$4:J$52,D268,1))))*100000000</f>
        <v>0</v>
      </c>
      <c r="F268" s="4" t="str">
        <f>HYPERLINK("http://141.218.60.56/~jnz1568/getInfo.php?workbook=02_02.xlsx&amp;sheet=A0&amp;row=268&amp;col=6&amp;number=&amp;sourceID=27","")</f>
        <v/>
      </c>
      <c r="G268" s="4" t="str">
        <f>HYPERLINK("http://141.218.60.56/~jnz1568/getInfo.php?workbook=02_02.xlsx&amp;sheet=A0&amp;row=268&amp;col=7&amp;number=&amp;sourceID=26","")</f>
        <v/>
      </c>
      <c r="H268" s="4" t="str">
        <f>HYPERLINK("http://141.218.60.56/~jnz1568/getInfo.php?workbook=02_02.xlsx&amp;sheet=A0&amp;row=268&amp;col=8&amp;number=&amp;sourceID=26","")</f>
        <v/>
      </c>
      <c r="I268" s="4" t="str">
        <f>HYPERLINK("http://141.218.60.56/~jnz1568/getInfo.php?workbook=02_02.xlsx&amp;sheet=A0&amp;row=268&amp;col=9&amp;number=3361500&amp;sourceID=15","3361500")</f>
        <v>3361500</v>
      </c>
      <c r="J268" s="4" t="str">
        <f>HYPERLINK("http://141.218.60.56/~jnz1568/getInfo.php?workbook=02_02.xlsx&amp;sheet=A0&amp;row=268&amp;col=10&amp;number=&amp;sourceID=15","")</f>
        <v/>
      </c>
      <c r="K268" s="4" t="str">
        <f>HYPERLINK("http://141.218.60.56/~jnz1568/getInfo.php?workbook=02_02.xlsx&amp;sheet=A0&amp;row=268&amp;col=11&amp;number=&amp;sourceID=15","")</f>
        <v/>
      </c>
      <c r="L268" s="4" t="str">
        <f>HYPERLINK("http://141.218.60.56/~jnz1568/getInfo.php?workbook=02_02.xlsx&amp;sheet=A0&amp;row=268&amp;col=12&amp;number=&amp;sourceID=15","")</f>
        <v/>
      </c>
      <c r="M268" s="4" t="str">
        <f>HYPERLINK("http://141.218.60.56/~jnz1568/getInfo.php?workbook=02_02.xlsx&amp;sheet=A0&amp;row=268&amp;col=13&amp;number=3361600&amp;sourceID=23","3361600")</f>
        <v>3361600</v>
      </c>
    </row>
    <row r="269" spans="1:13">
      <c r="A269" s="3">
        <v>2</v>
      </c>
      <c r="B269" s="3">
        <v>2</v>
      </c>
      <c r="C269" s="3">
        <v>40</v>
      </c>
      <c r="D269" s="3">
        <v>19</v>
      </c>
      <c r="E269" s="3">
        <f>((1/(INDEX(E0!J$4:J$52,C269,1)-INDEX(E0!J$4:J$52,D269,1))))*100000000</f>
        <v>0</v>
      </c>
      <c r="F269" s="4" t="str">
        <f>HYPERLINK("http://141.218.60.56/~jnz1568/getInfo.php?workbook=02_02.xlsx&amp;sheet=A0&amp;row=269&amp;col=6&amp;number=&amp;sourceID=27","")</f>
        <v/>
      </c>
      <c r="G269" s="4" t="str">
        <f>HYPERLINK("http://141.218.60.56/~jnz1568/getInfo.php?workbook=02_02.xlsx&amp;sheet=A0&amp;row=269&amp;col=7&amp;number=&amp;sourceID=26","")</f>
        <v/>
      </c>
      <c r="H269" s="4" t="str">
        <f>HYPERLINK("http://141.218.60.56/~jnz1568/getInfo.php?workbook=02_02.xlsx&amp;sheet=A0&amp;row=269&amp;col=8&amp;number=&amp;sourceID=26","")</f>
        <v/>
      </c>
      <c r="I269" s="4" t="str">
        <f>HYPERLINK("http://141.218.60.56/~jnz1568/getInfo.php?workbook=02_02.xlsx&amp;sheet=A0&amp;row=269&amp;col=9&amp;number=&amp;sourceID=15","")</f>
        <v/>
      </c>
      <c r="J269" s="4" t="str">
        <f>HYPERLINK("http://141.218.60.56/~jnz1568/getInfo.php?workbook=02_02.xlsx&amp;sheet=A0&amp;row=269&amp;col=10&amp;number=0.70191&amp;sourceID=15","0.70191")</f>
        <v>0.70191</v>
      </c>
      <c r="K269" s="4" t="str">
        <f>HYPERLINK("http://141.218.60.56/~jnz1568/getInfo.php?workbook=02_02.xlsx&amp;sheet=A0&amp;row=269&amp;col=11&amp;number=&amp;sourceID=15","")</f>
        <v/>
      </c>
      <c r="L269" s="4" t="str">
        <f>HYPERLINK("http://141.218.60.56/~jnz1568/getInfo.php?workbook=02_02.xlsx&amp;sheet=A0&amp;row=269&amp;col=12&amp;number=&amp;sourceID=15","")</f>
        <v/>
      </c>
      <c r="M269" s="4" t="str">
        <f>HYPERLINK("http://141.218.60.56/~jnz1568/getInfo.php?workbook=02_02.xlsx&amp;sheet=A0&amp;row=269&amp;col=13&amp;number=&amp;sourceID=23","")</f>
        <v/>
      </c>
    </row>
    <row r="270" spans="1:13">
      <c r="A270" s="3">
        <v>2</v>
      </c>
      <c r="B270" s="3">
        <v>2</v>
      </c>
      <c r="C270" s="3">
        <v>40</v>
      </c>
      <c r="D270" s="3">
        <v>20</v>
      </c>
      <c r="E270" s="3">
        <f>((1/(INDEX(E0!J$4:J$52,C270,1)-INDEX(E0!J$4:J$52,D270,1))))*100000000</f>
        <v>0</v>
      </c>
      <c r="F270" s="4" t="str">
        <f>HYPERLINK("http://141.218.60.56/~jnz1568/getInfo.php?workbook=02_02.xlsx&amp;sheet=A0&amp;row=270&amp;col=6&amp;number=&amp;sourceID=27","")</f>
        <v/>
      </c>
      <c r="G270" s="4" t="str">
        <f>HYPERLINK("http://141.218.60.56/~jnz1568/getInfo.php?workbook=02_02.xlsx&amp;sheet=A0&amp;row=270&amp;col=7&amp;number=&amp;sourceID=26","")</f>
        <v/>
      </c>
      <c r="H270" s="4" t="str">
        <f>HYPERLINK("http://141.218.60.56/~jnz1568/getInfo.php?workbook=02_02.xlsx&amp;sheet=A0&amp;row=270&amp;col=8&amp;number=&amp;sourceID=26","")</f>
        <v/>
      </c>
      <c r="I270" s="4" t="str">
        <f>HYPERLINK("http://141.218.60.56/~jnz1568/getInfo.php?workbook=02_02.xlsx&amp;sheet=A0&amp;row=270&amp;col=9&amp;number=32.76&amp;sourceID=15","32.76")</f>
        <v>32.76</v>
      </c>
      <c r="J270" s="4" t="str">
        <f>HYPERLINK("http://141.218.60.56/~jnz1568/getInfo.php?workbook=02_02.xlsx&amp;sheet=A0&amp;row=270&amp;col=10&amp;number=&amp;sourceID=15","")</f>
        <v/>
      </c>
      <c r="K270" s="4" t="str">
        <f>HYPERLINK("http://141.218.60.56/~jnz1568/getInfo.php?workbook=02_02.xlsx&amp;sheet=A0&amp;row=270&amp;col=11&amp;number=&amp;sourceID=15","")</f>
        <v/>
      </c>
      <c r="L270" s="4" t="str">
        <f>HYPERLINK("http://141.218.60.56/~jnz1568/getInfo.php?workbook=02_02.xlsx&amp;sheet=A0&amp;row=270&amp;col=12&amp;number=&amp;sourceID=15","")</f>
        <v/>
      </c>
      <c r="M270" s="4" t="str">
        <f>HYPERLINK("http://141.218.60.56/~jnz1568/getInfo.php?workbook=02_02.xlsx&amp;sheet=A0&amp;row=270&amp;col=13&amp;number=33.372&amp;sourceID=23","33.372")</f>
        <v>33.372</v>
      </c>
    </row>
    <row r="271" spans="1:13">
      <c r="A271" s="3">
        <v>2</v>
      </c>
      <c r="B271" s="3">
        <v>2</v>
      </c>
      <c r="C271" s="3">
        <v>40</v>
      </c>
      <c r="D271" s="3">
        <v>21</v>
      </c>
      <c r="E271" s="3">
        <f>((1/(INDEX(E0!J$4:J$52,C271,1)-INDEX(E0!J$4:J$52,D271,1))))*100000000</f>
        <v>0</v>
      </c>
      <c r="F271" s="4" t="str">
        <f>HYPERLINK("http://141.218.60.56/~jnz1568/getInfo.php?workbook=02_02.xlsx&amp;sheet=A0&amp;row=271&amp;col=6&amp;number=&amp;sourceID=27","")</f>
        <v/>
      </c>
      <c r="G271" s="4" t="str">
        <f>HYPERLINK("http://141.218.60.56/~jnz1568/getInfo.php?workbook=02_02.xlsx&amp;sheet=A0&amp;row=271&amp;col=7&amp;number=&amp;sourceID=26","")</f>
        <v/>
      </c>
      <c r="H271" s="4" t="str">
        <f>HYPERLINK("http://141.218.60.56/~jnz1568/getInfo.php?workbook=02_02.xlsx&amp;sheet=A0&amp;row=271&amp;col=8&amp;number=&amp;sourceID=26","")</f>
        <v/>
      </c>
      <c r="I271" s="4" t="str">
        <f>HYPERLINK("http://141.218.60.56/~jnz1568/getInfo.php?workbook=02_02.xlsx&amp;sheet=A0&amp;row=271&amp;col=9&amp;number=91.22&amp;sourceID=15","91.22")</f>
        <v>91.22</v>
      </c>
      <c r="J271" s="4" t="str">
        <f>HYPERLINK("http://141.218.60.56/~jnz1568/getInfo.php?workbook=02_02.xlsx&amp;sheet=A0&amp;row=271&amp;col=10&amp;number=&amp;sourceID=15","")</f>
        <v/>
      </c>
      <c r="K271" s="4" t="str">
        <f>HYPERLINK("http://141.218.60.56/~jnz1568/getInfo.php?workbook=02_02.xlsx&amp;sheet=A0&amp;row=271&amp;col=11&amp;number=&amp;sourceID=15","")</f>
        <v/>
      </c>
      <c r="L271" s="4" t="str">
        <f>HYPERLINK("http://141.218.60.56/~jnz1568/getInfo.php?workbook=02_02.xlsx&amp;sheet=A0&amp;row=271&amp;col=12&amp;number=&amp;sourceID=15","")</f>
        <v/>
      </c>
      <c r="M271" s="4" t="str">
        <f>HYPERLINK("http://141.218.60.56/~jnz1568/getInfo.php?workbook=02_02.xlsx&amp;sheet=A0&amp;row=271&amp;col=13&amp;number=94.472&amp;sourceID=23","94.472")</f>
        <v>94.472</v>
      </c>
    </row>
    <row r="272" spans="1:13">
      <c r="A272" s="3">
        <v>2</v>
      </c>
      <c r="B272" s="3">
        <v>2</v>
      </c>
      <c r="C272" s="3">
        <v>40</v>
      </c>
      <c r="D272" s="3">
        <v>27</v>
      </c>
      <c r="E272" s="3">
        <f>((1/(INDEX(E0!J$4:J$52,C272,1)-INDEX(E0!J$4:J$52,D272,1))))*100000000</f>
        <v>0</v>
      </c>
      <c r="F272" s="4" t="str">
        <f>HYPERLINK("http://141.218.60.56/~jnz1568/getInfo.php?workbook=02_02.xlsx&amp;sheet=A0&amp;row=272&amp;col=6&amp;number=&amp;sourceID=27","")</f>
        <v/>
      </c>
      <c r="G272" s="4" t="str">
        <f>HYPERLINK("http://141.218.60.56/~jnz1568/getInfo.php?workbook=02_02.xlsx&amp;sheet=A0&amp;row=272&amp;col=7&amp;number=&amp;sourceID=26","")</f>
        <v/>
      </c>
      <c r="H272" s="4" t="str">
        <f>HYPERLINK("http://141.218.60.56/~jnz1568/getInfo.php?workbook=02_02.xlsx&amp;sheet=A0&amp;row=272&amp;col=8&amp;number=&amp;sourceID=26","")</f>
        <v/>
      </c>
      <c r="I272" s="4" t="str">
        <f>HYPERLINK("http://141.218.60.56/~jnz1568/getInfo.php?workbook=02_02.xlsx&amp;sheet=A0&amp;row=272&amp;col=9&amp;number=18330&amp;sourceID=15","18330")</f>
        <v>18330</v>
      </c>
      <c r="J272" s="4" t="str">
        <f>HYPERLINK("http://141.218.60.56/~jnz1568/getInfo.php?workbook=02_02.xlsx&amp;sheet=A0&amp;row=272&amp;col=10&amp;number=&amp;sourceID=15","")</f>
        <v/>
      </c>
      <c r="K272" s="4" t="str">
        <f>HYPERLINK("http://141.218.60.56/~jnz1568/getInfo.php?workbook=02_02.xlsx&amp;sheet=A0&amp;row=272&amp;col=11&amp;number=&amp;sourceID=15","")</f>
        <v/>
      </c>
      <c r="L272" s="4" t="str">
        <f>HYPERLINK("http://141.218.60.56/~jnz1568/getInfo.php?workbook=02_02.xlsx&amp;sheet=A0&amp;row=272&amp;col=12&amp;number=&amp;sourceID=15","")</f>
        <v/>
      </c>
      <c r="M272" s="4" t="str">
        <f>HYPERLINK("http://141.218.60.56/~jnz1568/getInfo.php?workbook=02_02.xlsx&amp;sheet=A0&amp;row=272&amp;col=13&amp;number=&amp;sourceID=23","")</f>
        <v/>
      </c>
    </row>
    <row r="273" spans="1:13">
      <c r="A273" s="3">
        <v>2</v>
      </c>
      <c r="B273" s="3">
        <v>2</v>
      </c>
      <c r="C273" s="3">
        <v>40</v>
      </c>
      <c r="D273" s="3">
        <v>30</v>
      </c>
      <c r="E273" s="3">
        <f>((1/(INDEX(E0!J$4:J$52,C273,1)-INDEX(E0!J$4:J$52,D273,1))))*100000000</f>
        <v>0</v>
      </c>
      <c r="F273" s="4" t="str">
        <f>HYPERLINK("http://141.218.60.56/~jnz1568/getInfo.php?workbook=02_02.xlsx&amp;sheet=A0&amp;row=273&amp;col=6&amp;number=&amp;sourceID=27","")</f>
        <v/>
      </c>
      <c r="G273" s="4" t="str">
        <f>HYPERLINK("http://141.218.60.56/~jnz1568/getInfo.php?workbook=02_02.xlsx&amp;sheet=A0&amp;row=273&amp;col=7&amp;number=&amp;sourceID=26","")</f>
        <v/>
      </c>
      <c r="H273" s="4" t="str">
        <f>HYPERLINK("http://141.218.60.56/~jnz1568/getInfo.php?workbook=02_02.xlsx&amp;sheet=A0&amp;row=273&amp;col=8&amp;number=&amp;sourceID=26","")</f>
        <v/>
      </c>
      <c r="I273" s="4" t="str">
        <f>HYPERLINK("http://141.218.60.56/~jnz1568/getInfo.php?workbook=02_02.xlsx&amp;sheet=A0&amp;row=273&amp;col=9&amp;number=33200&amp;sourceID=15","33200")</f>
        <v>33200</v>
      </c>
      <c r="J273" s="4" t="str">
        <f>HYPERLINK("http://141.218.60.56/~jnz1568/getInfo.php?workbook=02_02.xlsx&amp;sheet=A0&amp;row=273&amp;col=10&amp;number=&amp;sourceID=15","")</f>
        <v/>
      </c>
      <c r="K273" s="4" t="str">
        <f>HYPERLINK("http://141.218.60.56/~jnz1568/getInfo.php?workbook=02_02.xlsx&amp;sheet=A0&amp;row=273&amp;col=11&amp;number=&amp;sourceID=15","")</f>
        <v/>
      </c>
      <c r="L273" s="4" t="str">
        <f>HYPERLINK("http://141.218.60.56/~jnz1568/getInfo.php?workbook=02_02.xlsx&amp;sheet=A0&amp;row=273&amp;col=12&amp;number=&amp;sourceID=15","")</f>
        <v/>
      </c>
      <c r="M273" s="4" t="str">
        <f>HYPERLINK("http://141.218.60.56/~jnz1568/getInfo.php?workbook=02_02.xlsx&amp;sheet=A0&amp;row=273&amp;col=13&amp;number=&amp;sourceID=23","")</f>
        <v/>
      </c>
    </row>
    <row r="274" spans="1:13">
      <c r="A274" s="3">
        <v>2</v>
      </c>
      <c r="B274" s="3">
        <v>2</v>
      </c>
      <c r="C274" s="3">
        <v>40</v>
      </c>
      <c r="D274" s="3">
        <v>29</v>
      </c>
      <c r="E274" s="3">
        <f>((1/(INDEX(E0!J$4:J$52,C274,1)-INDEX(E0!J$4:J$52,D274,1))))*100000000</f>
        <v>0</v>
      </c>
      <c r="F274" s="4" t="str">
        <f>HYPERLINK("http://141.218.60.56/~jnz1568/getInfo.php?workbook=02_02.xlsx&amp;sheet=A0&amp;row=274&amp;col=6&amp;number=&amp;sourceID=27","")</f>
        <v/>
      </c>
      <c r="G274" s="4" t="str">
        <f>HYPERLINK("http://141.218.60.56/~jnz1568/getInfo.php?workbook=02_02.xlsx&amp;sheet=A0&amp;row=274&amp;col=7&amp;number=&amp;sourceID=26","")</f>
        <v/>
      </c>
      <c r="H274" s="4" t="str">
        <f>HYPERLINK("http://141.218.60.56/~jnz1568/getInfo.php?workbook=02_02.xlsx&amp;sheet=A0&amp;row=274&amp;col=8&amp;number=&amp;sourceID=26","")</f>
        <v/>
      </c>
      <c r="I274" s="4" t="str">
        <f>HYPERLINK("http://141.218.60.56/~jnz1568/getInfo.php?workbook=02_02.xlsx&amp;sheet=A0&amp;row=274&amp;col=9&amp;number=&amp;sourceID=15","")</f>
        <v/>
      </c>
      <c r="J274" s="4" t="str">
        <f>HYPERLINK("http://141.218.60.56/~jnz1568/getInfo.php?workbook=02_02.xlsx&amp;sheet=A0&amp;row=274&amp;col=10&amp;number=&amp;sourceID=15","")</f>
        <v/>
      </c>
      <c r="K274" s="4" t="str">
        <f>HYPERLINK("http://141.218.60.56/~jnz1568/getInfo.php?workbook=02_02.xlsx&amp;sheet=A0&amp;row=274&amp;col=11&amp;number=&amp;sourceID=15","")</f>
        <v/>
      </c>
      <c r="L274" s="4" t="str">
        <f>HYPERLINK("http://141.218.60.56/~jnz1568/getInfo.php?workbook=02_02.xlsx&amp;sheet=A0&amp;row=274&amp;col=12&amp;number=&amp;sourceID=15","")</f>
        <v/>
      </c>
      <c r="M274" s="4" t="str">
        <f>HYPERLINK("http://141.218.60.56/~jnz1568/getInfo.php?workbook=02_02.xlsx&amp;sheet=A0&amp;row=274&amp;col=13&amp;number=0.59844&amp;sourceID=23","0.59844")</f>
        <v>0.59844</v>
      </c>
    </row>
    <row r="275" spans="1:13">
      <c r="A275" s="3">
        <v>2</v>
      </c>
      <c r="B275" s="3">
        <v>2</v>
      </c>
      <c r="C275" s="3">
        <v>40</v>
      </c>
      <c r="D275" s="3">
        <v>31</v>
      </c>
      <c r="E275" s="3">
        <f>((1/(INDEX(E0!J$4:J$52,C275,1)-INDEX(E0!J$4:J$52,D275,1))))*100000000</f>
        <v>0</v>
      </c>
      <c r="F275" s="4" t="str">
        <f>HYPERLINK("http://141.218.60.56/~jnz1568/getInfo.php?workbook=02_02.xlsx&amp;sheet=A0&amp;row=275&amp;col=6&amp;number=&amp;sourceID=27","")</f>
        <v/>
      </c>
      <c r="G275" s="4" t="str">
        <f>HYPERLINK("http://141.218.60.56/~jnz1568/getInfo.php?workbook=02_02.xlsx&amp;sheet=A0&amp;row=275&amp;col=7&amp;number=&amp;sourceID=26","")</f>
        <v/>
      </c>
      <c r="H275" s="4" t="str">
        <f>HYPERLINK("http://141.218.60.56/~jnz1568/getInfo.php?workbook=02_02.xlsx&amp;sheet=A0&amp;row=275&amp;col=8&amp;number=&amp;sourceID=26","")</f>
        <v/>
      </c>
      <c r="I275" s="4" t="str">
        <f>HYPERLINK("http://141.218.60.56/~jnz1568/getInfo.php?workbook=02_02.xlsx&amp;sheet=A0&amp;row=275&amp;col=9&amp;number=1525400&amp;sourceID=15","1525400")</f>
        <v>1525400</v>
      </c>
      <c r="J275" s="4" t="str">
        <f>HYPERLINK("http://141.218.60.56/~jnz1568/getInfo.php?workbook=02_02.xlsx&amp;sheet=A0&amp;row=275&amp;col=10&amp;number=&amp;sourceID=15","")</f>
        <v/>
      </c>
      <c r="K275" s="4" t="str">
        <f>HYPERLINK("http://141.218.60.56/~jnz1568/getInfo.php?workbook=02_02.xlsx&amp;sheet=A0&amp;row=275&amp;col=11&amp;number=&amp;sourceID=15","")</f>
        <v/>
      </c>
      <c r="L275" s="4" t="str">
        <f>HYPERLINK("http://141.218.60.56/~jnz1568/getInfo.php?workbook=02_02.xlsx&amp;sheet=A0&amp;row=275&amp;col=12&amp;number=&amp;sourceID=15","")</f>
        <v/>
      </c>
      <c r="M275" s="4" t="str">
        <f>HYPERLINK("http://141.218.60.56/~jnz1568/getInfo.php?workbook=02_02.xlsx&amp;sheet=A0&amp;row=275&amp;col=13&amp;number=1524600&amp;sourceID=23","1524600")</f>
        <v>1524600</v>
      </c>
    </row>
    <row r="276" spans="1:13">
      <c r="A276" s="3">
        <v>2</v>
      </c>
      <c r="B276" s="3">
        <v>2</v>
      </c>
      <c r="C276" s="3">
        <v>40</v>
      </c>
      <c r="D276" s="3">
        <v>33</v>
      </c>
      <c r="E276" s="3">
        <f>((1/(INDEX(E0!J$4:J$52,C276,1)-INDEX(E0!J$4:J$52,D276,1))))*100000000</f>
        <v>0</v>
      </c>
      <c r="F276" s="4" t="str">
        <f>HYPERLINK("http://141.218.60.56/~jnz1568/getInfo.php?workbook=02_02.xlsx&amp;sheet=A0&amp;row=276&amp;col=6&amp;number=&amp;sourceID=27","")</f>
        <v/>
      </c>
      <c r="G276" s="4" t="str">
        <f>HYPERLINK("http://141.218.60.56/~jnz1568/getInfo.php?workbook=02_02.xlsx&amp;sheet=A0&amp;row=276&amp;col=7&amp;number=&amp;sourceID=26","")</f>
        <v/>
      </c>
      <c r="H276" s="4" t="str">
        <f>HYPERLINK("http://141.218.60.56/~jnz1568/getInfo.php?workbook=02_02.xlsx&amp;sheet=A0&amp;row=276&amp;col=8&amp;number=&amp;sourceID=26","")</f>
        <v/>
      </c>
      <c r="I276" s="4" t="str">
        <f>HYPERLINK("http://141.218.60.56/~jnz1568/getInfo.php?workbook=02_02.xlsx&amp;sheet=A0&amp;row=276&amp;col=9&amp;number=&amp;sourceID=15","")</f>
        <v/>
      </c>
      <c r="J276" s="4" t="str">
        <f>HYPERLINK("http://141.218.60.56/~jnz1568/getInfo.php?workbook=02_02.xlsx&amp;sheet=A0&amp;row=276&amp;col=10&amp;number=4.4978e-05&amp;sourceID=15","4.4978e-05")</f>
        <v>4.4978e-05</v>
      </c>
      <c r="K276" s="4" t="str">
        <f>HYPERLINK("http://141.218.60.56/~jnz1568/getInfo.php?workbook=02_02.xlsx&amp;sheet=A0&amp;row=276&amp;col=11&amp;number=&amp;sourceID=15","")</f>
        <v/>
      </c>
      <c r="L276" s="4" t="str">
        <f>HYPERLINK("http://141.218.60.56/~jnz1568/getInfo.php?workbook=02_02.xlsx&amp;sheet=A0&amp;row=276&amp;col=12&amp;number=&amp;sourceID=15","")</f>
        <v/>
      </c>
      <c r="M276" s="4" t="str">
        <f>HYPERLINK("http://141.218.60.56/~jnz1568/getInfo.php?workbook=02_02.xlsx&amp;sheet=A0&amp;row=276&amp;col=13&amp;number=&amp;sourceID=23","")</f>
        <v/>
      </c>
    </row>
    <row r="277" spans="1:13">
      <c r="A277" s="3">
        <v>2</v>
      </c>
      <c r="B277" s="3">
        <v>2</v>
      </c>
      <c r="C277" s="3">
        <v>40</v>
      </c>
      <c r="D277" s="3">
        <v>34</v>
      </c>
      <c r="E277" s="3">
        <f>((1/(INDEX(E0!J$4:J$52,C277,1)-INDEX(E0!J$4:J$52,D277,1))))*100000000</f>
        <v>0</v>
      </c>
      <c r="F277" s="4" t="str">
        <f>HYPERLINK("http://141.218.60.56/~jnz1568/getInfo.php?workbook=02_02.xlsx&amp;sheet=A0&amp;row=277&amp;col=6&amp;number=&amp;sourceID=27","")</f>
        <v/>
      </c>
      <c r="G277" s="4" t="str">
        <f>HYPERLINK("http://141.218.60.56/~jnz1568/getInfo.php?workbook=02_02.xlsx&amp;sheet=A0&amp;row=277&amp;col=7&amp;number=&amp;sourceID=26","")</f>
        <v/>
      </c>
      <c r="H277" s="4" t="str">
        <f>HYPERLINK("http://141.218.60.56/~jnz1568/getInfo.php?workbook=02_02.xlsx&amp;sheet=A0&amp;row=277&amp;col=8&amp;number=&amp;sourceID=26","")</f>
        <v/>
      </c>
      <c r="I277" s="4" t="str">
        <f>HYPERLINK("http://141.218.60.56/~jnz1568/getInfo.php?workbook=02_02.xlsx&amp;sheet=A0&amp;row=277&amp;col=9&amp;number=&amp;sourceID=15","")</f>
        <v/>
      </c>
      <c r="J277" s="4" t="str">
        <f>HYPERLINK("http://141.218.60.56/~jnz1568/getInfo.php?workbook=02_02.xlsx&amp;sheet=A0&amp;row=277&amp;col=10&amp;number=&amp;sourceID=15","")</f>
        <v/>
      </c>
      <c r="K277" s="4" t="str">
        <f>HYPERLINK("http://141.218.60.56/~jnz1568/getInfo.php?workbook=02_02.xlsx&amp;sheet=A0&amp;row=277&amp;col=11&amp;number=&amp;sourceID=15","")</f>
        <v/>
      </c>
      <c r="L277" s="4" t="str">
        <f>HYPERLINK("http://141.218.60.56/~jnz1568/getInfo.php?workbook=02_02.xlsx&amp;sheet=A0&amp;row=277&amp;col=12&amp;number=&amp;sourceID=15","")</f>
        <v/>
      </c>
      <c r="M277" s="4" t="str">
        <f>HYPERLINK("http://141.218.60.56/~jnz1568/getInfo.php?workbook=02_02.xlsx&amp;sheet=A0&amp;row=277&amp;col=13&amp;number=0.04155&amp;sourceID=23","0.04155")</f>
        <v>0.04155</v>
      </c>
    </row>
    <row r="278" spans="1:13">
      <c r="A278" s="3">
        <v>2</v>
      </c>
      <c r="B278" s="3">
        <v>2</v>
      </c>
      <c r="C278" s="3">
        <v>40</v>
      </c>
      <c r="D278" s="3">
        <v>35</v>
      </c>
      <c r="E278" s="3">
        <f>((1/(INDEX(E0!J$4:J$52,C278,1)-INDEX(E0!J$4:J$52,D278,1))))*100000000</f>
        <v>0</v>
      </c>
      <c r="F278" s="4" t="str">
        <f>HYPERLINK("http://141.218.60.56/~jnz1568/getInfo.php?workbook=02_02.xlsx&amp;sheet=A0&amp;row=278&amp;col=6&amp;number=&amp;sourceID=27","")</f>
        <v/>
      </c>
      <c r="G278" s="4" t="str">
        <f>HYPERLINK("http://141.218.60.56/~jnz1568/getInfo.php?workbook=02_02.xlsx&amp;sheet=A0&amp;row=278&amp;col=7&amp;number=&amp;sourceID=26","")</f>
        <v/>
      </c>
      <c r="H278" s="4" t="str">
        <f>HYPERLINK("http://141.218.60.56/~jnz1568/getInfo.php?workbook=02_02.xlsx&amp;sheet=A0&amp;row=278&amp;col=8&amp;number=&amp;sourceID=26","")</f>
        <v/>
      </c>
      <c r="I278" s="4" t="str">
        <f>HYPERLINK("http://141.218.60.56/~jnz1568/getInfo.php?workbook=02_02.xlsx&amp;sheet=A0&amp;row=278&amp;col=9&amp;number=&amp;sourceID=15","")</f>
        <v/>
      </c>
      <c r="J278" s="4" t="str">
        <f>HYPERLINK("http://141.218.60.56/~jnz1568/getInfo.php?workbook=02_02.xlsx&amp;sheet=A0&amp;row=278&amp;col=10&amp;number=&amp;sourceID=15","")</f>
        <v/>
      </c>
      <c r="K278" s="4" t="str">
        <f>HYPERLINK("http://141.218.60.56/~jnz1568/getInfo.php?workbook=02_02.xlsx&amp;sheet=A0&amp;row=278&amp;col=11&amp;number=&amp;sourceID=15","")</f>
        <v/>
      </c>
      <c r="L278" s="4" t="str">
        <f>HYPERLINK("http://141.218.60.56/~jnz1568/getInfo.php?workbook=02_02.xlsx&amp;sheet=A0&amp;row=278&amp;col=12&amp;number=&amp;sourceID=15","")</f>
        <v/>
      </c>
      <c r="M278" s="4" t="str">
        <f>HYPERLINK("http://141.218.60.56/~jnz1568/getInfo.php?workbook=02_02.xlsx&amp;sheet=A0&amp;row=278&amp;col=13&amp;number=0.11768&amp;sourceID=23","0.11768")</f>
        <v>0.11768</v>
      </c>
    </row>
    <row r="279" spans="1:13">
      <c r="A279" s="3">
        <v>2</v>
      </c>
      <c r="B279" s="3">
        <v>2</v>
      </c>
      <c r="C279" s="3">
        <v>41</v>
      </c>
      <c r="D279" s="3">
        <v>13</v>
      </c>
      <c r="E279" s="3">
        <f>((1/(INDEX(E0!J$4:J$52,C279,1)-INDEX(E0!J$4:J$52,D279,1))))*100000000</f>
        <v>0</v>
      </c>
      <c r="F279" s="4" t="str">
        <f>HYPERLINK("http://141.218.60.56/~jnz1568/getInfo.php?workbook=02_02.xlsx&amp;sheet=A0&amp;row=279&amp;col=6&amp;number=&amp;sourceID=27","")</f>
        <v/>
      </c>
      <c r="G279" s="4" t="str">
        <f>HYPERLINK("http://141.218.60.56/~jnz1568/getInfo.php?workbook=02_02.xlsx&amp;sheet=A0&amp;row=279&amp;col=7&amp;number=&amp;sourceID=26","")</f>
        <v/>
      </c>
      <c r="H279" s="4" t="str">
        <f>HYPERLINK("http://141.218.60.56/~jnz1568/getInfo.php?workbook=02_02.xlsx&amp;sheet=A0&amp;row=279&amp;col=8&amp;number=&amp;sourceID=26","")</f>
        <v/>
      </c>
      <c r="I279" s="4" t="str">
        <f>HYPERLINK("http://141.218.60.56/~jnz1568/getInfo.php?workbook=02_02.xlsx&amp;sheet=A0&amp;row=279&amp;col=9&amp;number=354570&amp;sourceID=15","354570")</f>
        <v>354570</v>
      </c>
      <c r="J279" s="4" t="str">
        <f>HYPERLINK("http://141.218.60.56/~jnz1568/getInfo.php?workbook=02_02.xlsx&amp;sheet=A0&amp;row=279&amp;col=10&amp;number=&amp;sourceID=15","")</f>
        <v/>
      </c>
      <c r="K279" s="4" t="str">
        <f>HYPERLINK("http://141.218.60.56/~jnz1568/getInfo.php?workbook=02_02.xlsx&amp;sheet=A0&amp;row=279&amp;col=11&amp;number=&amp;sourceID=15","")</f>
        <v/>
      </c>
      <c r="L279" s="4" t="str">
        <f>HYPERLINK("http://141.218.60.56/~jnz1568/getInfo.php?workbook=02_02.xlsx&amp;sheet=A0&amp;row=279&amp;col=12&amp;number=&amp;sourceID=15","")</f>
        <v/>
      </c>
      <c r="M279" s="4" t="str">
        <f>HYPERLINK("http://141.218.60.56/~jnz1568/getInfo.php?workbook=02_02.xlsx&amp;sheet=A0&amp;row=279&amp;col=13&amp;number=&amp;sourceID=23","")</f>
        <v/>
      </c>
    </row>
    <row r="280" spans="1:13">
      <c r="A280" s="3">
        <v>2</v>
      </c>
      <c r="B280" s="3">
        <v>2</v>
      </c>
      <c r="C280" s="3">
        <v>41</v>
      </c>
      <c r="D280" s="3">
        <v>14</v>
      </c>
      <c r="E280" s="3">
        <f>((1/(INDEX(E0!J$4:J$52,C280,1)-INDEX(E0!J$4:J$52,D280,1))))*100000000</f>
        <v>0</v>
      </c>
      <c r="F280" s="4" t="str">
        <f>HYPERLINK("http://141.218.60.56/~jnz1568/getInfo.php?workbook=02_02.xlsx&amp;sheet=A0&amp;row=280&amp;col=6&amp;number=&amp;sourceID=27","")</f>
        <v/>
      </c>
      <c r="G280" s="4" t="str">
        <f>HYPERLINK("http://141.218.60.56/~jnz1568/getInfo.php?workbook=02_02.xlsx&amp;sheet=A0&amp;row=280&amp;col=7&amp;number=&amp;sourceID=26","")</f>
        <v/>
      </c>
      <c r="H280" s="4" t="str">
        <f>HYPERLINK("http://141.218.60.56/~jnz1568/getInfo.php?workbook=02_02.xlsx&amp;sheet=A0&amp;row=280&amp;col=8&amp;number=&amp;sourceID=26","")</f>
        <v/>
      </c>
      <c r="I280" s="4" t="str">
        <f>HYPERLINK("http://141.218.60.56/~jnz1568/getInfo.php?workbook=02_02.xlsx&amp;sheet=A0&amp;row=280&amp;col=9&amp;number=2898000&amp;sourceID=15","2898000")</f>
        <v>2898000</v>
      </c>
      <c r="J280" s="4" t="str">
        <f>HYPERLINK("http://141.218.60.56/~jnz1568/getInfo.php?workbook=02_02.xlsx&amp;sheet=A0&amp;row=280&amp;col=10&amp;number=&amp;sourceID=15","")</f>
        <v/>
      </c>
      <c r="K280" s="4" t="str">
        <f>HYPERLINK("http://141.218.60.56/~jnz1568/getInfo.php?workbook=02_02.xlsx&amp;sheet=A0&amp;row=280&amp;col=11&amp;number=&amp;sourceID=15","")</f>
        <v/>
      </c>
      <c r="L280" s="4" t="str">
        <f>HYPERLINK("http://141.218.60.56/~jnz1568/getInfo.php?workbook=02_02.xlsx&amp;sheet=A0&amp;row=280&amp;col=12&amp;number=&amp;sourceID=15","")</f>
        <v/>
      </c>
      <c r="M280" s="4" t="str">
        <f>HYPERLINK("http://141.218.60.56/~jnz1568/getInfo.php?workbook=02_02.xlsx&amp;sheet=A0&amp;row=280&amp;col=13&amp;number=&amp;sourceID=23","")</f>
        <v/>
      </c>
    </row>
    <row r="281" spans="1:13">
      <c r="A281" s="3">
        <v>2</v>
      </c>
      <c r="B281" s="3">
        <v>2</v>
      </c>
      <c r="C281" s="3">
        <v>41</v>
      </c>
      <c r="D281" s="3">
        <v>16</v>
      </c>
      <c r="E281" s="3">
        <f>((1/(INDEX(E0!J$4:J$52,C281,1)-INDEX(E0!J$4:J$52,D281,1))))*100000000</f>
        <v>0</v>
      </c>
      <c r="F281" s="4" t="str">
        <f>HYPERLINK("http://141.218.60.56/~jnz1568/getInfo.php?workbook=02_02.xlsx&amp;sheet=A0&amp;row=281&amp;col=6&amp;number=&amp;sourceID=27","")</f>
        <v/>
      </c>
      <c r="G281" s="4" t="str">
        <f>HYPERLINK("http://141.218.60.56/~jnz1568/getInfo.php?workbook=02_02.xlsx&amp;sheet=A0&amp;row=281&amp;col=7&amp;number=&amp;sourceID=26","")</f>
        <v/>
      </c>
      <c r="H281" s="4" t="str">
        <f>HYPERLINK("http://141.218.60.56/~jnz1568/getInfo.php?workbook=02_02.xlsx&amp;sheet=A0&amp;row=281&amp;col=8&amp;number=&amp;sourceID=26","")</f>
        <v/>
      </c>
      <c r="I281" s="4" t="str">
        <f>HYPERLINK("http://141.218.60.56/~jnz1568/getInfo.php?workbook=02_02.xlsx&amp;sheet=A0&amp;row=281&amp;col=9&amp;number=1320000&amp;sourceID=15","1320000")</f>
        <v>1320000</v>
      </c>
      <c r="J281" s="4" t="str">
        <f>HYPERLINK("http://141.218.60.56/~jnz1568/getInfo.php?workbook=02_02.xlsx&amp;sheet=A0&amp;row=281&amp;col=10&amp;number=&amp;sourceID=15","")</f>
        <v/>
      </c>
      <c r="K281" s="4" t="str">
        <f>HYPERLINK("http://141.218.60.56/~jnz1568/getInfo.php?workbook=02_02.xlsx&amp;sheet=A0&amp;row=281&amp;col=11&amp;number=&amp;sourceID=15","")</f>
        <v/>
      </c>
      <c r="L281" s="4" t="str">
        <f>HYPERLINK("http://141.218.60.56/~jnz1568/getInfo.php?workbook=02_02.xlsx&amp;sheet=A0&amp;row=281&amp;col=12&amp;number=&amp;sourceID=15","")</f>
        <v/>
      </c>
      <c r="M281" s="4" t="str">
        <f>HYPERLINK("http://141.218.60.56/~jnz1568/getInfo.php?workbook=02_02.xlsx&amp;sheet=A0&amp;row=281&amp;col=13&amp;number=&amp;sourceID=23","")</f>
        <v/>
      </c>
    </row>
    <row r="282" spans="1:13">
      <c r="A282" s="3">
        <v>2</v>
      </c>
      <c r="B282" s="3">
        <v>2</v>
      </c>
      <c r="C282" s="3">
        <v>41</v>
      </c>
      <c r="D282" s="3">
        <v>23</v>
      </c>
      <c r="E282" s="3">
        <f>((1/(INDEX(E0!J$4:J$52,C282,1)-INDEX(E0!J$4:J$52,D282,1))))*100000000</f>
        <v>0</v>
      </c>
      <c r="F282" s="4" t="str">
        <f>HYPERLINK("http://141.218.60.56/~jnz1568/getInfo.php?workbook=02_02.xlsx&amp;sheet=A0&amp;row=282&amp;col=6&amp;number=&amp;sourceID=27","")</f>
        <v/>
      </c>
      <c r="G282" s="4" t="str">
        <f>HYPERLINK("http://141.218.60.56/~jnz1568/getInfo.php?workbook=02_02.xlsx&amp;sheet=A0&amp;row=282&amp;col=7&amp;number=&amp;sourceID=26","")</f>
        <v/>
      </c>
      <c r="H282" s="4" t="str">
        <f>HYPERLINK("http://141.218.60.56/~jnz1568/getInfo.php?workbook=02_02.xlsx&amp;sheet=A0&amp;row=282&amp;col=8&amp;number=&amp;sourceID=26","")</f>
        <v/>
      </c>
      <c r="I282" s="4" t="str">
        <f>HYPERLINK("http://141.218.60.56/~jnz1568/getInfo.php?workbook=02_02.xlsx&amp;sheet=A0&amp;row=282&amp;col=9&amp;number=200420&amp;sourceID=15","200420")</f>
        <v>200420</v>
      </c>
      <c r="J282" s="4" t="str">
        <f>HYPERLINK("http://141.218.60.56/~jnz1568/getInfo.php?workbook=02_02.xlsx&amp;sheet=A0&amp;row=282&amp;col=10&amp;number=&amp;sourceID=15","")</f>
        <v/>
      </c>
      <c r="K282" s="4" t="str">
        <f>HYPERLINK("http://141.218.60.56/~jnz1568/getInfo.php?workbook=02_02.xlsx&amp;sheet=A0&amp;row=282&amp;col=11&amp;number=&amp;sourceID=15","")</f>
        <v/>
      </c>
      <c r="L282" s="4" t="str">
        <f>HYPERLINK("http://141.218.60.56/~jnz1568/getInfo.php?workbook=02_02.xlsx&amp;sheet=A0&amp;row=282&amp;col=12&amp;number=&amp;sourceID=15","")</f>
        <v/>
      </c>
      <c r="M282" s="4" t="str">
        <f>HYPERLINK("http://141.218.60.56/~jnz1568/getInfo.php?workbook=02_02.xlsx&amp;sheet=A0&amp;row=282&amp;col=13&amp;number=&amp;sourceID=23","")</f>
        <v/>
      </c>
    </row>
    <row r="283" spans="1:13">
      <c r="A283" s="3">
        <v>2</v>
      </c>
      <c r="B283" s="3">
        <v>2</v>
      </c>
      <c r="C283" s="3">
        <v>41</v>
      </c>
      <c r="D283" s="3">
        <v>24</v>
      </c>
      <c r="E283" s="3">
        <f>((1/(INDEX(E0!J$4:J$52,C283,1)-INDEX(E0!J$4:J$52,D283,1))))*100000000</f>
        <v>0</v>
      </c>
      <c r="F283" s="4" t="str">
        <f>HYPERLINK("http://141.218.60.56/~jnz1568/getInfo.php?workbook=02_02.xlsx&amp;sheet=A0&amp;row=283&amp;col=6&amp;number=&amp;sourceID=27","")</f>
        <v/>
      </c>
      <c r="G283" s="4" t="str">
        <f>HYPERLINK("http://141.218.60.56/~jnz1568/getInfo.php?workbook=02_02.xlsx&amp;sheet=A0&amp;row=283&amp;col=7&amp;number=&amp;sourceID=26","")</f>
        <v/>
      </c>
      <c r="H283" s="4" t="str">
        <f>HYPERLINK("http://141.218.60.56/~jnz1568/getInfo.php?workbook=02_02.xlsx&amp;sheet=A0&amp;row=283&amp;col=8&amp;number=&amp;sourceID=26","")</f>
        <v/>
      </c>
      <c r="I283" s="4" t="str">
        <f>HYPERLINK("http://141.218.60.56/~jnz1568/getInfo.php?workbook=02_02.xlsx&amp;sheet=A0&amp;row=283&amp;col=9&amp;number=1628800&amp;sourceID=15","1628800")</f>
        <v>1628800</v>
      </c>
      <c r="J283" s="4" t="str">
        <f>HYPERLINK("http://141.218.60.56/~jnz1568/getInfo.php?workbook=02_02.xlsx&amp;sheet=A0&amp;row=283&amp;col=10&amp;number=&amp;sourceID=15","")</f>
        <v/>
      </c>
      <c r="K283" s="4" t="str">
        <f>HYPERLINK("http://141.218.60.56/~jnz1568/getInfo.php?workbook=02_02.xlsx&amp;sheet=A0&amp;row=283&amp;col=11&amp;number=&amp;sourceID=15","")</f>
        <v/>
      </c>
      <c r="L283" s="4" t="str">
        <f>HYPERLINK("http://141.218.60.56/~jnz1568/getInfo.php?workbook=02_02.xlsx&amp;sheet=A0&amp;row=283&amp;col=12&amp;number=&amp;sourceID=15","")</f>
        <v/>
      </c>
      <c r="M283" s="4" t="str">
        <f>HYPERLINK("http://141.218.60.56/~jnz1568/getInfo.php?workbook=02_02.xlsx&amp;sheet=A0&amp;row=283&amp;col=13&amp;number=&amp;sourceID=23","")</f>
        <v/>
      </c>
    </row>
    <row r="284" spans="1:13">
      <c r="A284" s="3">
        <v>2</v>
      </c>
      <c r="B284" s="3">
        <v>2</v>
      </c>
      <c r="C284" s="3">
        <v>41</v>
      </c>
      <c r="D284" s="3">
        <v>26</v>
      </c>
      <c r="E284" s="3">
        <f>((1/(INDEX(E0!J$4:J$52,C284,1)-INDEX(E0!J$4:J$52,D284,1))))*100000000</f>
        <v>0</v>
      </c>
      <c r="F284" s="4" t="str">
        <f>HYPERLINK("http://141.218.60.56/~jnz1568/getInfo.php?workbook=02_02.xlsx&amp;sheet=A0&amp;row=284&amp;col=6&amp;number=&amp;sourceID=27","")</f>
        <v/>
      </c>
      <c r="G284" s="4" t="str">
        <f>HYPERLINK("http://141.218.60.56/~jnz1568/getInfo.php?workbook=02_02.xlsx&amp;sheet=A0&amp;row=284&amp;col=7&amp;number=&amp;sourceID=26","")</f>
        <v/>
      </c>
      <c r="H284" s="4" t="str">
        <f>HYPERLINK("http://141.218.60.56/~jnz1568/getInfo.php?workbook=02_02.xlsx&amp;sheet=A0&amp;row=284&amp;col=8&amp;number=&amp;sourceID=26","")</f>
        <v/>
      </c>
      <c r="I284" s="4" t="str">
        <f>HYPERLINK("http://141.218.60.56/~jnz1568/getInfo.php?workbook=02_02.xlsx&amp;sheet=A0&amp;row=284&amp;col=9&amp;number=756700&amp;sourceID=15","756700")</f>
        <v>756700</v>
      </c>
      <c r="J284" s="4" t="str">
        <f>HYPERLINK("http://141.218.60.56/~jnz1568/getInfo.php?workbook=02_02.xlsx&amp;sheet=A0&amp;row=284&amp;col=10&amp;number=&amp;sourceID=15","")</f>
        <v/>
      </c>
      <c r="K284" s="4" t="str">
        <f>HYPERLINK("http://141.218.60.56/~jnz1568/getInfo.php?workbook=02_02.xlsx&amp;sheet=A0&amp;row=284&amp;col=11&amp;number=&amp;sourceID=15","")</f>
        <v/>
      </c>
      <c r="L284" s="4" t="str">
        <f>HYPERLINK("http://141.218.60.56/~jnz1568/getInfo.php?workbook=02_02.xlsx&amp;sheet=A0&amp;row=284&amp;col=12&amp;number=&amp;sourceID=15","")</f>
        <v/>
      </c>
      <c r="M284" s="4" t="str">
        <f>HYPERLINK("http://141.218.60.56/~jnz1568/getInfo.php?workbook=02_02.xlsx&amp;sheet=A0&amp;row=284&amp;col=13&amp;number=&amp;sourceID=23","")</f>
        <v/>
      </c>
    </row>
    <row r="285" spans="1:13">
      <c r="A285" s="3">
        <v>2</v>
      </c>
      <c r="B285" s="3">
        <v>2</v>
      </c>
      <c r="C285" s="3">
        <v>42</v>
      </c>
      <c r="D285" s="3">
        <v>13</v>
      </c>
      <c r="E285" s="3">
        <f>((1/(INDEX(E0!J$4:J$52,C285,1)-INDEX(E0!J$4:J$52,D285,1))))*100000000</f>
        <v>0</v>
      </c>
      <c r="F285" s="4" t="str">
        <f>HYPERLINK("http://141.218.60.56/~jnz1568/getInfo.php?workbook=02_02.xlsx&amp;sheet=A0&amp;row=285&amp;col=6&amp;number=&amp;sourceID=27","")</f>
        <v/>
      </c>
      <c r="G285" s="4" t="str">
        <f>HYPERLINK("http://141.218.60.56/~jnz1568/getInfo.php?workbook=02_02.xlsx&amp;sheet=A0&amp;row=285&amp;col=7&amp;number=&amp;sourceID=26","")</f>
        <v/>
      </c>
      <c r="H285" s="4" t="str">
        <f>HYPERLINK("http://141.218.60.56/~jnz1568/getInfo.php?workbook=02_02.xlsx&amp;sheet=A0&amp;row=285&amp;col=8&amp;number=&amp;sourceID=26","")</f>
        <v/>
      </c>
      <c r="I285" s="4" t="str">
        <f>HYPERLINK("http://141.218.60.56/~jnz1568/getInfo.php?workbook=02_02.xlsx&amp;sheet=A0&amp;row=285&amp;col=9&amp;number=4574600&amp;sourceID=15","4574600")</f>
        <v>4574600</v>
      </c>
      <c r="J285" s="4" t="str">
        <f>HYPERLINK("http://141.218.60.56/~jnz1568/getInfo.php?workbook=02_02.xlsx&amp;sheet=A0&amp;row=285&amp;col=10&amp;number=&amp;sourceID=15","")</f>
        <v/>
      </c>
      <c r="K285" s="4" t="str">
        <f>HYPERLINK("http://141.218.60.56/~jnz1568/getInfo.php?workbook=02_02.xlsx&amp;sheet=A0&amp;row=285&amp;col=11&amp;number=&amp;sourceID=15","")</f>
        <v/>
      </c>
      <c r="L285" s="4" t="str">
        <f>HYPERLINK("http://141.218.60.56/~jnz1568/getInfo.php?workbook=02_02.xlsx&amp;sheet=A0&amp;row=285&amp;col=12&amp;number=&amp;sourceID=15","")</f>
        <v/>
      </c>
      <c r="M285" s="4" t="str">
        <f>HYPERLINK("http://141.218.60.56/~jnz1568/getInfo.php?workbook=02_02.xlsx&amp;sheet=A0&amp;row=285&amp;col=13&amp;number=&amp;sourceID=23","")</f>
        <v/>
      </c>
    </row>
    <row r="286" spans="1:13">
      <c r="A286" s="3">
        <v>2</v>
      </c>
      <c r="B286" s="3">
        <v>2</v>
      </c>
      <c r="C286" s="3">
        <v>42</v>
      </c>
      <c r="D286" s="3">
        <v>23</v>
      </c>
      <c r="E286" s="3">
        <f>((1/(INDEX(E0!J$4:J$52,C286,1)-INDEX(E0!J$4:J$52,D286,1))))*100000000</f>
        <v>0</v>
      </c>
      <c r="F286" s="4" t="str">
        <f>HYPERLINK("http://141.218.60.56/~jnz1568/getInfo.php?workbook=02_02.xlsx&amp;sheet=A0&amp;row=286&amp;col=6&amp;number=&amp;sourceID=27","")</f>
        <v/>
      </c>
      <c r="G286" s="4" t="str">
        <f>HYPERLINK("http://141.218.60.56/~jnz1568/getInfo.php?workbook=02_02.xlsx&amp;sheet=A0&amp;row=286&amp;col=7&amp;number=&amp;sourceID=26","")</f>
        <v/>
      </c>
      <c r="H286" s="4" t="str">
        <f>HYPERLINK("http://141.218.60.56/~jnz1568/getInfo.php?workbook=02_02.xlsx&amp;sheet=A0&amp;row=286&amp;col=8&amp;number=&amp;sourceID=26","")</f>
        <v/>
      </c>
      <c r="I286" s="4" t="str">
        <f>HYPERLINK("http://141.218.60.56/~jnz1568/getInfo.php?workbook=02_02.xlsx&amp;sheet=A0&amp;row=286&amp;col=9&amp;number=2585800&amp;sourceID=15","2585800")</f>
        <v>2585800</v>
      </c>
      <c r="J286" s="4" t="str">
        <f>HYPERLINK("http://141.218.60.56/~jnz1568/getInfo.php?workbook=02_02.xlsx&amp;sheet=A0&amp;row=286&amp;col=10&amp;number=&amp;sourceID=15","")</f>
        <v/>
      </c>
      <c r="K286" s="4" t="str">
        <f>HYPERLINK("http://141.218.60.56/~jnz1568/getInfo.php?workbook=02_02.xlsx&amp;sheet=A0&amp;row=286&amp;col=11&amp;number=&amp;sourceID=15","")</f>
        <v/>
      </c>
      <c r="L286" s="4" t="str">
        <f>HYPERLINK("http://141.218.60.56/~jnz1568/getInfo.php?workbook=02_02.xlsx&amp;sheet=A0&amp;row=286&amp;col=12&amp;number=&amp;sourceID=15","")</f>
        <v/>
      </c>
      <c r="M286" s="4" t="str">
        <f>HYPERLINK("http://141.218.60.56/~jnz1568/getInfo.php?workbook=02_02.xlsx&amp;sheet=A0&amp;row=286&amp;col=13&amp;number=&amp;sourceID=23","")</f>
        <v/>
      </c>
    </row>
    <row r="287" spans="1:13">
      <c r="A287" s="3">
        <v>2</v>
      </c>
      <c r="B287" s="3">
        <v>2</v>
      </c>
      <c r="C287" s="3">
        <v>43</v>
      </c>
      <c r="D287" s="3">
        <v>2</v>
      </c>
      <c r="E287" s="3">
        <f>((1/(INDEX(E0!J$4:J$52,C287,1)-INDEX(E0!J$4:J$52,D287,1))))*100000000</f>
        <v>0</v>
      </c>
      <c r="F287" s="4" t="str">
        <f>HYPERLINK("http://141.218.60.56/~jnz1568/getInfo.php?workbook=02_02.xlsx&amp;sheet=A0&amp;row=287&amp;col=6&amp;number=&amp;sourceID=27","")</f>
        <v/>
      </c>
      <c r="G287" s="4" t="str">
        <f>HYPERLINK("http://141.218.60.56/~jnz1568/getInfo.php?workbook=02_02.xlsx&amp;sheet=A0&amp;row=287&amp;col=7&amp;number=&amp;sourceID=26","")</f>
        <v/>
      </c>
      <c r="H287" s="4" t="str">
        <f>HYPERLINK("http://141.218.60.56/~jnz1568/getInfo.php?workbook=02_02.xlsx&amp;sheet=A0&amp;row=287&amp;col=8&amp;number=&amp;sourceID=26","")</f>
        <v/>
      </c>
      <c r="I287" s="4" t="str">
        <f>HYPERLINK("http://141.218.60.56/~jnz1568/getInfo.php?workbook=02_02.xlsx&amp;sheet=A0&amp;row=287&amp;col=9&amp;number=&amp;sourceID=15","")</f>
        <v/>
      </c>
      <c r="J287" s="4" t="str">
        <f>HYPERLINK("http://141.218.60.56/~jnz1568/getInfo.php?workbook=02_02.xlsx&amp;sheet=A0&amp;row=287&amp;col=10&amp;number=&amp;sourceID=15","")</f>
        <v/>
      </c>
      <c r="K287" s="4" t="str">
        <f>HYPERLINK("http://141.218.60.56/~jnz1568/getInfo.php?workbook=02_02.xlsx&amp;sheet=A0&amp;row=287&amp;col=11&amp;number=&amp;sourceID=15","")</f>
        <v/>
      </c>
      <c r="L287" s="4" t="str">
        <f>HYPERLINK("http://141.218.60.56/~jnz1568/getInfo.php?workbook=02_02.xlsx&amp;sheet=A0&amp;row=287&amp;col=12&amp;number=&amp;sourceID=15","")</f>
        <v/>
      </c>
      <c r="M287" s="4" t="str">
        <f>HYPERLINK("http://141.218.60.56/~jnz1568/getInfo.php?workbook=02_02.xlsx&amp;sheet=A0&amp;row=287&amp;col=13&amp;number=5.0242e-08&amp;sourceID=23","5.0242e-08")</f>
        <v>5.0242e-08</v>
      </c>
    </row>
    <row r="288" spans="1:13">
      <c r="A288" s="3">
        <v>2</v>
      </c>
      <c r="B288" s="3">
        <v>2</v>
      </c>
      <c r="C288" s="3">
        <v>43</v>
      </c>
      <c r="D288" s="3">
        <v>8</v>
      </c>
      <c r="E288" s="3">
        <f>((1/(INDEX(E0!J$4:J$52,C288,1)-INDEX(E0!J$4:J$52,D288,1))))*100000000</f>
        <v>0</v>
      </c>
      <c r="F288" s="4" t="str">
        <f>HYPERLINK("http://141.218.60.56/~jnz1568/getInfo.php?workbook=02_02.xlsx&amp;sheet=A0&amp;row=288&amp;col=6&amp;number=&amp;sourceID=27","")</f>
        <v/>
      </c>
      <c r="G288" s="4" t="str">
        <f>HYPERLINK("http://141.218.60.56/~jnz1568/getInfo.php?workbook=02_02.xlsx&amp;sheet=A0&amp;row=288&amp;col=7&amp;number=&amp;sourceID=26","")</f>
        <v/>
      </c>
      <c r="H288" s="4" t="str">
        <f>HYPERLINK("http://141.218.60.56/~jnz1568/getInfo.php?workbook=02_02.xlsx&amp;sheet=A0&amp;row=288&amp;col=8&amp;number=&amp;sourceID=26","")</f>
        <v/>
      </c>
      <c r="I288" s="4" t="str">
        <f>HYPERLINK("http://141.218.60.56/~jnz1568/getInfo.php?workbook=02_02.xlsx&amp;sheet=A0&amp;row=288&amp;col=9&amp;number=&amp;sourceID=15","")</f>
        <v/>
      </c>
      <c r="J288" s="4" t="str">
        <f>HYPERLINK("http://141.218.60.56/~jnz1568/getInfo.php?workbook=02_02.xlsx&amp;sheet=A0&amp;row=288&amp;col=10&amp;number=&amp;sourceID=15","")</f>
        <v/>
      </c>
      <c r="K288" s="4" t="str">
        <f>HYPERLINK("http://141.218.60.56/~jnz1568/getInfo.php?workbook=02_02.xlsx&amp;sheet=A0&amp;row=288&amp;col=11&amp;number=&amp;sourceID=15","")</f>
        <v/>
      </c>
      <c r="L288" s="4" t="str">
        <f>HYPERLINK("http://141.218.60.56/~jnz1568/getInfo.php?workbook=02_02.xlsx&amp;sheet=A0&amp;row=288&amp;col=12&amp;number=&amp;sourceID=15","")</f>
        <v/>
      </c>
      <c r="M288" s="4" t="str">
        <f>HYPERLINK("http://141.218.60.56/~jnz1568/getInfo.php?workbook=02_02.xlsx&amp;sheet=A0&amp;row=288&amp;col=13&amp;number=1.1562e-07&amp;sourceID=23","1.1562e-07")</f>
        <v>1.1562e-07</v>
      </c>
    </row>
    <row r="289" spans="1:13">
      <c r="A289" s="3">
        <v>2</v>
      </c>
      <c r="B289" s="3">
        <v>2</v>
      </c>
      <c r="C289" s="3">
        <v>43</v>
      </c>
      <c r="D289" s="3">
        <v>13</v>
      </c>
      <c r="E289" s="3">
        <f>((1/(INDEX(E0!J$4:J$52,C289,1)-INDEX(E0!J$4:J$52,D289,1))))*100000000</f>
        <v>0</v>
      </c>
      <c r="F289" s="4" t="str">
        <f>HYPERLINK("http://141.218.60.56/~jnz1568/getInfo.php?workbook=02_02.xlsx&amp;sheet=A0&amp;row=289&amp;col=6&amp;number=&amp;sourceID=27","")</f>
        <v/>
      </c>
      <c r="G289" s="4" t="str">
        <f>HYPERLINK("http://141.218.60.56/~jnz1568/getInfo.php?workbook=02_02.xlsx&amp;sheet=A0&amp;row=289&amp;col=7&amp;number=&amp;sourceID=26","")</f>
        <v/>
      </c>
      <c r="H289" s="4" t="str">
        <f>HYPERLINK("http://141.218.60.56/~jnz1568/getInfo.php?workbook=02_02.xlsx&amp;sheet=A0&amp;row=289&amp;col=8&amp;number=&amp;sourceID=26","")</f>
        <v/>
      </c>
      <c r="I289" s="4" t="str">
        <f>HYPERLINK("http://141.218.60.56/~jnz1568/getInfo.php?workbook=02_02.xlsx&amp;sheet=A0&amp;row=289&amp;col=9&amp;number=20331&amp;sourceID=15","20331")</f>
        <v>20331</v>
      </c>
      <c r="J289" s="4" t="str">
        <f>HYPERLINK("http://141.218.60.56/~jnz1568/getInfo.php?workbook=02_02.xlsx&amp;sheet=A0&amp;row=289&amp;col=10&amp;number=&amp;sourceID=15","")</f>
        <v/>
      </c>
      <c r="K289" s="4" t="str">
        <f>HYPERLINK("http://141.218.60.56/~jnz1568/getInfo.php?workbook=02_02.xlsx&amp;sheet=A0&amp;row=289&amp;col=11&amp;number=&amp;sourceID=15","")</f>
        <v/>
      </c>
      <c r="L289" s="4" t="str">
        <f>HYPERLINK("http://141.218.60.56/~jnz1568/getInfo.php?workbook=02_02.xlsx&amp;sheet=A0&amp;row=289&amp;col=12&amp;number=&amp;sourceID=15","")</f>
        <v/>
      </c>
      <c r="M289" s="4" t="str">
        <f>HYPERLINK("http://141.218.60.56/~jnz1568/getInfo.php?workbook=02_02.xlsx&amp;sheet=A0&amp;row=289&amp;col=13&amp;number=20333&amp;sourceID=23","20333")</f>
        <v>20333</v>
      </c>
    </row>
    <row r="290" spans="1:13">
      <c r="A290" s="3">
        <v>2</v>
      </c>
      <c r="B290" s="3">
        <v>2</v>
      </c>
      <c r="C290" s="3">
        <v>43</v>
      </c>
      <c r="D290" s="3">
        <v>14</v>
      </c>
      <c r="E290" s="3">
        <f>((1/(INDEX(E0!J$4:J$52,C290,1)-INDEX(E0!J$4:J$52,D290,1))))*100000000</f>
        <v>0</v>
      </c>
      <c r="F290" s="4" t="str">
        <f>HYPERLINK("http://141.218.60.56/~jnz1568/getInfo.php?workbook=02_02.xlsx&amp;sheet=A0&amp;row=290&amp;col=6&amp;number=&amp;sourceID=27","")</f>
        <v/>
      </c>
      <c r="G290" s="4" t="str">
        <f>HYPERLINK("http://141.218.60.56/~jnz1568/getInfo.php?workbook=02_02.xlsx&amp;sheet=A0&amp;row=290&amp;col=7&amp;number=&amp;sourceID=26","")</f>
        <v/>
      </c>
      <c r="H290" s="4" t="str">
        <f>HYPERLINK("http://141.218.60.56/~jnz1568/getInfo.php?workbook=02_02.xlsx&amp;sheet=A0&amp;row=290&amp;col=8&amp;number=&amp;sourceID=26","")</f>
        <v/>
      </c>
      <c r="I290" s="4" t="str">
        <f>HYPERLINK("http://141.218.60.56/~jnz1568/getInfo.php?workbook=02_02.xlsx&amp;sheet=A0&amp;row=290&amp;col=9&amp;number=711420&amp;sourceID=15","711420")</f>
        <v>711420</v>
      </c>
      <c r="J290" s="4" t="str">
        <f>HYPERLINK("http://141.218.60.56/~jnz1568/getInfo.php?workbook=02_02.xlsx&amp;sheet=A0&amp;row=290&amp;col=10&amp;number=&amp;sourceID=15","")</f>
        <v/>
      </c>
      <c r="K290" s="4" t="str">
        <f>HYPERLINK("http://141.218.60.56/~jnz1568/getInfo.php?workbook=02_02.xlsx&amp;sheet=A0&amp;row=290&amp;col=11&amp;number=&amp;sourceID=15","")</f>
        <v/>
      </c>
      <c r="L290" s="4" t="str">
        <f>HYPERLINK("http://141.218.60.56/~jnz1568/getInfo.php?workbook=02_02.xlsx&amp;sheet=A0&amp;row=290&amp;col=12&amp;number=&amp;sourceID=15","")</f>
        <v/>
      </c>
      <c r="M290" s="4" t="str">
        <f>HYPERLINK("http://141.218.60.56/~jnz1568/getInfo.php?workbook=02_02.xlsx&amp;sheet=A0&amp;row=290&amp;col=13&amp;number=711490&amp;sourceID=23","711490")</f>
        <v>711490</v>
      </c>
    </row>
    <row r="291" spans="1:13">
      <c r="A291" s="3">
        <v>2</v>
      </c>
      <c r="B291" s="3">
        <v>2</v>
      </c>
      <c r="C291" s="3">
        <v>43</v>
      </c>
      <c r="D291" s="3">
        <v>15</v>
      </c>
      <c r="E291" s="3">
        <f>((1/(INDEX(E0!J$4:J$52,C291,1)-INDEX(E0!J$4:J$52,D291,1))))*100000000</f>
        <v>0</v>
      </c>
      <c r="F291" s="4" t="str">
        <f>HYPERLINK("http://141.218.60.56/~jnz1568/getInfo.php?workbook=02_02.xlsx&amp;sheet=A0&amp;row=291&amp;col=6&amp;number=&amp;sourceID=27","")</f>
        <v/>
      </c>
      <c r="G291" s="4" t="str">
        <f>HYPERLINK("http://141.218.60.56/~jnz1568/getInfo.php?workbook=02_02.xlsx&amp;sheet=A0&amp;row=291&amp;col=7&amp;number=&amp;sourceID=26","")</f>
        <v/>
      </c>
      <c r="H291" s="4" t="str">
        <f>HYPERLINK("http://141.218.60.56/~jnz1568/getInfo.php?workbook=02_02.xlsx&amp;sheet=A0&amp;row=291&amp;col=8&amp;number=&amp;sourceID=26","")</f>
        <v/>
      </c>
      <c r="I291" s="4" t="str">
        <f>HYPERLINK("http://141.218.60.56/~jnz1568/getInfo.php?workbook=02_02.xlsx&amp;sheet=A0&amp;row=291&amp;col=9&amp;number=3842600&amp;sourceID=15","3842600")</f>
        <v>3842600</v>
      </c>
      <c r="J291" s="4" t="str">
        <f>HYPERLINK("http://141.218.60.56/~jnz1568/getInfo.php?workbook=02_02.xlsx&amp;sheet=A0&amp;row=291&amp;col=10&amp;number=&amp;sourceID=15","")</f>
        <v/>
      </c>
      <c r="K291" s="4" t="str">
        <f>HYPERLINK("http://141.218.60.56/~jnz1568/getInfo.php?workbook=02_02.xlsx&amp;sheet=A0&amp;row=291&amp;col=11&amp;number=&amp;sourceID=15","")</f>
        <v/>
      </c>
      <c r="L291" s="4" t="str">
        <f>HYPERLINK("http://141.218.60.56/~jnz1568/getInfo.php?workbook=02_02.xlsx&amp;sheet=A0&amp;row=291&amp;col=12&amp;number=&amp;sourceID=15","")</f>
        <v/>
      </c>
      <c r="M291" s="4" t="str">
        <f>HYPERLINK("http://141.218.60.56/~jnz1568/getInfo.php?workbook=02_02.xlsx&amp;sheet=A0&amp;row=291&amp;col=13&amp;number=3842900&amp;sourceID=23","3842900")</f>
        <v>3842900</v>
      </c>
    </row>
    <row r="292" spans="1:13">
      <c r="A292" s="3">
        <v>2</v>
      </c>
      <c r="B292" s="3">
        <v>2</v>
      </c>
      <c r="C292" s="3">
        <v>43</v>
      </c>
      <c r="D292" s="3">
        <v>16</v>
      </c>
      <c r="E292" s="3">
        <f>((1/(INDEX(E0!J$4:J$52,C292,1)-INDEX(E0!J$4:J$52,D292,1))))*100000000</f>
        <v>0</v>
      </c>
      <c r="F292" s="4" t="str">
        <f>HYPERLINK("http://141.218.60.56/~jnz1568/getInfo.php?workbook=02_02.xlsx&amp;sheet=A0&amp;row=292&amp;col=6&amp;number=&amp;sourceID=27","")</f>
        <v/>
      </c>
      <c r="G292" s="4" t="str">
        <f>HYPERLINK("http://141.218.60.56/~jnz1568/getInfo.php?workbook=02_02.xlsx&amp;sheet=A0&amp;row=292&amp;col=7&amp;number=&amp;sourceID=26","")</f>
        <v/>
      </c>
      <c r="H292" s="4" t="str">
        <f>HYPERLINK("http://141.218.60.56/~jnz1568/getInfo.php?workbook=02_02.xlsx&amp;sheet=A0&amp;row=292&amp;col=8&amp;number=&amp;sourceID=26","")</f>
        <v/>
      </c>
      <c r="I292" s="4" t="str">
        <f>HYPERLINK("http://141.218.60.56/~jnz1568/getInfo.php?workbook=02_02.xlsx&amp;sheet=A0&amp;row=292&amp;col=9&amp;number=173.2&amp;sourceID=15","173.2")</f>
        <v>173.2</v>
      </c>
      <c r="J292" s="4" t="str">
        <f>HYPERLINK("http://141.218.60.56/~jnz1568/getInfo.php?workbook=02_02.xlsx&amp;sheet=A0&amp;row=292&amp;col=10&amp;number=&amp;sourceID=15","")</f>
        <v/>
      </c>
      <c r="K292" s="4" t="str">
        <f>HYPERLINK("http://141.218.60.56/~jnz1568/getInfo.php?workbook=02_02.xlsx&amp;sheet=A0&amp;row=292&amp;col=11&amp;number=&amp;sourceID=15","")</f>
        <v/>
      </c>
      <c r="L292" s="4" t="str">
        <f>HYPERLINK("http://141.218.60.56/~jnz1568/getInfo.php?workbook=02_02.xlsx&amp;sheet=A0&amp;row=292&amp;col=12&amp;number=&amp;sourceID=15","")</f>
        <v/>
      </c>
      <c r="M292" s="4" t="str">
        <f>HYPERLINK("http://141.218.60.56/~jnz1568/getInfo.php?workbook=02_02.xlsx&amp;sheet=A0&amp;row=292&amp;col=13&amp;number=175.31&amp;sourceID=23","175.31")</f>
        <v>175.31</v>
      </c>
    </row>
    <row r="293" spans="1:13">
      <c r="A293" s="3">
        <v>2</v>
      </c>
      <c r="B293" s="3">
        <v>2</v>
      </c>
      <c r="C293" s="3">
        <v>43</v>
      </c>
      <c r="D293" s="3">
        <v>18</v>
      </c>
      <c r="E293" s="3">
        <f>((1/(INDEX(E0!J$4:J$52,C293,1)-INDEX(E0!J$4:J$52,D293,1))))*100000000</f>
        <v>0</v>
      </c>
      <c r="F293" s="4" t="str">
        <f>HYPERLINK("http://141.218.60.56/~jnz1568/getInfo.php?workbook=02_02.xlsx&amp;sheet=A0&amp;row=293&amp;col=6&amp;number=&amp;sourceID=27","")</f>
        <v/>
      </c>
      <c r="G293" s="4" t="str">
        <f>HYPERLINK("http://141.218.60.56/~jnz1568/getInfo.php?workbook=02_02.xlsx&amp;sheet=A0&amp;row=293&amp;col=7&amp;number=&amp;sourceID=26","")</f>
        <v/>
      </c>
      <c r="H293" s="4" t="str">
        <f>HYPERLINK("http://141.218.60.56/~jnz1568/getInfo.php?workbook=02_02.xlsx&amp;sheet=A0&amp;row=293&amp;col=8&amp;number=&amp;sourceID=26","")</f>
        <v/>
      </c>
      <c r="I293" s="4" t="str">
        <f>HYPERLINK("http://141.218.60.56/~jnz1568/getInfo.php?workbook=02_02.xlsx&amp;sheet=A0&amp;row=293&amp;col=9&amp;number=&amp;sourceID=15","")</f>
        <v/>
      </c>
      <c r="J293" s="4" t="str">
        <f>HYPERLINK("http://141.218.60.56/~jnz1568/getInfo.php?workbook=02_02.xlsx&amp;sheet=A0&amp;row=293&amp;col=10&amp;number=&amp;sourceID=15","")</f>
        <v/>
      </c>
      <c r="K293" s="4" t="str">
        <f>HYPERLINK("http://141.218.60.56/~jnz1568/getInfo.php?workbook=02_02.xlsx&amp;sheet=A0&amp;row=293&amp;col=11&amp;number=&amp;sourceID=15","")</f>
        <v/>
      </c>
      <c r="L293" s="4" t="str">
        <f>HYPERLINK("http://141.218.60.56/~jnz1568/getInfo.php?workbook=02_02.xlsx&amp;sheet=A0&amp;row=293&amp;col=12&amp;number=&amp;sourceID=15","")</f>
        <v/>
      </c>
      <c r="M293" s="4" t="str">
        <f>HYPERLINK("http://141.218.60.56/~jnz1568/getInfo.php?workbook=02_02.xlsx&amp;sheet=A0&amp;row=293&amp;col=13&amp;number=2.5005e-08&amp;sourceID=23","2.5005e-08")</f>
        <v>2.5005e-08</v>
      </c>
    </row>
    <row r="294" spans="1:13">
      <c r="A294" s="3">
        <v>2</v>
      </c>
      <c r="B294" s="3">
        <v>2</v>
      </c>
      <c r="C294" s="3">
        <v>43</v>
      </c>
      <c r="D294" s="3">
        <v>23</v>
      </c>
      <c r="E294" s="3">
        <f>((1/(INDEX(E0!J$4:J$52,C294,1)-INDEX(E0!J$4:J$52,D294,1))))*100000000</f>
        <v>0</v>
      </c>
      <c r="F294" s="4" t="str">
        <f>HYPERLINK("http://141.218.60.56/~jnz1568/getInfo.php?workbook=02_02.xlsx&amp;sheet=A0&amp;row=294&amp;col=6&amp;number=&amp;sourceID=27","")</f>
        <v/>
      </c>
      <c r="G294" s="4" t="str">
        <f>HYPERLINK("http://141.218.60.56/~jnz1568/getInfo.php?workbook=02_02.xlsx&amp;sheet=A0&amp;row=294&amp;col=7&amp;number=&amp;sourceID=26","")</f>
        <v/>
      </c>
      <c r="H294" s="4" t="str">
        <f>HYPERLINK("http://141.218.60.56/~jnz1568/getInfo.php?workbook=02_02.xlsx&amp;sheet=A0&amp;row=294&amp;col=8&amp;number=&amp;sourceID=26","")</f>
        <v/>
      </c>
      <c r="I294" s="4" t="str">
        <f>HYPERLINK("http://141.218.60.56/~jnz1568/getInfo.php?workbook=02_02.xlsx&amp;sheet=A0&amp;row=294&amp;col=9&amp;number=11492&amp;sourceID=15","11492")</f>
        <v>11492</v>
      </c>
      <c r="J294" s="4" t="str">
        <f>HYPERLINK("http://141.218.60.56/~jnz1568/getInfo.php?workbook=02_02.xlsx&amp;sheet=A0&amp;row=294&amp;col=10&amp;number=&amp;sourceID=15","")</f>
        <v/>
      </c>
      <c r="K294" s="4" t="str">
        <f>HYPERLINK("http://141.218.60.56/~jnz1568/getInfo.php?workbook=02_02.xlsx&amp;sheet=A0&amp;row=294&amp;col=11&amp;number=&amp;sourceID=15","")</f>
        <v/>
      </c>
      <c r="L294" s="4" t="str">
        <f>HYPERLINK("http://141.218.60.56/~jnz1568/getInfo.php?workbook=02_02.xlsx&amp;sheet=A0&amp;row=294&amp;col=12&amp;number=&amp;sourceID=15","")</f>
        <v/>
      </c>
      <c r="M294" s="4" t="str">
        <f>HYPERLINK("http://141.218.60.56/~jnz1568/getInfo.php?workbook=02_02.xlsx&amp;sheet=A0&amp;row=294&amp;col=13&amp;number=11492&amp;sourceID=23","11492")</f>
        <v>11492</v>
      </c>
    </row>
    <row r="295" spans="1:13">
      <c r="A295" s="3">
        <v>2</v>
      </c>
      <c r="B295" s="3">
        <v>2</v>
      </c>
      <c r="C295" s="3">
        <v>43</v>
      </c>
      <c r="D295" s="3">
        <v>24</v>
      </c>
      <c r="E295" s="3">
        <f>((1/(INDEX(E0!J$4:J$52,C295,1)-INDEX(E0!J$4:J$52,D295,1))))*100000000</f>
        <v>0</v>
      </c>
      <c r="F295" s="4" t="str">
        <f>HYPERLINK("http://141.218.60.56/~jnz1568/getInfo.php?workbook=02_02.xlsx&amp;sheet=A0&amp;row=295&amp;col=6&amp;number=&amp;sourceID=27","")</f>
        <v/>
      </c>
      <c r="G295" s="4" t="str">
        <f>HYPERLINK("http://141.218.60.56/~jnz1568/getInfo.php?workbook=02_02.xlsx&amp;sheet=A0&amp;row=295&amp;col=7&amp;number=&amp;sourceID=26","")</f>
        <v/>
      </c>
      <c r="H295" s="4" t="str">
        <f>HYPERLINK("http://141.218.60.56/~jnz1568/getInfo.php?workbook=02_02.xlsx&amp;sheet=A0&amp;row=295&amp;col=8&amp;number=&amp;sourceID=26","")</f>
        <v/>
      </c>
      <c r="I295" s="4" t="str">
        <f>HYPERLINK("http://141.218.60.56/~jnz1568/getInfo.php?workbook=02_02.xlsx&amp;sheet=A0&amp;row=295&amp;col=9&amp;number=402180&amp;sourceID=15","402180")</f>
        <v>402180</v>
      </c>
      <c r="J295" s="4" t="str">
        <f>HYPERLINK("http://141.218.60.56/~jnz1568/getInfo.php?workbook=02_02.xlsx&amp;sheet=A0&amp;row=295&amp;col=10&amp;number=&amp;sourceID=15","")</f>
        <v/>
      </c>
      <c r="K295" s="4" t="str">
        <f>HYPERLINK("http://141.218.60.56/~jnz1568/getInfo.php?workbook=02_02.xlsx&amp;sheet=A0&amp;row=295&amp;col=11&amp;number=&amp;sourceID=15","")</f>
        <v/>
      </c>
      <c r="L295" s="4" t="str">
        <f>HYPERLINK("http://141.218.60.56/~jnz1568/getInfo.php?workbook=02_02.xlsx&amp;sheet=A0&amp;row=295&amp;col=12&amp;number=&amp;sourceID=15","")</f>
        <v/>
      </c>
      <c r="M295" s="4" t="str">
        <f>HYPERLINK("http://141.218.60.56/~jnz1568/getInfo.php?workbook=02_02.xlsx&amp;sheet=A0&amp;row=295&amp;col=13&amp;number=402170&amp;sourceID=23","402170")</f>
        <v>402170</v>
      </c>
    </row>
    <row r="296" spans="1:13">
      <c r="A296" s="3">
        <v>2</v>
      </c>
      <c r="B296" s="3">
        <v>2</v>
      </c>
      <c r="C296" s="3">
        <v>43</v>
      </c>
      <c r="D296" s="3">
        <v>25</v>
      </c>
      <c r="E296" s="3">
        <f>((1/(INDEX(E0!J$4:J$52,C296,1)-INDEX(E0!J$4:J$52,D296,1))))*100000000</f>
        <v>0</v>
      </c>
      <c r="F296" s="4" t="str">
        <f>HYPERLINK("http://141.218.60.56/~jnz1568/getInfo.php?workbook=02_02.xlsx&amp;sheet=A0&amp;row=296&amp;col=6&amp;number=&amp;sourceID=27","")</f>
        <v/>
      </c>
      <c r="G296" s="4" t="str">
        <f>HYPERLINK("http://141.218.60.56/~jnz1568/getInfo.php?workbook=02_02.xlsx&amp;sheet=A0&amp;row=296&amp;col=7&amp;number=&amp;sourceID=26","")</f>
        <v/>
      </c>
      <c r="H296" s="4" t="str">
        <f>HYPERLINK("http://141.218.60.56/~jnz1568/getInfo.php?workbook=02_02.xlsx&amp;sheet=A0&amp;row=296&amp;col=8&amp;number=&amp;sourceID=26","")</f>
        <v/>
      </c>
      <c r="I296" s="4" t="str">
        <f>HYPERLINK("http://141.218.60.56/~jnz1568/getInfo.php?workbook=02_02.xlsx&amp;sheet=A0&amp;row=296&amp;col=9&amp;number=2172000&amp;sourceID=15","2172000")</f>
        <v>2172000</v>
      </c>
      <c r="J296" s="4" t="str">
        <f>HYPERLINK("http://141.218.60.56/~jnz1568/getInfo.php?workbook=02_02.xlsx&amp;sheet=A0&amp;row=296&amp;col=10&amp;number=&amp;sourceID=15","")</f>
        <v/>
      </c>
      <c r="K296" s="4" t="str">
        <f>HYPERLINK("http://141.218.60.56/~jnz1568/getInfo.php?workbook=02_02.xlsx&amp;sheet=A0&amp;row=296&amp;col=11&amp;number=&amp;sourceID=15","")</f>
        <v/>
      </c>
      <c r="L296" s="4" t="str">
        <f>HYPERLINK("http://141.218.60.56/~jnz1568/getInfo.php?workbook=02_02.xlsx&amp;sheet=A0&amp;row=296&amp;col=12&amp;number=&amp;sourceID=15","")</f>
        <v/>
      </c>
      <c r="M296" s="4" t="str">
        <f>HYPERLINK("http://141.218.60.56/~jnz1568/getInfo.php?workbook=02_02.xlsx&amp;sheet=A0&amp;row=296&amp;col=13&amp;number=2172000&amp;sourceID=23","2172000")</f>
        <v>2172000</v>
      </c>
    </row>
    <row r="297" spans="1:13">
      <c r="A297" s="3">
        <v>2</v>
      </c>
      <c r="B297" s="3">
        <v>2</v>
      </c>
      <c r="C297" s="3">
        <v>43</v>
      </c>
      <c r="D297" s="3">
        <v>26</v>
      </c>
      <c r="E297" s="3">
        <f>((1/(INDEX(E0!J$4:J$52,C297,1)-INDEX(E0!J$4:J$52,D297,1))))*100000000</f>
        <v>0</v>
      </c>
      <c r="F297" s="4" t="str">
        <f>HYPERLINK("http://141.218.60.56/~jnz1568/getInfo.php?workbook=02_02.xlsx&amp;sheet=A0&amp;row=297&amp;col=6&amp;number=&amp;sourceID=27","")</f>
        <v/>
      </c>
      <c r="G297" s="4" t="str">
        <f>HYPERLINK("http://141.218.60.56/~jnz1568/getInfo.php?workbook=02_02.xlsx&amp;sheet=A0&amp;row=297&amp;col=7&amp;number=&amp;sourceID=26","")</f>
        <v/>
      </c>
      <c r="H297" s="4" t="str">
        <f>HYPERLINK("http://141.218.60.56/~jnz1568/getInfo.php?workbook=02_02.xlsx&amp;sheet=A0&amp;row=297&amp;col=8&amp;number=&amp;sourceID=26","")</f>
        <v/>
      </c>
      <c r="I297" s="4" t="str">
        <f>HYPERLINK("http://141.218.60.56/~jnz1568/getInfo.php?workbook=02_02.xlsx&amp;sheet=A0&amp;row=297&amp;col=9&amp;number=52.11&amp;sourceID=15","52.11")</f>
        <v>52.11</v>
      </c>
      <c r="J297" s="4" t="str">
        <f>HYPERLINK("http://141.218.60.56/~jnz1568/getInfo.php?workbook=02_02.xlsx&amp;sheet=A0&amp;row=297&amp;col=10&amp;number=&amp;sourceID=15","")</f>
        <v/>
      </c>
      <c r="K297" s="4" t="str">
        <f>HYPERLINK("http://141.218.60.56/~jnz1568/getInfo.php?workbook=02_02.xlsx&amp;sheet=A0&amp;row=297&amp;col=11&amp;number=&amp;sourceID=15","")</f>
        <v/>
      </c>
      <c r="L297" s="4" t="str">
        <f>HYPERLINK("http://141.218.60.56/~jnz1568/getInfo.php?workbook=02_02.xlsx&amp;sheet=A0&amp;row=297&amp;col=12&amp;number=&amp;sourceID=15","")</f>
        <v/>
      </c>
      <c r="M297" s="4" t="str">
        <f>HYPERLINK("http://141.218.60.56/~jnz1568/getInfo.php?workbook=02_02.xlsx&amp;sheet=A0&amp;row=297&amp;col=13&amp;number=53.55&amp;sourceID=23","53.55")</f>
        <v>53.55</v>
      </c>
    </row>
    <row r="298" spans="1:13">
      <c r="A298" s="3">
        <v>2</v>
      </c>
      <c r="B298" s="3">
        <v>2</v>
      </c>
      <c r="C298" s="3">
        <v>43</v>
      </c>
      <c r="D298" s="3">
        <v>32</v>
      </c>
      <c r="E298" s="3">
        <f>((1/(INDEX(E0!J$4:J$52,C298,1)-INDEX(E0!J$4:J$52,D298,1))))*100000000</f>
        <v>0</v>
      </c>
      <c r="F298" s="4" t="str">
        <f>HYPERLINK("http://141.218.60.56/~jnz1568/getInfo.php?workbook=02_02.xlsx&amp;sheet=A0&amp;row=298&amp;col=6&amp;number=&amp;sourceID=27","")</f>
        <v/>
      </c>
      <c r="G298" s="4" t="str">
        <f>HYPERLINK("http://141.218.60.56/~jnz1568/getInfo.php?workbook=02_02.xlsx&amp;sheet=A0&amp;row=298&amp;col=7&amp;number=&amp;sourceID=26","")</f>
        <v/>
      </c>
      <c r="H298" s="4" t="str">
        <f>HYPERLINK("http://141.218.60.56/~jnz1568/getInfo.php?workbook=02_02.xlsx&amp;sheet=A0&amp;row=298&amp;col=8&amp;number=&amp;sourceID=26","")</f>
        <v/>
      </c>
      <c r="I298" s="4" t="str">
        <f>HYPERLINK("http://141.218.60.56/~jnz1568/getInfo.php?workbook=02_02.xlsx&amp;sheet=A0&amp;row=298&amp;col=9&amp;number=&amp;sourceID=15","")</f>
        <v/>
      </c>
      <c r="J298" s="4" t="str">
        <f>HYPERLINK("http://141.218.60.56/~jnz1568/getInfo.php?workbook=02_02.xlsx&amp;sheet=A0&amp;row=298&amp;col=10&amp;number=&amp;sourceID=15","")</f>
        <v/>
      </c>
      <c r="K298" s="4" t="str">
        <f>HYPERLINK("http://141.218.60.56/~jnz1568/getInfo.php?workbook=02_02.xlsx&amp;sheet=A0&amp;row=298&amp;col=11&amp;number=&amp;sourceID=15","")</f>
        <v/>
      </c>
      <c r="L298" s="4" t="str">
        <f>HYPERLINK("http://141.218.60.56/~jnz1568/getInfo.php?workbook=02_02.xlsx&amp;sheet=A0&amp;row=298&amp;col=12&amp;number=&amp;sourceID=15","")</f>
        <v/>
      </c>
      <c r="M298" s="4" t="str">
        <f>HYPERLINK("http://141.218.60.56/~jnz1568/getInfo.php?workbook=02_02.xlsx&amp;sheet=A0&amp;row=298&amp;col=13&amp;number=4.2875e-09&amp;sourceID=23","4.2875e-09")</f>
        <v>4.2875e-09</v>
      </c>
    </row>
    <row r="299" spans="1:13">
      <c r="A299" s="3">
        <v>2</v>
      </c>
      <c r="B299" s="3">
        <v>2</v>
      </c>
      <c r="C299" s="3">
        <v>43</v>
      </c>
      <c r="D299" s="3">
        <v>37</v>
      </c>
      <c r="E299" s="3">
        <f>((1/(INDEX(E0!J$4:J$52,C299,1)-INDEX(E0!J$4:J$52,D299,1))))*100000000</f>
        <v>0</v>
      </c>
      <c r="F299" s="4" t="str">
        <f>HYPERLINK("http://141.218.60.56/~jnz1568/getInfo.php?workbook=02_02.xlsx&amp;sheet=A0&amp;row=299&amp;col=6&amp;number=&amp;sourceID=27","")</f>
        <v/>
      </c>
      <c r="G299" s="4" t="str">
        <f>HYPERLINK("http://141.218.60.56/~jnz1568/getInfo.php?workbook=02_02.xlsx&amp;sheet=A0&amp;row=299&amp;col=7&amp;number=&amp;sourceID=26","")</f>
        <v/>
      </c>
      <c r="H299" s="4" t="str">
        <f>HYPERLINK("http://141.218.60.56/~jnz1568/getInfo.php?workbook=02_02.xlsx&amp;sheet=A0&amp;row=299&amp;col=8&amp;number=&amp;sourceID=26","")</f>
        <v/>
      </c>
      <c r="I299" s="4" t="str">
        <f>HYPERLINK("http://141.218.60.56/~jnz1568/getInfo.php?workbook=02_02.xlsx&amp;sheet=A0&amp;row=299&amp;col=9&amp;number=&amp;sourceID=15","")</f>
        <v/>
      </c>
      <c r="J299" s="4" t="str">
        <f>HYPERLINK("http://141.218.60.56/~jnz1568/getInfo.php?workbook=02_02.xlsx&amp;sheet=A0&amp;row=299&amp;col=10&amp;number=&amp;sourceID=15","")</f>
        <v/>
      </c>
      <c r="K299" s="4" t="str">
        <f>HYPERLINK("http://141.218.60.56/~jnz1568/getInfo.php?workbook=02_02.xlsx&amp;sheet=A0&amp;row=299&amp;col=11&amp;number=&amp;sourceID=15","")</f>
        <v/>
      </c>
      <c r="L299" s="4" t="str">
        <f>HYPERLINK("http://141.218.60.56/~jnz1568/getInfo.php?workbook=02_02.xlsx&amp;sheet=A0&amp;row=299&amp;col=12&amp;number=&amp;sourceID=15","")</f>
        <v/>
      </c>
      <c r="M299" s="4" t="str">
        <f>HYPERLINK("http://141.218.60.56/~jnz1568/getInfo.php?workbook=02_02.xlsx&amp;sheet=A0&amp;row=299&amp;col=13&amp;number=0.00016542&amp;sourceID=23","0.00016542")</f>
        <v>0.00016542</v>
      </c>
    </row>
    <row r="300" spans="1:13">
      <c r="A300" s="3">
        <v>2</v>
      </c>
      <c r="B300" s="3">
        <v>2</v>
      </c>
      <c r="C300" s="3">
        <v>43</v>
      </c>
      <c r="D300" s="3">
        <v>38</v>
      </c>
      <c r="E300" s="3">
        <f>((1/(INDEX(E0!J$4:J$52,C300,1)-INDEX(E0!J$4:J$52,D300,1))))*100000000</f>
        <v>0</v>
      </c>
      <c r="F300" s="4" t="str">
        <f>HYPERLINK("http://141.218.60.56/~jnz1568/getInfo.php?workbook=02_02.xlsx&amp;sheet=A0&amp;row=300&amp;col=6&amp;number=&amp;sourceID=27","")</f>
        <v/>
      </c>
      <c r="G300" s="4" t="str">
        <f>HYPERLINK("http://141.218.60.56/~jnz1568/getInfo.php?workbook=02_02.xlsx&amp;sheet=A0&amp;row=300&amp;col=7&amp;number=&amp;sourceID=26","")</f>
        <v/>
      </c>
      <c r="H300" s="4" t="str">
        <f>HYPERLINK("http://141.218.60.56/~jnz1568/getInfo.php?workbook=02_02.xlsx&amp;sheet=A0&amp;row=300&amp;col=8&amp;number=&amp;sourceID=26","")</f>
        <v/>
      </c>
      <c r="I300" s="4" t="str">
        <f>HYPERLINK("http://141.218.60.56/~jnz1568/getInfo.php?workbook=02_02.xlsx&amp;sheet=A0&amp;row=300&amp;col=9&amp;number=&amp;sourceID=15","")</f>
        <v/>
      </c>
      <c r="J300" s="4" t="str">
        <f>HYPERLINK("http://141.218.60.56/~jnz1568/getInfo.php?workbook=02_02.xlsx&amp;sheet=A0&amp;row=300&amp;col=10&amp;number=&amp;sourceID=15","")</f>
        <v/>
      </c>
      <c r="K300" s="4" t="str">
        <f>HYPERLINK("http://141.218.60.56/~jnz1568/getInfo.php?workbook=02_02.xlsx&amp;sheet=A0&amp;row=300&amp;col=11&amp;number=&amp;sourceID=15","")</f>
        <v/>
      </c>
      <c r="L300" s="4" t="str">
        <f>HYPERLINK("http://141.218.60.56/~jnz1568/getInfo.php?workbook=02_02.xlsx&amp;sheet=A0&amp;row=300&amp;col=12&amp;number=&amp;sourceID=15","")</f>
        <v/>
      </c>
      <c r="M300" s="4" t="str">
        <f>HYPERLINK("http://141.218.60.56/~jnz1568/getInfo.php?workbook=02_02.xlsx&amp;sheet=A0&amp;row=300&amp;col=13&amp;number=0.0057785&amp;sourceID=23","0.0057785")</f>
        <v>0.0057785</v>
      </c>
    </row>
    <row r="301" spans="1:13">
      <c r="A301" s="3">
        <v>2</v>
      </c>
      <c r="B301" s="3">
        <v>2</v>
      </c>
      <c r="C301" s="3">
        <v>43</v>
      </c>
      <c r="D301" s="3">
        <v>39</v>
      </c>
      <c r="E301" s="3">
        <f>((1/(INDEX(E0!J$4:J$52,C301,1)-INDEX(E0!J$4:J$52,D301,1))))*100000000</f>
        <v>0</v>
      </c>
      <c r="F301" s="4" t="str">
        <f>HYPERLINK("http://141.218.60.56/~jnz1568/getInfo.php?workbook=02_02.xlsx&amp;sheet=A0&amp;row=301&amp;col=6&amp;number=&amp;sourceID=27","")</f>
        <v/>
      </c>
      <c r="G301" s="4" t="str">
        <f>HYPERLINK("http://141.218.60.56/~jnz1568/getInfo.php?workbook=02_02.xlsx&amp;sheet=A0&amp;row=301&amp;col=7&amp;number=&amp;sourceID=26","")</f>
        <v/>
      </c>
      <c r="H301" s="4" t="str">
        <f>HYPERLINK("http://141.218.60.56/~jnz1568/getInfo.php?workbook=02_02.xlsx&amp;sheet=A0&amp;row=301&amp;col=8&amp;number=&amp;sourceID=26","")</f>
        <v/>
      </c>
      <c r="I301" s="4" t="str">
        <f>HYPERLINK("http://141.218.60.56/~jnz1568/getInfo.php?workbook=02_02.xlsx&amp;sheet=A0&amp;row=301&amp;col=9&amp;number=&amp;sourceID=15","")</f>
        <v/>
      </c>
      <c r="J301" s="4" t="str">
        <f>HYPERLINK("http://141.218.60.56/~jnz1568/getInfo.php?workbook=02_02.xlsx&amp;sheet=A0&amp;row=301&amp;col=10&amp;number=&amp;sourceID=15","")</f>
        <v/>
      </c>
      <c r="K301" s="4" t="str">
        <f>HYPERLINK("http://141.218.60.56/~jnz1568/getInfo.php?workbook=02_02.xlsx&amp;sheet=A0&amp;row=301&amp;col=11&amp;number=&amp;sourceID=15","")</f>
        <v/>
      </c>
      <c r="L301" s="4" t="str">
        <f>HYPERLINK("http://141.218.60.56/~jnz1568/getInfo.php?workbook=02_02.xlsx&amp;sheet=A0&amp;row=301&amp;col=12&amp;number=&amp;sourceID=15","")</f>
        <v/>
      </c>
      <c r="M301" s="4" t="str">
        <f>HYPERLINK("http://141.218.60.56/~jnz1568/getInfo.php?workbook=02_02.xlsx&amp;sheet=A0&amp;row=301&amp;col=13&amp;number=0.030981&amp;sourceID=23","0.030981")</f>
        <v>0.030981</v>
      </c>
    </row>
    <row r="302" spans="1:13">
      <c r="A302" s="3">
        <v>2</v>
      </c>
      <c r="B302" s="3">
        <v>2</v>
      </c>
      <c r="C302" s="3">
        <v>43</v>
      </c>
      <c r="D302" s="3">
        <v>40</v>
      </c>
      <c r="E302" s="3">
        <f>((1/(INDEX(E0!J$4:J$52,C302,1)-INDEX(E0!J$4:J$52,D302,1))))*100000000</f>
        <v>0</v>
      </c>
      <c r="F302" s="4" t="str">
        <f>HYPERLINK("http://141.218.60.56/~jnz1568/getInfo.php?workbook=02_02.xlsx&amp;sheet=A0&amp;row=302&amp;col=6&amp;number=&amp;sourceID=27","")</f>
        <v/>
      </c>
      <c r="G302" s="4" t="str">
        <f>HYPERLINK("http://141.218.60.56/~jnz1568/getInfo.php?workbook=02_02.xlsx&amp;sheet=A0&amp;row=302&amp;col=7&amp;number=&amp;sourceID=26","")</f>
        <v/>
      </c>
      <c r="H302" s="4" t="str">
        <f>HYPERLINK("http://141.218.60.56/~jnz1568/getInfo.php?workbook=02_02.xlsx&amp;sheet=A0&amp;row=302&amp;col=8&amp;number=&amp;sourceID=26","")</f>
        <v/>
      </c>
      <c r="I302" s="4" t="str">
        <f>HYPERLINK("http://141.218.60.56/~jnz1568/getInfo.php?workbook=02_02.xlsx&amp;sheet=A0&amp;row=302&amp;col=9&amp;number=&amp;sourceID=15","")</f>
        <v/>
      </c>
      <c r="J302" s="4" t="str">
        <f>HYPERLINK("http://141.218.60.56/~jnz1568/getInfo.php?workbook=02_02.xlsx&amp;sheet=A0&amp;row=302&amp;col=10&amp;number=&amp;sourceID=15","")</f>
        <v/>
      </c>
      <c r="K302" s="4" t="str">
        <f>HYPERLINK("http://141.218.60.56/~jnz1568/getInfo.php?workbook=02_02.xlsx&amp;sheet=A0&amp;row=302&amp;col=11&amp;number=&amp;sourceID=15","")</f>
        <v/>
      </c>
      <c r="L302" s="4" t="str">
        <f>HYPERLINK("http://141.218.60.56/~jnz1568/getInfo.php?workbook=02_02.xlsx&amp;sheet=A0&amp;row=302&amp;col=12&amp;number=&amp;sourceID=15","")</f>
        <v/>
      </c>
      <c r="M302" s="4" t="str">
        <f>HYPERLINK("http://141.218.60.56/~jnz1568/getInfo.php?workbook=02_02.xlsx&amp;sheet=A0&amp;row=302&amp;col=13&amp;number=2.0064e-07&amp;sourceID=23","2.0064e-07")</f>
        <v>2.0064e-07</v>
      </c>
    </row>
    <row r="303" spans="1:13">
      <c r="A303" s="3">
        <v>2</v>
      </c>
      <c r="B303" s="3">
        <v>2</v>
      </c>
      <c r="C303" s="3">
        <v>44</v>
      </c>
      <c r="D303" s="3">
        <v>13</v>
      </c>
      <c r="E303" s="3">
        <f>((1/(INDEX(E0!J$4:J$52,C303,1)-INDEX(E0!J$4:J$52,D303,1))))*100000000</f>
        <v>0</v>
      </c>
      <c r="F303" s="4" t="str">
        <f>HYPERLINK("http://141.218.60.56/~jnz1568/getInfo.php?workbook=02_02.xlsx&amp;sheet=A0&amp;row=303&amp;col=6&amp;number=&amp;sourceID=27","")</f>
        <v/>
      </c>
      <c r="G303" s="4" t="str">
        <f>HYPERLINK("http://141.218.60.56/~jnz1568/getInfo.php?workbook=02_02.xlsx&amp;sheet=A0&amp;row=303&amp;col=7&amp;number=&amp;sourceID=26","")</f>
        <v/>
      </c>
      <c r="H303" s="4" t="str">
        <f>HYPERLINK("http://141.218.60.56/~jnz1568/getInfo.php?workbook=02_02.xlsx&amp;sheet=A0&amp;row=303&amp;col=8&amp;number=&amp;sourceID=26","")</f>
        <v/>
      </c>
      <c r="I303" s="4" t="str">
        <f>HYPERLINK("http://141.218.60.56/~jnz1568/getInfo.php?workbook=02_02.xlsx&amp;sheet=A0&amp;row=303&amp;col=9&amp;number=153700&amp;sourceID=15","153700")</f>
        <v>153700</v>
      </c>
      <c r="J303" s="4" t="str">
        <f>HYPERLINK("http://141.218.60.56/~jnz1568/getInfo.php?workbook=02_02.xlsx&amp;sheet=A0&amp;row=303&amp;col=10&amp;number=&amp;sourceID=15","")</f>
        <v/>
      </c>
      <c r="K303" s="4" t="str">
        <f>HYPERLINK("http://141.218.60.56/~jnz1568/getInfo.php?workbook=02_02.xlsx&amp;sheet=A0&amp;row=303&amp;col=11&amp;number=&amp;sourceID=15","")</f>
        <v/>
      </c>
      <c r="L303" s="4" t="str">
        <f>HYPERLINK("http://141.218.60.56/~jnz1568/getInfo.php?workbook=02_02.xlsx&amp;sheet=A0&amp;row=303&amp;col=12&amp;number=&amp;sourceID=15","")</f>
        <v/>
      </c>
      <c r="M303" s="4" t="str">
        <f>HYPERLINK("http://141.218.60.56/~jnz1568/getInfo.php?workbook=02_02.xlsx&amp;sheet=A0&amp;row=303&amp;col=13&amp;number=&amp;sourceID=23","")</f>
        <v/>
      </c>
    </row>
    <row r="304" spans="1:13">
      <c r="A304" s="3">
        <v>2</v>
      </c>
      <c r="B304" s="3">
        <v>2</v>
      </c>
      <c r="C304" s="3">
        <v>44</v>
      </c>
      <c r="D304" s="3">
        <v>14</v>
      </c>
      <c r="E304" s="3">
        <f>((1/(INDEX(E0!J$4:J$52,C304,1)-INDEX(E0!J$4:J$52,D304,1))))*100000000</f>
        <v>0</v>
      </c>
      <c r="F304" s="4" t="str">
        <f>HYPERLINK("http://141.218.60.56/~jnz1568/getInfo.php?workbook=02_02.xlsx&amp;sheet=A0&amp;row=304&amp;col=6&amp;number=&amp;sourceID=27","")</f>
        <v/>
      </c>
      <c r="G304" s="4" t="str">
        <f>HYPERLINK("http://141.218.60.56/~jnz1568/getInfo.php?workbook=02_02.xlsx&amp;sheet=A0&amp;row=304&amp;col=7&amp;number=&amp;sourceID=26","")</f>
        <v/>
      </c>
      <c r="H304" s="4" t="str">
        <f>HYPERLINK("http://141.218.60.56/~jnz1568/getInfo.php?workbook=02_02.xlsx&amp;sheet=A0&amp;row=304&amp;col=8&amp;number=&amp;sourceID=26","")</f>
        <v/>
      </c>
      <c r="I304" s="4" t="str">
        <f>HYPERLINK("http://141.218.60.56/~jnz1568/getInfo.php?workbook=02_02.xlsx&amp;sheet=A0&amp;row=304&amp;col=9&amp;number=1168000&amp;sourceID=15","1168000")</f>
        <v>1168000</v>
      </c>
      <c r="J304" s="4" t="str">
        <f>HYPERLINK("http://141.218.60.56/~jnz1568/getInfo.php?workbook=02_02.xlsx&amp;sheet=A0&amp;row=304&amp;col=10&amp;number=&amp;sourceID=15","")</f>
        <v/>
      </c>
      <c r="K304" s="4" t="str">
        <f>HYPERLINK("http://141.218.60.56/~jnz1568/getInfo.php?workbook=02_02.xlsx&amp;sheet=A0&amp;row=304&amp;col=11&amp;number=&amp;sourceID=15","")</f>
        <v/>
      </c>
      <c r="L304" s="4" t="str">
        <f>HYPERLINK("http://141.218.60.56/~jnz1568/getInfo.php?workbook=02_02.xlsx&amp;sheet=A0&amp;row=304&amp;col=12&amp;number=&amp;sourceID=15","")</f>
        <v/>
      </c>
      <c r="M304" s="4" t="str">
        <f>HYPERLINK("http://141.218.60.56/~jnz1568/getInfo.php?workbook=02_02.xlsx&amp;sheet=A0&amp;row=304&amp;col=13&amp;number=&amp;sourceID=23","")</f>
        <v/>
      </c>
    </row>
    <row r="305" spans="1:13">
      <c r="A305" s="3">
        <v>2</v>
      </c>
      <c r="B305" s="3">
        <v>2</v>
      </c>
      <c r="C305" s="3">
        <v>44</v>
      </c>
      <c r="D305" s="3">
        <v>16</v>
      </c>
      <c r="E305" s="3">
        <f>((1/(INDEX(E0!J$4:J$52,C305,1)-INDEX(E0!J$4:J$52,D305,1))))*100000000</f>
        <v>0</v>
      </c>
      <c r="F305" s="4" t="str">
        <f>HYPERLINK("http://141.218.60.56/~jnz1568/getInfo.php?workbook=02_02.xlsx&amp;sheet=A0&amp;row=305&amp;col=6&amp;number=&amp;sourceID=27","")</f>
        <v/>
      </c>
      <c r="G305" s="4" t="str">
        <f>HYPERLINK("http://141.218.60.56/~jnz1568/getInfo.php?workbook=02_02.xlsx&amp;sheet=A0&amp;row=305&amp;col=7&amp;number=&amp;sourceID=26","")</f>
        <v/>
      </c>
      <c r="H305" s="4" t="str">
        <f>HYPERLINK("http://141.218.60.56/~jnz1568/getInfo.php?workbook=02_02.xlsx&amp;sheet=A0&amp;row=305&amp;col=8&amp;number=&amp;sourceID=26","")</f>
        <v/>
      </c>
      <c r="I305" s="4" t="str">
        <f>HYPERLINK("http://141.218.60.56/~jnz1568/getInfo.php?workbook=02_02.xlsx&amp;sheet=A0&amp;row=305&amp;col=9&amp;number=3247500&amp;sourceID=15","3247500")</f>
        <v>3247500</v>
      </c>
      <c r="J305" s="4" t="str">
        <f>HYPERLINK("http://141.218.60.56/~jnz1568/getInfo.php?workbook=02_02.xlsx&amp;sheet=A0&amp;row=305&amp;col=10&amp;number=&amp;sourceID=15","")</f>
        <v/>
      </c>
      <c r="K305" s="4" t="str">
        <f>HYPERLINK("http://141.218.60.56/~jnz1568/getInfo.php?workbook=02_02.xlsx&amp;sheet=A0&amp;row=305&amp;col=11&amp;number=&amp;sourceID=15","")</f>
        <v/>
      </c>
      <c r="L305" s="4" t="str">
        <f>HYPERLINK("http://141.218.60.56/~jnz1568/getInfo.php?workbook=02_02.xlsx&amp;sheet=A0&amp;row=305&amp;col=12&amp;number=&amp;sourceID=15","")</f>
        <v/>
      </c>
      <c r="M305" s="4" t="str">
        <f>HYPERLINK("http://141.218.60.56/~jnz1568/getInfo.php?workbook=02_02.xlsx&amp;sheet=A0&amp;row=305&amp;col=13&amp;number=&amp;sourceID=23","")</f>
        <v/>
      </c>
    </row>
    <row r="306" spans="1:13">
      <c r="A306" s="3">
        <v>2</v>
      </c>
      <c r="B306" s="3">
        <v>2</v>
      </c>
      <c r="C306" s="3">
        <v>44</v>
      </c>
      <c r="D306" s="3">
        <v>23</v>
      </c>
      <c r="E306" s="3">
        <f>((1/(INDEX(E0!J$4:J$52,C306,1)-INDEX(E0!J$4:J$52,D306,1))))*100000000</f>
        <v>0</v>
      </c>
      <c r="F306" s="4" t="str">
        <f>HYPERLINK("http://141.218.60.56/~jnz1568/getInfo.php?workbook=02_02.xlsx&amp;sheet=A0&amp;row=306&amp;col=6&amp;number=&amp;sourceID=27","")</f>
        <v/>
      </c>
      <c r="G306" s="4" t="str">
        <f>HYPERLINK("http://141.218.60.56/~jnz1568/getInfo.php?workbook=02_02.xlsx&amp;sheet=A0&amp;row=306&amp;col=7&amp;number=&amp;sourceID=26","")</f>
        <v/>
      </c>
      <c r="H306" s="4" t="str">
        <f>HYPERLINK("http://141.218.60.56/~jnz1568/getInfo.php?workbook=02_02.xlsx&amp;sheet=A0&amp;row=306&amp;col=8&amp;number=&amp;sourceID=26","")</f>
        <v/>
      </c>
      <c r="I306" s="4" t="str">
        <f>HYPERLINK("http://141.218.60.56/~jnz1568/getInfo.php?workbook=02_02.xlsx&amp;sheet=A0&amp;row=306&amp;col=9&amp;number=86890&amp;sourceID=15","86890")</f>
        <v>86890</v>
      </c>
      <c r="J306" s="4" t="str">
        <f>HYPERLINK("http://141.218.60.56/~jnz1568/getInfo.php?workbook=02_02.xlsx&amp;sheet=A0&amp;row=306&amp;col=10&amp;number=&amp;sourceID=15","")</f>
        <v/>
      </c>
      <c r="K306" s="4" t="str">
        <f>HYPERLINK("http://141.218.60.56/~jnz1568/getInfo.php?workbook=02_02.xlsx&amp;sheet=A0&amp;row=306&amp;col=11&amp;number=&amp;sourceID=15","")</f>
        <v/>
      </c>
      <c r="L306" s="4" t="str">
        <f>HYPERLINK("http://141.218.60.56/~jnz1568/getInfo.php?workbook=02_02.xlsx&amp;sheet=A0&amp;row=306&amp;col=12&amp;number=&amp;sourceID=15","")</f>
        <v/>
      </c>
      <c r="M306" s="4" t="str">
        <f>HYPERLINK("http://141.218.60.56/~jnz1568/getInfo.php?workbook=02_02.xlsx&amp;sheet=A0&amp;row=306&amp;col=13&amp;number=&amp;sourceID=23","")</f>
        <v/>
      </c>
    </row>
    <row r="307" spans="1:13">
      <c r="A307" s="3">
        <v>2</v>
      </c>
      <c r="B307" s="3">
        <v>2</v>
      </c>
      <c r="C307" s="3">
        <v>44</v>
      </c>
      <c r="D307" s="3">
        <v>24</v>
      </c>
      <c r="E307" s="3">
        <f>((1/(INDEX(E0!J$4:J$52,C307,1)-INDEX(E0!J$4:J$52,D307,1))))*100000000</f>
        <v>0</v>
      </c>
      <c r="F307" s="4" t="str">
        <f>HYPERLINK("http://141.218.60.56/~jnz1568/getInfo.php?workbook=02_02.xlsx&amp;sheet=A0&amp;row=307&amp;col=6&amp;number=&amp;sourceID=27","")</f>
        <v/>
      </c>
      <c r="G307" s="4" t="str">
        <f>HYPERLINK("http://141.218.60.56/~jnz1568/getInfo.php?workbook=02_02.xlsx&amp;sheet=A0&amp;row=307&amp;col=7&amp;number=&amp;sourceID=26","")</f>
        <v/>
      </c>
      <c r="H307" s="4" t="str">
        <f>HYPERLINK("http://141.218.60.56/~jnz1568/getInfo.php?workbook=02_02.xlsx&amp;sheet=A0&amp;row=307&amp;col=8&amp;number=&amp;sourceID=26","")</f>
        <v/>
      </c>
      <c r="I307" s="4" t="str">
        <f>HYPERLINK("http://141.218.60.56/~jnz1568/getInfo.php?workbook=02_02.xlsx&amp;sheet=A0&amp;row=307&amp;col=9&amp;number=669700&amp;sourceID=15","669700")</f>
        <v>669700</v>
      </c>
      <c r="J307" s="4" t="str">
        <f>HYPERLINK("http://141.218.60.56/~jnz1568/getInfo.php?workbook=02_02.xlsx&amp;sheet=A0&amp;row=307&amp;col=10&amp;number=&amp;sourceID=15","")</f>
        <v/>
      </c>
      <c r="K307" s="4" t="str">
        <f>HYPERLINK("http://141.218.60.56/~jnz1568/getInfo.php?workbook=02_02.xlsx&amp;sheet=A0&amp;row=307&amp;col=11&amp;number=&amp;sourceID=15","")</f>
        <v/>
      </c>
      <c r="L307" s="4" t="str">
        <f>HYPERLINK("http://141.218.60.56/~jnz1568/getInfo.php?workbook=02_02.xlsx&amp;sheet=A0&amp;row=307&amp;col=12&amp;number=&amp;sourceID=15","")</f>
        <v/>
      </c>
      <c r="M307" s="4" t="str">
        <f>HYPERLINK("http://141.218.60.56/~jnz1568/getInfo.php?workbook=02_02.xlsx&amp;sheet=A0&amp;row=307&amp;col=13&amp;number=&amp;sourceID=23","")</f>
        <v/>
      </c>
    </row>
    <row r="308" spans="1:13">
      <c r="A308" s="3">
        <v>2</v>
      </c>
      <c r="B308" s="3">
        <v>2</v>
      </c>
      <c r="C308" s="3">
        <v>44</v>
      </c>
      <c r="D308" s="3">
        <v>26</v>
      </c>
      <c r="E308" s="3">
        <f>((1/(INDEX(E0!J$4:J$52,C308,1)-INDEX(E0!J$4:J$52,D308,1))))*100000000</f>
        <v>0</v>
      </c>
      <c r="F308" s="4" t="str">
        <f>HYPERLINK("http://141.218.60.56/~jnz1568/getInfo.php?workbook=02_02.xlsx&amp;sheet=A0&amp;row=308&amp;col=6&amp;number=&amp;sourceID=27","")</f>
        <v/>
      </c>
      <c r="G308" s="4" t="str">
        <f>HYPERLINK("http://141.218.60.56/~jnz1568/getInfo.php?workbook=02_02.xlsx&amp;sheet=A0&amp;row=308&amp;col=7&amp;number=&amp;sourceID=26","")</f>
        <v/>
      </c>
      <c r="H308" s="4" t="str">
        <f>HYPERLINK("http://141.218.60.56/~jnz1568/getInfo.php?workbook=02_02.xlsx&amp;sheet=A0&amp;row=308&amp;col=8&amp;number=&amp;sourceID=26","")</f>
        <v/>
      </c>
      <c r="I308" s="4" t="str">
        <f>HYPERLINK("http://141.218.60.56/~jnz1568/getInfo.php?workbook=02_02.xlsx&amp;sheet=A0&amp;row=308&amp;col=9&amp;number=1829400&amp;sourceID=15","1829400")</f>
        <v>1829400</v>
      </c>
      <c r="J308" s="4" t="str">
        <f>HYPERLINK("http://141.218.60.56/~jnz1568/getInfo.php?workbook=02_02.xlsx&amp;sheet=A0&amp;row=308&amp;col=10&amp;number=&amp;sourceID=15","")</f>
        <v/>
      </c>
      <c r="K308" s="4" t="str">
        <f>HYPERLINK("http://141.218.60.56/~jnz1568/getInfo.php?workbook=02_02.xlsx&amp;sheet=A0&amp;row=308&amp;col=11&amp;number=&amp;sourceID=15","")</f>
        <v/>
      </c>
      <c r="L308" s="4" t="str">
        <f>HYPERLINK("http://141.218.60.56/~jnz1568/getInfo.php?workbook=02_02.xlsx&amp;sheet=A0&amp;row=308&amp;col=12&amp;number=&amp;sourceID=15","")</f>
        <v/>
      </c>
      <c r="M308" s="4" t="str">
        <f>HYPERLINK("http://141.218.60.56/~jnz1568/getInfo.php?workbook=02_02.xlsx&amp;sheet=A0&amp;row=308&amp;col=13&amp;number=&amp;sourceID=23","")</f>
        <v/>
      </c>
    </row>
    <row r="309" spans="1:13">
      <c r="A309" s="3">
        <v>2</v>
      </c>
      <c r="B309" s="3">
        <v>2</v>
      </c>
      <c r="C309" s="3">
        <v>45</v>
      </c>
      <c r="D309" s="3">
        <v>27</v>
      </c>
      <c r="E309" s="3">
        <f>((1/(INDEX(E0!J$4:J$52,C309,1)-INDEX(E0!J$4:J$52,D309,1))))*100000000</f>
        <v>0</v>
      </c>
      <c r="F309" s="4" t="str">
        <f>HYPERLINK("http://141.218.60.56/~jnz1568/getInfo.php?workbook=02_02.xlsx&amp;sheet=A0&amp;row=309&amp;col=6&amp;number=&amp;sourceID=27","")</f>
        <v/>
      </c>
      <c r="G309" s="4" t="str">
        <f>HYPERLINK("http://141.218.60.56/~jnz1568/getInfo.php?workbook=02_02.xlsx&amp;sheet=A0&amp;row=309&amp;col=7&amp;number=&amp;sourceID=26","")</f>
        <v/>
      </c>
      <c r="H309" s="4" t="str">
        <f>HYPERLINK("http://141.218.60.56/~jnz1568/getInfo.php?workbook=02_02.xlsx&amp;sheet=A0&amp;row=309&amp;col=8&amp;number=&amp;sourceID=26","")</f>
        <v/>
      </c>
      <c r="I309" s="4" t="str">
        <f>HYPERLINK("http://141.218.60.56/~jnz1568/getInfo.php?workbook=02_02.xlsx&amp;sheet=A0&amp;row=309&amp;col=9&amp;number=4046900&amp;sourceID=15","4046900")</f>
        <v>4046900</v>
      </c>
      <c r="J309" s="4" t="str">
        <f>HYPERLINK("http://141.218.60.56/~jnz1568/getInfo.php?workbook=02_02.xlsx&amp;sheet=A0&amp;row=309&amp;col=10&amp;number=&amp;sourceID=15","")</f>
        <v/>
      </c>
      <c r="K309" s="4" t="str">
        <f>HYPERLINK("http://141.218.60.56/~jnz1568/getInfo.php?workbook=02_02.xlsx&amp;sheet=A0&amp;row=309&amp;col=11&amp;number=&amp;sourceID=15","")</f>
        <v/>
      </c>
      <c r="L309" s="4" t="str">
        <f>HYPERLINK("http://141.218.60.56/~jnz1568/getInfo.php?workbook=02_02.xlsx&amp;sheet=A0&amp;row=309&amp;col=12&amp;number=&amp;sourceID=15","")</f>
        <v/>
      </c>
      <c r="M309" s="4" t="str">
        <f>HYPERLINK("http://141.218.60.56/~jnz1568/getInfo.php?workbook=02_02.xlsx&amp;sheet=A0&amp;row=309&amp;col=13&amp;number=&amp;sourceID=23","")</f>
        <v/>
      </c>
    </row>
    <row r="310" spans="1:13">
      <c r="A310" s="3">
        <v>2</v>
      </c>
      <c r="B310" s="3">
        <v>2</v>
      </c>
      <c r="C310" s="3">
        <v>45</v>
      </c>
      <c r="D310" s="3">
        <v>28</v>
      </c>
      <c r="E310" s="3">
        <f>((1/(INDEX(E0!J$4:J$52,C310,1)-INDEX(E0!J$4:J$52,D310,1))))*100000000</f>
        <v>0</v>
      </c>
      <c r="F310" s="4" t="str">
        <f>HYPERLINK("http://141.218.60.56/~jnz1568/getInfo.php?workbook=02_02.xlsx&amp;sheet=A0&amp;row=310&amp;col=6&amp;number=&amp;sourceID=27","")</f>
        <v/>
      </c>
      <c r="G310" s="4" t="str">
        <f>HYPERLINK("http://141.218.60.56/~jnz1568/getInfo.php?workbook=02_02.xlsx&amp;sheet=A0&amp;row=310&amp;col=7&amp;number=&amp;sourceID=26","")</f>
        <v/>
      </c>
      <c r="H310" s="4" t="str">
        <f>HYPERLINK("http://141.218.60.56/~jnz1568/getInfo.php?workbook=02_02.xlsx&amp;sheet=A0&amp;row=310&amp;col=8&amp;number=&amp;sourceID=26","")</f>
        <v/>
      </c>
      <c r="I310" s="4" t="str">
        <f>HYPERLINK("http://141.218.60.56/~jnz1568/getInfo.php?workbook=02_02.xlsx&amp;sheet=A0&amp;row=310&amp;col=9&amp;number=138160&amp;sourceID=15","138160")</f>
        <v>138160</v>
      </c>
      <c r="J310" s="4" t="str">
        <f>HYPERLINK("http://141.218.60.56/~jnz1568/getInfo.php?workbook=02_02.xlsx&amp;sheet=A0&amp;row=310&amp;col=10&amp;number=&amp;sourceID=15","")</f>
        <v/>
      </c>
      <c r="K310" s="4" t="str">
        <f>HYPERLINK("http://141.218.60.56/~jnz1568/getInfo.php?workbook=02_02.xlsx&amp;sheet=A0&amp;row=310&amp;col=11&amp;number=&amp;sourceID=15","")</f>
        <v/>
      </c>
      <c r="L310" s="4" t="str">
        <f>HYPERLINK("http://141.218.60.56/~jnz1568/getInfo.php?workbook=02_02.xlsx&amp;sheet=A0&amp;row=310&amp;col=12&amp;number=&amp;sourceID=15","")</f>
        <v/>
      </c>
      <c r="M310" s="4" t="str">
        <f>HYPERLINK("http://141.218.60.56/~jnz1568/getInfo.php?workbook=02_02.xlsx&amp;sheet=A0&amp;row=310&amp;col=13&amp;number=&amp;sourceID=23","")</f>
        <v/>
      </c>
    </row>
    <row r="311" spans="1:13">
      <c r="A311" s="3">
        <v>2</v>
      </c>
      <c r="B311" s="3">
        <v>2</v>
      </c>
      <c r="C311" s="3">
        <v>45</v>
      </c>
      <c r="D311" s="3">
        <v>30</v>
      </c>
      <c r="E311" s="3">
        <f>((1/(INDEX(E0!J$4:J$52,C311,1)-INDEX(E0!J$4:J$52,D311,1))))*100000000</f>
        <v>0</v>
      </c>
      <c r="F311" s="4" t="str">
        <f>HYPERLINK("http://141.218.60.56/~jnz1568/getInfo.php?workbook=02_02.xlsx&amp;sheet=A0&amp;row=311&amp;col=6&amp;number=&amp;sourceID=27","")</f>
        <v/>
      </c>
      <c r="G311" s="4" t="str">
        <f>HYPERLINK("http://141.218.60.56/~jnz1568/getInfo.php?workbook=02_02.xlsx&amp;sheet=A0&amp;row=311&amp;col=7&amp;number=&amp;sourceID=26","")</f>
        <v/>
      </c>
      <c r="H311" s="4" t="str">
        <f>HYPERLINK("http://141.218.60.56/~jnz1568/getInfo.php?workbook=02_02.xlsx&amp;sheet=A0&amp;row=311&amp;col=8&amp;number=&amp;sourceID=26","")</f>
        <v/>
      </c>
      <c r="I311" s="4" t="str">
        <f>HYPERLINK("http://141.218.60.56/~jnz1568/getInfo.php?workbook=02_02.xlsx&amp;sheet=A0&amp;row=311&amp;col=9&amp;number=73320&amp;sourceID=15","73320")</f>
        <v>73320</v>
      </c>
      <c r="J311" s="4" t="str">
        <f>HYPERLINK("http://141.218.60.56/~jnz1568/getInfo.php?workbook=02_02.xlsx&amp;sheet=A0&amp;row=311&amp;col=10&amp;number=&amp;sourceID=15","")</f>
        <v/>
      </c>
      <c r="K311" s="4" t="str">
        <f>HYPERLINK("http://141.218.60.56/~jnz1568/getInfo.php?workbook=02_02.xlsx&amp;sheet=A0&amp;row=311&amp;col=11&amp;number=&amp;sourceID=15","")</f>
        <v/>
      </c>
      <c r="L311" s="4" t="str">
        <f>HYPERLINK("http://141.218.60.56/~jnz1568/getInfo.php?workbook=02_02.xlsx&amp;sheet=A0&amp;row=311&amp;col=12&amp;number=&amp;sourceID=15","")</f>
        <v/>
      </c>
      <c r="M311" s="4" t="str">
        <f>HYPERLINK("http://141.218.60.56/~jnz1568/getInfo.php?workbook=02_02.xlsx&amp;sheet=A0&amp;row=311&amp;col=13&amp;number=&amp;sourceID=23","")</f>
        <v/>
      </c>
    </row>
    <row r="312" spans="1:13">
      <c r="A312" s="3">
        <v>2</v>
      </c>
      <c r="B312" s="3">
        <v>2</v>
      </c>
      <c r="C312" s="3">
        <v>46</v>
      </c>
      <c r="D312" s="3">
        <v>28</v>
      </c>
      <c r="E312" s="3">
        <f>((1/(INDEX(E0!J$4:J$52,C312,1)-INDEX(E0!J$4:J$52,D312,1))))*100000000</f>
        <v>0</v>
      </c>
      <c r="F312" s="4" t="str">
        <f>HYPERLINK("http://141.218.60.56/~jnz1568/getInfo.php?workbook=02_02.xlsx&amp;sheet=A0&amp;row=312&amp;col=6&amp;number=&amp;sourceID=27","")</f>
        <v/>
      </c>
      <c r="G312" s="4" t="str">
        <f>HYPERLINK("http://141.218.60.56/~jnz1568/getInfo.php?workbook=02_02.xlsx&amp;sheet=A0&amp;row=312&amp;col=7&amp;number=&amp;sourceID=26","")</f>
        <v/>
      </c>
      <c r="H312" s="4" t="str">
        <f>HYPERLINK("http://141.218.60.56/~jnz1568/getInfo.php?workbook=02_02.xlsx&amp;sheet=A0&amp;row=312&amp;col=8&amp;number=&amp;sourceID=26","")</f>
        <v/>
      </c>
      <c r="I312" s="4" t="str">
        <f>HYPERLINK("http://141.218.60.56/~jnz1568/getInfo.php?workbook=02_02.xlsx&amp;sheet=A0&amp;row=312&amp;col=9&amp;number=4258400&amp;sourceID=15","4258400")</f>
        <v>4258400</v>
      </c>
      <c r="J312" s="4" t="str">
        <f>HYPERLINK("http://141.218.60.56/~jnz1568/getInfo.php?workbook=02_02.xlsx&amp;sheet=A0&amp;row=312&amp;col=10&amp;number=&amp;sourceID=15","")</f>
        <v/>
      </c>
      <c r="K312" s="4" t="str">
        <f>HYPERLINK("http://141.218.60.56/~jnz1568/getInfo.php?workbook=02_02.xlsx&amp;sheet=A0&amp;row=312&amp;col=11&amp;number=&amp;sourceID=15","")</f>
        <v/>
      </c>
      <c r="L312" s="4" t="str">
        <f>HYPERLINK("http://141.218.60.56/~jnz1568/getInfo.php?workbook=02_02.xlsx&amp;sheet=A0&amp;row=312&amp;col=12&amp;number=&amp;sourceID=15","")</f>
        <v/>
      </c>
      <c r="M312" s="4" t="str">
        <f>HYPERLINK("http://141.218.60.56/~jnz1568/getInfo.php?workbook=02_02.xlsx&amp;sheet=A0&amp;row=312&amp;col=13&amp;number=&amp;sourceID=23","")</f>
        <v/>
      </c>
    </row>
    <row r="313" spans="1:13">
      <c r="A313" s="3">
        <v>2</v>
      </c>
      <c r="B313" s="3">
        <v>2</v>
      </c>
      <c r="C313" s="3">
        <v>47</v>
      </c>
      <c r="D313" s="3">
        <v>27</v>
      </c>
      <c r="E313" s="3">
        <f>((1/(INDEX(E0!J$4:J$52,C313,1)-INDEX(E0!J$4:J$52,D313,1))))*100000000</f>
        <v>0</v>
      </c>
      <c r="F313" s="4" t="str">
        <f>HYPERLINK("http://141.218.60.56/~jnz1568/getInfo.php?workbook=02_02.xlsx&amp;sheet=A0&amp;row=313&amp;col=6&amp;number=&amp;sourceID=27","")</f>
        <v/>
      </c>
      <c r="G313" s="4" t="str">
        <f>HYPERLINK("http://141.218.60.56/~jnz1568/getInfo.php?workbook=02_02.xlsx&amp;sheet=A0&amp;row=313&amp;col=7&amp;number=&amp;sourceID=26","")</f>
        <v/>
      </c>
      <c r="H313" s="4" t="str">
        <f>HYPERLINK("http://141.218.60.56/~jnz1568/getInfo.php?workbook=02_02.xlsx&amp;sheet=A0&amp;row=313&amp;col=8&amp;number=&amp;sourceID=26","")</f>
        <v/>
      </c>
      <c r="I313" s="4" t="str">
        <f>HYPERLINK("http://141.218.60.56/~jnz1568/getInfo.php?workbook=02_02.xlsx&amp;sheet=A0&amp;row=313&amp;col=9&amp;number=217310&amp;sourceID=15","217310")</f>
        <v>217310</v>
      </c>
      <c r="J313" s="4" t="str">
        <f>HYPERLINK("http://141.218.60.56/~jnz1568/getInfo.php?workbook=02_02.xlsx&amp;sheet=A0&amp;row=313&amp;col=10&amp;number=&amp;sourceID=15","")</f>
        <v/>
      </c>
      <c r="K313" s="4" t="str">
        <f>HYPERLINK("http://141.218.60.56/~jnz1568/getInfo.php?workbook=02_02.xlsx&amp;sheet=A0&amp;row=313&amp;col=11&amp;number=&amp;sourceID=15","")</f>
        <v/>
      </c>
      <c r="L313" s="4" t="str">
        <f>HYPERLINK("http://141.218.60.56/~jnz1568/getInfo.php?workbook=02_02.xlsx&amp;sheet=A0&amp;row=313&amp;col=12&amp;number=&amp;sourceID=15","")</f>
        <v/>
      </c>
      <c r="M313" s="4" t="str">
        <f>HYPERLINK("http://141.218.60.56/~jnz1568/getInfo.php?workbook=02_02.xlsx&amp;sheet=A0&amp;row=313&amp;col=13&amp;number=&amp;sourceID=23","")</f>
        <v/>
      </c>
    </row>
    <row r="314" spans="1:13">
      <c r="A314" s="3">
        <v>2</v>
      </c>
      <c r="B314" s="3">
        <v>2</v>
      </c>
      <c r="C314" s="3">
        <v>47</v>
      </c>
      <c r="D314" s="3">
        <v>28</v>
      </c>
      <c r="E314" s="3">
        <f>((1/(INDEX(E0!J$4:J$52,C314,1)-INDEX(E0!J$4:J$52,D314,1))))*100000000</f>
        <v>0</v>
      </c>
      <c r="F314" s="4" t="str">
        <f>HYPERLINK("http://141.218.60.56/~jnz1568/getInfo.php?workbook=02_02.xlsx&amp;sheet=A0&amp;row=314&amp;col=6&amp;number=&amp;sourceID=27","")</f>
        <v/>
      </c>
      <c r="G314" s="4" t="str">
        <f>HYPERLINK("http://141.218.60.56/~jnz1568/getInfo.php?workbook=02_02.xlsx&amp;sheet=A0&amp;row=314&amp;col=7&amp;number=&amp;sourceID=26","")</f>
        <v/>
      </c>
      <c r="H314" s="4" t="str">
        <f>HYPERLINK("http://141.218.60.56/~jnz1568/getInfo.php?workbook=02_02.xlsx&amp;sheet=A0&amp;row=314&amp;col=8&amp;number=&amp;sourceID=26","")</f>
        <v/>
      </c>
      <c r="I314" s="4" t="str">
        <f>HYPERLINK("http://141.218.60.56/~jnz1568/getInfo.php?workbook=02_02.xlsx&amp;sheet=A0&amp;row=314&amp;col=9&amp;number=5431.6&amp;sourceID=15","5431.6")</f>
        <v>5431.6</v>
      </c>
      <c r="J314" s="4" t="str">
        <f>HYPERLINK("http://141.218.60.56/~jnz1568/getInfo.php?workbook=02_02.xlsx&amp;sheet=A0&amp;row=314&amp;col=10&amp;number=&amp;sourceID=15","")</f>
        <v/>
      </c>
      <c r="K314" s="4" t="str">
        <f>HYPERLINK("http://141.218.60.56/~jnz1568/getInfo.php?workbook=02_02.xlsx&amp;sheet=A0&amp;row=314&amp;col=11&amp;number=&amp;sourceID=15","")</f>
        <v/>
      </c>
      <c r="L314" s="4" t="str">
        <f>HYPERLINK("http://141.218.60.56/~jnz1568/getInfo.php?workbook=02_02.xlsx&amp;sheet=A0&amp;row=314&amp;col=12&amp;number=&amp;sourceID=15","")</f>
        <v/>
      </c>
      <c r="M314" s="4" t="str">
        <f>HYPERLINK("http://141.218.60.56/~jnz1568/getInfo.php?workbook=02_02.xlsx&amp;sheet=A0&amp;row=314&amp;col=13&amp;number=&amp;sourceID=23","")</f>
        <v/>
      </c>
    </row>
    <row r="315" spans="1:13">
      <c r="A315" s="3">
        <v>2</v>
      </c>
      <c r="B315" s="3">
        <v>2</v>
      </c>
      <c r="C315" s="3">
        <v>47</v>
      </c>
      <c r="D315" s="3">
        <v>29</v>
      </c>
      <c r="E315" s="3">
        <f>((1/(INDEX(E0!J$4:J$52,C315,1)-INDEX(E0!J$4:J$52,D315,1))))*100000000</f>
        <v>0</v>
      </c>
      <c r="F315" s="4" t="str">
        <f>HYPERLINK("http://141.218.60.56/~jnz1568/getInfo.php?workbook=02_02.xlsx&amp;sheet=A0&amp;row=315&amp;col=6&amp;number=&amp;sourceID=27","")</f>
        <v/>
      </c>
      <c r="G315" s="4" t="str">
        <f>HYPERLINK("http://141.218.60.56/~jnz1568/getInfo.php?workbook=02_02.xlsx&amp;sheet=A0&amp;row=315&amp;col=7&amp;number=&amp;sourceID=26","")</f>
        <v/>
      </c>
      <c r="H315" s="4" t="str">
        <f>HYPERLINK("http://141.218.60.56/~jnz1568/getInfo.php?workbook=02_02.xlsx&amp;sheet=A0&amp;row=315&amp;col=8&amp;number=&amp;sourceID=26","")</f>
        <v/>
      </c>
      <c r="I315" s="4" t="str">
        <f>HYPERLINK("http://141.218.60.56/~jnz1568/getInfo.php?workbook=02_02.xlsx&amp;sheet=A0&amp;row=315&amp;col=9&amp;number=3910700&amp;sourceID=15","3910700")</f>
        <v>3910700</v>
      </c>
      <c r="J315" s="4" t="str">
        <f>HYPERLINK("http://141.218.60.56/~jnz1568/getInfo.php?workbook=02_02.xlsx&amp;sheet=A0&amp;row=315&amp;col=10&amp;number=&amp;sourceID=15","")</f>
        <v/>
      </c>
      <c r="K315" s="4" t="str">
        <f>HYPERLINK("http://141.218.60.56/~jnz1568/getInfo.php?workbook=02_02.xlsx&amp;sheet=A0&amp;row=315&amp;col=11&amp;number=&amp;sourceID=15","")</f>
        <v/>
      </c>
      <c r="L315" s="4" t="str">
        <f>HYPERLINK("http://141.218.60.56/~jnz1568/getInfo.php?workbook=02_02.xlsx&amp;sheet=A0&amp;row=315&amp;col=12&amp;number=&amp;sourceID=15","")</f>
        <v/>
      </c>
      <c r="M315" s="4" t="str">
        <f>HYPERLINK("http://141.218.60.56/~jnz1568/getInfo.php?workbook=02_02.xlsx&amp;sheet=A0&amp;row=315&amp;col=13&amp;number=&amp;sourceID=23","")</f>
        <v/>
      </c>
    </row>
    <row r="316" spans="1:13">
      <c r="A316" s="3">
        <v>2</v>
      </c>
      <c r="B316" s="3">
        <v>2</v>
      </c>
      <c r="C316" s="3">
        <v>47</v>
      </c>
      <c r="D316" s="3">
        <v>30</v>
      </c>
      <c r="E316" s="3">
        <f>((1/(INDEX(E0!J$4:J$52,C316,1)-INDEX(E0!J$4:J$52,D316,1))))*100000000</f>
        <v>0</v>
      </c>
      <c r="F316" s="4" t="str">
        <f>HYPERLINK("http://141.218.60.56/~jnz1568/getInfo.php?workbook=02_02.xlsx&amp;sheet=A0&amp;row=316&amp;col=6&amp;number=&amp;sourceID=27","")</f>
        <v/>
      </c>
      <c r="G316" s="4" t="str">
        <f>HYPERLINK("http://141.218.60.56/~jnz1568/getInfo.php?workbook=02_02.xlsx&amp;sheet=A0&amp;row=316&amp;col=7&amp;number=&amp;sourceID=26","")</f>
        <v/>
      </c>
      <c r="H316" s="4" t="str">
        <f>HYPERLINK("http://141.218.60.56/~jnz1568/getInfo.php?workbook=02_02.xlsx&amp;sheet=A0&amp;row=316&amp;col=8&amp;number=&amp;sourceID=26","")</f>
        <v/>
      </c>
      <c r="I316" s="4" t="str">
        <f>HYPERLINK("http://141.218.60.56/~jnz1568/getInfo.php?workbook=02_02.xlsx&amp;sheet=A0&amp;row=316&amp;col=9&amp;number=124900&amp;sourceID=15","124900")</f>
        <v>124900</v>
      </c>
      <c r="J316" s="4" t="str">
        <f>HYPERLINK("http://141.218.60.56/~jnz1568/getInfo.php?workbook=02_02.xlsx&amp;sheet=A0&amp;row=316&amp;col=10&amp;number=&amp;sourceID=15","")</f>
        <v/>
      </c>
      <c r="K316" s="4" t="str">
        <f>HYPERLINK("http://141.218.60.56/~jnz1568/getInfo.php?workbook=02_02.xlsx&amp;sheet=A0&amp;row=316&amp;col=11&amp;number=&amp;sourceID=15","")</f>
        <v/>
      </c>
      <c r="L316" s="4" t="str">
        <f>HYPERLINK("http://141.218.60.56/~jnz1568/getInfo.php?workbook=02_02.xlsx&amp;sheet=A0&amp;row=316&amp;col=12&amp;number=&amp;sourceID=15","")</f>
        <v/>
      </c>
      <c r="M316" s="4" t="str">
        <f>HYPERLINK("http://141.218.60.56/~jnz1568/getInfo.php?workbook=02_02.xlsx&amp;sheet=A0&amp;row=316&amp;col=13&amp;number=&amp;sourceID=23","")</f>
        <v/>
      </c>
    </row>
    <row r="317" spans="1:13">
      <c r="A317" s="3">
        <v>2</v>
      </c>
      <c r="B317" s="3">
        <v>2</v>
      </c>
      <c r="C317" s="3">
        <v>48</v>
      </c>
      <c r="D317" s="3">
        <v>27</v>
      </c>
      <c r="E317" s="3">
        <f>((1/(INDEX(E0!J$4:J$52,C317,1)-INDEX(E0!J$4:J$52,D317,1))))*100000000</f>
        <v>0</v>
      </c>
      <c r="F317" s="4" t="str">
        <f>HYPERLINK("http://141.218.60.56/~jnz1568/getInfo.php?workbook=02_02.xlsx&amp;sheet=A0&amp;row=317&amp;col=6&amp;number=&amp;sourceID=27","")</f>
        <v/>
      </c>
      <c r="G317" s="4" t="str">
        <f>HYPERLINK("http://141.218.60.56/~jnz1568/getInfo.php?workbook=02_02.xlsx&amp;sheet=A0&amp;row=317&amp;col=7&amp;number=&amp;sourceID=26","")</f>
        <v/>
      </c>
      <c r="H317" s="4" t="str">
        <f>HYPERLINK("http://141.218.60.56/~jnz1568/getInfo.php?workbook=02_02.xlsx&amp;sheet=A0&amp;row=317&amp;col=8&amp;number=&amp;sourceID=26","")</f>
        <v/>
      </c>
      <c r="I317" s="4" t="str">
        <f>HYPERLINK("http://141.218.60.56/~jnz1568/getInfo.php?workbook=02_02.xlsx&amp;sheet=A0&amp;row=317&amp;col=9&amp;number=42450&amp;sourceID=15","42450")</f>
        <v>42450</v>
      </c>
      <c r="J317" s="4" t="str">
        <f>HYPERLINK("http://141.218.60.56/~jnz1568/getInfo.php?workbook=02_02.xlsx&amp;sheet=A0&amp;row=317&amp;col=10&amp;number=&amp;sourceID=15","")</f>
        <v/>
      </c>
      <c r="K317" s="4" t="str">
        <f>HYPERLINK("http://141.218.60.56/~jnz1568/getInfo.php?workbook=02_02.xlsx&amp;sheet=A0&amp;row=317&amp;col=11&amp;number=&amp;sourceID=15","")</f>
        <v/>
      </c>
      <c r="L317" s="4" t="str">
        <f>HYPERLINK("http://141.218.60.56/~jnz1568/getInfo.php?workbook=02_02.xlsx&amp;sheet=A0&amp;row=317&amp;col=12&amp;number=&amp;sourceID=15","")</f>
        <v/>
      </c>
      <c r="M317" s="4" t="str">
        <f>HYPERLINK("http://141.218.60.56/~jnz1568/getInfo.php?workbook=02_02.xlsx&amp;sheet=A0&amp;row=317&amp;col=13&amp;number=&amp;sourceID=23","")</f>
        <v/>
      </c>
    </row>
    <row r="318" spans="1:13">
      <c r="A318" s="3">
        <v>2</v>
      </c>
      <c r="B318" s="3">
        <v>2</v>
      </c>
      <c r="C318" s="3">
        <v>48</v>
      </c>
      <c r="D318" s="3">
        <v>28</v>
      </c>
      <c r="E318" s="3">
        <f>((1/(INDEX(E0!J$4:J$52,C318,1)-INDEX(E0!J$4:J$52,D318,1))))*100000000</f>
        <v>0</v>
      </c>
      <c r="F318" s="4" t="str">
        <f>HYPERLINK("http://141.218.60.56/~jnz1568/getInfo.php?workbook=02_02.xlsx&amp;sheet=A0&amp;row=318&amp;col=6&amp;number=&amp;sourceID=27","")</f>
        <v/>
      </c>
      <c r="G318" s="4" t="str">
        <f>HYPERLINK("http://141.218.60.56/~jnz1568/getInfo.php?workbook=02_02.xlsx&amp;sheet=A0&amp;row=318&amp;col=7&amp;number=&amp;sourceID=26","")</f>
        <v/>
      </c>
      <c r="H318" s="4" t="str">
        <f>HYPERLINK("http://141.218.60.56/~jnz1568/getInfo.php?workbook=02_02.xlsx&amp;sheet=A0&amp;row=318&amp;col=8&amp;number=&amp;sourceID=26","")</f>
        <v/>
      </c>
      <c r="I318" s="4" t="str">
        <f>HYPERLINK("http://141.218.60.56/~jnz1568/getInfo.php?workbook=02_02.xlsx&amp;sheet=A0&amp;row=318&amp;col=9&amp;number=128000&amp;sourceID=15","128000")</f>
        <v>128000</v>
      </c>
      <c r="J318" s="4" t="str">
        <f>HYPERLINK("http://141.218.60.56/~jnz1568/getInfo.php?workbook=02_02.xlsx&amp;sheet=A0&amp;row=318&amp;col=10&amp;number=&amp;sourceID=15","")</f>
        <v/>
      </c>
      <c r="K318" s="4" t="str">
        <f>HYPERLINK("http://141.218.60.56/~jnz1568/getInfo.php?workbook=02_02.xlsx&amp;sheet=A0&amp;row=318&amp;col=11&amp;number=&amp;sourceID=15","")</f>
        <v/>
      </c>
      <c r="L318" s="4" t="str">
        <f>HYPERLINK("http://141.218.60.56/~jnz1568/getInfo.php?workbook=02_02.xlsx&amp;sheet=A0&amp;row=318&amp;col=12&amp;number=&amp;sourceID=15","")</f>
        <v/>
      </c>
      <c r="M318" s="4" t="str">
        <f>HYPERLINK("http://141.218.60.56/~jnz1568/getInfo.php?workbook=02_02.xlsx&amp;sheet=A0&amp;row=318&amp;col=13&amp;number=&amp;sourceID=23","")</f>
        <v/>
      </c>
    </row>
    <row r="319" spans="1:13">
      <c r="A319" s="3">
        <v>2</v>
      </c>
      <c r="B319" s="3">
        <v>2</v>
      </c>
      <c r="C319" s="3">
        <v>48</v>
      </c>
      <c r="D319" s="3">
        <v>30</v>
      </c>
      <c r="E319" s="3">
        <f>((1/(INDEX(E0!J$4:J$52,C319,1)-INDEX(E0!J$4:J$52,D319,1))))*100000000</f>
        <v>0</v>
      </c>
      <c r="F319" s="4" t="str">
        <f>HYPERLINK("http://141.218.60.56/~jnz1568/getInfo.php?workbook=02_02.xlsx&amp;sheet=A0&amp;row=319&amp;col=6&amp;number=&amp;sourceID=27","")</f>
        <v/>
      </c>
      <c r="G319" s="4" t="str">
        <f>HYPERLINK("http://141.218.60.56/~jnz1568/getInfo.php?workbook=02_02.xlsx&amp;sheet=A0&amp;row=319&amp;col=7&amp;number=&amp;sourceID=26","")</f>
        <v/>
      </c>
      <c r="H319" s="4" t="str">
        <f>HYPERLINK("http://141.218.60.56/~jnz1568/getInfo.php?workbook=02_02.xlsx&amp;sheet=A0&amp;row=319&amp;col=8&amp;number=&amp;sourceID=26","")</f>
        <v/>
      </c>
      <c r="I319" s="4" t="str">
        <f>HYPERLINK("http://141.218.60.56/~jnz1568/getInfo.php?workbook=02_02.xlsx&amp;sheet=A0&amp;row=319&amp;col=9&amp;number=4087900&amp;sourceID=15","4087900")</f>
        <v>4087900</v>
      </c>
      <c r="J319" s="4" t="str">
        <f>HYPERLINK("http://141.218.60.56/~jnz1568/getInfo.php?workbook=02_02.xlsx&amp;sheet=A0&amp;row=319&amp;col=10&amp;number=&amp;sourceID=15","")</f>
        <v/>
      </c>
      <c r="K319" s="4" t="str">
        <f>HYPERLINK("http://141.218.60.56/~jnz1568/getInfo.php?workbook=02_02.xlsx&amp;sheet=A0&amp;row=319&amp;col=11&amp;number=&amp;sourceID=15","")</f>
        <v/>
      </c>
      <c r="L319" s="4" t="str">
        <f>HYPERLINK("http://141.218.60.56/~jnz1568/getInfo.php?workbook=02_02.xlsx&amp;sheet=A0&amp;row=319&amp;col=12&amp;number=&amp;sourceID=15","")</f>
        <v/>
      </c>
      <c r="M319" s="4" t="str">
        <f>HYPERLINK("http://141.218.60.56/~jnz1568/getInfo.php?workbook=02_02.xlsx&amp;sheet=A0&amp;row=319&amp;col=13&amp;number=&amp;sourceID=23","")</f>
        <v/>
      </c>
    </row>
    <row r="320" spans="1:13">
      <c r="A320" s="3">
        <v>2</v>
      </c>
      <c r="B320" s="3">
        <v>2</v>
      </c>
      <c r="C320" s="3">
        <v>49</v>
      </c>
      <c r="D320" s="3">
        <v>1</v>
      </c>
      <c r="E320" s="3">
        <f>((1/(INDEX(E0!J$4:J$52,C320,1)-INDEX(E0!J$4:J$52,D320,1))))*100000000</f>
        <v>0</v>
      </c>
      <c r="F320" s="4" t="str">
        <f>HYPERLINK("http://141.218.60.56/~jnz1568/getInfo.php?workbook=02_02.xlsx&amp;sheet=A0&amp;row=320&amp;col=6&amp;number=&amp;sourceID=27","")</f>
        <v/>
      </c>
      <c r="G320" s="4" t="str">
        <f>HYPERLINK("http://141.218.60.56/~jnz1568/getInfo.php?workbook=02_02.xlsx&amp;sheet=A0&amp;row=320&amp;col=7&amp;number=&amp;sourceID=26","")</f>
        <v/>
      </c>
      <c r="H320" s="4" t="str">
        <f>HYPERLINK("http://141.218.60.56/~jnz1568/getInfo.php?workbook=02_02.xlsx&amp;sheet=A0&amp;row=320&amp;col=8&amp;number=&amp;sourceID=26","")</f>
        <v/>
      </c>
      <c r="I320" s="4" t="str">
        <f>HYPERLINK("http://141.218.60.56/~jnz1568/getInfo.php?workbook=02_02.xlsx&amp;sheet=A0&amp;row=320&amp;col=9&amp;number=125820000&amp;sourceID=15","125820000")</f>
        <v>125820000</v>
      </c>
      <c r="J320" s="4" t="str">
        <f>HYPERLINK("http://141.218.60.56/~jnz1568/getInfo.php?workbook=02_02.xlsx&amp;sheet=A0&amp;row=320&amp;col=10&amp;number=&amp;sourceID=15","")</f>
        <v/>
      </c>
      <c r="K320" s="4" t="str">
        <f>HYPERLINK("http://141.218.60.56/~jnz1568/getInfo.php?workbook=02_02.xlsx&amp;sheet=A0&amp;row=320&amp;col=11&amp;number=&amp;sourceID=15","")</f>
        <v/>
      </c>
      <c r="L320" s="4" t="str">
        <f>HYPERLINK("http://141.218.60.56/~jnz1568/getInfo.php?workbook=02_02.xlsx&amp;sheet=A0&amp;row=320&amp;col=12&amp;number=&amp;sourceID=15","")</f>
        <v/>
      </c>
      <c r="M320" s="4" t="str">
        <f>HYPERLINK("http://141.218.60.56/~jnz1568/getInfo.php?workbook=02_02.xlsx&amp;sheet=A0&amp;row=320&amp;col=13&amp;number=125710000&amp;sourceID=23","125710000")</f>
        <v>125710000</v>
      </c>
    </row>
    <row r="321" spans="1:13">
      <c r="A321" s="3">
        <v>2</v>
      </c>
      <c r="B321" s="3">
        <v>2</v>
      </c>
      <c r="C321" s="3">
        <v>49</v>
      </c>
      <c r="D321" s="3">
        <v>2</v>
      </c>
      <c r="E321" s="3">
        <f>((1/(INDEX(E0!J$4:J$52,C321,1)-INDEX(E0!J$4:J$52,D321,1))))*100000000</f>
        <v>0</v>
      </c>
      <c r="F321" s="4" t="str">
        <f>HYPERLINK("http://141.218.60.56/~jnz1568/getInfo.php?workbook=02_02.xlsx&amp;sheet=A0&amp;row=321&amp;col=6&amp;number=&amp;sourceID=27","")</f>
        <v/>
      </c>
      <c r="G321" s="4" t="str">
        <f>HYPERLINK("http://141.218.60.56/~jnz1568/getInfo.php?workbook=02_02.xlsx&amp;sheet=A0&amp;row=321&amp;col=7&amp;number=&amp;sourceID=26","")</f>
        <v/>
      </c>
      <c r="H321" s="4" t="str">
        <f>HYPERLINK("http://141.218.60.56/~jnz1568/getInfo.php?workbook=02_02.xlsx&amp;sheet=A0&amp;row=321&amp;col=8&amp;number=&amp;sourceID=26","")</f>
        <v/>
      </c>
      <c r="I321" s="4" t="str">
        <f>HYPERLINK("http://141.218.60.56/~jnz1568/getInfo.php?workbook=02_02.xlsx&amp;sheet=A0&amp;row=321&amp;col=9&amp;number=&amp;sourceID=15","")</f>
        <v/>
      </c>
      <c r="J321" s="4" t="str">
        <f>HYPERLINK("http://141.218.60.56/~jnz1568/getInfo.php?workbook=02_02.xlsx&amp;sheet=A0&amp;row=321&amp;col=10&amp;number=&amp;sourceID=15","")</f>
        <v/>
      </c>
      <c r="K321" s="4" t="str">
        <f>HYPERLINK("http://141.218.60.56/~jnz1568/getInfo.php?workbook=02_02.xlsx&amp;sheet=A0&amp;row=321&amp;col=11&amp;number=&amp;sourceID=15","")</f>
        <v/>
      </c>
      <c r="L321" s="4" t="str">
        <f>HYPERLINK("http://141.218.60.56/~jnz1568/getInfo.php?workbook=02_02.xlsx&amp;sheet=A0&amp;row=321&amp;col=12&amp;number=&amp;sourceID=15","")</f>
        <v/>
      </c>
      <c r="M321" s="4" t="str">
        <f>HYPERLINK("http://141.218.60.56/~jnz1568/getInfo.php?workbook=02_02.xlsx&amp;sheet=A0&amp;row=321&amp;col=13&amp;number=0.092475&amp;sourceID=23","0.092475")</f>
        <v>0.092475</v>
      </c>
    </row>
    <row r="322" spans="1:13">
      <c r="A322" s="3">
        <v>2</v>
      </c>
      <c r="B322" s="3">
        <v>2</v>
      </c>
      <c r="C322" s="3">
        <v>49</v>
      </c>
      <c r="D322" s="3">
        <v>3</v>
      </c>
      <c r="E322" s="3">
        <f>((1/(INDEX(E0!J$4:J$52,C322,1)-INDEX(E0!J$4:J$52,D322,1))))*100000000</f>
        <v>0</v>
      </c>
      <c r="F322" s="4" t="str">
        <f>HYPERLINK("http://141.218.60.56/~jnz1568/getInfo.php?workbook=02_02.xlsx&amp;sheet=A0&amp;row=322&amp;col=6&amp;number=&amp;sourceID=27","")</f>
        <v/>
      </c>
      <c r="G322" s="4" t="str">
        <f>HYPERLINK("http://141.218.60.56/~jnz1568/getInfo.php?workbook=02_02.xlsx&amp;sheet=A0&amp;row=322&amp;col=7&amp;number=&amp;sourceID=26","")</f>
        <v/>
      </c>
      <c r="H322" s="4" t="str">
        <f>HYPERLINK("http://141.218.60.56/~jnz1568/getInfo.php?workbook=02_02.xlsx&amp;sheet=A0&amp;row=322&amp;col=8&amp;number=&amp;sourceID=26","")</f>
        <v/>
      </c>
      <c r="I322" s="4" t="str">
        <f>HYPERLINK("http://141.218.60.56/~jnz1568/getInfo.php?workbook=02_02.xlsx&amp;sheet=A0&amp;row=322&amp;col=9&amp;number=3802200&amp;sourceID=15","3802200")</f>
        <v>3802200</v>
      </c>
      <c r="J322" s="4" t="str">
        <f>HYPERLINK("http://141.218.60.56/~jnz1568/getInfo.php?workbook=02_02.xlsx&amp;sheet=A0&amp;row=322&amp;col=10&amp;number=&amp;sourceID=15","")</f>
        <v/>
      </c>
      <c r="K322" s="4" t="str">
        <f>HYPERLINK("http://141.218.60.56/~jnz1568/getInfo.php?workbook=02_02.xlsx&amp;sheet=A0&amp;row=322&amp;col=11&amp;number=&amp;sourceID=15","")</f>
        <v/>
      </c>
      <c r="L322" s="4" t="str">
        <f>HYPERLINK("http://141.218.60.56/~jnz1568/getInfo.php?workbook=02_02.xlsx&amp;sheet=A0&amp;row=322&amp;col=12&amp;number=&amp;sourceID=15","")</f>
        <v/>
      </c>
      <c r="M322" s="4" t="str">
        <f>HYPERLINK("http://141.218.60.56/~jnz1568/getInfo.php?workbook=02_02.xlsx&amp;sheet=A0&amp;row=322&amp;col=13&amp;number=3802700&amp;sourceID=23","3802700")</f>
        <v>3802700</v>
      </c>
    </row>
    <row r="323" spans="1:13">
      <c r="A323" s="3">
        <v>2</v>
      </c>
      <c r="B323" s="3">
        <v>2</v>
      </c>
      <c r="C323" s="3">
        <v>49</v>
      </c>
      <c r="D323" s="3">
        <v>7</v>
      </c>
      <c r="E323" s="3">
        <f>((1/(INDEX(E0!J$4:J$52,C323,1)-INDEX(E0!J$4:J$52,D323,1))))*100000000</f>
        <v>0</v>
      </c>
      <c r="F323" s="4" t="str">
        <f>HYPERLINK("http://141.218.60.56/~jnz1568/getInfo.php?workbook=02_02.xlsx&amp;sheet=A0&amp;row=323&amp;col=6&amp;number=&amp;sourceID=27","")</f>
        <v/>
      </c>
      <c r="G323" s="4" t="str">
        <f>HYPERLINK("http://141.218.60.56/~jnz1568/getInfo.php?workbook=02_02.xlsx&amp;sheet=A0&amp;row=323&amp;col=7&amp;number=&amp;sourceID=26","")</f>
        <v/>
      </c>
      <c r="H323" s="4" t="str">
        <f>HYPERLINK("http://141.218.60.56/~jnz1568/getInfo.php?workbook=02_02.xlsx&amp;sheet=A0&amp;row=323&amp;col=8&amp;number=&amp;sourceID=26","")</f>
        <v/>
      </c>
      <c r="I323" s="4" t="str">
        <f>HYPERLINK("http://141.218.60.56/~jnz1568/getInfo.php?workbook=02_02.xlsx&amp;sheet=A0&amp;row=323&amp;col=9&amp;number=&amp;sourceID=15","")</f>
        <v/>
      </c>
      <c r="J323" s="4" t="str">
        <f>HYPERLINK("http://141.218.60.56/~jnz1568/getInfo.php?workbook=02_02.xlsx&amp;sheet=A0&amp;row=323&amp;col=10&amp;number=5.317&amp;sourceID=15","5.317")</f>
        <v>5.317</v>
      </c>
      <c r="K323" s="4" t="str">
        <f>HYPERLINK("http://141.218.60.56/~jnz1568/getInfo.php?workbook=02_02.xlsx&amp;sheet=A0&amp;row=323&amp;col=11&amp;number=&amp;sourceID=15","")</f>
        <v/>
      </c>
      <c r="L323" s="4" t="str">
        <f>HYPERLINK("http://141.218.60.56/~jnz1568/getInfo.php?workbook=02_02.xlsx&amp;sheet=A0&amp;row=323&amp;col=12&amp;number=&amp;sourceID=15","")</f>
        <v/>
      </c>
      <c r="M323" s="4" t="str">
        <f>HYPERLINK("http://141.218.60.56/~jnz1568/getInfo.php?workbook=02_02.xlsx&amp;sheet=A0&amp;row=323&amp;col=13&amp;number=&amp;sourceID=23","")</f>
        <v/>
      </c>
    </row>
    <row r="324" spans="1:13">
      <c r="A324" s="3">
        <v>2</v>
      </c>
      <c r="B324" s="3">
        <v>2</v>
      </c>
      <c r="C324" s="3">
        <v>49</v>
      </c>
      <c r="D324" s="3">
        <v>8</v>
      </c>
      <c r="E324" s="3">
        <f>((1/(INDEX(E0!J$4:J$52,C324,1)-INDEX(E0!J$4:J$52,D324,1))))*100000000</f>
        <v>0</v>
      </c>
      <c r="F324" s="4" t="str">
        <f>HYPERLINK("http://141.218.60.56/~jnz1568/getInfo.php?workbook=02_02.xlsx&amp;sheet=A0&amp;row=324&amp;col=6&amp;number=&amp;sourceID=27","")</f>
        <v/>
      </c>
      <c r="G324" s="4" t="str">
        <f>HYPERLINK("http://141.218.60.56/~jnz1568/getInfo.php?workbook=02_02.xlsx&amp;sheet=A0&amp;row=324&amp;col=7&amp;number=&amp;sourceID=26","")</f>
        <v/>
      </c>
      <c r="H324" s="4" t="str">
        <f>HYPERLINK("http://141.218.60.56/~jnz1568/getInfo.php?workbook=02_02.xlsx&amp;sheet=A0&amp;row=324&amp;col=8&amp;number=&amp;sourceID=26","")</f>
        <v/>
      </c>
      <c r="I324" s="4" t="str">
        <f>HYPERLINK("http://141.218.60.56/~jnz1568/getInfo.php?workbook=02_02.xlsx&amp;sheet=A0&amp;row=324&amp;col=9&amp;number=&amp;sourceID=15","")</f>
        <v/>
      </c>
      <c r="J324" s="4" t="str">
        <f>HYPERLINK("http://141.218.60.56/~jnz1568/getInfo.php?workbook=02_02.xlsx&amp;sheet=A0&amp;row=324&amp;col=10&amp;number=&amp;sourceID=15","")</f>
        <v/>
      </c>
      <c r="K324" s="4" t="str">
        <f>HYPERLINK("http://141.218.60.56/~jnz1568/getInfo.php?workbook=02_02.xlsx&amp;sheet=A0&amp;row=324&amp;col=11&amp;number=&amp;sourceID=15","")</f>
        <v/>
      </c>
      <c r="L324" s="4" t="str">
        <f>HYPERLINK("http://141.218.60.56/~jnz1568/getInfo.php?workbook=02_02.xlsx&amp;sheet=A0&amp;row=324&amp;col=12&amp;number=&amp;sourceID=15","")</f>
        <v/>
      </c>
      <c r="M324" s="4" t="str">
        <f>HYPERLINK("http://141.218.60.56/~jnz1568/getInfo.php?workbook=02_02.xlsx&amp;sheet=A0&amp;row=324&amp;col=13&amp;number=0.0090175&amp;sourceID=23","0.0090175")</f>
        <v>0.0090175</v>
      </c>
    </row>
    <row r="325" spans="1:13">
      <c r="A325" s="3">
        <v>2</v>
      </c>
      <c r="B325" s="3">
        <v>2</v>
      </c>
      <c r="C325" s="3">
        <v>49</v>
      </c>
      <c r="D325" s="3">
        <v>9</v>
      </c>
      <c r="E325" s="3">
        <f>((1/(INDEX(E0!J$4:J$52,C325,1)-INDEX(E0!J$4:J$52,D325,1))))*100000000</f>
        <v>0</v>
      </c>
      <c r="F325" s="4" t="str">
        <f>HYPERLINK("http://141.218.60.56/~jnz1568/getInfo.php?workbook=02_02.xlsx&amp;sheet=A0&amp;row=325&amp;col=6&amp;number=&amp;sourceID=27","")</f>
        <v/>
      </c>
      <c r="G325" s="4" t="str">
        <f>HYPERLINK("http://141.218.60.56/~jnz1568/getInfo.php?workbook=02_02.xlsx&amp;sheet=A0&amp;row=325&amp;col=7&amp;number=&amp;sourceID=26","")</f>
        <v/>
      </c>
      <c r="H325" s="4" t="str">
        <f>HYPERLINK("http://141.218.60.56/~jnz1568/getInfo.php?workbook=02_02.xlsx&amp;sheet=A0&amp;row=325&amp;col=8&amp;number=&amp;sourceID=26","")</f>
        <v/>
      </c>
      <c r="I325" s="4" t="str">
        <f>HYPERLINK("http://141.218.60.56/~jnz1568/getInfo.php?workbook=02_02.xlsx&amp;sheet=A0&amp;row=325&amp;col=9&amp;number=924960&amp;sourceID=15","924960")</f>
        <v>924960</v>
      </c>
      <c r="J325" s="4" t="str">
        <f>HYPERLINK("http://141.218.60.56/~jnz1568/getInfo.php?workbook=02_02.xlsx&amp;sheet=A0&amp;row=325&amp;col=10&amp;number=&amp;sourceID=15","")</f>
        <v/>
      </c>
      <c r="K325" s="4" t="str">
        <f>HYPERLINK("http://141.218.60.56/~jnz1568/getInfo.php?workbook=02_02.xlsx&amp;sheet=A0&amp;row=325&amp;col=11&amp;number=&amp;sourceID=15","")</f>
        <v/>
      </c>
      <c r="L325" s="4" t="str">
        <f>HYPERLINK("http://141.218.60.56/~jnz1568/getInfo.php?workbook=02_02.xlsx&amp;sheet=A0&amp;row=325&amp;col=12&amp;number=&amp;sourceID=15","")</f>
        <v/>
      </c>
      <c r="M325" s="4" t="str">
        <f>HYPERLINK("http://141.218.60.56/~jnz1568/getInfo.php?workbook=02_02.xlsx&amp;sheet=A0&amp;row=325&amp;col=13&amp;number=925180&amp;sourceID=23","925180")</f>
        <v>925180</v>
      </c>
    </row>
    <row r="326" spans="1:13">
      <c r="A326" s="3">
        <v>2</v>
      </c>
      <c r="B326" s="3">
        <v>2</v>
      </c>
      <c r="C326" s="3">
        <v>49</v>
      </c>
      <c r="D326" s="3">
        <v>14</v>
      </c>
      <c r="E326" s="3">
        <f>((1/(INDEX(E0!J$4:J$52,C326,1)-INDEX(E0!J$4:J$52,D326,1))))*100000000</f>
        <v>0</v>
      </c>
      <c r="F326" s="4" t="str">
        <f>HYPERLINK("http://141.218.60.56/~jnz1568/getInfo.php?workbook=02_02.xlsx&amp;sheet=A0&amp;row=326&amp;col=6&amp;number=&amp;sourceID=27","")</f>
        <v/>
      </c>
      <c r="G326" s="4" t="str">
        <f>HYPERLINK("http://141.218.60.56/~jnz1568/getInfo.php?workbook=02_02.xlsx&amp;sheet=A0&amp;row=326&amp;col=7&amp;number=&amp;sourceID=26","")</f>
        <v/>
      </c>
      <c r="H326" s="4" t="str">
        <f>HYPERLINK("http://141.218.60.56/~jnz1568/getInfo.php?workbook=02_02.xlsx&amp;sheet=A0&amp;row=326&amp;col=8&amp;number=&amp;sourceID=26","")</f>
        <v/>
      </c>
      <c r="I326" s="4" t="str">
        <f>HYPERLINK("http://141.218.60.56/~jnz1568/getInfo.php?workbook=02_02.xlsx&amp;sheet=A0&amp;row=326&amp;col=9&amp;number=&amp;sourceID=15","")</f>
        <v/>
      </c>
      <c r="J326" s="4" t="str">
        <f>HYPERLINK("http://141.218.60.56/~jnz1568/getInfo.php?workbook=02_02.xlsx&amp;sheet=A0&amp;row=326&amp;col=10&amp;number=&amp;sourceID=15","")</f>
        <v/>
      </c>
      <c r="K326" s="4" t="str">
        <f>HYPERLINK("http://141.218.60.56/~jnz1568/getInfo.php?workbook=02_02.xlsx&amp;sheet=A0&amp;row=326&amp;col=11&amp;number=&amp;sourceID=15","")</f>
        <v/>
      </c>
      <c r="L326" s="4" t="str">
        <f>HYPERLINK("http://141.218.60.56/~jnz1568/getInfo.php?workbook=02_02.xlsx&amp;sheet=A0&amp;row=326&amp;col=12&amp;number=&amp;sourceID=15","")</f>
        <v/>
      </c>
      <c r="M326" s="4" t="str">
        <f>HYPERLINK("http://141.218.60.56/~jnz1568/getInfo.php?workbook=02_02.xlsx&amp;sheet=A0&amp;row=326&amp;col=13&amp;number=30.521&amp;sourceID=23","30.521")</f>
        <v>30.521</v>
      </c>
    </row>
    <row r="327" spans="1:13">
      <c r="A327" s="3">
        <v>2</v>
      </c>
      <c r="B327" s="3">
        <v>2</v>
      </c>
      <c r="C327" s="3">
        <v>49</v>
      </c>
      <c r="D327" s="3">
        <v>15</v>
      </c>
      <c r="E327" s="3">
        <f>((1/(INDEX(E0!J$4:J$52,C327,1)-INDEX(E0!J$4:J$52,D327,1))))*100000000</f>
        <v>0</v>
      </c>
      <c r="F327" s="4" t="str">
        <f>HYPERLINK("http://141.218.60.56/~jnz1568/getInfo.php?workbook=02_02.xlsx&amp;sheet=A0&amp;row=327&amp;col=6&amp;number=&amp;sourceID=27","")</f>
        <v/>
      </c>
      <c r="G327" s="4" t="str">
        <f>HYPERLINK("http://141.218.60.56/~jnz1568/getInfo.php?workbook=02_02.xlsx&amp;sheet=A0&amp;row=327&amp;col=7&amp;number=&amp;sourceID=26","")</f>
        <v/>
      </c>
      <c r="H327" s="4" t="str">
        <f>HYPERLINK("http://141.218.60.56/~jnz1568/getInfo.php?workbook=02_02.xlsx&amp;sheet=A0&amp;row=327&amp;col=8&amp;number=&amp;sourceID=26","")</f>
        <v/>
      </c>
      <c r="I327" s="4" t="str">
        <f>HYPERLINK("http://141.218.60.56/~jnz1568/getInfo.php?workbook=02_02.xlsx&amp;sheet=A0&amp;row=327&amp;col=9&amp;number=&amp;sourceID=15","")</f>
        <v/>
      </c>
      <c r="J327" s="4" t="str">
        <f>HYPERLINK("http://141.218.60.56/~jnz1568/getInfo.php?workbook=02_02.xlsx&amp;sheet=A0&amp;row=327&amp;col=10&amp;number=&amp;sourceID=15","")</f>
        <v/>
      </c>
      <c r="K327" s="4" t="str">
        <f>HYPERLINK("http://141.218.60.56/~jnz1568/getInfo.php?workbook=02_02.xlsx&amp;sheet=A0&amp;row=327&amp;col=11&amp;number=&amp;sourceID=15","")</f>
        <v/>
      </c>
      <c r="L327" s="4" t="str">
        <f>HYPERLINK("http://141.218.60.56/~jnz1568/getInfo.php?workbook=02_02.xlsx&amp;sheet=A0&amp;row=327&amp;col=12&amp;number=&amp;sourceID=15","")</f>
        <v/>
      </c>
      <c r="M327" s="4" t="str">
        <f>HYPERLINK("http://141.218.60.56/~jnz1568/getInfo.php?workbook=02_02.xlsx&amp;sheet=A0&amp;row=327&amp;col=13&amp;number=0.0019235&amp;sourceID=23","0.0019235")</f>
        <v>0.0019235</v>
      </c>
    </row>
    <row r="328" spans="1:13">
      <c r="A328" s="3">
        <v>2</v>
      </c>
      <c r="B328" s="3">
        <v>2</v>
      </c>
      <c r="C328" s="3">
        <v>49</v>
      </c>
      <c r="D328" s="3">
        <v>16</v>
      </c>
      <c r="E328" s="3">
        <f>((1/(INDEX(E0!J$4:J$52,C328,1)-INDEX(E0!J$4:J$52,D328,1))))*100000000</f>
        <v>0</v>
      </c>
      <c r="F328" s="4" t="str">
        <f>HYPERLINK("http://141.218.60.56/~jnz1568/getInfo.php?workbook=02_02.xlsx&amp;sheet=A0&amp;row=328&amp;col=6&amp;number=&amp;sourceID=27","")</f>
        <v/>
      </c>
      <c r="G328" s="4" t="str">
        <f>HYPERLINK("http://141.218.60.56/~jnz1568/getInfo.php?workbook=02_02.xlsx&amp;sheet=A0&amp;row=328&amp;col=7&amp;number=&amp;sourceID=26","")</f>
        <v/>
      </c>
      <c r="H328" s="4" t="str">
        <f>HYPERLINK("http://141.218.60.56/~jnz1568/getInfo.php?workbook=02_02.xlsx&amp;sheet=A0&amp;row=328&amp;col=8&amp;number=&amp;sourceID=26","")</f>
        <v/>
      </c>
      <c r="I328" s="4" t="str">
        <f>HYPERLINK("http://141.218.60.56/~jnz1568/getInfo.php?workbook=02_02.xlsx&amp;sheet=A0&amp;row=328&amp;col=9&amp;number=127540&amp;sourceID=15","127540")</f>
        <v>127540</v>
      </c>
      <c r="J328" s="4" t="str">
        <f>HYPERLINK("http://141.218.60.56/~jnz1568/getInfo.php?workbook=02_02.xlsx&amp;sheet=A0&amp;row=328&amp;col=10&amp;number=&amp;sourceID=15","")</f>
        <v/>
      </c>
      <c r="K328" s="4" t="str">
        <f>HYPERLINK("http://141.218.60.56/~jnz1568/getInfo.php?workbook=02_02.xlsx&amp;sheet=A0&amp;row=328&amp;col=11&amp;number=&amp;sourceID=15","")</f>
        <v/>
      </c>
      <c r="L328" s="4" t="str">
        <f>HYPERLINK("http://141.218.60.56/~jnz1568/getInfo.php?workbook=02_02.xlsx&amp;sheet=A0&amp;row=328&amp;col=12&amp;number=&amp;sourceID=15","")</f>
        <v/>
      </c>
      <c r="M328" s="4" t="str">
        <f>HYPERLINK("http://141.218.60.56/~jnz1568/getInfo.php?workbook=02_02.xlsx&amp;sheet=A0&amp;row=328&amp;col=13&amp;number=127670&amp;sourceID=23","127670")</f>
        <v>127670</v>
      </c>
    </row>
    <row r="329" spans="1:13">
      <c r="A329" s="3">
        <v>2</v>
      </c>
      <c r="B329" s="3">
        <v>2</v>
      </c>
      <c r="C329" s="3">
        <v>49</v>
      </c>
      <c r="D329" s="3">
        <v>17</v>
      </c>
      <c r="E329" s="3">
        <f>((1/(INDEX(E0!J$4:J$52,C329,1)-INDEX(E0!J$4:J$52,D329,1))))*100000000</f>
        <v>0</v>
      </c>
      <c r="F329" s="4" t="str">
        <f>HYPERLINK("http://141.218.60.56/~jnz1568/getInfo.php?workbook=02_02.xlsx&amp;sheet=A0&amp;row=329&amp;col=6&amp;number=&amp;sourceID=27","")</f>
        <v/>
      </c>
      <c r="G329" s="4" t="str">
        <f>HYPERLINK("http://141.218.60.56/~jnz1568/getInfo.php?workbook=02_02.xlsx&amp;sheet=A0&amp;row=329&amp;col=7&amp;number=&amp;sourceID=26","")</f>
        <v/>
      </c>
      <c r="H329" s="4" t="str">
        <f>HYPERLINK("http://141.218.60.56/~jnz1568/getInfo.php?workbook=02_02.xlsx&amp;sheet=A0&amp;row=329&amp;col=8&amp;number=&amp;sourceID=26","")</f>
        <v/>
      </c>
      <c r="I329" s="4" t="str">
        <f>HYPERLINK("http://141.218.60.56/~jnz1568/getInfo.php?workbook=02_02.xlsx&amp;sheet=A0&amp;row=329&amp;col=9&amp;number=&amp;sourceID=15","")</f>
        <v/>
      </c>
      <c r="J329" s="4" t="str">
        <f>HYPERLINK("http://141.218.60.56/~jnz1568/getInfo.php?workbook=02_02.xlsx&amp;sheet=A0&amp;row=329&amp;col=10&amp;number=1.423&amp;sourceID=15","1.423")</f>
        <v>1.423</v>
      </c>
      <c r="K329" s="4" t="str">
        <f>HYPERLINK("http://141.218.60.56/~jnz1568/getInfo.php?workbook=02_02.xlsx&amp;sheet=A0&amp;row=329&amp;col=11&amp;number=&amp;sourceID=15","")</f>
        <v/>
      </c>
      <c r="L329" s="4" t="str">
        <f>HYPERLINK("http://141.218.60.56/~jnz1568/getInfo.php?workbook=02_02.xlsx&amp;sheet=A0&amp;row=329&amp;col=12&amp;number=&amp;sourceID=15","")</f>
        <v/>
      </c>
      <c r="M329" s="4" t="str">
        <f>HYPERLINK("http://141.218.60.56/~jnz1568/getInfo.php?workbook=02_02.xlsx&amp;sheet=A0&amp;row=329&amp;col=13&amp;number=&amp;sourceID=23","")</f>
        <v/>
      </c>
    </row>
    <row r="330" spans="1:13">
      <c r="A330" s="3">
        <v>2</v>
      </c>
      <c r="B330" s="3">
        <v>2</v>
      </c>
      <c r="C330" s="3">
        <v>49</v>
      </c>
      <c r="D330" s="3">
        <v>18</v>
      </c>
      <c r="E330" s="3">
        <f>((1/(INDEX(E0!J$4:J$52,C330,1)-INDEX(E0!J$4:J$52,D330,1))))*100000000</f>
        <v>0</v>
      </c>
      <c r="F330" s="4" t="str">
        <f>HYPERLINK("http://141.218.60.56/~jnz1568/getInfo.php?workbook=02_02.xlsx&amp;sheet=A0&amp;row=330&amp;col=6&amp;number=&amp;sourceID=27","")</f>
        <v/>
      </c>
      <c r="G330" s="4" t="str">
        <f>HYPERLINK("http://141.218.60.56/~jnz1568/getInfo.php?workbook=02_02.xlsx&amp;sheet=A0&amp;row=330&amp;col=7&amp;number=&amp;sourceID=26","")</f>
        <v/>
      </c>
      <c r="H330" s="4" t="str">
        <f>HYPERLINK("http://141.218.60.56/~jnz1568/getInfo.php?workbook=02_02.xlsx&amp;sheet=A0&amp;row=330&amp;col=8&amp;number=&amp;sourceID=26","")</f>
        <v/>
      </c>
      <c r="I330" s="4" t="str">
        <f>HYPERLINK("http://141.218.60.56/~jnz1568/getInfo.php?workbook=02_02.xlsx&amp;sheet=A0&amp;row=330&amp;col=9&amp;number=&amp;sourceID=15","")</f>
        <v/>
      </c>
      <c r="J330" s="4" t="str">
        <f>HYPERLINK("http://141.218.60.56/~jnz1568/getInfo.php?workbook=02_02.xlsx&amp;sheet=A0&amp;row=330&amp;col=10&amp;number=&amp;sourceID=15","")</f>
        <v/>
      </c>
      <c r="K330" s="4" t="str">
        <f>HYPERLINK("http://141.218.60.56/~jnz1568/getInfo.php?workbook=02_02.xlsx&amp;sheet=A0&amp;row=330&amp;col=11&amp;number=&amp;sourceID=15","")</f>
        <v/>
      </c>
      <c r="L330" s="4" t="str">
        <f>HYPERLINK("http://141.218.60.56/~jnz1568/getInfo.php?workbook=02_02.xlsx&amp;sheet=A0&amp;row=330&amp;col=12&amp;number=&amp;sourceID=15","")</f>
        <v/>
      </c>
      <c r="M330" s="4" t="str">
        <f>HYPERLINK("http://141.218.60.56/~jnz1568/getInfo.php?workbook=02_02.xlsx&amp;sheet=A0&amp;row=330&amp;col=13&amp;number=0.0004363&amp;sourceID=23","0.0004363")</f>
        <v>0.0004363</v>
      </c>
    </row>
    <row r="331" spans="1:13">
      <c r="A331" s="3">
        <v>2</v>
      </c>
      <c r="B331" s="3">
        <v>2</v>
      </c>
      <c r="C331" s="3">
        <v>49</v>
      </c>
      <c r="D331" s="3">
        <v>19</v>
      </c>
      <c r="E331" s="3">
        <f>((1/(INDEX(E0!J$4:J$52,C331,1)-INDEX(E0!J$4:J$52,D331,1))))*100000000</f>
        <v>0</v>
      </c>
      <c r="F331" s="4" t="str">
        <f>HYPERLINK("http://141.218.60.56/~jnz1568/getInfo.php?workbook=02_02.xlsx&amp;sheet=A0&amp;row=331&amp;col=6&amp;number=&amp;sourceID=27","")</f>
        <v/>
      </c>
      <c r="G331" s="4" t="str">
        <f>HYPERLINK("http://141.218.60.56/~jnz1568/getInfo.php?workbook=02_02.xlsx&amp;sheet=A0&amp;row=331&amp;col=7&amp;number=&amp;sourceID=26","")</f>
        <v/>
      </c>
      <c r="H331" s="4" t="str">
        <f>HYPERLINK("http://141.218.60.56/~jnz1568/getInfo.php?workbook=02_02.xlsx&amp;sheet=A0&amp;row=331&amp;col=8&amp;number=&amp;sourceID=26","")</f>
        <v/>
      </c>
      <c r="I331" s="4" t="str">
        <f>HYPERLINK("http://141.218.60.56/~jnz1568/getInfo.php?workbook=02_02.xlsx&amp;sheet=A0&amp;row=331&amp;col=9&amp;number=293230&amp;sourceID=15","293230")</f>
        <v>293230</v>
      </c>
      <c r="J331" s="4" t="str">
        <f>HYPERLINK("http://141.218.60.56/~jnz1568/getInfo.php?workbook=02_02.xlsx&amp;sheet=A0&amp;row=331&amp;col=10&amp;number=&amp;sourceID=15","")</f>
        <v/>
      </c>
      <c r="K331" s="4" t="str">
        <f>HYPERLINK("http://141.218.60.56/~jnz1568/getInfo.php?workbook=02_02.xlsx&amp;sheet=A0&amp;row=331&amp;col=11&amp;number=&amp;sourceID=15","")</f>
        <v/>
      </c>
      <c r="L331" s="4" t="str">
        <f>HYPERLINK("http://141.218.60.56/~jnz1568/getInfo.php?workbook=02_02.xlsx&amp;sheet=A0&amp;row=331&amp;col=12&amp;number=&amp;sourceID=15","")</f>
        <v/>
      </c>
      <c r="M331" s="4" t="str">
        <f>HYPERLINK("http://141.218.60.56/~jnz1568/getInfo.php?workbook=02_02.xlsx&amp;sheet=A0&amp;row=331&amp;col=13&amp;number=293310&amp;sourceID=23","293310")</f>
        <v>293310</v>
      </c>
    </row>
    <row r="332" spans="1:13">
      <c r="A332" s="3">
        <v>2</v>
      </c>
      <c r="B332" s="3">
        <v>2</v>
      </c>
      <c r="C332" s="3">
        <v>49</v>
      </c>
      <c r="D332" s="3">
        <v>24</v>
      </c>
      <c r="E332" s="3">
        <f>((1/(INDEX(E0!J$4:J$52,C332,1)-INDEX(E0!J$4:J$52,D332,1))))*100000000</f>
        <v>0</v>
      </c>
      <c r="F332" s="4" t="str">
        <f>HYPERLINK("http://141.218.60.56/~jnz1568/getInfo.php?workbook=02_02.xlsx&amp;sheet=A0&amp;row=332&amp;col=6&amp;number=&amp;sourceID=27","")</f>
        <v/>
      </c>
      <c r="G332" s="4" t="str">
        <f>HYPERLINK("http://141.218.60.56/~jnz1568/getInfo.php?workbook=02_02.xlsx&amp;sheet=A0&amp;row=332&amp;col=7&amp;number=&amp;sourceID=26","")</f>
        <v/>
      </c>
      <c r="H332" s="4" t="str">
        <f>HYPERLINK("http://141.218.60.56/~jnz1568/getInfo.php?workbook=02_02.xlsx&amp;sheet=A0&amp;row=332&amp;col=8&amp;number=&amp;sourceID=26","")</f>
        <v/>
      </c>
      <c r="I332" s="4" t="str">
        <f>HYPERLINK("http://141.218.60.56/~jnz1568/getInfo.php?workbook=02_02.xlsx&amp;sheet=A0&amp;row=332&amp;col=9&amp;number=20.05&amp;sourceID=15","20.05")</f>
        <v>20.05</v>
      </c>
      <c r="J332" s="4" t="str">
        <f>HYPERLINK("http://141.218.60.56/~jnz1568/getInfo.php?workbook=02_02.xlsx&amp;sheet=A0&amp;row=332&amp;col=10&amp;number=&amp;sourceID=15","")</f>
        <v/>
      </c>
      <c r="K332" s="4" t="str">
        <f>HYPERLINK("http://141.218.60.56/~jnz1568/getInfo.php?workbook=02_02.xlsx&amp;sheet=A0&amp;row=332&amp;col=11&amp;number=&amp;sourceID=15","")</f>
        <v/>
      </c>
      <c r="L332" s="4" t="str">
        <f>HYPERLINK("http://141.218.60.56/~jnz1568/getInfo.php?workbook=02_02.xlsx&amp;sheet=A0&amp;row=332&amp;col=12&amp;number=&amp;sourceID=15","")</f>
        <v/>
      </c>
      <c r="M332" s="4" t="str">
        <f>HYPERLINK("http://141.218.60.56/~jnz1568/getInfo.php?workbook=02_02.xlsx&amp;sheet=A0&amp;row=332&amp;col=13&amp;number=20.843&amp;sourceID=23","20.843")</f>
        <v>20.843</v>
      </c>
    </row>
    <row r="333" spans="1:13">
      <c r="A333" s="3">
        <v>2</v>
      </c>
      <c r="B333" s="3">
        <v>2</v>
      </c>
      <c r="C333" s="3">
        <v>49</v>
      </c>
      <c r="D333" s="3">
        <v>25</v>
      </c>
      <c r="E333" s="3">
        <f>((1/(INDEX(E0!J$4:J$52,C333,1)-INDEX(E0!J$4:J$52,D333,1))))*100000000</f>
        <v>0</v>
      </c>
      <c r="F333" s="4" t="str">
        <f>HYPERLINK("http://141.218.60.56/~jnz1568/getInfo.php?workbook=02_02.xlsx&amp;sheet=A0&amp;row=333&amp;col=6&amp;number=&amp;sourceID=27","")</f>
        <v/>
      </c>
      <c r="G333" s="4" t="str">
        <f>HYPERLINK("http://141.218.60.56/~jnz1568/getInfo.php?workbook=02_02.xlsx&amp;sheet=A0&amp;row=333&amp;col=7&amp;number=&amp;sourceID=26","")</f>
        <v/>
      </c>
      <c r="H333" s="4" t="str">
        <f>HYPERLINK("http://141.218.60.56/~jnz1568/getInfo.php?workbook=02_02.xlsx&amp;sheet=A0&amp;row=333&amp;col=8&amp;number=&amp;sourceID=26","")</f>
        <v/>
      </c>
      <c r="I333" s="4" t="str">
        <f>HYPERLINK("http://141.218.60.56/~jnz1568/getInfo.php?workbook=02_02.xlsx&amp;sheet=A0&amp;row=333&amp;col=9&amp;number=&amp;sourceID=15","")</f>
        <v/>
      </c>
      <c r="J333" s="4" t="str">
        <f>HYPERLINK("http://141.218.60.56/~jnz1568/getInfo.php?workbook=02_02.xlsx&amp;sheet=A0&amp;row=333&amp;col=10&amp;number=&amp;sourceID=15","")</f>
        <v/>
      </c>
      <c r="K333" s="4" t="str">
        <f>HYPERLINK("http://141.218.60.56/~jnz1568/getInfo.php?workbook=02_02.xlsx&amp;sheet=A0&amp;row=333&amp;col=11&amp;number=&amp;sourceID=15","")</f>
        <v/>
      </c>
      <c r="L333" s="4" t="str">
        <f>HYPERLINK("http://141.218.60.56/~jnz1568/getInfo.php?workbook=02_02.xlsx&amp;sheet=A0&amp;row=333&amp;col=12&amp;number=&amp;sourceID=15","")</f>
        <v/>
      </c>
      <c r="M333" s="4" t="str">
        <f>HYPERLINK("http://141.218.60.56/~jnz1568/getInfo.php?workbook=02_02.xlsx&amp;sheet=A0&amp;row=333&amp;col=13&amp;number=0.0025495&amp;sourceID=23","0.0025495")</f>
        <v>0.0025495</v>
      </c>
    </row>
    <row r="334" spans="1:13">
      <c r="A334" s="3">
        <v>2</v>
      </c>
      <c r="B334" s="3">
        <v>2</v>
      </c>
      <c r="C334" s="3">
        <v>49</v>
      </c>
      <c r="D334" s="3">
        <v>26</v>
      </c>
      <c r="E334" s="3">
        <f>((1/(INDEX(E0!J$4:J$52,C334,1)-INDEX(E0!J$4:J$52,D334,1))))*100000000</f>
        <v>0</v>
      </c>
      <c r="F334" s="4" t="str">
        <f>HYPERLINK("http://141.218.60.56/~jnz1568/getInfo.php?workbook=02_02.xlsx&amp;sheet=A0&amp;row=334&amp;col=6&amp;number=&amp;sourceID=27","")</f>
        <v/>
      </c>
      <c r="G334" s="4" t="str">
        <f>HYPERLINK("http://141.218.60.56/~jnz1568/getInfo.php?workbook=02_02.xlsx&amp;sheet=A0&amp;row=334&amp;col=7&amp;number=&amp;sourceID=26","")</f>
        <v/>
      </c>
      <c r="H334" s="4" t="str">
        <f>HYPERLINK("http://141.218.60.56/~jnz1568/getInfo.php?workbook=02_02.xlsx&amp;sheet=A0&amp;row=334&amp;col=8&amp;number=&amp;sourceID=26","")</f>
        <v/>
      </c>
      <c r="I334" s="4" t="str">
        <f>HYPERLINK("http://141.218.60.56/~jnz1568/getInfo.php?workbook=02_02.xlsx&amp;sheet=A0&amp;row=334&amp;col=9&amp;number=163300&amp;sourceID=15","163300")</f>
        <v>163300</v>
      </c>
      <c r="J334" s="4" t="str">
        <f>HYPERLINK("http://141.218.60.56/~jnz1568/getInfo.php?workbook=02_02.xlsx&amp;sheet=A0&amp;row=334&amp;col=10&amp;number=&amp;sourceID=15","")</f>
        <v/>
      </c>
      <c r="K334" s="4" t="str">
        <f>HYPERLINK("http://141.218.60.56/~jnz1568/getInfo.php?workbook=02_02.xlsx&amp;sheet=A0&amp;row=334&amp;col=11&amp;number=&amp;sourceID=15","")</f>
        <v/>
      </c>
      <c r="L334" s="4" t="str">
        <f>HYPERLINK("http://141.218.60.56/~jnz1568/getInfo.php?workbook=02_02.xlsx&amp;sheet=A0&amp;row=334&amp;col=12&amp;number=&amp;sourceID=15","")</f>
        <v/>
      </c>
      <c r="M334" s="4" t="str">
        <f>HYPERLINK("http://141.218.60.56/~jnz1568/getInfo.php?workbook=02_02.xlsx&amp;sheet=A0&amp;row=334&amp;col=13&amp;number=163500&amp;sourceID=23","163500")</f>
        <v>163500</v>
      </c>
    </row>
    <row r="335" spans="1:13">
      <c r="A335" s="3">
        <v>2</v>
      </c>
      <c r="B335" s="3">
        <v>2</v>
      </c>
      <c r="C335" s="3">
        <v>49</v>
      </c>
      <c r="D335" s="3">
        <v>31</v>
      </c>
      <c r="E335" s="3">
        <f>((1/(INDEX(E0!J$4:J$52,C335,1)-INDEX(E0!J$4:J$52,D335,1))))*100000000</f>
        <v>0</v>
      </c>
      <c r="F335" s="4" t="str">
        <f>HYPERLINK("http://141.218.60.56/~jnz1568/getInfo.php?workbook=02_02.xlsx&amp;sheet=A0&amp;row=335&amp;col=6&amp;number=&amp;sourceID=27","")</f>
        <v/>
      </c>
      <c r="G335" s="4" t="str">
        <f>HYPERLINK("http://141.218.60.56/~jnz1568/getInfo.php?workbook=02_02.xlsx&amp;sheet=A0&amp;row=335&amp;col=7&amp;number=&amp;sourceID=26","")</f>
        <v/>
      </c>
      <c r="H335" s="4" t="str">
        <f>HYPERLINK("http://141.218.60.56/~jnz1568/getInfo.php?workbook=02_02.xlsx&amp;sheet=A0&amp;row=335&amp;col=8&amp;number=&amp;sourceID=26","")</f>
        <v/>
      </c>
      <c r="I335" s="4" t="str">
        <f>HYPERLINK("http://141.218.60.56/~jnz1568/getInfo.php?workbook=02_02.xlsx&amp;sheet=A0&amp;row=335&amp;col=9&amp;number=&amp;sourceID=15","")</f>
        <v/>
      </c>
      <c r="J335" s="4" t="str">
        <f>HYPERLINK("http://141.218.60.56/~jnz1568/getInfo.php?workbook=02_02.xlsx&amp;sheet=A0&amp;row=335&amp;col=10&amp;number=0.4519&amp;sourceID=15","0.4519")</f>
        <v>0.4519</v>
      </c>
      <c r="K335" s="4" t="str">
        <f>HYPERLINK("http://141.218.60.56/~jnz1568/getInfo.php?workbook=02_02.xlsx&amp;sheet=A0&amp;row=335&amp;col=11&amp;number=&amp;sourceID=15","")</f>
        <v/>
      </c>
      <c r="L335" s="4" t="str">
        <f>HYPERLINK("http://141.218.60.56/~jnz1568/getInfo.php?workbook=02_02.xlsx&amp;sheet=A0&amp;row=335&amp;col=12&amp;number=&amp;sourceID=15","")</f>
        <v/>
      </c>
      <c r="M335" s="4" t="str">
        <f>HYPERLINK("http://141.218.60.56/~jnz1568/getInfo.php?workbook=02_02.xlsx&amp;sheet=A0&amp;row=335&amp;col=13&amp;number=&amp;sourceID=23","")</f>
        <v/>
      </c>
    </row>
    <row r="336" spans="1:13">
      <c r="A336" s="3">
        <v>2</v>
      </c>
      <c r="B336" s="3">
        <v>2</v>
      </c>
      <c r="C336" s="3">
        <v>49</v>
      </c>
      <c r="D336" s="3">
        <v>32</v>
      </c>
      <c r="E336" s="3">
        <f>((1/(INDEX(E0!J$4:J$52,C336,1)-INDEX(E0!J$4:J$52,D336,1))))*100000000</f>
        <v>0</v>
      </c>
      <c r="F336" s="4" t="str">
        <f>HYPERLINK("http://141.218.60.56/~jnz1568/getInfo.php?workbook=02_02.xlsx&amp;sheet=A0&amp;row=336&amp;col=6&amp;number=&amp;sourceID=27","")</f>
        <v/>
      </c>
      <c r="G336" s="4" t="str">
        <f>HYPERLINK("http://141.218.60.56/~jnz1568/getInfo.php?workbook=02_02.xlsx&amp;sheet=A0&amp;row=336&amp;col=7&amp;number=&amp;sourceID=26","")</f>
        <v/>
      </c>
      <c r="H336" s="4" t="str">
        <f>HYPERLINK("http://141.218.60.56/~jnz1568/getInfo.php?workbook=02_02.xlsx&amp;sheet=A0&amp;row=336&amp;col=8&amp;number=&amp;sourceID=26","")</f>
        <v/>
      </c>
      <c r="I336" s="4" t="str">
        <f>HYPERLINK("http://141.218.60.56/~jnz1568/getInfo.php?workbook=02_02.xlsx&amp;sheet=A0&amp;row=336&amp;col=9&amp;number=&amp;sourceID=15","")</f>
        <v/>
      </c>
      <c r="J336" s="4" t="str">
        <f>HYPERLINK("http://141.218.60.56/~jnz1568/getInfo.php?workbook=02_02.xlsx&amp;sheet=A0&amp;row=336&amp;col=10&amp;number=&amp;sourceID=15","")</f>
        <v/>
      </c>
      <c r="K336" s="4" t="str">
        <f>HYPERLINK("http://141.218.60.56/~jnz1568/getInfo.php?workbook=02_02.xlsx&amp;sheet=A0&amp;row=336&amp;col=11&amp;number=&amp;sourceID=15","")</f>
        <v/>
      </c>
      <c r="L336" s="4" t="str">
        <f>HYPERLINK("http://141.218.60.56/~jnz1568/getInfo.php?workbook=02_02.xlsx&amp;sheet=A0&amp;row=336&amp;col=12&amp;number=&amp;sourceID=15","")</f>
        <v/>
      </c>
      <c r="M336" s="4" t="str">
        <f>HYPERLINK("http://141.218.60.56/~jnz1568/getInfo.php?workbook=02_02.xlsx&amp;sheet=A0&amp;row=336&amp;col=13&amp;number=0.0095474&amp;sourceID=23","0.0095474")</f>
        <v>0.0095474</v>
      </c>
    </row>
    <row r="337" spans="1:13">
      <c r="A337" s="3">
        <v>2</v>
      </c>
      <c r="B337" s="3">
        <v>2</v>
      </c>
      <c r="C337" s="3">
        <v>49</v>
      </c>
      <c r="D337" s="3">
        <v>33</v>
      </c>
      <c r="E337" s="3">
        <f>((1/(INDEX(E0!J$4:J$52,C337,1)-INDEX(E0!J$4:J$52,D337,1))))*100000000</f>
        <v>0</v>
      </c>
      <c r="F337" s="4" t="str">
        <f>HYPERLINK("http://141.218.60.56/~jnz1568/getInfo.php?workbook=02_02.xlsx&amp;sheet=A0&amp;row=337&amp;col=6&amp;number=&amp;sourceID=27","")</f>
        <v/>
      </c>
      <c r="G337" s="4" t="str">
        <f>HYPERLINK("http://141.218.60.56/~jnz1568/getInfo.php?workbook=02_02.xlsx&amp;sheet=A0&amp;row=337&amp;col=7&amp;number=&amp;sourceID=26","")</f>
        <v/>
      </c>
      <c r="H337" s="4" t="str">
        <f>HYPERLINK("http://141.218.60.56/~jnz1568/getInfo.php?workbook=02_02.xlsx&amp;sheet=A0&amp;row=337&amp;col=8&amp;number=&amp;sourceID=26","")</f>
        <v/>
      </c>
      <c r="I337" s="4" t="str">
        <f>HYPERLINK("http://141.218.60.56/~jnz1568/getInfo.php?workbook=02_02.xlsx&amp;sheet=A0&amp;row=337&amp;col=9&amp;number=18738&amp;sourceID=15","18738")</f>
        <v>18738</v>
      </c>
      <c r="J337" s="4" t="str">
        <f>HYPERLINK("http://141.218.60.56/~jnz1568/getInfo.php?workbook=02_02.xlsx&amp;sheet=A0&amp;row=337&amp;col=10&amp;number=&amp;sourceID=15","")</f>
        <v/>
      </c>
      <c r="K337" s="4" t="str">
        <f>HYPERLINK("http://141.218.60.56/~jnz1568/getInfo.php?workbook=02_02.xlsx&amp;sheet=A0&amp;row=337&amp;col=11&amp;number=&amp;sourceID=15","")</f>
        <v/>
      </c>
      <c r="L337" s="4" t="str">
        <f>HYPERLINK("http://141.218.60.56/~jnz1568/getInfo.php?workbook=02_02.xlsx&amp;sheet=A0&amp;row=337&amp;col=12&amp;number=&amp;sourceID=15","")</f>
        <v/>
      </c>
      <c r="M337" s="4" t="str">
        <f>HYPERLINK("http://141.218.60.56/~jnz1568/getInfo.php?workbook=02_02.xlsx&amp;sheet=A0&amp;row=337&amp;col=13&amp;number=18719&amp;sourceID=23","18719")</f>
        <v>18719</v>
      </c>
    </row>
    <row r="338" spans="1:13">
      <c r="A338" s="3">
        <v>2</v>
      </c>
      <c r="B338" s="3">
        <v>2</v>
      </c>
      <c r="C338" s="3">
        <v>49</v>
      </c>
      <c r="D338" s="3">
        <v>38</v>
      </c>
      <c r="E338" s="3">
        <f>((1/(INDEX(E0!J$4:J$52,C338,1)-INDEX(E0!J$4:J$52,D338,1))))*100000000</f>
        <v>0</v>
      </c>
      <c r="F338" s="4" t="str">
        <f>HYPERLINK("http://141.218.60.56/~jnz1568/getInfo.php?workbook=02_02.xlsx&amp;sheet=A0&amp;row=338&amp;col=6&amp;number=&amp;sourceID=27","")</f>
        <v/>
      </c>
      <c r="G338" s="4" t="str">
        <f>HYPERLINK("http://141.218.60.56/~jnz1568/getInfo.php?workbook=02_02.xlsx&amp;sheet=A0&amp;row=338&amp;col=7&amp;number=&amp;sourceID=26","")</f>
        <v/>
      </c>
      <c r="H338" s="4" t="str">
        <f>HYPERLINK("http://141.218.60.56/~jnz1568/getInfo.php?workbook=02_02.xlsx&amp;sheet=A0&amp;row=338&amp;col=8&amp;number=&amp;sourceID=26","")</f>
        <v/>
      </c>
      <c r="I338" s="4" t="str">
        <f>HYPERLINK("http://141.218.60.56/~jnz1568/getInfo.php?workbook=02_02.xlsx&amp;sheet=A0&amp;row=338&amp;col=9&amp;number=0.002501&amp;sourceID=15","0.002501")</f>
        <v>0.002501</v>
      </c>
      <c r="J338" s="4" t="str">
        <f>HYPERLINK("http://141.218.60.56/~jnz1568/getInfo.php?workbook=02_02.xlsx&amp;sheet=A0&amp;row=338&amp;col=10&amp;number=&amp;sourceID=15","")</f>
        <v/>
      </c>
      <c r="K338" s="4" t="str">
        <f>HYPERLINK("http://141.218.60.56/~jnz1568/getInfo.php?workbook=02_02.xlsx&amp;sheet=A0&amp;row=338&amp;col=11&amp;number=&amp;sourceID=15","")</f>
        <v/>
      </c>
      <c r="L338" s="4" t="str">
        <f>HYPERLINK("http://141.218.60.56/~jnz1568/getInfo.php?workbook=02_02.xlsx&amp;sheet=A0&amp;row=338&amp;col=12&amp;number=&amp;sourceID=15","")</f>
        <v/>
      </c>
      <c r="M338" s="4" t="str">
        <f>HYPERLINK("http://141.218.60.56/~jnz1568/getInfo.php?workbook=02_02.xlsx&amp;sheet=A0&amp;row=338&amp;col=13&amp;number=0.0024674&amp;sourceID=23","0.0024674")</f>
        <v>0.0024674</v>
      </c>
    </row>
    <row r="339" spans="1:13">
      <c r="A339" s="3">
        <v>2</v>
      </c>
      <c r="B339" s="3">
        <v>2</v>
      </c>
      <c r="C339" s="3">
        <v>49</v>
      </c>
      <c r="D339" s="3">
        <v>39</v>
      </c>
      <c r="E339" s="3">
        <f>((1/(INDEX(E0!J$4:J$52,C339,1)-INDEX(E0!J$4:J$52,D339,1))))*100000000</f>
        <v>0</v>
      </c>
      <c r="F339" s="4" t="str">
        <f>HYPERLINK("http://141.218.60.56/~jnz1568/getInfo.php?workbook=02_02.xlsx&amp;sheet=A0&amp;row=339&amp;col=6&amp;number=&amp;sourceID=27","")</f>
        <v/>
      </c>
      <c r="G339" s="4" t="str">
        <f>HYPERLINK("http://141.218.60.56/~jnz1568/getInfo.php?workbook=02_02.xlsx&amp;sheet=A0&amp;row=339&amp;col=7&amp;number=&amp;sourceID=26","")</f>
        <v/>
      </c>
      <c r="H339" s="4" t="str">
        <f>HYPERLINK("http://141.218.60.56/~jnz1568/getInfo.php?workbook=02_02.xlsx&amp;sheet=A0&amp;row=339&amp;col=8&amp;number=&amp;sourceID=26","")</f>
        <v/>
      </c>
      <c r="I339" s="4" t="str">
        <f>HYPERLINK("http://141.218.60.56/~jnz1568/getInfo.php?workbook=02_02.xlsx&amp;sheet=A0&amp;row=339&amp;col=9&amp;number=3.949e-07&amp;sourceID=15","3.949e-07")</f>
        <v>3.949e-07</v>
      </c>
      <c r="J339" s="4" t="str">
        <f>HYPERLINK("http://141.218.60.56/~jnz1568/getInfo.php?workbook=02_02.xlsx&amp;sheet=A0&amp;row=339&amp;col=10&amp;number=&amp;sourceID=15","")</f>
        <v/>
      </c>
      <c r="K339" s="4" t="str">
        <f>HYPERLINK("http://141.218.60.56/~jnz1568/getInfo.php?workbook=02_02.xlsx&amp;sheet=A0&amp;row=339&amp;col=11&amp;number=&amp;sourceID=15","")</f>
        <v/>
      </c>
      <c r="L339" s="4" t="str">
        <f>HYPERLINK("http://141.218.60.56/~jnz1568/getInfo.php?workbook=02_02.xlsx&amp;sheet=A0&amp;row=339&amp;col=12&amp;number=&amp;sourceID=15","")</f>
        <v/>
      </c>
      <c r="M339" s="4" t="str">
        <f>HYPERLINK("http://141.218.60.56/~jnz1568/getInfo.php?workbook=02_02.xlsx&amp;sheet=A0&amp;row=339&amp;col=13&amp;number=3.8507e-07&amp;sourceID=23","3.8507e-07")</f>
        <v>3.8507e-07</v>
      </c>
    </row>
    <row r="340" spans="1:13">
      <c r="A340" s="3">
        <v>2</v>
      </c>
      <c r="B340" s="3">
        <v>2</v>
      </c>
      <c r="C340" s="3">
        <v>49</v>
      </c>
      <c r="D340" s="3">
        <v>40</v>
      </c>
      <c r="E340" s="3">
        <f>((1/(INDEX(E0!J$4:J$52,C340,1)-INDEX(E0!J$4:J$52,D340,1))))*100000000</f>
        <v>0</v>
      </c>
      <c r="F340" s="4" t="str">
        <f>HYPERLINK("http://141.218.60.56/~jnz1568/getInfo.php?workbook=02_02.xlsx&amp;sheet=A0&amp;row=340&amp;col=6&amp;number=&amp;sourceID=27","")</f>
        <v/>
      </c>
      <c r="G340" s="4" t="str">
        <f>HYPERLINK("http://141.218.60.56/~jnz1568/getInfo.php?workbook=02_02.xlsx&amp;sheet=A0&amp;row=340&amp;col=7&amp;number=&amp;sourceID=26","")</f>
        <v/>
      </c>
      <c r="H340" s="4" t="str">
        <f>HYPERLINK("http://141.218.60.56/~jnz1568/getInfo.php?workbook=02_02.xlsx&amp;sheet=A0&amp;row=340&amp;col=8&amp;number=&amp;sourceID=26","")</f>
        <v/>
      </c>
      <c r="I340" s="4" t="str">
        <f>HYPERLINK("http://141.218.60.56/~jnz1568/getInfo.php?workbook=02_02.xlsx&amp;sheet=A0&amp;row=340&amp;col=9&amp;number=22.222&amp;sourceID=15","22.222")</f>
        <v>22.222</v>
      </c>
      <c r="J340" s="4" t="str">
        <f>HYPERLINK("http://141.218.60.56/~jnz1568/getInfo.php?workbook=02_02.xlsx&amp;sheet=A0&amp;row=340&amp;col=10&amp;number=&amp;sourceID=15","")</f>
        <v/>
      </c>
      <c r="K340" s="4" t="str">
        <f>HYPERLINK("http://141.218.60.56/~jnz1568/getInfo.php?workbook=02_02.xlsx&amp;sheet=A0&amp;row=340&amp;col=11&amp;number=&amp;sourceID=15","")</f>
        <v/>
      </c>
      <c r="L340" s="4" t="str">
        <f>HYPERLINK("http://141.218.60.56/~jnz1568/getInfo.php?workbook=02_02.xlsx&amp;sheet=A0&amp;row=340&amp;col=12&amp;number=&amp;sourceID=15","")</f>
        <v/>
      </c>
      <c r="M340" s="4" t="str">
        <f>HYPERLINK("http://141.218.60.56/~jnz1568/getInfo.php?workbook=02_02.xlsx&amp;sheet=A0&amp;row=340&amp;col=13&amp;number=21.445&amp;sourceID=23","21.445")</f>
        <v>21.445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3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5.7109375" customWidth="1"/>
    <col min="7" max="7" width="11.7109375" customWidth="1"/>
    <col min="8" max="8" width="11.7109375" customWidth="1"/>
    <col min="9" max="9" width="10.7109375" customWidth="1"/>
    <col min="10" max="10" width="10.7109375" customWidth="1"/>
    <col min="11" max="11" width="11.7109375" customWidth="1"/>
    <col min="12" max="12" width="14.7109375" customWidth="1"/>
  </cols>
  <sheetData>
    <row r="1" spans="1:1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 t="s">
        <v>45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39</v>
      </c>
      <c r="L2" s="2" t="s">
        <v>40</v>
      </c>
    </row>
    <row r="3" spans="1:12">
      <c r="A3" s="2" t="s">
        <v>3</v>
      </c>
      <c r="B3" s="2" t="s">
        <v>4</v>
      </c>
      <c r="C3" s="2" t="s">
        <v>46</v>
      </c>
      <c r="D3" s="2" t="s">
        <v>5</v>
      </c>
      <c r="E3" s="2" t="s">
        <v>47</v>
      </c>
      <c r="F3" s="2" t="s">
        <v>54</v>
      </c>
      <c r="G3" s="2" t="s">
        <v>49</v>
      </c>
      <c r="H3" s="2" t="s">
        <v>51</v>
      </c>
      <c r="I3" s="2" t="s">
        <v>50</v>
      </c>
      <c r="J3" s="2" t="s">
        <v>52</v>
      </c>
      <c r="K3" s="2" t="s">
        <v>49</v>
      </c>
      <c r="L3" s="2" t="s">
        <v>49</v>
      </c>
    </row>
    <row r="4" spans="1:12">
      <c r="A4" s="3">
        <v>2</v>
      </c>
      <c r="B4" s="3">
        <v>2</v>
      </c>
      <c r="C4" s="3">
        <v>2</v>
      </c>
      <c r="D4" s="3">
        <v>1</v>
      </c>
      <c r="E4" s="3">
        <f>((1/(INDEX('E1'!I$4:I$32,C4,1)-INDEX('E1'!I$4:I$32,D4,1))))*100000000</f>
        <v>0</v>
      </c>
      <c r="F4" s="4" t="str">
        <f>HYPERLINK("http://141.218.60.56/~jnz1568/getInfo.php?workbook=02_02.xlsx&amp;sheet=A1&amp;row=4&amp;col=6&amp;number==SUM(G4:J4)&amp;sourceID=15","=SUM(G4:J4)")</f>
        <v>=SUM(G4:J4)</v>
      </c>
      <c r="G4" s="4" t="str">
        <f>HYPERLINK("http://141.218.60.56/~jnz1568/getInfo.php?workbook=02_02.xlsx&amp;sheet=A1&amp;row=4&amp;col=7&amp;number=&amp;sourceID=15","")</f>
        <v/>
      </c>
      <c r="H4" s="4" t="str">
        <f>HYPERLINK("http://141.218.60.56/~jnz1568/getInfo.php?workbook=02_02.xlsx&amp;sheet=A1&amp;row=4&amp;col=8&amp;number=&amp;sourceID=15","")</f>
        <v/>
      </c>
      <c r="I4" s="4" t="str">
        <f>HYPERLINK("http://141.218.60.56/~jnz1568/getInfo.php?workbook=02_02.xlsx&amp;sheet=A1&amp;row=4&amp;col=9&amp;number=0.0001272&amp;sourceID=15","0.0001272")</f>
        <v>0.0001272</v>
      </c>
      <c r="J4" s="4" t="str">
        <f>HYPERLINK("http://141.218.60.56/~jnz1568/getInfo.php?workbook=02_02.xlsx&amp;sheet=A1&amp;row=4&amp;col=10&amp;number=&amp;sourceID=15","")</f>
        <v/>
      </c>
      <c r="K4" s="4" t="str">
        <f>HYPERLINK("http://141.218.60.56/~jnz1568/getInfo.php?workbook=02_02.xlsx&amp;sheet=A1&amp;row=4&amp;col=11&amp;number=&amp;sourceID=24","")</f>
        <v/>
      </c>
      <c r="L4" s="4" t="str">
        <f>HYPERLINK("http://141.218.60.56/~jnz1568/getInfo.php?workbook=02_02.xlsx&amp;sheet=A1&amp;row=4&amp;col=12&amp;number=&amp;sourceID=25","")</f>
        <v/>
      </c>
    </row>
    <row r="5" spans="1:12">
      <c r="A5" s="3">
        <v>2</v>
      </c>
      <c r="B5" s="3">
        <v>2</v>
      </c>
      <c r="C5" s="3">
        <v>3</v>
      </c>
      <c r="D5" s="3">
        <v>1</v>
      </c>
      <c r="E5" s="3">
        <f>((1/(INDEX('E1'!I$4:I$32,C5,1)-INDEX('E1'!I$4:I$32,D5,1))))*100000000</f>
        <v>0</v>
      </c>
      <c r="F5" s="4" t="str">
        <f>HYPERLINK("http://141.218.60.56/~jnz1568/getInfo.php?workbook=02_02.xlsx&amp;sheet=A1&amp;row=5&amp;col=6&amp;number=&amp;sourceID=15","")</f>
        <v/>
      </c>
      <c r="G5" s="4" t="str">
        <f>HYPERLINK("http://141.218.60.56/~jnz1568/getInfo.php?workbook=02_02.xlsx&amp;sheet=A1&amp;row=5&amp;col=7&amp;number=&amp;sourceID=15","")</f>
        <v/>
      </c>
      <c r="H5" s="4" t="str">
        <f>HYPERLINK("http://141.218.60.56/~jnz1568/getInfo.php?workbook=02_02.xlsx&amp;sheet=A1&amp;row=5&amp;col=8&amp;number=&amp;sourceID=15","")</f>
        <v/>
      </c>
      <c r="I5" s="4" t="str">
        <f>HYPERLINK("http://141.218.60.56/~jnz1568/getInfo.php?workbook=02_02.xlsx&amp;sheet=A1&amp;row=5&amp;col=9&amp;number=&amp;sourceID=15","")</f>
        <v/>
      </c>
      <c r="J5" s="4" t="str">
        <f>HYPERLINK("http://141.218.60.56/~jnz1568/getInfo.php?workbook=02_02.xlsx&amp;sheet=A1&amp;row=5&amp;col=10&amp;number=&amp;sourceID=15","")</f>
        <v/>
      </c>
      <c r="K5" s="4" t="str">
        <f>HYPERLINK("http://141.218.60.56/~jnz1568/getInfo.php?workbook=02_02.xlsx&amp;sheet=A1&amp;row=5&amp;col=11&amp;number=&amp;sourceID=24","")</f>
        <v/>
      </c>
      <c r="L5" s="4" t="str">
        <f>HYPERLINK("http://141.218.60.56/~jnz1568/getInfo.php?workbook=02_02.xlsx&amp;sheet=A1&amp;row=5&amp;col=12&amp;number=&amp;sourceID=25","")</f>
        <v/>
      </c>
    </row>
    <row r="6" spans="1:12">
      <c r="A6" s="3">
        <v>2</v>
      </c>
      <c r="B6" s="3">
        <v>2</v>
      </c>
      <c r="C6" s="3">
        <v>4</v>
      </c>
      <c r="D6" s="3">
        <v>1</v>
      </c>
      <c r="E6" s="3">
        <f>((1/(INDEX('E1'!I$4:I$32,C6,1)-INDEX('E1'!I$4:I$32,D6,1))))*100000000</f>
        <v>0</v>
      </c>
      <c r="F6" s="4" t="str">
        <f>HYPERLINK("http://141.218.60.56/~jnz1568/getInfo.php?workbook=02_02.xlsx&amp;sheet=A1&amp;row=6&amp;col=6&amp;number==SUM(G6:J6)&amp;sourceID=15","=SUM(G6:J6)")</f>
        <v>=SUM(G6:J6)</v>
      </c>
      <c r="G6" s="4" t="str">
        <f>HYPERLINK("http://141.218.60.56/~jnz1568/getInfo.php?workbook=02_02.xlsx&amp;sheet=A1&amp;row=6&amp;col=7&amp;number=176.4&amp;sourceID=15","176.4")</f>
        <v>176.4</v>
      </c>
      <c r="H6" s="4" t="str">
        <f>HYPERLINK("http://141.218.60.56/~jnz1568/getInfo.php?workbook=02_02.xlsx&amp;sheet=A1&amp;row=6&amp;col=8&amp;number=&amp;sourceID=15","")</f>
        <v/>
      </c>
      <c r="I6" s="4" t="str">
        <f>HYPERLINK("http://141.218.60.56/~jnz1568/getInfo.php?workbook=02_02.xlsx&amp;sheet=A1&amp;row=6&amp;col=9&amp;number=&amp;sourceID=15","")</f>
        <v/>
      </c>
      <c r="J6" s="4" t="str">
        <f>HYPERLINK("http://141.218.60.56/~jnz1568/getInfo.php?workbook=02_02.xlsx&amp;sheet=A1&amp;row=6&amp;col=10&amp;number=0.327&amp;sourceID=15","0.327")</f>
        <v>0.327</v>
      </c>
      <c r="K6" s="4" t="str">
        <f>HYPERLINK("http://141.218.60.56/~jnz1568/getInfo.php?workbook=02_02.xlsx&amp;sheet=A1&amp;row=6&amp;col=11&amp;number=&amp;sourceID=24","")</f>
        <v/>
      </c>
      <c r="L6" s="4" t="str">
        <f>HYPERLINK("http://141.218.60.56/~jnz1568/getInfo.php?workbook=02_02.xlsx&amp;sheet=A1&amp;row=6&amp;col=12&amp;number=&amp;sourceID=25","")</f>
        <v/>
      </c>
    </row>
    <row r="7" spans="1:12">
      <c r="A7" s="3">
        <v>2</v>
      </c>
      <c r="B7" s="3">
        <v>2</v>
      </c>
      <c r="C7" s="3">
        <v>4</v>
      </c>
      <c r="D7" s="3">
        <v>2</v>
      </c>
      <c r="E7" s="3">
        <f>((1/(INDEX('E1'!I$4:I$32,C7,1)-INDEX('E1'!I$4:I$32,D7,1))))*100000000</f>
        <v>0</v>
      </c>
      <c r="F7" s="4" t="str">
        <f>HYPERLINK("http://141.218.60.56/~jnz1568/getInfo.php?workbook=02_02.xlsx&amp;sheet=A1&amp;row=7&amp;col=6&amp;number==&amp;sourceID=15","=")</f>
        <v>=</v>
      </c>
      <c r="G7" s="4" t="str">
        <f>HYPERLINK("http://141.218.60.56/~jnz1568/getInfo.php?workbook=02_02.xlsx&amp;sheet=A1&amp;row=7&amp;col=7&amp;number=10216000&amp;sourceID=15","10216000")</f>
        <v>10216000</v>
      </c>
      <c r="H7" s="4" t="str">
        <f>HYPERLINK("http://141.218.60.56/~jnz1568/getInfo.php?workbook=02_02.xlsx&amp;sheet=A1&amp;row=7&amp;col=8&amp;number=&amp;sourceID=15","")</f>
        <v/>
      </c>
      <c r="I7" s="4" t="str">
        <f>HYPERLINK("http://141.218.60.56/~jnz1568/getInfo.php?workbook=02_02.xlsx&amp;sheet=A1&amp;row=7&amp;col=9&amp;number=&amp;sourceID=15","")</f>
        <v/>
      </c>
      <c r="J7" s="4" t="str">
        <f>HYPERLINK("http://141.218.60.56/~jnz1568/getInfo.php?workbook=02_02.xlsx&amp;sheet=A1&amp;row=7&amp;col=10&amp;number=&amp;sourceID=15","")</f>
        <v/>
      </c>
      <c r="K7" s="4" t="str">
        <f>HYPERLINK("http://141.218.60.56/~jnz1568/getInfo.php?workbook=02_02.xlsx&amp;sheet=A1&amp;row=7&amp;col=11&amp;number=10250000&amp;sourceID=24","10250000")</f>
        <v>10250000</v>
      </c>
      <c r="L7" s="4" t="str">
        <f>HYPERLINK("http://141.218.60.56/~jnz1568/getInfo.php?workbook=02_02.xlsx&amp;sheet=A1&amp;row=7&amp;col=12&amp;number=10233333.3333&amp;sourceID=25","10233333.3333")</f>
        <v>10233333.3333</v>
      </c>
    </row>
    <row r="8" spans="1:12">
      <c r="A8" s="3">
        <v>2</v>
      </c>
      <c r="B8" s="3">
        <v>2</v>
      </c>
      <c r="C8" s="3">
        <v>4</v>
      </c>
      <c r="D8" s="3">
        <v>3</v>
      </c>
      <c r="E8" s="3">
        <f>((1/(INDEX('E1'!I$4:I$32,C8,1)-INDEX('E1'!I$4:I$32,D8,1))))*100000000</f>
        <v>0</v>
      </c>
      <c r="F8" s="4" t="str">
        <f>HYPERLINK("http://141.218.60.56/~jnz1568/getInfo.php?workbook=02_02.xlsx&amp;sheet=A1&amp;row=8&amp;col=6&amp;number==&amp;sourceID=15","=")</f>
        <v>=</v>
      </c>
      <c r="G8" s="4" t="str">
        <f>HYPERLINK("http://141.218.60.56/~jnz1568/getInfo.php?workbook=02_02.xlsx&amp;sheet=A1&amp;row=8&amp;col=7&amp;number=0.02966&amp;sourceID=15","0.02966")</f>
        <v>0.02966</v>
      </c>
      <c r="H8" s="4" t="str">
        <f>HYPERLINK("http://141.218.60.56/~jnz1568/getInfo.php?workbook=02_02.xlsx&amp;sheet=A1&amp;row=8&amp;col=8&amp;number=&amp;sourceID=15","")</f>
        <v/>
      </c>
      <c r="I8" s="4" t="str">
        <f>HYPERLINK("http://141.218.60.56/~jnz1568/getInfo.php?workbook=02_02.xlsx&amp;sheet=A1&amp;row=8&amp;col=9&amp;number=&amp;sourceID=15","")</f>
        <v/>
      </c>
      <c r="J8" s="4" t="str">
        <f>HYPERLINK("http://141.218.60.56/~jnz1568/getInfo.php?workbook=02_02.xlsx&amp;sheet=A1&amp;row=8&amp;col=10&amp;number=&amp;sourceID=15","")</f>
        <v/>
      </c>
      <c r="K8" s="4" t="str">
        <f>HYPERLINK("http://141.218.60.56/~jnz1568/getInfo.php?workbook=02_02.xlsx&amp;sheet=A1&amp;row=8&amp;col=11&amp;number=&amp;sourceID=24","")</f>
        <v/>
      </c>
      <c r="L8" s="4" t="str">
        <f>HYPERLINK("http://141.218.60.56/~jnz1568/getInfo.php?workbook=02_02.xlsx&amp;sheet=A1&amp;row=8&amp;col=12&amp;number=&amp;sourceID=25","")</f>
        <v/>
      </c>
    </row>
    <row r="9" spans="1:12">
      <c r="A9" s="3">
        <v>2</v>
      </c>
      <c r="B9" s="3">
        <v>2</v>
      </c>
      <c r="C9" s="3">
        <v>5</v>
      </c>
      <c r="D9" s="3">
        <v>1</v>
      </c>
      <c r="E9" s="3">
        <f>((1/(INDEX('E1'!I$4:I$32,C9,1)-INDEX('E1'!I$4:I$32,D9,1))))*100000000</f>
        <v>0</v>
      </c>
      <c r="F9" s="4" t="str">
        <f>HYPERLINK("http://141.218.60.56/~jnz1568/getInfo.php?workbook=02_02.xlsx&amp;sheet=A1&amp;row=9&amp;col=6&amp;number==&amp;sourceID=15","=")</f>
        <v>=</v>
      </c>
      <c r="G9" s="4" t="str">
        <f>HYPERLINK("http://141.218.60.56/~jnz1568/getInfo.php?workbook=02_02.xlsx&amp;sheet=A1&amp;row=9&amp;col=7&amp;number=1798900000&amp;sourceID=15","1798900000")</f>
        <v>1798900000</v>
      </c>
      <c r="H9" s="4" t="str">
        <f>HYPERLINK("http://141.218.60.56/~jnz1568/getInfo.php?workbook=02_02.xlsx&amp;sheet=A1&amp;row=9&amp;col=8&amp;number=&amp;sourceID=15","")</f>
        <v/>
      </c>
      <c r="I9" s="4" t="str">
        <f>HYPERLINK("http://141.218.60.56/~jnz1568/getInfo.php?workbook=02_02.xlsx&amp;sheet=A1&amp;row=9&amp;col=9&amp;number=&amp;sourceID=15","")</f>
        <v/>
      </c>
      <c r="J9" s="4" t="str">
        <f>HYPERLINK("http://141.218.60.56/~jnz1568/getInfo.php?workbook=02_02.xlsx&amp;sheet=A1&amp;row=9&amp;col=10&amp;number=&amp;sourceID=15","")</f>
        <v/>
      </c>
      <c r="K9" s="4" t="str">
        <f>HYPERLINK("http://141.218.60.56/~jnz1568/getInfo.php?workbook=02_02.xlsx&amp;sheet=A1&amp;row=9&amp;col=11&amp;number=1856000000&amp;sourceID=24","1856000000")</f>
        <v>1856000000</v>
      </c>
      <c r="L9" s="4" t="str">
        <f>HYPERLINK("http://141.218.60.56/~jnz1568/getInfo.php?workbook=02_02.xlsx&amp;sheet=A1&amp;row=9&amp;col=12&amp;number=1783333333.33&amp;sourceID=25","1783333333.33")</f>
        <v>1783333333.33</v>
      </c>
    </row>
    <row r="10" spans="1:12">
      <c r="A10" s="3">
        <v>2</v>
      </c>
      <c r="B10" s="3">
        <v>2</v>
      </c>
      <c r="C10" s="3">
        <v>5</v>
      </c>
      <c r="D10" s="3">
        <v>2</v>
      </c>
      <c r="E10" s="3">
        <f>((1/(INDEX('E1'!I$4:I$32,C10,1)-INDEX('E1'!I$4:I$32,D10,1))))*100000000</f>
        <v>0</v>
      </c>
      <c r="F10" s="4" t="str">
        <f>HYPERLINK("http://141.218.60.56/~jnz1568/getInfo.php?workbook=02_02.xlsx&amp;sheet=A1&amp;row=10&amp;col=6&amp;number==&amp;sourceID=15","=")</f>
        <v>=</v>
      </c>
      <c r="G10" s="4" t="str">
        <f>HYPERLINK("http://141.218.60.56/~jnz1568/getInfo.php?workbook=02_02.xlsx&amp;sheet=A1&amp;row=10&amp;col=7&amp;number=1.442&amp;sourceID=15","1.442")</f>
        <v>1.442</v>
      </c>
      <c r="H10" s="4" t="str">
        <f>HYPERLINK("http://141.218.60.56/~jnz1568/getInfo.php?workbook=02_02.xlsx&amp;sheet=A1&amp;row=10&amp;col=8&amp;number=&amp;sourceID=15","")</f>
        <v/>
      </c>
      <c r="I10" s="4" t="str">
        <f>HYPERLINK("http://141.218.60.56/~jnz1568/getInfo.php?workbook=02_02.xlsx&amp;sheet=A1&amp;row=10&amp;col=9&amp;number=&amp;sourceID=15","")</f>
        <v/>
      </c>
      <c r="J10" s="4" t="str">
        <f>HYPERLINK("http://141.218.60.56/~jnz1568/getInfo.php?workbook=02_02.xlsx&amp;sheet=A1&amp;row=10&amp;col=10&amp;number=&amp;sourceID=15","")</f>
        <v/>
      </c>
      <c r="K10" s="4" t="str">
        <f>HYPERLINK("http://141.218.60.56/~jnz1568/getInfo.php?workbook=02_02.xlsx&amp;sheet=A1&amp;row=10&amp;col=11&amp;number=&amp;sourceID=24","")</f>
        <v/>
      </c>
      <c r="L10" s="4" t="str">
        <f>HYPERLINK("http://141.218.60.56/~jnz1568/getInfo.php?workbook=02_02.xlsx&amp;sheet=A1&amp;row=10&amp;col=12&amp;number=&amp;sourceID=25","")</f>
        <v/>
      </c>
    </row>
    <row r="11" spans="1:12">
      <c r="A11" s="3">
        <v>2</v>
      </c>
      <c r="B11" s="3">
        <v>2</v>
      </c>
      <c r="C11" s="3">
        <v>5</v>
      </c>
      <c r="D11" s="3">
        <v>3</v>
      </c>
      <c r="E11" s="3">
        <f>((1/(INDEX('E1'!I$4:I$32,C11,1)-INDEX('E1'!I$4:I$32,D11,1))))*100000000</f>
        <v>0</v>
      </c>
      <c r="F11" s="4" t="str">
        <f>HYPERLINK("http://141.218.60.56/~jnz1568/getInfo.php?workbook=02_02.xlsx&amp;sheet=A1&amp;row=11&amp;col=6&amp;number==&amp;sourceID=15","=")</f>
        <v>=</v>
      </c>
      <c r="G11" s="4" t="str">
        <f>HYPERLINK("http://141.218.60.56/~jnz1568/getInfo.php?workbook=02_02.xlsx&amp;sheet=A1&amp;row=11&amp;col=7&amp;number=1974600&amp;sourceID=15","1974600")</f>
        <v>1974600</v>
      </c>
      <c r="H11" s="4" t="str">
        <f>HYPERLINK("http://141.218.60.56/~jnz1568/getInfo.php?workbook=02_02.xlsx&amp;sheet=A1&amp;row=11&amp;col=8&amp;number=&amp;sourceID=15","")</f>
        <v/>
      </c>
      <c r="I11" s="4" t="str">
        <f>HYPERLINK("http://141.218.60.56/~jnz1568/getInfo.php?workbook=02_02.xlsx&amp;sheet=A1&amp;row=11&amp;col=9&amp;number=&amp;sourceID=15","")</f>
        <v/>
      </c>
      <c r="J11" s="4" t="str">
        <f>HYPERLINK("http://141.218.60.56/~jnz1568/getInfo.php?workbook=02_02.xlsx&amp;sheet=A1&amp;row=11&amp;col=10&amp;number=&amp;sourceID=15","")</f>
        <v/>
      </c>
      <c r="K11" s="4" t="str">
        <f>HYPERLINK("http://141.218.60.56/~jnz1568/getInfo.php?workbook=02_02.xlsx&amp;sheet=A1&amp;row=11&amp;col=11&amp;number=2004000&amp;sourceID=24","2004000")</f>
        <v>2004000</v>
      </c>
      <c r="L11" s="4" t="str">
        <f>HYPERLINK("http://141.218.60.56/~jnz1568/getInfo.php?workbook=02_02.xlsx&amp;sheet=A1&amp;row=11&amp;col=12&amp;number=1726666.66667&amp;sourceID=25","1726666.66667")</f>
        <v>1726666.66667</v>
      </c>
    </row>
    <row r="12" spans="1:12">
      <c r="A12" s="3">
        <v>2</v>
      </c>
      <c r="B12" s="3">
        <v>2</v>
      </c>
      <c r="C12" s="3">
        <v>5</v>
      </c>
      <c r="D12" s="3">
        <v>4</v>
      </c>
      <c r="E12" s="3">
        <f>((1/(INDEX('E1'!I$4:I$32,C12,1)-INDEX('E1'!I$4:I$32,D12,1))))*100000000</f>
        <v>0</v>
      </c>
      <c r="F12" s="4" t="str">
        <f>HYPERLINK("http://141.218.60.56/~jnz1568/getInfo.php?workbook=02_02.xlsx&amp;sheet=A1&amp;row=12&amp;col=6&amp;number=&amp;sourceID=15","")</f>
        <v/>
      </c>
      <c r="G12" s="4" t="str">
        <f>HYPERLINK("http://141.218.60.56/~jnz1568/getInfo.php?workbook=02_02.xlsx&amp;sheet=A1&amp;row=12&amp;col=7&amp;number=&amp;sourceID=15","")</f>
        <v/>
      </c>
      <c r="H12" s="4" t="str">
        <f>HYPERLINK("http://141.218.60.56/~jnz1568/getInfo.php?workbook=02_02.xlsx&amp;sheet=A1&amp;row=12&amp;col=8&amp;number=&amp;sourceID=15","")</f>
        <v/>
      </c>
      <c r="I12" s="4" t="str">
        <f>HYPERLINK("http://141.218.60.56/~jnz1568/getInfo.php?workbook=02_02.xlsx&amp;sheet=A1&amp;row=12&amp;col=9&amp;number=&amp;sourceID=15","")</f>
        <v/>
      </c>
      <c r="J12" s="4" t="str">
        <f>HYPERLINK("http://141.218.60.56/~jnz1568/getInfo.php?workbook=02_02.xlsx&amp;sheet=A1&amp;row=12&amp;col=10&amp;number=&amp;sourceID=15","")</f>
        <v/>
      </c>
      <c r="K12" s="4" t="str">
        <f>HYPERLINK("http://141.218.60.56/~jnz1568/getInfo.php?workbook=02_02.xlsx&amp;sheet=A1&amp;row=12&amp;col=11&amp;number=&amp;sourceID=24","")</f>
        <v/>
      </c>
      <c r="L12" s="4" t="str">
        <f>HYPERLINK("http://141.218.60.56/~jnz1568/getInfo.php?workbook=02_02.xlsx&amp;sheet=A1&amp;row=12&amp;col=12&amp;number=&amp;sourceID=25","")</f>
        <v/>
      </c>
    </row>
    <row r="13" spans="1:12">
      <c r="A13" s="3">
        <v>2</v>
      </c>
      <c r="B13" s="3">
        <v>2</v>
      </c>
      <c r="C13" s="3">
        <v>6</v>
      </c>
      <c r="D13" s="3">
        <v>1</v>
      </c>
      <c r="E13" s="3">
        <f>((1/(INDEX('E1'!I$4:I$32,C13,1)-INDEX('E1'!I$4:I$32,D13,1))))*100000000</f>
        <v>0</v>
      </c>
      <c r="F13" s="4" t="str">
        <f>HYPERLINK("http://141.218.60.56/~jnz1568/getInfo.php?workbook=02_02.xlsx&amp;sheet=A1&amp;row=13&amp;col=6&amp;number=&amp;sourceID=15","")</f>
        <v/>
      </c>
      <c r="G13" s="4" t="str">
        <f>HYPERLINK("http://141.218.60.56/~jnz1568/getInfo.php?workbook=02_02.xlsx&amp;sheet=A1&amp;row=13&amp;col=7&amp;number=&amp;sourceID=15","")</f>
        <v/>
      </c>
      <c r="H13" s="4" t="str">
        <f>HYPERLINK("http://141.218.60.56/~jnz1568/getInfo.php?workbook=02_02.xlsx&amp;sheet=A1&amp;row=13&amp;col=8&amp;number=&amp;sourceID=15","")</f>
        <v/>
      </c>
      <c r="I13" s="4" t="str">
        <f>HYPERLINK("http://141.218.60.56/~jnz1568/getInfo.php?workbook=02_02.xlsx&amp;sheet=A1&amp;row=13&amp;col=9&amp;number=&amp;sourceID=15","")</f>
        <v/>
      </c>
      <c r="J13" s="4" t="str">
        <f>HYPERLINK("http://141.218.60.56/~jnz1568/getInfo.php?workbook=02_02.xlsx&amp;sheet=A1&amp;row=13&amp;col=10&amp;number=&amp;sourceID=15","")</f>
        <v/>
      </c>
      <c r="K13" s="4" t="str">
        <f>HYPERLINK("http://141.218.60.56/~jnz1568/getInfo.php?workbook=02_02.xlsx&amp;sheet=A1&amp;row=13&amp;col=11&amp;number=&amp;sourceID=24","")</f>
        <v/>
      </c>
      <c r="L13" s="4" t="str">
        <f>HYPERLINK("http://141.218.60.56/~jnz1568/getInfo.php?workbook=02_02.xlsx&amp;sheet=A1&amp;row=13&amp;col=12&amp;number=&amp;sourceID=25","")</f>
        <v/>
      </c>
    </row>
    <row r="14" spans="1:12">
      <c r="A14" s="3">
        <v>2</v>
      </c>
      <c r="B14" s="3">
        <v>2</v>
      </c>
      <c r="C14" s="3">
        <v>6</v>
      </c>
      <c r="D14" s="3">
        <v>2</v>
      </c>
      <c r="E14" s="3">
        <f>((1/(INDEX('E1'!I$4:I$32,C14,1)-INDEX('E1'!I$4:I$32,D14,1))))*100000000</f>
        <v>0</v>
      </c>
      <c r="F14" s="4" t="str">
        <f>HYPERLINK("http://141.218.60.56/~jnz1568/getInfo.php?workbook=02_02.xlsx&amp;sheet=A1&amp;row=14&amp;col=6&amp;number=&amp;sourceID=15","")</f>
        <v/>
      </c>
      <c r="G14" s="4" t="str">
        <f>HYPERLINK("http://141.218.60.56/~jnz1568/getInfo.php?workbook=02_02.xlsx&amp;sheet=A1&amp;row=14&amp;col=7&amp;number=&amp;sourceID=15","")</f>
        <v/>
      </c>
      <c r="H14" s="4" t="str">
        <f>HYPERLINK("http://141.218.60.56/~jnz1568/getInfo.php?workbook=02_02.xlsx&amp;sheet=A1&amp;row=14&amp;col=8&amp;number=&amp;sourceID=15","")</f>
        <v/>
      </c>
      <c r="I14" s="4" t="str">
        <f>HYPERLINK("http://141.218.60.56/~jnz1568/getInfo.php?workbook=02_02.xlsx&amp;sheet=A1&amp;row=14&amp;col=9&amp;number=&amp;sourceID=15","")</f>
        <v/>
      </c>
      <c r="J14" s="4" t="str">
        <f>HYPERLINK("http://141.218.60.56/~jnz1568/getInfo.php?workbook=02_02.xlsx&amp;sheet=A1&amp;row=14&amp;col=10&amp;number=&amp;sourceID=15","")</f>
        <v/>
      </c>
      <c r="K14" s="4" t="str">
        <f>HYPERLINK("http://141.218.60.56/~jnz1568/getInfo.php?workbook=02_02.xlsx&amp;sheet=A1&amp;row=14&amp;col=11&amp;number=&amp;sourceID=24","")</f>
        <v/>
      </c>
      <c r="L14" s="4" t="str">
        <f>HYPERLINK("http://141.218.60.56/~jnz1568/getInfo.php?workbook=02_02.xlsx&amp;sheet=A1&amp;row=14&amp;col=12&amp;number=&amp;sourceID=25","")</f>
        <v/>
      </c>
    </row>
    <row r="15" spans="1:12">
      <c r="A15" s="3">
        <v>2</v>
      </c>
      <c r="B15" s="3">
        <v>2</v>
      </c>
      <c r="C15" s="3">
        <v>6</v>
      </c>
      <c r="D15" s="3">
        <v>3</v>
      </c>
      <c r="E15" s="3">
        <f>((1/(INDEX('E1'!I$4:I$32,C15,1)-INDEX('E1'!I$4:I$32,D15,1))))*100000000</f>
        <v>0</v>
      </c>
      <c r="F15" s="4" t="str">
        <f>HYPERLINK("http://141.218.60.56/~jnz1568/getInfo.php?workbook=02_02.xlsx&amp;sheet=A1&amp;row=15&amp;col=6&amp;number=&amp;sourceID=15","")</f>
        <v/>
      </c>
      <c r="G15" s="4" t="str">
        <f>HYPERLINK("http://141.218.60.56/~jnz1568/getInfo.php?workbook=02_02.xlsx&amp;sheet=A1&amp;row=15&amp;col=7&amp;number=&amp;sourceID=15","")</f>
        <v/>
      </c>
      <c r="H15" s="4" t="str">
        <f>HYPERLINK("http://141.218.60.56/~jnz1568/getInfo.php?workbook=02_02.xlsx&amp;sheet=A1&amp;row=15&amp;col=8&amp;number=&amp;sourceID=15","")</f>
        <v/>
      </c>
      <c r="I15" s="4" t="str">
        <f>HYPERLINK("http://141.218.60.56/~jnz1568/getInfo.php?workbook=02_02.xlsx&amp;sheet=A1&amp;row=15&amp;col=9&amp;number=&amp;sourceID=15","")</f>
        <v/>
      </c>
      <c r="J15" s="4" t="str">
        <f>HYPERLINK("http://141.218.60.56/~jnz1568/getInfo.php?workbook=02_02.xlsx&amp;sheet=A1&amp;row=15&amp;col=10&amp;number=&amp;sourceID=15","")</f>
        <v/>
      </c>
      <c r="K15" s="4" t="str">
        <f>HYPERLINK("http://141.218.60.56/~jnz1568/getInfo.php?workbook=02_02.xlsx&amp;sheet=A1&amp;row=15&amp;col=11&amp;number=&amp;sourceID=24","")</f>
        <v/>
      </c>
      <c r="L15" s="4" t="str">
        <f>HYPERLINK("http://141.218.60.56/~jnz1568/getInfo.php?workbook=02_02.xlsx&amp;sheet=A1&amp;row=15&amp;col=12&amp;number=&amp;sourceID=25","")</f>
        <v/>
      </c>
    </row>
    <row r="16" spans="1:12">
      <c r="A16" s="3">
        <v>2</v>
      </c>
      <c r="B16" s="3">
        <v>2</v>
      </c>
      <c r="C16" s="3">
        <v>6</v>
      </c>
      <c r="D16" s="3">
        <v>4</v>
      </c>
      <c r="E16" s="3">
        <f>((1/(INDEX('E1'!I$4:I$32,C16,1)-INDEX('E1'!I$4:I$32,D16,1))))*100000000</f>
        <v>0</v>
      </c>
      <c r="F16" s="4" t="str">
        <f>HYPERLINK("http://141.218.60.56/~jnz1568/getInfo.php?workbook=02_02.xlsx&amp;sheet=A1&amp;row=16&amp;col=6&amp;number==SUM(G16:J16)&amp;sourceID=15","=SUM(G16:J16)")</f>
        <v>=SUM(G16:J16)</v>
      </c>
      <c r="G16" s="4" t="str">
        <f>HYPERLINK("http://141.218.60.56/~jnz1568/getInfo.php?workbook=02_02.xlsx&amp;sheet=A1&amp;row=16&amp;col=7&amp;number=27853000&amp;sourceID=15","27853000")</f>
        <v>27853000</v>
      </c>
      <c r="H16" s="4" t="str">
        <f>HYPERLINK("http://141.218.60.56/~jnz1568/getInfo.php?workbook=02_02.xlsx&amp;sheet=A1&amp;row=16&amp;col=8&amp;number=&amp;sourceID=15","")</f>
        <v/>
      </c>
      <c r="I16" s="4" t="str">
        <f>HYPERLINK("http://141.218.60.56/~jnz1568/getInfo.php?workbook=02_02.xlsx&amp;sheet=A1&amp;row=16&amp;col=9&amp;number=&amp;sourceID=15","")</f>
        <v/>
      </c>
      <c r="J16" s="4" t="str">
        <f>HYPERLINK("http://141.218.60.56/~jnz1568/getInfo.php?workbook=02_02.xlsx&amp;sheet=A1&amp;row=16&amp;col=10&amp;number=&amp;sourceID=15","")</f>
        <v/>
      </c>
      <c r="K16" s="4" t="str">
        <f>HYPERLINK("http://141.218.60.56/~jnz1568/getInfo.php?workbook=02_02.xlsx&amp;sheet=A1&amp;row=16&amp;col=11&amp;number=28400000&amp;sourceID=24","28400000")</f>
        <v>28400000</v>
      </c>
      <c r="L16" s="4" t="str">
        <f>HYPERLINK("http://141.218.60.56/~jnz1568/getInfo.php?workbook=02_02.xlsx&amp;sheet=A1&amp;row=16&amp;col=12&amp;number=27833333.3333&amp;sourceID=25","27833333.3333")</f>
        <v>27833333.3333</v>
      </c>
    </row>
    <row r="17" spans="1:12">
      <c r="A17" s="3">
        <v>2</v>
      </c>
      <c r="B17" s="3">
        <v>2</v>
      </c>
      <c r="C17" s="3">
        <v>6</v>
      </c>
      <c r="D17" s="3">
        <v>5</v>
      </c>
      <c r="E17" s="3">
        <f>((1/(INDEX('E1'!I$4:I$32,C17,1)-INDEX('E1'!I$4:I$32,D17,1))))*100000000</f>
        <v>0</v>
      </c>
      <c r="F17" s="4" t="str">
        <f>HYPERLINK("http://141.218.60.56/~jnz1568/getInfo.php?workbook=02_02.xlsx&amp;sheet=A1&amp;row=17&amp;col=6&amp;number=&amp;sourceID=15","")</f>
        <v/>
      </c>
      <c r="G17" s="4" t="str">
        <f>HYPERLINK("http://141.218.60.56/~jnz1568/getInfo.php?workbook=02_02.xlsx&amp;sheet=A1&amp;row=17&amp;col=7&amp;number=&amp;sourceID=15","")</f>
        <v/>
      </c>
      <c r="H17" s="4" t="str">
        <f>HYPERLINK("http://141.218.60.56/~jnz1568/getInfo.php?workbook=02_02.xlsx&amp;sheet=A1&amp;row=17&amp;col=8&amp;number=&amp;sourceID=15","")</f>
        <v/>
      </c>
      <c r="I17" s="4" t="str">
        <f>HYPERLINK("http://141.218.60.56/~jnz1568/getInfo.php?workbook=02_02.xlsx&amp;sheet=A1&amp;row=17&amp;col=9&amp;number=&amp;sourceID=15","")</f>
        <v/>
      </c>
      <c r="J17" s="4" t="str">
        <f>HYPERLINK("http://141.218.60.56/~jnz1568/getInfo.php?workbook=02_02.xlsx&amp;sheet=A1&amp;row=17&amp;col=10&amp;number=&amp;sourceID=15","")</f>
        <v/>
      </c>
      <c r="K17" s="4" t="str">
        <f>HYPERLINK("http://141.218.60.56/~jnz1568/getInfo.php?workbook=02_02.xlsx&amp;sheet=A1&amp;row=17&amp;col=11&amp;number=&amp;sourceID=24","")</f>
        <v/>
      </c>
      <c r="L17" s="4" t="str">
        <f>HYPERLINK("http://141.218.60.56/~jnz1568/getInfo.php?workbook=02_02.xlsx&amp;sheet=A1&amp;row=17&amp;col=12&amp;number=&amp;sourceID=25","")</f>
        <v/>
      </c>
    </row>
    <row r="18" spans="1:12">
      <c r="A18" s="3">
        <v>2</v>
      </c>
      <c r="B18" s="3">
        <v>2</v>
      </c>
      <c r="C18" s="3">
        <v>7</v>
      </c>
      <c r="D18" s="3">
        <v>1</v>
      </c>
      <c r="E18" s="3">
        <f>((1/(INDEX('E1'!I$4:I$32,C18,1)-INDEX('E1'!I$4:I$32,D18,1))))*100000000</f>
        <v>0</v>
      </c>
      <c r="F18" s="4" t="str">
        <f>HYPERLINK("http://141.218.60.56/~jnz1568/getInfo.php?workbook=02_02.xlsx&amp;sheet=A1&amp;row=18&amp;col=6&amp;number=&amp;sourceID=15","")</f>
        <v/>
      </c>
      <c r="G18" s="4" t="str">
        <f>HYPERLINK("http://141.218.60.56/~jnz1568/getInfo.php?workbook=02_02.xlsx&amp;sheet=A1&amp;row=18&amp;col=7&amp;number=&amp;sourceID=15","")</f>
        <v/>
      </c>
      <c r="H18" s="4" t="str">
        <f>HYPERLINK("http://141.218.60.56/~jnz1568/getInfo.php?workbook=02_02.xlsx&amp;sheet=A1&amp;row=18&amp;col=8&amp;number=&amp;sourceID=15","")</f>
        <v/>
      </c>
      <c r="I18" s="4" t="str">
        <f>HYPERLINK("http://141.218.60.56/~jnz1568/getInfo.php?workbook=02_02.xlsx&amp;sheet=A1&amp;row=18&amp;col=9&amp;number=&amp;sourceID=15","")</f>
        <v/>
      </c>
      <c r="J18" s="4" t="str">
        <f>HYPERLINK("http://141.218.60.56/~jnz1568/getInfo.php?workbook=02_02.xlsx&amp;sheet=A1&amp;row=18&amp;col=10&amp;number=&amp;sourceID=15","")</f>
        <v/>
      </c>
      <c r="K18" s="4" t="str">
        <f>HYPERLINK("http://141.218.60.56/~jnz1568/getInfo.php?workbook=02_02.xlsx&amp;sheet=A1&amp;row=18&amp;col=11&amp;number=&amp;sourceID=24","")</f>
        <v/>
      </c>
      <c r="L18" s="4" t="str">
        <f>HYPERLINK("http://141.218.60.56/~jnz1568/getInfo.php?workbook=02_02.xlsx&amp;sheet=A1&amp;row=18&amp;col=12&amp;number=&amp;sourceID=25","")</f>
        <v/>
      </c>
    </row>
    <row r="19" spans="1:12">
      <c r="A19" s="3">
        <v>2</v>
      </c>
      <c r="B19" s="3">
        <v>2</v>
      </c>
      <c r="C19" s="3">
        <v>7</v>
      </c>
      <c r="D19" s="3">
        <v>2</v>
      </c>
      <c r="E19" s="3">
        <f>((1/(INDEX('E1'!I$4:I$32,C19,1)-INDEX('E1'!I$4:I$32,D19,1))))*100000000</f>
        <v>0</v>
      </c>
      <c r="F19" s="4" t="str">
        <f>HYPERLINK("http://141.218.60.56/~jnz1568/getInfo.php?workbook=02_02.xlsx&amp;sheet=A1&amp;row=19&amp;col=6&amp;number=&amp;sourceID=15","")</f>
        <v/>
      </c>
      <c r="G19" s="4" t="str">
        <f>HYPERLINK("http://141.218.60.56/~jnz1568/getInfo.php?workbook=02_02.xlsx&amp;sheet=A1&amp;row=19&amp;col=7&amp;number=&amp;sourceID=15","")</f>
        <v/>
      </c>
      <c r="H19" s="4" t="str">
        <f>HYPERLINK("http://141.218.60.56/~jnz1568/getInfo.php?workbook=02_02.xlsx&amp;sheet=A1&amp;row=19&amp;col=8&amp;number=&amp;sourceID=15","")</f>
        <v/>
      </c>
      <c r="I19" s="4" t="str">
        <f>HYPERLINK("http://141.218.60.56/~jnz1568/getInfo.php?workbook=02_02.xlsx&amp;sheet=A1&amp;row=19&amp;col=9&amp;number=&amp;sourceID=15","")</f>
        <v/>
      </c>
      <c r="J19" s="4" t="str">
        <f>HYPERLINK("http://141.218.60.56/~jnz1568/getInfo.php?workbook=02_02.xlsx&amp;sheet=A1&amp;row=19&amp;col=10&amp;number=&amp;sourceID=15","")</f>
        <v/>
      </c>
      <c r="K19" s="4" t="str">
        <f>HYPERLINK("http://141.218.60.56/~jnz1568/getInfo.php?workbook=02_02.xlsx&amp;sheet=A1&amp;row=19&amp;col=11&amp;number=&amp;sourceID=24","")</f>
        <v/>
      </c>
      <c r="L19" s="4" t="str">
        <f>HYPERLINK("http://141.218.60.56/~jnz1568/getInfo.php?workbook=02_02.xlsx&amp;sheet=A1&amp;row=19&amp;col=12&amp;number=&amp;sourceID=25","")</f>
        <v/>
      </c>
    </row>
    <row r="20" spans="1:12">
      <c r="A20" s="3">
        <v>2</v>
      </c>
      <c r="B20" s="3">
        <v>2</v>
      </c>
      <c r="C20" s="3">
        <v>7</v>
      </c>
      <c r="D20" s="3">
        <v>3</v>
      </c>
      <c r="E20" s="3">
        <f>((1/(INDEX('E1'!I$4:I$32,C20,1)-INDEX('E1'!I$4:I$32,D20,1))))*100000000</f>
        <v>0</v>
      </c>
      <c r="F20" s="4" t="str">
        <f>HYPERLINK("http://141.218.60.56/~jnz1568/getInfo.php?workbook=02_02.xlsx&amp;sheet=A1&amp;row=20&amp;col=6&amp;number=&amp;sourceID=15","")</f>
        <v/>
      </c>
      <c r="G20" s="4" t="str">
        <f>HYPERLINK("http://141.218.60.56/~jnz1568/getInfo.php?workbook=02_02.xlsx&amp;sheet=A1&amp;row=20&amp;col=7&amp;number=&amp;sourceID=15","")</f>
        <v/>
      </c>
      <c r="H20" s="4" t="str">
        <f>HYPERLINK("http://141.218.60.56/~jnz1568/getInfo.php?workbook=02_02.xlsx&amp;sheet=A1&amp;row=20&amp;col=8&amp;number=&amp;sourceID=15","")</f>
        <v/>
      </c>
      <c r="I20" s="4" t="str">
        <f>HYPERLINK("http://141.218.60.56/~jnz1568/getInfo.php?workbook=02_02.xlsx&amp;sheet=A1&amp;row=20&amp;col=9&amp;number=&amp;sourceID=15","")</f>
        <v/>
      </c>
      <c r="J20" s="4" t="str">
        <f>HYPERLINK("http://141.218.60.56/~jnz1568/getInfo.php?workbook=02_02.xlsx&amp;sheet=A1&amp;row=20&amp;col=10&amp;number=&amp;sourceID=15","")</f>
        <v/>
      </c>
      <c r="K20" s="4" t="str">
        <f>HYPERLINK("http://141.218.60.56/~jnz1568/getInfo.php?workbook=02_02.xlsx&amp;sheet=A1&amp;row=20&amp;col=11&amp;number=&amp;sourceID=24","")</f>
        <v/>
      </c>
      <c r="L20" s="4" t="str">
        <f>HYPERLINK("http://141.218.60.56/~jnz1568/getInfo.php?workbook=02_02.xlsx&amp;sheet=A1&amp;row=20&amp;col=12&amp;number=&amp;sourceID=25","")</f>
        <v/>
      </c>
    </row>
    <row r="21" spans="1:12">
      <c r="A21" s="3">
        <v>2</v>
      </c>
      <c r="B21" s="3">
        <v>2</v>
      </c>
      <c r="C21" s="3">
        <v>7</v>
      </c>
      <c r="D21" s="3">
        <v>4</v>
      </c>
      <c r="E21" s="3">
        <f>((1/(INDEX('E1'!I$4:I$32,C21,1)-INDEX('E1'!I$4:I$32,D21,1))))*100000000</f>
        <v>0</v>
      </c>
      <c r="F21" s="4" t="str">
        <f>HYPERLINK("http://141.218.60.56/~jnz1568/getInfo.php?workbook=02_02.xlsx&amp;sheet=A1&amp;row=21&amp;col=6&amp;number==SUM(G21:J21)&amp;sourceID=15","=SUM(G21:J21)")</f>
        <v>=SUM(G21:J21)</v>
      </c>
      <c r="G21" s="4" t="str">
        <f>HYPERLINK("http://141.218.60.56/~jnz1568/getInfo.php?workbook=02_02.xlsx&amp;sheet=A1&amp;row=21&amp;col=7&amp;number=&amp;sourceID=15","")</f>
        <v/>
      </c>
      <c r="H21" s="4" t="str">
        <f>HYPERLINK("http://141.218.60.56/~jnz1568/getInfo.php?workbook=02_02.xlsx&amp;sheet=A1&amp;row=21&amp;col=8&amp;number=28.323&amp;sourceID=15","28.323")</f>
        <v>28.323</v>
      </c>
      <c r="I21" s="4" t="str">
        <f>HYPERLINK("http://141.218.60.56/~jnz1568/getInfo.php?workbook=02_02.xlsx&amp;sheet=A1&amp;row=21&amp;col=9&amp;number=&amp;sourceID=15","")</f>
        <v/>
      </c>
      <c r="J21" s="4" t="str">
        <f>HYPERLINK("http://141.218.60.56/~jnz1568/getInfo.php?workbook=02_02.xlsx&amp;sheet=A1&amp;row=21&amp;col=10&amp;number=&amp;sourceID=15","")</f>
        <v/>
      </c>
      <c r="K21" s="4" t="str">
        <f>HYPERLINK("http://141.218.60.56/~jnz1568/getInfo.php?workbook=02_02.xlsx&amp;sheet=A1&amp;row=21&amp;col=11&amp;number=&amp;sourceID=24","")</f>
        <v/>
      </c>
      <c r="L21" s="4" t="str">
        <f>HYPERLINK("http://141.218.60.56/~jnz1568/getInfo.php?workbook=02_02.xlsx&amp;sheet=A1&amp;row=21&amp;col=12&amp;number=&amp;sourceID=25","")</f>
        <v/>
      </c>
    </row>
    <row r="22" spans="1:12">
      <c r="A22" s="3">
        <v>2</v>
      </c>
      <c r="B22" s="3">
        <v>2</v>
      </c>
      <c r="C22" s="3">
        <v>7</v>
      </c>
      <c r="D22" s="3">
        <v>5</v>
      </c>
      <c r="E22" s="3">
        <f>((1/(INDEX('E1'!I$4:I$32,C22,1)-INDEX('E1'!I$4:I$32,D22,1))))*100000000</f>
        <v>0</v>
      </c>
      <c r="F22" s="4" t="str">
        <f>HYPERLINK("http://141.218.60.56/~jnz1568/getInfo.php?workbook=02_02.xlsx&amp;sheet=A1&amp;row=22&amp;col=6&amp;number==SUM(G22:J22)&amp;sourceID=15","=SUM(G22:J22)")</f>
        <v>=SUM(G22:J22)</v>
      </c>
      <c r="G22" s="4" t="str">
        <f>HYPERLINK("http://141.218.60.56/~jnz1568/getInfo.php?workbook=02_02.xlsx&amp;sheet=A1&amp;row=22&amp;col=7&amp;number=18299000&amp;sourceID=15","18299000")</f>
        <v>18299000</v>
      </c>
      <c r="H22" s="4" t="str">
        <f>HYPERLINK("http://141.218.60.56/~jnz1568/getInfo.php?workbook=02_02.xlsx&amp;sheet=A1&amp;row=22&amp;col=8&amp;number=&amp;sourceID=15","")</f>
        <v/>
      </c>
      <c r="I22" s="4" t="str">
        <f>HYPERLINK("http://141.218.60.56/~jnz1568/getInfo.php?workbook=02_02.xlsx&amp;sheet=A1&amp;row=22&amp;col=9&amp;number=&amp;sourceID=15","")</f>
        <v/>
      </c>
      <c r="J22" s="4" t="str">
        <f>HYPERLINK("http://141.218.60.56/~jnz1568/getInfo.php?workbook=02_02.xlsx&amp;sheet=A1&amp;row=22&amp;col=10&amp;number=&amp;sourceID=15","")</f>
        <v/>
      </c>
      <c r="K22" s="4" t="str">
        <f>HYPERLINK("http://141.218.60.56/~jnz1568/getInfo.php?workbook=02_02.xlsx&amp;sheet=A1&amp;row=22&amp;col=11&amp;number=17590000&amp;sourceID=24","17590000")</f>
        <v>17590000</v>
      </c>
      <c r="L22" s="4" t="str">
        <f>HYPERLINK("http://141.218.60.56/~jnz1568/getInfo.php?workbook=02_02.xlsx&amp;sheet=A1&amp;row=22&amp;col=12&amp;number=17700000&amp;sourceID=25","17700000")</f>
        <v>17700000</v>
      </c>
    </row>
    <row r="23" spans="1:12">
      <c r="A23" s="3">
        <v>2</v>
      </c>
      <c r="B23" s="3">
        <v>2</v>
      </c>
      <c r="C23" s="3">
        <v>7</v>
      </c>
      <c r="D23" s="3">
        <v>6</v>
      </c>
      <c r="E23" s="3">
        <f>((1/(INDEX('E1'!I$4:I$32,C23,1)-INDEX('E1'!I$4:I$32,D23,1))))*100000000</f>
        <v>0</v>
      </c>
      <c r="F23" s="4" t="str">
        <f>HYPERLINK("http://141.218.60.56/~jnz1568/getInfo.php?workbook=02_02.xlsx&amp;sheet=A1&amp;row=23&amp;col=6&amp;number=&amp;sourceID=15","")</f>
        <v/>
      </c>
      <c r="G23" s="4" t="str">
        <f>HYPERLINK("http://141.218.60.56/~jnz1568/getInfo.php?workbook=02_02.xlsx&amp;sheet=A1&amp;row=23&amp;col=7&amp;number=&amp;sourceID=15","")</f>
        <v/>
      </c>
      <c r="H23" s="4" t="str">
        <f>HYPERLINK("http://141.218.60.56/~jnz1568/getInfo.php?workbook=02_02.xlsx&amp;sheet=A1&amp;row=23&amp;col=8&amp;number=&amp;sourceID=15","")</f>
        <v/>
      </c>
      <c r="I23" s="4" t="str">
        <f>HYPERLINK("http://141.218.60.56/~jnz1568/getInfo.php?workbook=02_02.xlsx&amp;sheet=A1&amp;row=23&amp;col=9&amp;number=&amp;sourceID=15","")</f>
        <v/>
      </c>
      <c r="J23" s="4" t="str">
        <f>HYPERLINK("http://141.218.60.56/~jnz1568/getInfo.php?workbook=02_02.xlsx&amp;sheet=A1&amp;row=23&amp;col=10&amp;number=&amp;sourceID=15","")</f>
        <v/>
      </c>
      <c r="K23" s="4" t="str">
        <f>HYPERLINK("http://141.218.60.56/~jnz1568/getInfo.php?workbook=02_02.xlsx&amp;sheet=A1&amp;row=23&amp;col=11&amp;number=&amp;sourceID=24","")</f>
        <v/>
      </c>
      <c r="L23" s="4" t="str">
        <f>HYPERLINK("http://141.218.60.56/~jnz1568/getInfo.php?workbook=02_02.xlsx&amp;sheet=A1&amp;row=23&amp;col=12&amp;number=&amp;sourceID=25","")</f>
        <v/>
      </c>
    </row>
    <row r="24" spans="1:12">
      <c r="A24" s="3">
        <v>2</v>
      </c>
      <c r="B24" s="3">
        <v>2</v>
      </c>
      <c r="C24" s="3">
        <v>8</v>
      </c>
      <c r="D24" s="3">
        <v>1</v>
      </c>
      <c r="E24" s="3">
        <f>((1/(INDEX('E1'!I$4:I$32,C24,1)-INDEX('E1'!I$4:I$32,D24,1))))*100000000</f>
        <v>0</v>
      </c>
      <c r="F24" s="4" t="str">
        <f>HYPERLINK("http://141.218.60.56/~jnz1568/getInfo.php?workbook=02_02.xlsx&amp;sheet=A1&amp;row=24&amp;col=6&amp;number==SUM(G24:J24)&amp;sourceID=15","=SUM(G24:J24)")</f>
        <v>=SUM(G24:J24)</v>
      </c>
      <c r="G24" s="4" t="str">
        <f>HYPERLINK("http://141.218.60.56/~jnz1568/getInfo.php?workbook=02_02.xlsx&amp;sheet=A1&amp;row=24&amp;col=7&amp;number=&amp;sourceID=15","")</f>
        <v/>
      </c>
      <c r="H24" s="4" t="str">
        <f>HYPERLINK("http://141.218.60.56/~jnz1568/getInfo.php?workbook=02_02.xlsx&amp;sheet=A1&amp;row=24&amp;col=8&amp;number=&amp;sourceID=15","")</f>
        <v/>
      </c>
      <c r="I24" s="4" t="str">
        <f>HYPERLINK("http://141.218.60.56/~jnz1568/getInfo.php?workbook=02_02.xlsx&amp;sheet=A1&amp;row=24&amp;col=9&amp;number=&amp;sourceID=15","")</f>
        <v/>
      </c>
      <c r="J24" s="4" t="str">
        <f>HYPERLINK("http://141.218.60.56/~jnz1568/getInfo.php?workbook=02_02.xlsx&amp;sheet=A1&amp;row=24&amp;col=10&amp;number=0.121&amp;sourceID=15","0.121")</f>
        <v>0.121</v>
      </c>
      <c r="K24" s="4" t="str">
        <f>HYPERLINK("http://141.218.60.56/~jnz1568/getInfo.php?workbook=02_02.xlsx&amp;sheet=A1&amp;row=24&amp;col=11&amp;number=&amp;sourceID=24","")</f>
        <v/>
      </c>
      <c r="L24" s="4" t="str">
        <f>HYPERLINK("http://141.218.60.56/~jnz1568/getInfo.php?workbook=02_02.xlsx&amp;sheet=A1&amp;row=24&amp;col=12&amp;number=&amp;sourceID=25","")</f>
        <v/>
      </c>
    </row>
    <row r="25" spans="1:12">
      <c r="A25" s="3">
        <v>2</v>
      </c>
      <c r="B25" s="3">
        <v>2</v>
      </c>
      <c r="C25" s="3">
        <v>8</v>
      </c>
      <c r="D25" s="3">
        <v>2</v>
      </c>
      <c r="E25" s="3">
        <f>((1/(INDEX('E1'!I$4:I$32,C25,1)-INDEX('E1'!I$4:I$32,D25,1))))*100000000</f>
        <v>0</v>
      </c>
      <c r="F25" s="4" t="str">
        <f>HYPERLINK("http://141.218.60.56/~jnz1568/getInfo.php?workbook=02_02.xlsx&amp;sheet=A1&amp;row=25&amp;col=6&amp;number==SUM(G25:J25)&amp;sourceID=15","=SUM(G25:J25)")</f>
        <v>=SUM(G25:J25)</v>
      </c>
      <c r="G25" s="4" t="str">
        <f>HYPERLINK("http://141.218.60.56/~jnz1568/getInfo.php?workbook=02_02.xlsx&amp;sheet=A1&amp;row=25&amp;col=7&amp;number=9474600&amp;sourceID=15","9474600")</f>
        <v>9474600</v>
      </c>
      <c r="H25" s="4" t="str">
        <f>HYPERLINK("http://141.218.60.56/~jnz1568/getInfo.php?workbook=02_02.xlsx&amp;sheet=A1&amp;row=25&amp;col=8&amp;number=&amp;sourceID=15","")</f>
        <v/>
      </c>
      <c r="I25" s="4" t="str">
        <f>HYPERLINK("http://141.218.60.56/~jnz1568/getInfo.php?workbook=02_02.xlsx&amp;sheet=A1&amp;row=25&amp;col=9&amp;number=&amp;sourceID=15","")</f>
        <v/>
      </c>
      <c r="J25" s="4" t="str">
        <f>HYPERLINK("http://141.218.60.56/~jnz1568/getInfo.php?workbook=02_02.xlsx&amp;sheet=A1&amp;row=25&amp;col=10&amp;number=&amp;sourceID=15","")</f>
        <v/>
      </c>
      <c r="K25" s="4" t="str">
        <f>HYPERLINK("http://141.218.60.56/~jnz1568/getInfo.php?workbook=02_02.xlsx&amp;sheet=A1&amp;row=25&amp;col=11&amp;number=9155000&amp;sourceID=24","9155000")</f>
        <v>9155000</v>
      </c>
      <c r="L25" s="4" t="str">
        <f>HYPERLINK("http://141.218.60.56/~jnz1568/getInfo.php?workbook=02_02.xlsx&amp;sheet=A1&amp;row=25&amp;col=12&amp;number=9400000&amp;sourceID=25","9400000")</f>
        <v>9400000</v>
      </c>
    </row>
    <row r="26" spans="1:12">
      <c r="A26" s="3">
        <v>2</v>
      </c>
      <c r="B26" s="3">
        <v>2</v>
      </c>
      <c r="C26" s="3">
        <v>8</v>
      </c>
      <c r="D26" s="3">
        <v>3</v>
      </c>
      <c r="E26" s="3">
        <f>((1/(INDEX('E1'!I$4:I$32,C26,1)-INDEX('E1'!I$4:I$32,D26,1))))*100000000</f>
        <v>0</v>
      </c>
      <c r="F26" s="4" t="str">
        <f>HYPERLINK("http://141.218.60.56/~jnz1568/getInfo.php?workbook=02_02.xlsx&amp;sheet=A1&amp;row=26&amp;col=6&amp;number=&amp;sourceID=15","")</f>
        <v/>
      </c>
      <c r="G26" s="4" t="str">
        <f>HYPERLINK("http://141.218.60.56/~jnz1568/getInfo.php?workbook=02_02.xlsx&amp;sheet=A1&amp;row=26&amp;col=7&amp;number=&amp;sourceID=15","")</f>
        <v/>
      </c>
      <c r="H26" s="4" t="str">
        <f>HYPERLINK("http://141.218.60.56/~jnz1568/getInfo.php?workbook=02_02.xlsx&amp;sheet=A1&amp;row=26&amp;col=8&amp;number=&amp;sourceID=15","")</f>
        <v/>
      </c>
      <c r="I26" s="4" t="str">
        <f>HYPERLINK("http://141.218.60.56/~jnz1568/getInfo.php?workbook=02_02.xlsx&amp;sheet=A1&amp;row=26&amp;col=9&amp;number=&amp;sourceID=15","")</f>
        <v/>
      </c>
      <c r="J26" s="4" t="str">
        <f>HYPERLINK("http://141.218.60.56/~jnz1568/getInfo.php?workbook=02_02.xlsx&amp;sheet=A1&amp;row=26&amp;col=10&amp;number=&amp;sourceID=15","")</f>
        <v/>
      </c>
      <c r="K26" s="4" t="str">
        <f>HYPERLINK("http://141.218.60.56/~jnz1568/getInfo.php?workbook=02_02.xlsx&amp;sheet=A1&amp;row=26&amp;col=11&amp;number=&amp;sourceID=24","")</f>
        <v/>
      </c>
      <c r="L26" s="4" t="str">
        <f>HYPERLINK("http://141.218.60.56/~jnz1568/getInfo.php?workbook=02_02.xlsx&amp;sheet=A1&amp;row=26&amp;col=12&amp;number=&amp;sourceID=25","")</f>
        <v/>
      </c>
    </row>
    <row r="27" spans="1:12">
      <c r="A27" s="3">
        <v>2</v>
      </c>
      <c r="B27" s="3">
        <v>2</v>
      </c>
      <c r="C27" s="3">
        <v>8</v>
      </c>
      <c r="D27" s="3">
        <v>4</v>
      </c>
      <c r="E27" s="3">
        <f>((1/(INDEX('E1'!I$4:I$32,C27,1)-INDEX('E1'!I$4:I$32,D27,1))))*100000000</f>
        <v>0</v>
      </c>
      <c r="F27" s="4" t="str">
        <f>HYPERLINK("http://141.218.60.56/~jnz1568/getInfo.php?workbook=02_02.xlsx&amp;sheet=A1&amp;row=27&amp;col=6&amp;number=&amp;sourceID=15","")</f>
        <v/>
      </c>
      <c r="G27" s="4" t="str">
        <f>HYPERLINK("http://141.218.60.56/~jnz1568/getInfo.php?workbook=02_02.xlsx&amp;sheet=A1&amp;row=27&amp;col=7&amp;number=&amp;sourceID=15","")</f>
        <v/>
      </c>
      <c r="H27" s="4" t="str">
        <f>HYPERLINK("http://141.218.60.56/~jnz1568/getInfo.php?workbook=02_02.xlsx&amp;sheet=A1&amp;row=27&amp;col=8&amp;number=&amp;sourceID=15","")</f>
        <v/>
      </c>
      <c r="I27" s="4" t="str">
        <f>HYPERLINK("http://141.218.60.56/~jnz1568/getInfo.php?workbook=02_02.xlsx&amp;sheet=A1&amp;row=27&amp;col=9&amp;number=&amp;sourceID=15","")</f>
        <v/>
      </c>
      <c r="J27" s="4" t="str">
        <f>HYPERLINK("http://141.218.60.56/~jnz1568/getInfo.php?workbook=02_02.xlsx&amp;sheet=A1&amp;row=27&amp;col=10&amp;number=&amp;sourceID=15","")</f>
        <v/>
      </c>
      <c r="K27" s="4" t="str">
        <f>HYPERLINK("http://141.218.60.56/~jnz1568/getInfo.php?workbook=02_02.xlsx&amp;sheet=A1&amp;row=27&amp;col=11&amp;number=&amp;sourceID=24","")</f>
        <v/>
      </c>
      <c r="L27" s="4" t="str">
        <f>HYPERLINK("http://141.218.60.56/~jnz1568/getInfo.php?workbook=02_02.xlsx&amp;sheet=A1&amp;row=27&amp;col=12&amp;number=&amp;sourceID=25","")</f>
        <v/>
      </c>
    </row>
    <row r="28" spans="1:12">
      <c r="A28" s="3">
        <v>2</v>
      </c>
      <c r="B28" s="3">
        <v>2</v>
      </c>
      <c r="C28" s="3">
        <v>8</v>
      </c>
      <c r="D28" s="3">
        <v>5</v>
      </c>
      <c r="E28" s="3">
        <f>((1/(INDEX('E1'!I$4:I$32,C28,1)-INDEX('E1'!I$4:I$32,D28,1))))*100000000</f>
        <v>0</v>
      </c>
      <c r="F28" s="4" t="str">
        <f>HYPERLINK("http://141.218.60.56/~jnz1568/getInfo.php?workbook=02_02.xlsx&amp;sheet=A1&amp;row=28&amp;col=6&amp;number=&amp;sourceID=15","")</f>
        <v/>
      </c>
      <c r="G28" s="4" t="str">
        <f>HYPERLINK("http://141.218.60.56/~jnz1568/getInfo.php?workbook=02_02.xlsx&amp;sheet=A1&amp;row=28&amp;col=7&amp;number=&amp;sourceID=15","")</f>
        <v/>
      </c>
      <c r="H28" s="4" t="str">
        <f>HYPERLINK("http://141.218.60.56/~jnz1568/getInfo.php?workbook=02_02.xlsx&amp;sheet=A1&amp;row=28&amp;col=8&amp;number=&amp;sourceID=15","")</f>
        <v/>
      </c>
      <c r="I28" s="4" t="str">
        <f>HYPERLINK("http://141.218.60.56/~jnz1568/getInfo.php?workbook=02_02.xlsx&amp;sheet=A1&amp;row=28&amp;col=9&amp;number=&amp;sourceID=15","")</f>
        <v/>
      </c>
      <c r="J28" s="4" t="str">
        <f>HYPERLINK("http://141.218.60.56/~jnz1568/getInfo.php?workbook=02_02.xlsx&amp;sheet=A1&amp;row=28&amp;col=10&amp;number=&amp;sourceID=15","")</f>
        <v/>
      </c>
      <c r="K28" s="4" t="str">
        <f>HYPERLINK("http://141.218.60.56/~jnz1568/getInfo.php?workbook=02_02.xlsx&amp;sheet=A1&amp;row=28&amp;col=11&amp;number=&amp;sourceID=24","")</f>
        <v/>
      </c>
      <c r="L28" s="4" t="str">
        <f>HYPERLINK("http://141.218.60.56/~jnz1568/getInfo.php?workbook=02_02.xlsx&amp;sheet=A1&amp;row=28&amp;col=12&amp;number=&amp;sourceID=25","")</f>
        <v/>
      </c>
    </row>
    <row r="29" spans="1:12">
      <c r="A29" s="3">
        <v>2</v>
      </c>
      <c r="B29" s="3">
        <v>2</v>
      </c>
      <c r="C29" s="3">
        <v>8</v>
      </c>
      <c r="D29" s="3">
        <v>6</v>
      </c>
      <c r="E29" s="3">
        <f>((1/(INDEX('E1'!I$4:I$32,C29,1)-INDEX('E1'!I$4:I$32,D29,1))))*100000000</f>
        <v>0</v>
      </c>
      <c r="F29" s="4" t="str">
        <f>HYPERLINK("http://141.218.60.56/~jnz1568/getInfo.php?workbook=02_02.xlsx&amp;sheet=A1&amp;row=29&amp;col=6&amp;number==SUM(G29:J29)&amp;sourceID=15","=SUM(G29:J29)")</f>
        <v>=SUM(G29:J29)</v>
      </c>
      <c r="G29" s="4" t="str">
        <f>HYPERLINK("http://141.218.60.56/~jnz1568/getInfo.php?workbook=02_02.xlsx&amp;sheet=A1&amp;row=29&amp;col=7&amp;number=1073600&amp;sourceID=15","1073600")</f>
        <v>1073600</v>
      </c>
      <c r="H29" s="4" t="str">
        <f>HYPERLINK("http://141.218.60.56/~jnz1568/getInfo.php?workbook=02_02.xlsx&amp;sheet=A1&amp;row=29&amp;col=8&amp;number=&amp;sourceID=15","")</f>
        <v/>
      </c>
      <c r="I29" s="4" t="str">
        <f>HYPERLINK("http://141.218.60.56/~jnz1568/getInfo.php?workbook=02_02.xlsx&amp;sheet=A1&amp;row=29&amp;col=9&amp;number=&amp;sourceID=15","")</f>
        <v/>
      </c>
      <c r="J29" s="4" t="str">
        <f>HYPERLINK("http://141.218.60.56/~jnz1568/getInfo.php?workbook=02_02.xlsx&amp;sheet=A1&amp;row=29&amp;col=10&amp;number=&amp;sourceID=15","")</f>
        <v/>
      </c>
      <c r="K29" s="4" t="str">
        <f>HYPERLINK("http://141.218.60.56/~jnz1568/getInfo.php?workbook=02_02.xlsx&amp;sheet=A1&amp;row=29&amp;col=11&amp;number=1074000&amp;sourceID=24","1074000")</f>
        <v>1074000</v>
      </c>
      <c r="L29" s="4" t="str">
        <f>HYPERLINK("http://141.218.60.56/~jnz1568/getInfo.php?workbook=02_02.xlsx&amp;sheet=A1&amp;row=29&amp;col=12&amp;number=1080000&amp;sourceID=25","1080000")</f>
        <v>1080000</v>
      </c>
    </row>
    <row r="30" spans="1:12">
      <c r="A30" s="3">
        <v>2</v>
      </c>
      <c r="B30" s="3">
        <v>2</v>
      </c>
      <c r="C30" s="3">
        <v>8</v>
      </c>
      <c r="D30" s="3">
        <v>7</v>
      </c>
      <c r="E30" s="3">
        <f>((1/(INDEX('E1'!I$4:I$32,C30,1)-INDEX('E1'!I$4:I$32,D30,1))))*100000000</f>
        <v>0</v>
      </c>
      <c r="F30" s="4" t="str">
        <f>HYPERLINK("http://141.218.60.56/~jnz1568/getInfo.php?workbook=02_02.xlsx&amp;sheet=A1&amp;row=30&amp;col=6&amp;number=&amp;sourceID=15","")</f>
        <v/>
      </c>
      <c r="G30" s="4" t="str">
        <f>HYPERLINK("http://141.218.60.56/~jnz1568/getInfo.php?workbook=02_02.xlsx&amp;sheet=A1&amp;row=30&amp;col=7&amp;number=&amp;sourceID=15","")</f>
        <v/>
      </c>
      <c r="H30" s="4" t="str">
        <f>HYPERLINK("http://141.218.60.56/~jnz1568/getInfo.php?workbook=02_02.xlsx&amp;sheet=A1&amp;row=30&amp;col=8&amp;number=&amp;sourceID=15","")</f>
        <v/>
      </c>
      <c r="I30" s="4" t="str">
        <f>HYPERLINK("http://141.218.60.56/~jnz1568/getInfo.php?workbook=02_02.xlsx&amp;sheet=A1&amp;row=30&amp;col=9&amp;number=&amp;sourceID=15","")</f>
        <v/>
      </c>
      <c r="J30" s="4" t="str">
        <f>HYPERLINK("http://141.218.60.56/~jnz1568/getInfo.php?workbook=02_02.xlsx&amp;sheet=A1&amp;row=30&amp;col=10&amp;number=&amp;sourceID=15","")</f>
        <v/>
      </c>
      <c r="K30" s="4" t="str">
        <f>HYPERLINK("http://141.218.60.56/~jnz1568/getInfo.php?workbook=02_02.xlsx&amp;sheet=A1&amp;row=30&amp;col=11&amp;number=&amp;sourceID=24","")</f>
        <v/>
      </c>
      <c r="L30" s="4" t="str">
        <f>HYPERLINK("http://141.218.60.56/~jnz1568/getInfo.php?workbook=02_02.xlsx&amp;sheet=A1&amp;row=30&amp;col=12&amp;number=&amp;sourceID=25","")</f>
        <v/>
      </c>
    </row>
    <row r="31" spans="1:12">
      <c r="A31" s="3">
        <v>2</v>
      </c>
      <c r="B31" s="3">
        <v>2</v>
      </c>
      <c r="C31" s="3">
        <v>9</v>
      </c>
      <c r="D31" s="3">
        <v>1</v>
      </c>
      <c r="E31" s="3">
        <f>((1/(INDEX('E1'!I$4:I$32,C31,1)-INDEX('E1'!I$4:I$32,D31,1))))*100000000</f>
        <v>0</v>
      </c>
      <c r="F31" s="4" t="str">
        <f>HYPERLINK("http://141.218.60.56/~jnz1568/getInfo.php?workbook=02_02.xlsx&amp;sheet=A1&amp;row=31&amp;col=6&amp;number=&amp;sourceID=15","")</f>
        <v/>
      </c>
      <c r="G31" s="4" t="str">
        <f>HYPERLINK("http://141.218.60.56/~jnz1568/getInfo.php?workbook=02_02.xlsx&amp;sheet=A1&amp;row=31&amp;col=7&amp;number=&amp;sourceID=15","")</f>
        <v/>
      </c>
      <c r="H31" s="4" t="str">
        <f>HYPERLINK("http://141.218.60.56/~jnz1568/getInfo.php?workbook=02_02.xlsx&amp;sheet=A1&amp;row=31&amp;col=8&amp;number=&amp;sourceID=15","")</f>
        <v/>
      </c>
      <c r="I31" s="4" t="str">
        <f>HYPERLINK("http://141.218.60.56/~jnz1568/getInfo.php?workbook=02_02.xlsx&amp;sheet=A1&amp;row=31&amp;col=9&amp;number=&amp;sourceID=15","")</f>
        <v/>
      </c>
      <c r="J31" s="4" t="str">
        <f>HYPERLINK("http://141.218.60.56/~jnz1568/getInfo.php?workbook=02_02.xlsx&amp;sheet=A1&amp;row=31&amp;col=10&amp;number=&amp;sourceID=15","")</f>
        <v/>
      </c>
      <c r="K31" s="4" t="str">
        <f>HYPERLINK("http://141.218.60.56/~jnz1568/getInfo.php?workbook=02_02.xlsx&amp;sheet=A1&amp;row=31&amp;col=11&amp;number=&amp;sourceID=24","")</f>
        <v/>
      </c>
      <c r="L31" s="4" t="str">
        <f>HYPERLINK("http://141.218.60.56/~jnz1568/getInfo.php?workbook=02_02.xlsx&amp;sheet=A1&amp;row=31&amp;col=12&amp;number=&amp;sourceID=25","")</f>
        <v/>
      </c>
    </row>
    <row r="32" spans="1:12">
      <c r="A32" s="3">
        <v>2</v>
      </c>
      <c r="B32" s="3">
        <v>2</v>
      </c>
      <c r="C32" s="3">
        <v>9</v>
      </c>
      <c r="D32" s="3">
        <v>2</v>
      </c>
      <c r="E32" s="3">
        <f>((1/(INDEX('E1'!I$4:I$32,C32,1)-INDEX('E1'!I$4:I$32,D32,1))))*100000000</f>
        <v>0</v>
      </c>
      <c r="F32" s="4" t="str">
        <f>HYPERLINK("http://141.218.60.56/~jnz1568/getInfo.php?workbook=02_02.xlsx&amp;sheet=A1&amp;row=32&amp;col=6&amp;number==SUM(G32:J32)&amp;sourceID=15","=SUM(G32:J32)")</f>
        <v>=SUM(G32:J32)</v>
      </c>
      <c r="G32" s="4" t="str">
        <f>HYPERLINK("http://141.218.60.56/~jnz1568/getInfo.php?workbook=02_02.xlsx&amp;sheet=A1&amp;row=32&amp;col=7&amp;number=&amp;sourceID=15","")</f>
        <v/>
      </c>
      <c r="H32" s="4" t="str">
        <f>HYPERLINK("http://141.218.60.56/~jnz1568/getInfo.php?workbook=02_02.xlsx&amp;sheet=A1&amp;row=32&amp;col=8&amp;number=186.65&amp;sourceID=15","186.65")</f>
        <v>186.65</v>
      </c>
      <c r="I32" s="4" t="str">
        <f>HYPERLINK("http://141.218.60.56/~jnz1568/getInfo.php?workbook=02_02.xlsx&amp;sheet=A1&amp;row=32&amp;col=9&amp;number=&amp;sourceID=15","")</f>
        <v/>
      </c>
      <c r="J32" s="4" t="str">
        <f>HYPERLINK("http://141.218.60.56/~jnz1568/getInfo.php?workbook=02_02.xlsx&amp;sheet=A1&amp;row=32&amp;col=10&amp;number=&amp;sourceID=15","")</f>
        <v/>
      </c>
      <c r="K32" s="4" t="str">
        <f>HYPERLINK("http://141.218.60.56/~jnz1568/getInfo.php?workbook=02_02.xlsx&amp;sheet=A1&amp;row=32&amp;col=11&amp;number=&amp;sourceID=24","")</f>
        <v/>
      </c>
      <c r="L32" s="4" t="str">
        <f>HYPERLINK("http://141.218.60.56/~jnz1568/getInfo.php?workbook=02_02.xlsx&amp;sheet=A1&amp;row=32&amp;col=12&amp;number=&amp;sourceID=25","")</f>
        <v/>
      </c>
    </row>
    <row r="33" spans="1:12">
      <c r="A33" s="3">
        <v>2</v>
      </c>
      <c r="B33" s="3">
        <v>2</v>
      </c>
      <c r="C33" s="3">
        <v>9</v>
      </c>
      <c r="D33" s="3">
        <v>3</v>
      </c>
      <c r="E33" s="3">
        <f>((1/(INDEX('E1'!I$4:I$32,C33,1)-INDEX('E1'!I$4:I$32,D33,1))))*100000000</f>
        <v>0</v>
      </c>
      <c r="F33" s="4" t="str">
        <f>HYPERLINK("http://141.218.60.56/~jnz1568/getInfo.php?workbook=02_02.xlsx&amp;sheet=A1&amp;row=33&amp;col=6&amp;number=&amp;sourceID=15","")</f>
        <v/>
      </c>
      <c r="G33" s="4" t="str">
        <f>HYPERLINK("http://141.218.60.56/~jnz1568/getInfo.php?workbook=02_02.xlsx&amp;sheet=A1&amp;row=33&amp;col=7&amp;number=&amp;sourceID=15","")</f>
        <v/>
      </c>
      <c r="H33" s="4" t="str">
        <f>HYPERLINK("http://141.218.60.56/~jnz1568/getInfo.php?workbook=02_02.xlsx&amp;sheet=A1&amp;row=33&amp;col=8&amp;number=&amp;sourceID=15","")</f>
        <v/>
      </c>
      <c r="I33" s="4" t="str">
        <f>HYPERLINK("http://141.218.60.56/~jnz1568/getInfo.php?workbook=02_02.xlsx&amp;sheet=A1&amp;row=33&amp;col=9&amp;number=&amp;sourceID=15","")</f>
        <v/>
      </c>
      <c r="J33" s="4" t="str">
        <f>HYPERLINK("http://141.218.60.56/~jnz1568/getInfo.php?workbook=02_02.xlsx&amp;sheet=A1&amp;row=33&amp;col=10&amp;number=&amp;sourceID=15","")</f>
        <v/>
      </c>
      <c r="K33" s="4" t="str">
        <f>HYPERLINK("http://141.218.60.56/~jnz1568/getInfo.php?workbook=02_02.xlsx&amp;sheet=A1&amp;row=33&amp;col=11&amp;number=&amp;sourceID=24","")</f>
        <v/>
      </c>
      <c r="L33" s="4" t="str">
        <f>HYPERLINK("http://141.218.60.56/~jnz1568/getInfo.php?workbook=02_02.xlsx&amp;sheet=A1&amp;row=33&amp;col=12&amp;number=&amp;sourceID=25","")</f>
        <v/>
      </c>
    </row>
    <row r="34" spans="1:12">
      <c r="A34" s="3">
        <v>2</v>
      </c>
      <c r="B34" s="3">
        <v>2</v>
      </c>
      <c r="C34" s="3">
        <v>9</v>
      </c>
      <c r="D34" s="3">
        <v>4</v>
      </c>
      <c r="E34" s="3">
        <f>((1/(INDEX('E1'!I$4:I$32,C34,1)-INDEX('E1'!I$4:I$32,D34,1))))*100000000</f>
        <v>0</v>
      </c>
      <c r="F34" s="4" t="str">
        <f>HYPERLINK("http://141.218.60.56/~jnz1568/getInfo.php?workbook=02_02.xlsx&amp;sheet=A1&amp;row=34&amp;col=6&amp;number==SUM(G34:J34)&amp;sourceID=15","=SUM(G34:J34)")</f>
        <v>=SUM(G34:J34)</v>
      </c>
      <c r="G34" s="4" t="str">
        <f>HYPERLINK("http://141.218.60.56/~jnz1568/getInfo.php?workbook=02_02.xlsx&amp;sheet=A1&amp;row=34&amp;col=7&amp;number=70703000&amp;sourceID=15","70703000")</f>
        <v>70703000</v>
      </c>
      <c r="H34" s="4" t="str">
        <f>HYPERLINK("http://141.218.60.56/~jnz1568/getInfo.php?workbook=02_02.xlsx&amp;sheet=A1&amp;row=34&amp;col=8&amp;number=&amp;sourceID=15","")</f>
        <v/>
      </c>
      <c r="I34" s="4" t="str">
        <f>HYPERLINK("http://141.218.60.56/~jnz1568/getInfo.php?workbook=02_02.xlsx&amp;sheet=A1&amp;row=34&amp;col=9&amp;number=&amp;sourceID=15","")</f>
        <v/>
      </c>
      <c r="J34" s="4" t="str">
        <f>HYPERLINK("http://141.218.60.56/~jnz1568/getInfo.php?workbook=02_02.xlsx&amp;sheet=A1&amp;row=34&amp;col=10&amp;number=&amp;sourceID=15","")</f>
        <v/>
      </c>
      <c r="K34" s="4" t="str">
        <f>HYPERLINK("http://141.218.60.56/~jnz1568/getInfo.php?workbook=02_02.xlsx&amp;sheet=A1&amp;row=34&amp;col=11&amp;number=71470000&amp;sourceID=24","71470000")</f>
        <v>71470000</v>
      </c>
      <c r="L34" s="4" t="str">
        <f>HYPERLINK("http://141.218.60.56/~jnz1568/getInfo.php?workbook=02_02.xlsx&amp;sheet=A1&amp;row=34&amp;col=12&amp;number=70666666.6667&amp;sourceID=25","70666666.6667")</f>
        <v>70666666.6667</v>
      </c>
    </row>
    <row r="35" spans="1:12">
      <c r="A35" s="3">
        <v>2</v>
      </c>
      <c r="B35" s="3">
        <v>2</v>
      </c>
      <c r="C35" s="3">
        <v>9</v>
      </c>
      <c r="D35" s="3">
        <v>5</v>
      </c>
      <c r="E35" s="3">
        <f>((1/(INDEX('E1'!I$4:I$32,C35,1)-INDEX('E1'!I$4:I$32,D35,1))))*100000000</f>
        <v>0</v>
      </c>
      <c r="F35" s="4" t="str">
        <f>HYPERLINK("http://141.218.60.56/~jnz1568/getInfo.php?workbook=02_02.xlsx&amp;sheet=A1&amp;row=35&amp;col=6&amp;number==SUM(G35:J35)&amp;sourceID=15","=SUM(G35:J35)")</f>
        <v>=SUM(G35:J35)</v>
      </c>
      <c r="G35" s="4" t="str">
        <f>HYPERLINK("http://141.218.60.56/~jnz1568/getInfo.php?workbook=02_02.xlsx&amp;sheet=A1&amp;row=35&amp;col=7&amp;number=15100&amp;sourceID=15","15100")</f>
        <v>15100</v>
      </c>
      <c r="H35" s="4" t="str">
        <f>HYPERLINK("http://141.218.60.56/~jnz1568/getInfo.php?workbook=02_02.xlsx&amp;sheet=A1&amp;row=35&amp;col=8&amp;number=&amp;sourceID=15","")</f>
        <v/>
      </c>
      <c r="I35" s="4" t="str">
        <f>HYPERLINK("http://141.218.60.56/~jnz1568/getInfo.php?workbook=02_02.xlsx&amp;sheet=A1&amp;row=35&amp;col=9&amp;number=&amp;sourceID=15","")</f>
        <v/>
      </c>
      <c r="J35" s="4" t="str">
        <f>HYPERLINK("http://141.218.60.56/~jnz1568/getInfo.php?workbook=02_02.xlsx&amp;sheet=A1&amp;row=35&amp;col=10&amp;number=&amp;sourceID=15","")</f>
        <v/>
      </c>
      <c r="K35" s="4" t="str">
        <f>HYPERLINK("http://141.218.60.56/~jnz1568/getInfo.php?workbook=02_02.xlsx&amp;sheet=A1&amp;row=35&amp;col=11&amp;number=&amp;sourceID=24","")</f>
        <v/>
      </c>
      <c r="L35" s="4" t="str">
        <f>HYPERLINK("http://141.218.60.56/~jnz1568/getInfo.php?workbook=02_02.xlsx&amp;sheet=A1&amp;row=35&amp;col=12&amp;number=&amp;sourceID=25","")</f>
        <v/>
      </c>
    </row>
    <row r="36" spans="1:12">
      <c r="A36" s="3">
        <v>2</v>
      </c>
      <c r="B36" s="3">
        <v>2</v>
      </c>
      <c r="C36" s="3">
        <v>9</v>
      </c>
      <c r="D36" s="3">
        <v>6</v>
      </c>
      <c r="E36" s="3">
        <f>((1/(INDEX('E1'!I$4:I$32,C36,1)-INDEX('E1'!I$4:I$32,D36,1))))*100000000</f>
        <v>0</v>
      </c>
      <c r="F36" s="4" t="str">
        <f>HYPERLINK("http://141.218.60.56/~jnz1568/getInfo.php?workbook=02_02.xlsx&amp;sheet=A1&amp;row=36&amp;col=6&amp;number==SUM(G36:J36)&amp;sourceID=15","=SUM(G36:J36)")</f>
        <v>=SUM(G36:J36)</v>
      </c>
      <c r="G36" s="4" t="str">
        <f>HYPERLINK("http://141.218.60.56/~jnz1568/getInfo.php?workbook=02_02.xlsx&amp;sheet=A1&amp;row=36&amp;col=7&amp;number=&amp;sourceID=15","")</f>
        <v/>
      </c>
      <c r="H36" s="4" t="str">
        <f>HYPERLINK("http://141.218.60.56/~jnz1568/getInfo.php?workbook=02_02.xlsx&amp;sheet=A1&amp;row=36&amp;col=8&amp;number=0.070494&amp;sourceID=15","0.070494")</f>
        <v>0.070494</v>
      </c>
      <c r="I36" s="4" t="str">
        <f>HYPERLINK("http://141.218.60.56/~jnz1568/getInfo.php?workbook=02_02.xlsx&amp;sheet=A1&amp;row=36&amp;col=9&amp;number=&amp;sourceID=15","")</f>
        <v/>
      </c>
      <c r="J36" s="4" t="str">
        <f>HYPERLINK("http://141.218.60.56/~jnz1568/getInfo.php?workbook=02_02.xlsx&amp;sheet=A1&amp;row=36&amp;col=10&amp;number=&amp;sourceID=15","")</f>
        <v/>
      </c>
      <c r="K36" s="4" t="str">
        <f>HYPERLINK("http://141.218.60.56/~jnz1568/getInfo.php?workbook=02_02.xlsx&amp;sheet=A1&amp;row=36&amp;col=11&amp;number=&amp;sourceID=24","")</f>
        <v/>
      </c>
      <c r="L36" s="4" t="str">
        <f>HYPERLINK("http://141.218.60.56/~jnz1568/getInfo.php?workbook=02_02.xlsx&amp;sheet=A1&amp;row=36&amp;col=12&amp;number=&amp;sourceID=25","")</f>
        <v/>
      </c>
    </row>
    <row r="37" spans="1:12">
      <c r="A37" s="3">
        <v>2</v>
      </c>
      <c r="B37" s="3">
        <v>2</v>
      </c>
      <c r="C37" s="3">
        <v>9</v>
      </c>
      <c r="D37" s="3">
        <v>7</v>
      </c>
      <c r="E37" s="3">
        <f>((1/(INDEX('E1'!I$4:I$32,C37,1)-INDEX('E1'!I$4:I$32,D37,1))))*100000000</f>
        <v>0</v>
      </c>
      <c r="F37" s="4" t="str">
        <f>HYPERLINK("http://141.218.60.56/~jnz1568/getInfo.php?workbook=02_02.xlsx&amp;sheet=A1&amp;row=37&amp;col=6&amp;number=&amp;sourceID=15","")</f>
        <v/>
      </c>
      <c r="G37" s="4" t="str">
        <f>HYPERLINK("http://141.218.60.56/~jnz1568/getInfo.php?workbook=02_02.xlsx&amp;sheet=A1&amp;row=37&amp;col=7&amp;number=&amp;sourceID=15","")</f>
        <v/>
      </c>
      <c r="H37" s="4" t="str">
        <f>HYPERLINK("http://141.218.60.56/~jnz1568/getInfo.php?workbook=02_02.xlsx&amp;sheet=A1&amp;row=37&amp;col=8&amp;number=&amp;sourceID=15","")</f>
        <v/>
      </c>
      <c r="I37" s="4" t="str">
        <f>HYPERLINK("http://141.218.60.56/~jnz1568/getInfo.php?workbook=02_02.xlsx&amp;sheet=A1&amp;row=37&amp;col=9&amp;number=&amp;sourceID=15","")</f>
        <v/>
      </c>
      <c r="J37" s="4" t="str">
        <f>HYPERLINK("http://141.218.60.56/~jnz1568/getInfo.php?workbook=02_02.xlsx&amp;sheet=A1&amp;row=37&amp;col=10&amp;number=&amp;sourceID=15","")</f>
        <v/>
      </c>
      <c r="K37" s="4" t="str">
        <f>HYPERLINK("http://141.218.60.56/~jnz1568/getInfo.php?workbook=02_02.xlsx&amp;sheet=A1&amp;row=37&amp;col=11&amp;number=&amp;sourceID=24","")</f>
        <v/>
      </c>
      <c r="L37" s="4" t="str">
        <f>HYPERLINK("http://141.218.60.56/~jnz1568/getInfo.php?workbook=02_02.xlsx&amp;sheet=A1&amp;row=37&amp;col=12&amp;number=&amp;sourceID=25","")</f>
        <v/>
      </c>
    </row>
    <row r="38" spans="1:12">
      <c r="A38" s="3">
        <v>2</v>
      </c>
      <c r="B38" s="3">
        <v>2</v>
      </c>
      <c r="C38" s="3">
        <v>9</v>
      </c>
      <c r="D38" s="3">
        <v>8</v>
      </c>
      <c r="E38" s="3">
        <f>((1/(INDEX('E1'!I$4:I$32,C38,1)-INDEX('E1'!I$4:I$32,D38,1))))*100000000</f>
        <v>0</v>
      </c>
      <c r="F38" s="4" t="str">
        <f>HYPERLINK("http://141.218.60.56/~jnz1568/getInfo.php?workbook=02_02.xlsx&amp;sheet=A1&amp;row=38&amp;col=6&amp;number==SUM(G38:J38)&amp;sourceID=15","=SUM(G38:J38)")</f>
        <v>=SUM(G38:J38)</v>
      </c>
      <c r="G38" s="4" t="str">
        <f>HYPERLINK("http://141.218.60.56/~jnz1568/getInfo.php?workbook=02_02.xlsx&amp;sheet=A1&amp;row=38&amp;col=7&amp;number=12916&amp;sourceID=15","12916")</f>
        <v>12916</v>
      </c>
      <c r="H38" s="4" t="str">
        <f>HYPERLINK("http://141.218.60.56/~jnz1568/getInfo.php?workbook=02_02.xlsx&amp;sheet=A1&amp;row=38&amp;col=8&amp;number=&amp;sourceID=15","")</f>
        <v/>
      </c>
      <c r="I38" s="4" t="str">
        <f>HYPERLINK("http://141.218.60.56/~jnz1568/getInfo.php?workbook=02_02.xlsx&amp;sheet=A1&amp;row=38&amp;col=9&amp;number=&amp;sourceID=15","")</f>
        <v/>
      </c>
      <c r="J38" s="4" t="str">
        <f>HYPERLINK("http://141.218.60.56/~jnz1568/getInfo.php?workbook=02_02.xlsx&amp;sheet=A1&amp;row=38&amp;col=10&amp;number=&amp;sourceID=15","")</f>
        <v/>
      </c>
      <c r="K38" s="4" t="str">
        <f>HYPERLINK("http://141.218.60.56/~jnz1568/getInfo.php?workbook=02_02.xlsx&amp;sheet=A1&amp;row=38&amp;col=11&amp;number=12940&amp;sourceID=24","12940")</f>
        <v>12940</v>
      </c>
      <c r="L38" s="4" t="str">
        <f>HYPERLINK("http://141.218.60.56/~jnz1568/getInfo.php?workbook=02_02.xlsx&amp;sheet=A1&amp;row=38&amp;col=12&amp;number=12533.3333333&amp;sourceID=25","12533.3333333")</f>
        <v>12533.3333333</v>
      </c>
    </row>
    <row r="39" spans="1:12">
      <c r="A39" s="3">
        <v>2</v>
      </c>
      <c r="B39" s="3">
        <v>2</v>
      </c>
      <c r="C39" s="3">
        <v>10</v>
      </c>
      <c r="D39" s="3">
        <v>1</v>
      </c>
      <c r="E39" s="3">
        <f>((1/(INDEX('E1'!I$4:I$32,C39,1)-INDEX('E1'!I$4:I$32,D39,1))))*100000000</f>
        <v>0</v>
      </c>
      <c r="F39" s="4" t="str">
        <f>HYPERLINK("http://141.218.60.56/~jnz1568/getInfo.php?workbook=02_02.xlsx&amp;sheet=A1&amp;row=39&amp;col=6&amp;number==SUM(G39:J39)&amp;sourceID=15","=SUM(G39:J39)")</f>
        <v>=SUM(G39:J39)</v>
      </c>
      <c r="G39" s="4" t="str">
        <f>HYPERLINK("http://141.218.60.56/~jnz1568/getInfo.php?workbook=02_02.xlsx&amp;sheet=A1&amp;row=39&amp;col=7&amp;number=&amp;sourceID=15","")</f>
        <v/>
      </c>
      <c r="H39" s="4" t="str">
        <f>HYPERLINK("http://141.218.60.56/~jnz1568/getInfo.php?workbook=02_02.xlsx&amp;sheet=A1&amp;row=39&amp;col=8&amp;number=1299&amp;sourceID=15","1299")</f>
        <v>1299</v>
      </c>
      <c r="I39" s="4" t="str">
        <f>HYPERLINK("http://141.218.60.56/~jnz1568/getInfo.php?workbook=02_02.xlsx&amp;sheet=A1&amp;row=39&amp;col=9&amp;number=&amp;sourceID=15","")</f>
        <v/>
      </c>
      <c r="J39" s="4" t="str">
        <f>HYPERLINK("http://141.218.60.56/~jnz1568/getInfo.php?workbook=02_02.xlsx&amp;sheet=A1&amp;row=39&amp;col=10&amp;number=&amp;sourceID=15","")</f>
        <v/>
      </c>
      <c r="K39" s="4" t="str">
        <f>HYPERLINK("http://141.218.60.56/~jnz1568/getInfo.php?workbook=02_02.xlsx&amp;sheet=A1&amp;row=39&amp;col=11&amp;number=&amp;sourceID=24","")</f>
        <v/>
      </c>
      <c r="L39" s="4" t="str">
        <f>HYPERLINK("http://141.218.60.56/~jnz1568/getInfo.php?workbook=02_02.xlsx&amp;sheet=A1&amp;row=39&amp;col=12&amp;number=&amp;sourceID=25","")</f>
        <v/>
      </c>
    </row>
    <row r="40" spans="1:12">
      <c r="A40" s="3">
        <v>2</v>
      </c>
      <c r="B40" s="3">
        <v>2</v>
      </c>
      <c r="C40" s="3">
        <v>10</v>
      </c>
      <c r="D40" s="3">
        <v>2</v>
      </c>
      <c r="E40" s="3">
        <f>((1/(INDEX('E1'!I$4:I$32,C40,1)-INDEX('E1'!I$4:I$32,D40,1))))*100000000</f>
        <v>0</v>
      </c>
      <c r="F40" s="4" t="str">
        <f>HYPERLINK("http://141.218.60.56/~jnz1568/getInfo.php?workbook=02_02.xlsx&amp;sheet=A1&amp;row=40&amp;col=6&amp;number=&amp;sourceID=15","")</f>
        <v/>
      </c>
      <c r="G40" s="4" t="str">
        <f>HYPERLINK("http://141.218.60.56/~jnz1568/getInfo.php?workbook=02_02.xlsx&amp;sheet=A1&amp;row=40&amp;col=7&amp;number=&amp;sourceID=15","")</f>
        <v/>
      </c>
      <c r="H40" s="4" t="str">
        <f>HYPERLINK("http://141.218.60.56/~jnz1568/getInfo.php?workbook=02_02.xlsx&amp;sheet=A1&amp;row=40&amp;col=8&amp;number=&amp;sourceID=15","")</f>
        <v/>
      </c>
      <c r="I40" s="4" t="str">
        <f>HYPERLINK("http://141.218.60.56/~jnz1568/getInfo.php?workbook=02_02.xlsx&amp;sheet=A1&amp;row=40&amp;col=9&amp;number=&amp;sourceID=15","")</f>
        <v/>
      </c>
      <c r="J40" s="4" t="str">
        <f>HYPERLINK("http://141.218.60.56/~jnz1568/getInfo.php?workbook=02_02.xlsx&amp;sheet=A1&amp;row=40&amp;col=10&amp;number=&amp;sourceID=15","")</f>
        <v/>
      </c>
      <c r="K40" s="4" t="str">
        <f>HYPERLINK("http://141.218.60.56/~jnz1568/getInfo.php?workbook=02_02.xlsx&amp;sheet=A1&amp;row=40&amp;col=11&amp;number=&amp;sourceID=24","")</f>
        <v/>
      </c>
      <c r="L40" s="4" t="str">
        <f>HYPERLINK("http://141.218.60.56/~jnz1568/getInfo.php?workbook=02_02.xlsx&amp;sheet=A1&amp;row=40&amp;col=12&amp;number=&amp;sourceID=25","")</f>
        <v/>
      </c>
    </row>
    <row r="41" spans="1:12">
      <c r="A41" s="3">
        <v>2</v>
      </c>
      <c r="B41" s="3">
        <v>2</v>
      </c>
      <c r="C41" s="3">
        <v>10</v>
      </c>
      <c r="D41" s="3">
        <v>3</v>
      </c>
      <c r="E41" s="3">
        <f>((1/(INDEX('E1'!I$4:I$32,C41,1)-INDEX('E1'!I$4:I$32,D41,1))))*100000000</f>
        <v>0</v>
      </c>
      <c r="F41" s="4" t="str">
        <f>HYPERLINK("http://141.218.60.56/~jnz1568/getInfo.php?workbook=02_02.xlsx&amp;sheet=A1&amp;row=41&amp;col=6&amp;number==SUM(G41:J41)&amp;sourceID=15","=SUM(G41:J41)")</f>
        <v>=SUM(G41:J41)</v>
      </c>
      <c r="G41" s="4" t="str">
        <f>HYPERLINK("http://141.218.60.56/~jnz1568/getInfo.php?workbook=02_02.xlsx&amp;sheet=A1&amp;row=41&amp;col=7&amp;number=&amp;sourceID=15","")</f>
        <v/>
      </c>
      <c r="H41" s="4" t="str">
        <f>HYPERLINK("http://141.218.60.56/~jnz1568/getInfo.php?workbook=02_02.xlsx&amp;sheet=A1&amp;row=41&amp;col=8&amp;number=102.2&amp;sourceID=15","102.2")</f>
        <v>102.2</v>
      </c>
      <c r="I41" s="4" t="str">
        <f>HYPERLINK("http://141.218.60.56/~jnz1568/getInfo.php?workbook=02_02.xlsx&amp;sheet=A1&amp;row=41&amp;col=9&amp;number=&amp;sourceID=15","")</f>
        <v/>
      </c>
      <c r="J41" s="4" t="str">
        <f>HYPERLINK("http://141.218.60.56/~jnz1568/getInfo.php?workbook=02_02.xlsx&amp;sheet=A1&amp;row=41&amp;col=10&amp;number=&amp;sourceID=15","")</f>
        <v/>
      </c>
      <c r="K41" s="4" t="str">
        <f>HYPERLINK("http://141.218.60.56/~jnz1568/getInfo.php?workbook=02_02.xlsx&amp;sheet=A1&amp;row=41&amp;col=11&amp;number=&amp;sourceID=24","")</f>
        <v/>
      </c>
      <c r="L41" s="4" t="str">
        <f>HYPERLINK("http://141.218.60.56/~jnz1568/getInfo.php?workbook=02_02.xlsx&amp;sheet=A1&amp;row=41&amp;col=12&amp;number=&amp;sourceID=25","")</f>
        <v/>
      </c>
    </row>
    <row r="42" spans="1:12">
      <c r="A42" s="3">
        <v>2</v>
      </c>
      <c r="B42" s="3">
        <v>2</v>
      </c>
      <c r="C42" s="3">
        <v>10</v>
      </c>
      <c r="D42" s="3">
        <v>4</v>
      </c>
      <c r="E42" s="3">
        <f>((1/(INDEX('E1'!I$4:I$32,C42,1)-INDEX('E1'!I$4:I$32,D42,1))))*100000000</f>
        <v>0</v>
      </c>
      <c r="F42" s="4" t="str">
        <f>HYPERLINK("http://141.218.60.56/~jnz1568/getInfo.php?workbook=02_02.xlsx&amp;sheet=A1&amp;row=42&amp;col=6&amp;number==SUM(G42:J42)&amp;sourceID=15","=SUM(G42:J42)")</f>
        <v>=SUM(G42:J42)</v>
      </c>
      <c r="G42" s="4" t="str">
        <f>HYPERLINK("http://141.218.60.56/~jnz1568/getInfo.php?workbook=02_02.xlsx&amp;sheet=A1&amp;row=42&amp;col=7&amp;number=16630&amp;sourceID=15","16630")</f>
        <v>16630</v>
      </c>
      <c r="H42" s="4" t="str">
        <f>HYPERLINK("http://141.218.60.56/~jnz1568/getInfo.php?workbook=02_02.xlsx&amp;sheet=A1&amp;row=42&amp;col=8&amp;number=&amp;sourceID=15","")</f>
        <v/>
      </c>
      <c r="I42" s="4" t="str">
        <f>HYPERLINK("http://141.218.60.56/~jnz1568/getInfo.php?workbook=02_02.xlsx&amp;sheet=A1&amp;row=42&amp;col=9&amp;number=&amp;sourceID=15","")</f>
        <v/>
      </c>
      <c r="J42" s="4" t="str">
        <f>HYPERLINK("http://141.218.60.56/~jnz1568/getInfo.php?workbook=02_02.xlsx&amp;sheet=A1&amp;row=42&amp;col=10&amp;number=&amp;sourceID=15","")</f>
        <v/>
      </c>
      <c r="K42" s="4" t="str">
        <f>HYPERLINK("http://141.218.60.56/~jnz1568/getInfo.php?workbook=02_02.xlsx&amp;sheet=A1&amp;row=42&amp;col=11&amp;number=&amp;sourceID=24","")</f>
        <v/>
      </c>
      <c r="L42" s="4" t="str">
        <f>HYPERLINK("http://141.218.60.56/~jnz1568/getInfo.php?workbook=02_02.xlsx&amp;sheet=A1&amp;row=42&amp;col=12&amp;number=&amp;sourceID=25","")</f>
        <v/>
      </c>
    </row>
    <row r="43" spans="1:12">
      <c r="A43" s="3">
        <v>2</v>
      </c>
      <c r="B43" s="3">
        <v>2</v>
      </c>
      <c r="C43" s="3">
        <v>10</v>
      </c>
      <c r="D43" s="3">
        <v>5</v>
      </c>
      <c r="E43" s="3">
        <f>((1/(INDEX('E1'!I$4:I$32,C43,1)-INDEX('E1'!I$4:I$32,D43,1))))*100000000</f>
        <v>0</v>
      </c>
      <c r="F43" s="4" t="str">
        <f>HYPERLINK("http://141.218.60.56/~jnz1568/getInfo.php?workbook=02_02.xlsx&amp;sheet=A1&amp;row=43&amp;col=6&amp;number==SUM(G43:J43)&amp;sourceID=15","=SUM(G43:J43)")</f>
        <v>=SUM(G43:J43)</v>
      </c>
      <c r="G43" s="4" t="str">
        <f>HYPERLINK("http://141.218.60.56/~jnz1568/getInfo.php?workbook=02_02.xlsx&amp;sheet=A1&amp;row=43&amp;col=7&amp;number=63705000&amp;sourceID=15","63705000")</f>
        <v>63705000</v>
      </c>
      <c r="H43" s="4" t="str">
        <f>HYPERLINK("http://141.218.60.56/~jnz1568/getInfo.php?workbook=02_02.xlsx&amp;sheet=A1&amp;row=43&amp;col=8&amp;number=&amp;sourceID=15","")</f>
        <v/>
      </c>
      <c r="I43" s="4" t="str">
        <f>HYPERLINK("http://141.218.60.56/~jnz1568/getInfo.php?workbook=02_02.xlsx&amp;sheet=A1&amp;row=43&amp;col=9&amp;number=&amp;sourceID=15","")</f>
        <v/>
      </c>
      <c r="J43" s="4" t="str">
        <f>HYPERLINK("http://141.218.60.56/~jnz1568/getInfo.php?workbook=02_02.xlsx&amp;sheet=A1&amp;row=43&amp;col=10&amp;number=&amp;sourceID=15","")</f>
        <v/>
      </c>
      <c r="K43" s="4" t="str">
        <f>HYPERLINK("http://141.218.60.56/~jnz1568/getInfo.php?workbook=02_02.xlsx&amp;sheet=A1&amp;row=43&amp;col=11&amp;number=64380000&amp;sourceID=24","64380000")</f>
        <v>64380000</v>
      </c>
      <c r="L43" s="4" t="str">
        <f>HYPERLINK("http://141.218.60.56/~jnz1568/getInfo.php?workbook=02_02.xlsx&amp;sheet=A1&amp;row=43&amp;col=12&amp;number=63400000&amp;sourceID=25","63400000")</f>
        <v>63400000</v>
      </c>
    </row>
    <row r="44" spans="1:12">
      <c r="A44" s="3">
        <v>2</v>
      </c>
      <c r="B44" s="3">
        <v>2</v>
      </c>
      <c r="C44" s="3">
        <v>10</v>
      </c>
      <c r="D44" s="3">
        <v>6</v>
      </c>
      <c r="E44" s="3">
        <f>((1/(INDEX('E1'!I$4:I$32,C44,1)-INDEX('E1'!I$4:I$32,D44,1))))*100000000</f>
        <v>0</v>
      </c>
      <c r="F44" s="4" t="str">
        <f>HYPERLINK("http://141.218.60.56/~jnz1568/getInfo.php?workbook=02_02.xlsx&amp;sheet=A1&amp;row=44&amp;col=6&amp;number=&amp;sourceID=15","")</f>
        <v/>
      </c>
      <c r="G44" s="4" t="str">
        <f>HYPERLINK("http://141.218.60.56/~jnz1568/getInfo.php?workbook=02_02.xlsx&amp;sheet=A1&amp;row=44&amp;col=7&amp;number=&amp;sourceID=15","")</f>
        <v/>
      </c>
      <c r="H44" s="4" t="str">
        <f>HYPERLINK("http://141.218.60.56/~jnz1568/getInfo.php?workbook=02_02.xlsx&amp;sheet=A1&amp;row=44&amp;col=8&amp;number=&amp;sourceID=15","")</f>
        <v/>
      </c>
      <c r="I44" s="4" t="str">
        <f>HYPERLINK("http://141.218.60.56/~jnz1568/getInfo.php?workbook=02_02.xlsx&amp;sheet=A1&amp;row=44&amp;col=9&amp;number=&amp;sourceID=15","")</f>
        <v/>
      </c>
      <c r="J44" s="4" t="str">
        <f>HYPERLINK("http://141.218.60.56/~jnz1568/getInfo.php?workbook=02_02.xlsx&amp;sheet=A1&amp;row=44&amp;col=10&amp;number=&amp;sourceID=15","")</f>
        <v/>
      </c>
      <c r="K44" s="4" t="str">
        <f>HYPERLINK("http://141.218.60.56/~jnz1568/getInfo.php?workbook=02_02.xlsx&amp;sheet=A1&amp;row=44&amp;col=11&amp;number=&amp;sourceID=24","")</f>
        <v/>
      </c>
      <c r="L44" s="4" t="str">
        <f>HYPERLINK("http://141.218.60.56/~jnz1568/getInfo.php?workbook=02_02.xlsx&amp;sheet=A1&amp;row=44&amp;col=12&amp;number=&amp;sourceID=25","")</f>
        <v/>
      </c>
    </row>
    <row r="45" spans="1:12">
      <c r="A45" s="3">
        <v>2</v>
      </c>
      <c r="B45" s="3">
        <v>2</v>
      </c>
      <c r="C45" s="3">
        <v>10</v>
      </c>
      <c r="D45" s="3">
        <v>7</v>
      </c>
      <c r="E45" s="3">
        <f>((1/(INDEX('E1'!I$4:I$32,C45,1)-INDEX('E1'!I$4:I$32,D45,1))))*100000000</f>
        <v>0</v>
      </c>
      <c r="F45" s="4" t="str">
        <f>HYPERLINK("http://141.218.60.56/~jnz1568/getInfo.php?workbook=02_02.xlsx&amp;sheet=A1&amp;row=45&amp;col=6&amp;number==SUM(G45:J45)&amp;sourceID=15","=SUM(G45:J45)")</f>
        <v>=SUM(G45:J45)</v>
      </c>
      <c r="G45" s="4" t="str">
        <f>HYPERLINK("http://141.218.60.56/~jnz1568/getInfo.php?workbook=02_02.xlsx&amp;sheet=A1&amp;row=45&amp;col=7&amp;number=&amp;sourceID=15","")</f>
        <v/>
      </c>
      <c r="H45" s="4" t="str">
        <f>HYPERLINK("http://141.218.60.56/~jnz1568/getInfo.php?workbook=02_02.xlsx&amp;sheet=A1&amp;row=45&amp;col=8&amp;number=0.0012492&amp;sourceID=15","0.0012492")</f>
        <v>0.0012492</v>
      </c>
      <c r="I45" s="4" t="str">
        <f>HYPERLINK("http://141.218.60.56/~jnz1568/getInfo.php?workbook=02_02.xlsx&amp;sheet=A1&amp;row=45&amp;col=9&amp;number=&amp;sourceID=15","")</f>
        <v/>
      </c>
      <c r="J45" s="4" t="str">
        <f>HYPERLINK("http://141.218.60.56/~jnz1568/getInfo.php?workbook=02_02.xlsx&amp;sheet=A1&amp;row=45&amp;col=10&amp;number=&amp;sourceID=15","")</f>
        <v/>
      </c>
      <c r="K45" s="4" t="str">
        <f>HYPERLINK("http://141.218.60.56/~jnz1568/getInfo.php?workbook=02_02.xlsx&amp;sheet=A1&amp;row=45&amp;col=11&amp;number=&amp;sourceID=24","")</f>
        <v/>
      </c>
      <c r="L45" s="4" t="str">
        <f>HYPERLINK("http://141.218.60.56/~jnz1568/getInfo.php?workbook=02_02.xlsx&amp;sheet=A1&amp;row=45&amp;col=12&amp;number=&amp;sourceID=25","")</f>
        <v/>
      </c>
    </row>
    <row r="46" spans="1:12">
      <c r="A46" s="3">
        <v>2</v>
      </c>
      <c r="B46" s="3">
        <v>2</v>
      </c>
      <c r="C46" s="3">
        <v>10</v>
      </c>
      <c r="D46" s="3">
        <v>8</v>
      </c>
      <c r="E46" s="3">
        <f>((1/(INDEX('E1'!I$4:I$32,C46,1)-INDEX('E1'!I$4:I$32,D46,1))))*100000000</f>
        <v>0</v>
      </c>
      <c r="F46" s="4" t="str">
        <f>HYPERLINK("http://141.218.60.56/~jnz1568/getInfo.php?workbook=02_02.xlsx&amp;sheet=A1&amp;row=46&amp;col=6&amp;number==SUM(G46:J46)&amp;sourceID=15","=SUM(G46:J46)")</f>
        <v>=SUM(G46:J46)</v>
      </c>
      <c r="G46" s="4" t="str">
        <f>HYPERLINK("http://141.218.60.56/~jnz1568/getInfo.php?workbook=02_02.xlsx&amp;sheet=A1&amp;row=46&amp;col=7&amp;number=2.317&amp;sourceID=15","2.317")</f>
        <v>2.317</v>
      </c>
      <c r="H46" s="4" t="str">
        <f>HYPERLINK("http://141.218.60.56/~jnz1568/getInfo.php?workbook=02_02.xlsx&amp;sheet=A1&amp;row=46&amp;col=8&amp;number=&amp;sourceID=15","")</f>
        <v/>
      </c>
      <c r="I46" s="4" t="str">
        <f>HYPERLINK("http://141.218.60.56/~jnz1568/getInfo.php?workbook=02_02.xlsx&amp;sheet=A1&amp;row=46&amp;col=9&amp;number=&amp;sourceID=15","")</f>
        <v/>
      </c>
      <c r="J46" s="4" t="str">
        <f>HYPERLINK("http://141.218.60.56/~jnz1568/getInfo.php?workbook=02_02.xlsx&amp;sheet=A1&amp;row=46&amp;col=10&amp;number=&amp;sourceID=15","")</f>
        <v/>
      </c>
      <c r="K46" s="4" t="str">
        <f>HYPERLINK("http://141.218.60.56/~jnz1568/getInfo.php?workbook=02_02.xlsx&amp;sheet=A1&amp;row=46&amp;col=11&amp;number=&amp;sourceID=24","")</f>
        <v/>
      </c>
      <c r="L46" s="4" t="str">
        <f>HYPERLINK("http://141.218.60.56/~jnz1568/getInfo.php?workbook=02_02.xlsx&amp;sheet=A1&amp;row=46&amp;col=12&amp;number=&amp;sourceID=25","")</f>
        <v/>
      </c>
    </row>
    <row r="47" spans="1:12">
      <c r="A47" s="3">
        <v>2</v>
      </c>
      <c r="B47" s="3">
        <v>2</v>
      </c>
      <c r="C47" s="3">
        <v>10</v>
      </c>
      <c r="D47" s="3">
        <v>9</v>
      </c>
      <c r="E47" s="3">
        <f>((1/(INDEX('E1'!I$4:I$32,C47,1)-INDEX('E1'!I$4:I$32,D47,1))))*100000000</f>
        <v>0</v>
      </c>
      <c r="F47" s="4" t="str">
        <f>HYPERLINK("http://141.218.60.56/~jnz1568/getInfo.php?workbook=02_02.xlsx&amp;sheet=A1&amp;row=47&amp;col=6&amp;number=&amp;sourceID=15","")</f>
        <v/>
      </c>
      <c r="G47" s="4" t="str">
        <f>HYPERLINK("http://141.218.60.56/~jnz1568/getInfo.php?workbook=02_02.xlsx&amp;sheet=A1&amp;row=47&amp;col=7&amp;number=&amp;sourceID=15","")</f>
        <v/>
      </c>
      <c r="H47" s="4" t="str">
        <f>HYPERLINK("http://141.218.60.56/~jnz1568/getInfo.php?workbook=02_02.xlsx&amp;sheet=A1&amp;row=47&amp;col=8&amp;number=&amp;sourceID=15","")</f>
        <v/>
      </c>
      <c r="I47" s="4" t="str">
        <f>HYPERLINK("http://141.218.60.56/~jnz1568/getInfo.php?workbook=02_02.xlsx&amp;sheet=A1&amp;row=47&amp;col=9&amp;number=&amp;sourceID=15","")</f>
        <v/>
      </c>
      <c r="J47" s="4" t="str">
        <f>HYPERLINK("http://141.218.60.56/~jnz1568/getInfo.php?workbook=02_02.xlsx&amp;sheet=A1&amp;row=47&amp;col=10&amp;number=&amp;sourceID=15","")</f>
        <v/>
      </c>
      <c r="K47" s="4" t="str">
        <f>HYPERLINK("http://141.218.60.56/~jnz1568/getInfo.php?workbook=02_02.xlsx&amp;sheet=A1&amp;row=47&amp;col=11&amp;number=&amp;sourceID=24","")</f>
        <v/>
      </c>
      <c r="L47" s="4" t="str">
        <f>HYPERLINK("http://141.218.60.56/~jnz1568/getInfo.php?workbook=02_02.xlsx&amp;sheet=A1&amp;row=47&amp;col=12&amp;number=&amp;sourceID=25","")</f>
        <v/>
      </c>
    </row>
    <row r="48" spans="1:12">
      <c r="A48" s="3">
        <v>2</v>
      </c>
      <c r="B48" s="3">
        <v>2</v>
      </c>
      <c r="C48" s="3">
        <v>11</v>
      </c>
      <c r="D48" s="3">
        <v>1</v>
      </c>
      <c r="E48" s="3">
        <f>((1/(INDEX('E1'!I$4:I$32,C48,1)-INDEX('E1'!I$4:I$32,D48,1))))*100000000</f>
        <v>0</v>
      </c>
      <c r="F48" s="4" t="str">
        <f>HYPERLINK("http://141.218.60.56/~jnz1568/getInfo.php?workbook=02_02.xlsx&amp;sheet=A1&amp;row=48&amp;col=6&amp;number==SUM(G48:J48)&amp;sourceID=15","=SUM(G48:J48)")</f>
        <v>=SUM(G48:J48)</v>
      </c>
      <c r="G48" s="4" t="str">
        <f>HYPERLINK("http://141.218.60.56/~jnz1568/getInfo.php?workbook=02_02.xlsx&amp;sheet=A1&amp;row=48&amp;col=7&amp;number=566340000&amp;sourceID=15","566340000")</f>
        <v>566340000</v>
      </c>
      <c r="H48" s="4" t="str">
        <f>HYPERLINK("http://141.218.60.56/~jnz1568/getInfo.php?workbook=02_02.xlsx&amp;sheet=A1&amp;row=48&amp;col=8&amp;number=&amp;sourceID=15","")</f>
        <v/>
      </c>
      <c r="I48" s="4" t="str">
        <f>HYPERLINK("http://141.218.60.56/~jnz1568/getInfo.php?workbook=02_02.xlsx&amp;sheet=A1&amp;row=48&amp;col=9&amp;number=&amp;sourceID=15","")</f>
        <v/>
      </c>
      <c r="J48" s="4" t="str">
        <f>HYPERLINK("http://141.218.60.56/~jnz1568/getInfo.php?workbook=02_02.xlsx&amp;sheet=A1&amp;row=48&amp;col=10&amp;number=&amp;sourceID=15","")</f>
        <v/>
      </c>
      <c r="K48" s="4" t="str">
        <f>HYPERLINK("http://141.218.60.56/~jnz1568/getInfo.php?workbook=02_02.xlsx&amp;sheet=A1&amp;row=48&amp;col=11&amp;number=581300000&amp;sourceID=24","581300000")</f>
        <v>581300000</v>
      </c>
      <c r="L48" s="4" t="str">
        <f>HYPERLINK("http://141.218.60.56/~jnz1568/getInfo.php?workbook=02_02.xlsx&amp;sheet=A1&amp;row=48&amp;col=12&amp;number=560000000&amp;sourceID=25","560000000")</f>
        <v>560000000</v>
      </c>
    </row>
    <row r="49" spans="1:12">
      <c r="A49" s="3">
        <v>2</v>
      </c>
      <c r="B49" s="3">
        <v>2</v>
      </c>
      <c r="C49" s="3">
        <v>11</v>
      </c>
      <c r="D49" s="3">
        <v>2</v>
      </c>
      <c r="E49" s="3">
        <f>((1/(INDEX('E1'!I$4:I$32,C49,1)-INDEX('E1'!I$4:I$32,D49,1))))*100000000</f>
        <v>0</v>
      </c>
      <c r="F49" s="4" t="str">
        <f>HYPERLINK("http://141.218.60.56/~jnz1568/getInfo.php?workbook=02_02.xlsx&amp;sheet=A1&amp;row=49&amp;col=6&amp;number=&amp;sourceID=15","")</f>
        <v/>
      </c>
      <c r="G49" s="4" t="str">
        <f>HYPERLINK("http://141.218.60.56/~jnz1568/getInfo.php?workbook=02_02.xlsx&amp;sheet=A1&amp;row=49&amp;col=7&amp;number=&amp;sourceID=15","")</f>
        <v/>
      </c>
      <c r="H49" s="4" t="str">
        <f>HYPERLINK("http://141.218.60.56/~jnz1568/getInfo.php?workbook=02_02.xlsx&amp;sheet=A1&amp;row=49&amp;col=8&amp;number=&amp;sourceID=15","")</f>
        <v/>
      </c>
      <c r="I49" s="4" t="str">
        <f>HYPERLINK("http://141.218.60.56/~jnz1568/getInfo.php?workbook=02_02.xlsx&amp;sheet=A1&amp;row=49&amp;col=9&amp;number=&amp;sourceID=15","")</f>
        <v/>
      </c>
      <c r="J49" s="4" t="str">
        <f>HYPERLINK("http://141.218.60.56/~jnz1568/getInfo.php?workbook=02_02.xlsx&amp;sheet=A1&amp;row=49&amp;col=10&amp;number=&amp;sourceID=15","")</f>
        <v/>
      </c>
      <c r="K49" s="4" t="str">
        <f>HYPERLINK("http://141.218.60.56/~jnz1568/getInfo.php?workbook=02_02.xlsx&amp;sheet=A1&amp;row=49&amp;col=11&amp;number=&amp;sourceID=24","")</f>
        <v/>
      </c>
      <c r="L49" s="4" t="str">
        <f>HYPERLINK("http://141.218.60.56/~jnz1568/getInfo.php?workbook=02_02.xlsx&amp;sheet=A1&amp;row=49&amp;col=12&amp;number=&amp;sourceID=25","")</f>
        <v/>
      </c>
    </row>
    <row r="50" spans="1:12">
      <c r="A50" s="3">
        <v>2</v>
      </c>
      <c r="B50" s="3">
        <v>2</v>
      </c>
      <c r="C50" s="3">
        <v>11</v>
      </c>
      <c r="D50" s="3">
        <v>3</v>
      </c>
      <c r="E50" s="3">
        <f>((1/(INDEX('E1'!I$4:I$32,C50,1)-INDEX('E1'!I$4:I$32,D50,1))))*100000000</f>
        <v>0</v>
      </c>
      <c r="F50" s="4" t="str">
        <f>HYPERLINK("http://141.218.60.56/~jnz1568/getInfo.php?workbook=02_02.xlsx&amp;sheet=A1&amp;row=50&amp;col=6&amp;number==SUM(G50:J50)&amp;sourceID=15","=SUM(G50:J50)")</f>
        <v>=SUM(G50:J50)</v>
      </c>
      <c r="G50" s="4" t="str">
        <f>HYPERLINK("http://141.218.60.56/~jnz1568/getInfo.php?workbook=02_02.xlsx&amp;sheet=A1&amp;row=50&amp;col=7&amp;number=13372000&amp;sourceID=15","13372000")</f>
        <v>13372000</v>
      </c>
      <c r="H50" s="4" t="str">
        <f>HYPERLINK("http://141.218.60.56/~jnz1568/getInfo.php?workbook=02_02.xlsx&amp;sheet=A1&amp;row=50&amp;col=8&amp;number=&amp;sourceID=15","")</f>
        <v/>
      </c>
      <c r="I50" s="4" t="str">
        <f>HYPERLINK("http://141.218.60.56/~jnz1568/getInfo.php?workbook=02_02.xlsx&amp;sheet=A1&amp;row=50&amp;col=9&amp;number=&amp;sourceID=15","")</f>
        <v/>
      </c>
      <c r="J50" s="4" t="str">
        <f>HYPERLINK("http://141.218.60.56/~jnz1568/getInfo.php?workbook=02_02.xlsx&amp;sheet=A1&amp;row=50&amp;col=10&amp;number=&amp;sourceID=15","")</f>
        <v/>
      </c>
      <c r="K50" s="4" t="str">
        <f>HYPERLINK("http://141.218.60.56/~jnz1568/getInfo.php?workbook=02_02.xlsx&amp;sheet=A1&amp;row=50&amp;col=11&amp;number=14300000&amp;sourceID=24","14300000")</f>
        <v>14300000</v>
      </c>
      <c r="L50" s="4" t="str">
        <f>HYPERLINK("http://141.218.60.56/~jnz1568/getInfo.php?workbook=02_02.xlsx&amp;sheet=A1&amp;row=50&amp;col=12&amp;number=13800000&amp;sourceID=25","13800000")</f>
        <v>13800000</v>
      </c>
    </row>
    <row r="51" spans="1:12">
      <c r="A51" s="3">
        <v>2</v>
      </c>
      <c r="B51" s="3">
        <v>2</v>
      </c>
      <c r="C51" s="3">
        <v>11</v>
      </c>
      <c r="D51" s="3">
        <v>4</v>
      </c>
      <c r="E51" s="3">
        <f>((1/(INDEX('E1'!I$4:I$32,C51,1)-INDEX('E1'!I$4:I$32,D51,1))))*100000000</f>
        <v>0</v>
      </c>
      <c r="F51" s="4" t="str">
        <f>HYPERLINK("http://141.218.60.56/~jnz1568/getInfo.php?workbook=02_02.xlsx&amp;sheet=A1&amp;row=51&amp;col=6&amp;number=&amp;sourceID=15","")</f>
        <v/>
      </c>
      <c r="G51" s="4" t="str">
        <f>HYPERLINK("http://141.218.60.56/~jnz1568/getInfo.php?workbook=02_02.xlsx&amp;sheet=A1&amp;row=51&amp;col=7&amp;number=&amp;sourceID=15","")</f>
        <v/>
      </c>
      <c r="H51" s="4" t="str">
        <f>HYPERLINK("http://141.218.60.56/~jnz1568/getInfo.php?workbook=02_02.xlsx&amp;sheet=A1&amp;row=51&amp;col=8&amp;number=&amp;sourceID=15","")</f>
        <v/>
      </c>
      <c r="I51" s="4" t="str">
        <f>HYPERLINK("http://141.218.60.56/~jnz1568/getInfo.php?workbook=02_02.xlsx&amp;sheet=A1&amp;row=51&amp;col=9&amp;number=&amp;sourceID=15","")</f>
        <v/>
      </c>
      <c r="J51" s="4" t="str">
        <f>HYPERLINK("http://141.218.60.56/~jnz1568/getInfo.php?workbook=02_02.xlsx&amp;sheet=A1&amp;row=51&amp;col=10&amp;number=&amp;sourceID=15","")</f>
        <v/>
      </c>
      <c r="K51" s="4" t="str">
        <f>HYPERLINK("http://141.218.60.56/~jnz1568/getInfo.php?workbook=02_02.xlsx&amp;sheet=A1&amp;row=51&amp;col=11&amp;number=&amp;sourceID=24","")</f>
        <v/>
      </c>
      <c r="L51" s="4" t="str">
        <f>HYPERLINK("http://141.218.60.56/~jnz1568/getInfo.php?workbook=02_02.xlsx&amp;sheet=A1&amp;row=51&amp;col=12&amp;number=&amp;sourceID=25","")</f>
        <v/>
      </c>
    </row>
    <row r="52" spans="1:12">
      <c r="A52" s="3">
        <v>2</v>
      </c>
      <c r="B52" s="3">
        <v>2</v>
      </c>
      <c r="C52" s="3">
        <v>11</v>
      </c>
      <c r="D52" s="3">
        <v>5</v>
      </c>
      <c r="E52" s="3">
        <f>((1/(INDEX('E1'!I$4:I$32,C52,1)-INDEX('E1'!I$4:I$32,D52,1))))*100000000</f>
        <v>0</v>
      </c>
      <c r="F52" s="4" t="str">
        <f>HYPERLINK("http://141.218.60.56/~jnz1568/getInfo.php?workbook=02_02.xlsx&amp;sheet=A1&amp;row=52&amp;col=6&amp;number==SUM(G52:J52)&amp;sourceID=15","=SUM(G52:J52)")</f>
        <v>=SUM(G52:J52)</v>
      </c>
      <c r="G52" s="4" t="str">
        <f>HYPERLINK("http://141.218.60.56/~jnz1568/getInfo.php?workbook=02_02.xlsx&amp;sheet=A1&amp;row=52&amp;col=7&amp;number=&amp;sourceID=15","")</f>
        <v/>
      </c>
      <c r="H52" s="4" t="str">
        <f>HYPERLINK("http://141.218.60.56/~jnz1568/getInfo.php?workbook=02_02.xlsx&amp;sheet=A1&amp;row=52&amp;col=8&amp;number=23.749&amp;sourceID=15","23.749")</f>
        <v>23.749</v>
      </c>
      <c r="I52" s="4" t="str">
        <f>HYPERLINK("http://141.218.60.56/~jnz1568/getInfo.php?workbook=02_02.xlsx&amp;sheet=A1&amp;row=52&amp;col=9&amp;number=&amp;sourceID=15","")</f>
        <v/>
      </c>
      <c r="J52" s="4" t="str">
        <f>HYPERLINK("http://141.218.60.56/~jnz1568/getInfo.php?workbook=02_02.xlsx&amp;sheet=A1&amp;row=52&amp;col=10&amp;number=&amp;sourceID=15","")</f>
        <v/>
      </c>
      <c r="K52" s="4" t="str">
        <f>HYPERLINK("http://141.218.60.56/~jnz1568/getInfo.php?workbook=02_02.xlsx&amp;sheet=A1&amp;row=52&amp;col=11&amp;number=&amp;sourceID=24","")</f>
        <v/>
      </c>
      <c r="L52" s="4" t="str">
        <f>HYPERLINK("http://141.218.60.56/~jnz1568/getInfo.php?workbook=02_02.xlsx&amp;sheet=A1&amp;row=52&amp;col=12&amp;number=&amp;sourceID=25","")</f>
        <v/>
      </c>
    </row>
    <row r="53" spans="1:12">
      <c r="A53" s="3">
        <v>2</v>
      </c>
      <c r="B53" s="3">
        <v>2</v>
      </c>
      <c r="C53" s="3">
        <v>11</v>
      </c>
      <c r="D53" s="3">
        <v>6</v>
      </c>
      <c r="E53" s="3">
        <f>((1/(INDEX('E1'!I$4:I$32,C53,1)-INDEX('E1'!I$4:I$32,D53,1))))*100000000</f>
        <v>0</v>
      </c>
      <c r="F53" s="4" t="str">
        <f>HYPERLINK("http://141.218.60.56/~jnz1568/getInfo.php?workbook=02_02.xlsx&amp;sheet=A1&amp;row=53&amp;col=6&amp;number=&amp;sourceID=15","")</f>
        <v/>
      </c>
      <c r="G53" s="4" t="str">
        <f>HYPERLINK("http://141.218.60.56/~jnz1568/getInfo.php?workbook=02_02.xlsx&amp;sheet=A1&amp;row=53&amp;col=7&amp;number=&amp;sourceID=15","")</f>
        <v/>
      </c>
      <c r="H53" s="4" t="str">
        <f>HYPERLINK("http://141.218.60.56/~jnz1568/getInfo.php?workbook=02_02.xlsx&amp;sheet=A1&amp;row=53&amp;col=8&amp;number=&amp;sourceID=15","")</f>
        <v/>
      </c>
      <c r="I53" s="4" t="str">
        <f>HYPERLINK("http://141.218.60.56/~jnz1568/getInfo.php?workbook=02_02.xlsx&amp;sheet=A1&amp;row=53&amp;col=9&amp;number=&amp;sourceID=15","")</f>
        <v/>
      </c>
      <c r="J53" s="4" t="str">
        <f>HYPERLINK("http://141.218.60.56/~jnz1568/getInfo.php?workbook=02_02.xlsx&amp;sheet=A1&amp;row=53&amp;col=10&amp;number=&amp;sourceID=15","")</f>
        <v/>
      </c>
      <c r="K53" s="4" t="str">
        <f>HYPERLINK("http://141.218.60.56/~jnz1568/getInfo.php?workbook=02_02.xlsx&amp;sheet=A1&amp;row=53&amp;col=11&amp;number=&amp;sourceID=24","")</f>
        <v/>
      </c>
      <c r="L53" s="4" t="str">
        <f>HYPERLINK("http://141.218.60.56/~jnz1568/getInfo.php?workbook=02_02.xlsx&amp;sheet=A1&amp;row=53&amp;col=12&amp;number=&amp;sourceID=25","")</f>
        <v/>
      </c>
    </row>
    <row r="54" spans="1:12">
      <c r="A54" s="3">
        <v>2</v>
      </c>
      <c r="B54" s="3">
        <v>2</v>
      </c>
      <c r="C54" s="3">
        <v>11</v>
      </c>
      <c r="D54" s="3">
        <v>7</v>
      </c>
      <c r="E54" s="3">
        <f>((1/(INDEX('E1'!I$4:I$32,C54,1)-INDEX('E1'!I$4:I$32,D54,1))))*100000000</f>
        <v>0</v>
      </c>
      <c r="F54" s="4" t="str">
        <f>HYPERLINK("http://141.218.60.56/~jnz1568/getInfo.php?workbook=02_02.xlsx&amp;sheet=A1&amp;row=54&amp;col=6&amp;number==SUM(G54:J54)&amp;sourceID=15","=SUM(G54:J54)")</f>
        <v>=SUM(G54:J54)</v>
      </c>
      <c r="G54" s="4" t="str">
        <f>HYPERLINK("http://141.218.60.56/~jnz1568/getInfo.php?workbook=02_02.xlsx&amp;sheet=A1&amp;row=54&amp;col=7&amp;number=251650&amp;sourceID=15","251650")</f>
        <v>251650</v>
      </c>
      <c r="H54" s="4" t="str">
        <f>HYPERLINK("http://141.218.60.56/~jnz1568/getInfo.php?workbook=02_02.xlsx&amp;sheet=A1&amp;row=54&amp;col=8&amp;number=&amp;sourceID=15","")</f>
        <v/>
      </c>
      <c r="I54" s="4" t="str">
        <f>HYPERLINK("http://141.218.60.56/~jnz1568/getInfo.php?workbook=02_02.xlsx&amp;sheet=A1&amp;row=54&amp;col=9&amp;number=&amp;sourceID=15","")</f>
        <v/>
      </c>
      <c r="J54" s="4" t="str">
        <f>HYPERLINK("http://141.218.60.56/~jnz1568/getInfo.php?workbook=02_02.xlsx&amp;sheet=A1&amp;row=54&amp;col=10&amp;number=&amp;sourceID=15","")</f>
        <v/>
      </c>
      <c r="K54" s="4" t="str">
        <f>HYPERLINK("http://141.218.60.56/~jnz1568/getInfo.php?workbook=02_02.xlsx&amp;sheet=A1&amp;row=54&amp;col=11&amp;number=254400&amp;sourceID=24","254400")</f>
        <v>254400</v>
      </c>
      <c r="L54" s="4" t="str">
        <f>HYPERLINK("http://141.218.60.56/~jnz1568/getInfo.php?workbook=02_02.xlsx&amp;sheet=A1&amp;row=54&amp;col=12&amp;number=221333.333333&amp;sourceID=25","221333.333333")</f>
        <v>221333.333333</v>
      </c>
    </row>
    <row r="55" spans="1:12">
      <c r="A55" s="3">
        <v>2</v>
      </c>
      <c r="B55" s="3">
        <v>2</v>
      </c>
      <c r="C55" s="3">
        <v>11</v>
      </c>
      <c r="D55" s="3">
        <v>8</v>
      </c>
      <c r="E55" s="3">
        <f>((1/(INDEX('E1'!I$4:I$32,C55,1)-INDEX('E1'!I$4:I$32,D55,1))))*100000000</f>
        <v>0</v>
      </c>
      <c r="F55" s="4" t="str">
        <f>HYPERLINK("http://141.218.60.56/~jnz1568/getInfo.php?workbook=02_02.xlsx&amp;sheet=A1&amp;row=55&amp;col=6&amp;number=&amp;sourceID=15","")</f>
        <v/>
      </c>
      <c r="G55" s="4" t="str">
        <f>HYPERLINK("http://141.218.60.56/~jnz1568/getInfo.php?workbook=02_02.xlsx&amp;sheet=A1&amp;row=55&amp;col=7&amp;number=&amp;sourceID=15","")</f>
        <v/>
      </c>
      <c r="H55" s="4" t="str">
        <f>HYPERLINK("http://141.218.60.56/~jnz1568/getInfo.php?workbook=02_02.xlsx&amp;sheet=A1&amp;row=55&amp;col=8&amp;number=&amp;sourceID=15","")</f>
        <v/>
      </c>
      <c r="I55" s="4" t="str">
        <f>HYPERLINK("http://141.218.60.56/~jnz1568/getInfo.php?workbook=02_02.xlsx&amp;sheet=A1&amp;row=55&amp;col=9&amp;number=&amp;sourceID=15","")</f>
        <v/>
      </c>
      <c r="J55" s="4" t="str">
        <f>HYPERLINK("http://141.218.60.56/~jnz1568/getInfo.php?workbook=02_02.xlsx&amp;sheet=A1&amp;row=55&amp;col=10&amp;number=&amp;sourceID=15","")</f>
        <v/>
      </c>
      <c r="K55" s="4" t="str">
        <f>HYPERLINK("http://141.218.60.56/~jnz1568/getInfo.php?workbook=02_02.xlsx&amp;sheet=A1&amp;row=55&amp;col=11&amp;number=&amp;sourceID=24","")</f>
        <v/>
      </c>
      <c r="L55" s="4" t="str">
        <f>HYPERLINK("http://141.218.60.56/~jnz1568/getInfo.php?workbook=02_02.xlsx&amp;sheet=A1&amp;row=55&amp;col=12&amp;number=&amp;sourceID=25","")</f>
        <v/>
      </c>
    </row>
    <row r="56" spans="1:12">
      <c r="A56" s="3">
        <v>2</v>
      </c>
      <c r="B56" s="3">
        <v>2</v>
      </c>
      <c r="C56" s="3">
        <v>11</v>
      </c>
      <c r="D56" s="3">
        <v>9</v>
      </c>
      <c r="E56" s="3">
        <f>((1/(INDEX('E1'!I$4:I$32,C56,1)-INDEX('E1'!I$4:I$32,D56,1))))*100000000</f>
        <v>0</v>
      </c>
      <c r="F56" s="4" t="str">
        <f>HYPERLINK("http://141.218.60.56/~jnz1568/getInfo.php?workbook=02_02.xlsx&amp;sheet=A1&amp;row=56&amp;col=6&amp;number==SUM(G56:J56)&amp;sourceID=15","=SUM(G56:J56)")</f>
        <v>=SUM(G56:J56)</v>
      </c>
      <c r="G56" s="4" t="str">
        <f>HYPERLINK("http://141.218.60.56/~jnz1568/getInfo.php?workbook=02_02.xlsx&amp;sheet=A1&amp;row=56&amp;col=7&amp;number=0.03986&amp;sourceID=15","0.03986")</f>
        <v>0.03986</v>
      </c>
      <c r="H56" s="4" t="str">
        <f>HYPERLINK("http://141.218.60.56/~jnz1568/getInfo.php?workbook=02_02.xlsx&amp;sheet=A1&amp;row=56&amp;col=8&amp;number=&amp;sourceID=15","")</f>
        <v/>
      </c>
      <c r="I56" s="4" t="str">
        <f>HYPERLINK("http://141.218.60.56/~jnz1568/getInfo.php?workbook=02_02.xlsx&amp;sheet=A1&amp;row=56&amp;col=9&amp;number=&amp;sourceID=15","")</f>
        <v/>
      </c>
      <c r="J56" s="4" t="str">
        <f>HYPERLINK("http://141.218.60.56/~jnz1568/getInfo.php?workbook=02_02.xlsx&amp;sheet=A1&amp;row=56&amp;col=10&amp;number=&amp;sourceID=15","")</f>
        <v/>
      </c>
      <c r="K56" s="4" t="str">
        <f>HYPERLINK("http://141.218.60.56/~jnz1568/getInfo.php?workbook=02_02.xlsx&amp;sheet=A1&amp;row=56&amp;col=11&amp;number=&amp;sourceID=24","")</f>
        <v/>
      </c>
      <c r="L56" s="4" t="str">
        <f>HYPERLINK("http://141.218.60.56/~jnz1568/getInfo.php?workbook=02_02.xlsx&amp;sheet=A1&amp;row=56&amp;col=12&amp;number=&amp;sourceID=25","")</f>
        <v/>
      </c>
    </row>
    <row r="57" spans="1:12">
      <c r="A57" s="3">
        <v>2</v>
      </c>
      <c r="B57" s="3">
        <v>2</v>
      </c>
      <c r="C57" s="3">
        <v>11</v>
      </c>
      <c r="D57" s="3">
        <v>10</v>
      </c>
      <c r="E57" s="3">
        <f>((1/(INDEX('E1'!I$4:I$32,C57,1)-INDEX('E1'!I$4:I$32,D57,1))))*100000000</f>
        <v>0</v>
      </c>
      <c r="F57" s="4" t="str">
        <f>HYPERLINK("http://141.218.60.56/~jnz1568/getInfo.php?workbook=02_02.xlsx&amp;sheet=A1&amp;row=57&amp;col=6&amp;number==SUM(G57:J57)&amp;sourceID=15","=SUM(G57:J57)")</f>
        <v>=SUM(G57:J57)</v>
      </c>
      <c r="G57" s="4" t="str">
        <f>HYPERLINK("http://141.218.60.56/~jnz1568/getInfo.php?workbook=02_02.xlsx&amp;sheet=A1&amp;row=57&amp;col=7&amp;number=152.81&amp;sourceID=15","152.81")</f>
        <v>152.81</v>
      </c>
      <c r="H57" s="4" t="str">
        <f>HYPERLINK("http://141.218.60.56/~jnz1568/getInfo.php?workbook=02_02.xlsx&amp;sheet=A1&amp;row=57&amp;col=8&amp;number=&amp;sourceID=15","")</f>
        <v/>
      </c>
      <c r="I57" s="4" t="str">
        <f>HYPERLINK("http://141.218.60.56/~jnz1568/getInfo.php?workbook=02_02.xlsx&amp;sheet=A1&amp;row=57&amp;col=9&amp;number=&amp;sourceID=15","")</f>
        <v/>
      </c>
      <c r="J57" s="4" t="str">
        <f>HYPERLINK("http://141.218.60.56/~jnz1568/getInfo.php?workbook=02_02.xlsx&amp;sheet=A1&amp;row=57&amp;col=10&amp;number=&amp;sourceID=15","")</f>
        <v/>
      </c>
      <c r="K57" s="4" t="str">
        <f>HYPERLINK("http://141.218.60.56/~jnz1568/getInfo.php?workbook=02_02.xlsx&amp;sheet=A1&amp;row=57&amp;col=11&amp;number=154.2&amp;sourceID=24","154.2")</f>
        <v>154.2</v>
      </c>
      <c r="L57" s="4" t="str">
        <f>HYPERLINK("http://141.218.60.56/~jnz1568/getInfo.php?workbook=02_02.xlsx&amp;sheet=A1&amp;row=57&amp;col=12&amp;number=188.666666667&amp;sourceID=25","188.666666667")</f>
        <v>188.666666667</v>
      </c>
    </row>
    <row r="58" spans="1:12">
      <c r="A58" s="3">
        <v>2</v>
      </c>
      <c r="B58" s="3">
        <v>2</v>
      </c>
      <c r="C58" s="3">
        <v>12</v>
      </c>
      <c r="D58" s="3">
        <v>1</v>
      </c>
      <c r="E58" s="3">
        <f>((1/(INDEX('E1'!I$4:I$32,C58,1)-INDEX('E1'!I$4:I$32,D58,1))))*100000000</f>
        <v>0</v>
      </c>
      <c r="F58" s="4" t="str">
        <f>HYPERLINK("http://141.218.60.56/~jnz1568/getInfo.php?workbook=02_02.xlsx&amp;sheet=A1&amp;row=58&amp;col=6&amp;number=&amp;sourceID=15","")</f>
        <v/>
      </c>
      <c r="G58" s="4" t="str">
        <f>HYPERLINK("http://141.218.60.56/~jnz1568/getInfo.php?workbook=02_02.xlsx&amp;sheet=A1&amp;row=58&amp;col=7&amp;number=&amp;sourceID=15","")</f>
        <v/>
      </c>
      <c r="H58" s="4" t="str">
        <f>HYPERLINK("http://141.218.60.56/~jnz1568/getInfo.php?workbook=02_02.xlsx&amp;sheet=A1&amp;row=58&amp;col=8&amp;number=&amp;sourceID=15","")</f>
        <v/>
      </c>
      <c r="I58" s="4" t="str">
        <f>HYPERLINK("http://141.218.60.56/~jnz1568/getInfo.php?workbook=02_02.xlsx&amp;sheet=A1&amp;row=58&amp;col=9&amp;number=&amp;sourceID=15","")</f>
        <v/>
      </c>
      <c r="J58" s="4" t="str">
        <f>HYPERLINK("http://141.218.60.56/~jnz1568/getInfo.php?workbook=02_02.xlsx&amp;sheet=A1&amp;row=58&amp;col=10&amp;number=&amp;sourceID=15","")</f>
        <v/>
      </c>
      <c r="K58" s="4" t="str">
        <f>HYPERLINK("http://141.218.60.56/~jnz1568/getInfo.php?workbook=02_02.xlsx&amp;sheet=A1&amp;row=58&amp;col=11&amp;number=&amp;sourceID=24","")</f>
        <v/>
      </c>
      <c r="L58" s="4" t="str">
        <f>HYPERLINK("http://141.218.60.56/~jnz1568/getInfo.php?workbook=02_02.xlsx&amp;sheet=A1&amp;row=58&amp;col=12&amp;number=&amp;sourceID=25","")</f>
        <v/>
      </c>
    </row>
    <row r="59" spans="1:12">
      <c r="A59" s="3">
        <v>2</v>
      </c>
      <c r="B59" s="3">
        <v>2</v>
      </c>
      <c r="C59" s="3">
        <v>12</v>
      </c>
      <c r="D59" s="3">
        <v>2</v>
      </c>
      <c r="E59" s="3">
        <f>((1/(INDEX('E1'!I$4:I$32,C59,1)-INDEX('E1'!I$4:I$32,D59,1))))*100000000</f>
        <v>0</v>
      </c>
      <c r="F59" s="4" t="str">
        <f>HYPERLINK("http://141.218.60.56/~jnz1568/getInfo.php?workbook=02_02.xlsx&amp;sheet=A1&amp;row=59&amp;col=6&amp;number=&amp;sourceID=15","")</f>
        <v/>
      </c>
      <c r="G59" s="4" t="str">
        <f>HYPERLINK("http://141.218.60.56/~jnz1568/getInfo.php?workbook=02_02.xlsx&amp;sheet=A1&amp;row=59&amp;col=7&amp;number=&amp;sourceID=15","")</f>
        <v/>
      </c>
      <c r="H59" s="4" t="str">
        <f>HYPERLINK("http://141.218.60.56/~jnz1568/getInfo.php?workbook=02_02.xlsx&amp;sheet=A1&amp;row=59&amp;col=8&amp;number=&amp;sourceID=15","")</f>
        <v/>
      </c>
      <c r="I59" s="4" t="str">
        <f>HYPERLINK("http://141.218.60.56/~jnz1568/getInfo.php?workbook=02_02.xlsx&amp;sheet=A1&amp;row=59&amp;col=9&amp;number=&amp;sourceID=15","")</f>
        <v/>
      </c>
      <c r="J59" s="4" t="str">
        <f>HYPERLINK("http://141.218.60.56/~jnz1568/getInfo.php?workbook=02_02.xlsx&amp;sheet=A1&amp;row=59&amp;col=10&amp;number=&amp;sourceID=15","")</f>
        <v/>
      </c>
      <c r="K59" s="4" t="str">
        <f>HYPERLINK("http://141.218.60.56/~jnz1568/getInfo.php?workbook=02_02.xlsx&amp;sheet=A1&amp;row=59&amp;col=11&amp;number=&amp;sourceID=24","")</f>
        <v/>
      </c>
      <c r="L59" s="4" t="str">
        <f>HYPERLINK("http://141.218.60.56/~jnz1568/getInfo.php?workbook=02_02.xlsx&amp;sheet=A1&amp;row=59&amp;col=12&amp;number=&amp;sourceID=25","")</f>
        <v/>
      </c>
    </row>
    <row r="60" spans="1:12">
      <c r="A60" s="3">
        <v>2</v>
      </c>
      <c r="B60" s="3">
        <v>2</v>
      </c>
      <c r="C60" s="3">
        <v>12</v>
      </c>
      <c r="D60" s="3">
        <v>3</v>
      </c>
      <c r="E60" s="3">
        <f>((1/(INDEX('E1'!I$4:I$32,C60,1)-INDEX('E1'!I$4:I$32,D60,1))))*100000000</f>
        <v>0</v>
      </c>
      <c r="F60" s="4" t="str">
        <f>HYPERLINK("http://141.218.60.56/~jnz1568/getInfo.php?workbook=02_02.xlsx&amp;sheet=A1&amp;row=60&amp;col=6&amp;number=&amp;sourceID=15","")</f>
        <v/>
      </c>
      <c r="G60" s="4" t="str">
        <f>HYPERLINK("http://141.218.60.56/~jnz1568/getInfo.php?workbook=02_02.xlsx&amp;sheet=A1&amp;row=60&amp;col=7&amp;number=&amp;sourceID=15","")</f>
        <v/>
      </c>
      <c r="H60" s="4" t="str">
        <f>HYPERLINK("http://141.218.60.56/~jnz1568/getInfo.php?workbook=02_02.xlsx&amp;sheet=A1&amp;row=60&amp;col=8&amp;number=&amp;sourceID=15","")</f>
        <v/>
      </c>
      <c r="I60" s="4" t="str">
        <f>HYPERLINK("http://141.218.60.56/~jnz1568/getInfo.php?workbook=02_02.xlsx&amp;sheet=A1&amp;row=60&amp;col=9&amp;number=&amp;sourceID=15","")</f>
        <v/>
      </c>
      <c r="J60" s="4" t="str">
        <f>HYPERLINK("http://141.218.60.56/~jnz1568/getInfo.php?workbook=02_02.xlsx&amp;sheet=A1&amp;row=60&amp;col=10&amp;number=&amp;sourceID=15","")</f>
        <v/>
      </c>
      <c r="K60" s="4" t="str">
        <f>HYPERLINK("http://141.218.60.56/~jnz1568/getInfo.php?workbook=02_02.xlsx&amp;sheet=A1&amp;row=60&amp;col=11&amp;number=&amp;sourceID=24","")</f>
        <v/>
      </c>
      <c r="L60" s="4" t="str">
        <f>HYPERLINK("http://141.218.60.56/~jnz1568/getInfo.php?workbook=02_02.xlsx&amp;sheet=A1&amp;row=60&amp;col=12&amp;number=&amp;sourceID=25","")</f>
        <v/>
      </c>
    </row>
    <row r="61" spans="1:12">
      <c r="A61" s="3">
        <v>2</v>
      </c>
      <c r="B61" s="3">
        <v>2</v>
      </c>
      <c r="C61" s="3">
        <v>12</v>
      </c>
      <c r="D61" s="3">
        <v>4</v>
      </c>
      <c r="E61" s="3">
        <f>((1/(INDEX('E1'!I$4:I$32,C61,1)-INDEX('E1'!I$4:I$32,D61,1))))*100000000</f>
        <v>0</v>
      </c>
      <c r="F61" s="4" t="str">
        <f>HYPERLINK("http://141.218.60.56/~jnz1568/getInfo.php?workbook=02_02.xlsx&amp;sheet=A1&amp;row=61&amp;col=6&amp;number==SUM(G61:J61)&amp;sourceID=15","=SUM(G61:J61)")</f>
        <v>=SUM(G61:J61)</v>
      </c>
      <c r="G61" s="4" t="str">
        <f>HYPERLINK("http://141.218.60.56/~jnz1568/getInfo.php?workbook=02_02.xlsx&amp;sheet=A1&amp;row=61&amp;col=7&amp;number=9520900&amp;sourceID=15","9520900")</f>
        <v>9520900</v>
      </c>
      <c r="H61" s="4" t="str">
        <f>HYPERLINK("http://141.218.60.56/~jnz1568/getInfo.php?workbook=02_02.xlsx&amp;sheet=A1&amp;row=61&amp;col=8&amp;number=&amp;sourceID=15","")</f>
        <v/>
      </c>
      <c r="I61" s="4" t="str">
        <f>HYPERLINK("http://141.218.60.56/~jnz1568/getInfo.php?workbook=02_02.xlsx&amp;sheet=A1&amp;row=61&amp;col=9&amp;number=&amp;sourceID=15","")</f>
        <v/>
      </c>
      <c r="J61" s="4" t="str">
        <f>HYPERLINK("http://141.218.60.56/~jnz1568/getInfo.php?workbook=02_02.xlsx&amp;sheet=A1&amp;row=61&amp;col=10&amp;number=&amp;sourceID=15","")</f>
        <v/>
      </c>
      <c r="K61" s="4" t="str">
        <f>HYPERLINK("http://141.218.60.56/~jnz1568/getInfo.php?workbook=02_02.xlsx&amp;sheet=A1&amp;row=61&amp;col=11&amp;number=9665000&amp;sourceID=24","9665000")</f>
        <v>9665000</v>
      </c>
      <c r="L61" s="4" t="str">
        <f>HYPERLINK("http://141.218.60.56/~jnz1568/getInfo.php?workbook=02_02.xlsx&amp;sheet=A1&amp;row=61&amp;col=12&amp;number=9500000&amp;sourceID=25","9500000")</f>
        <v>9500000</v>
      </c>
    </row>
    <row r="62" spans="1:12">
      <c r="A62" s="3">
        <v>2</v>
      </c>
      <c r="B62" s="3">
        <v>2</v>
      </c>
      <c r="C62" s="3">
        <v>12</v>
      </c>
      <c r="D62" s="3">
        <v>5</v>
      </c>
      <c r="E62" s="3">
        <f>((1/(INDEX('E1'!I$4:I$32,C62,1)-INDEX('E1'!I$4:I$32,D62,1))))*100000000</f>
        <v>0</v>
      </c>
      <c r="F62" s="4" t="str">
        <f>HYPERLINK("http://141.218.60.56/~jnz1568/getInfo.php?workbook=02_02.xlsx&amp;sheet=A1&amp;row=62&amp;col=6&amp;number=&amp;sourceID=15","")</f>
        <v/>
      </c>
      <c r="G62" s="4" t="str">
        <f>HYPERLINK("http://141.218.60.56/~jnz1568/getInfo.php?workbook=02_02.xlsx&amp;sheet=A1&amp;row=62&amp;col=7&amp;number=&amp;sourceID=15","")</f>
        <v/>
      </c>
      <c r="H62" s="4" t="str">
        <f>HYPERLINK("http://141.218.60.56/~jnz1568/getInfo.php?workbook=02_02.xlsx&amp;sheet=A1&amp;row=62&amp;col=8&amp;number=&amp;sourceID=15","")</f>
        <v/>
      </c>
      <c r="I62" s="4" t="str">
        <f>HYPERLINK("http://141.218.60.56/~jnz1568/getInfo.php?workbook=02_02.xlsx&amp;sheet=A1&amp;row=62&amp;col=9&amp;number=&amp;sourceID=15","")</f>
        <v/>
      </c>
      <c r="J62" s="4" t="str">
        <f>HYPERLINK("http://141.218.60.56/~jnz1568/getInfo.php?workbook=02_02.xlsx&amp;sheet=A1&amp;row=62&amp;col=10&amp;number=&amp;sourceID=15","")</f>
        <v/>
      </c>
      <c r="K62" s="4" t="str">
        <f>HYPERLINK("http://141.218.60.56/~jnz1568/getInfo.php?workbook=02_02.xlsx&amp;sheet=A1&amp;row=62&amp;col=11&amp;number=&amp;sourceID=24","")</f>
        <v/>
      </c>
      <c r="L62" s="4" t="str">
        <f>HYPERLINK("http://141.218.60.56/~jnz1568/getInfo.php?workbook=02_02.xlsx&amp;sheet=A1&amp;row=62&amp;col=12&amp;number=&amp;sourceID=25","")</f>
        <v/>
      </c>
    </row>
    <row r="63" spans="1:12">
      <c r="A63" s="3">
        <v>2</v>
      </c>
      <c r="B63" s="3">
        <v>2</v>
      </c>
      <c r="C63" s="3">
        <v>12</v>
      </c>
      <c r="D63" s="3">
        <v>6</v>
      </c>
      <c r="E63" s="3">
        <f>((1/(INDEX('E1'!I$4:I$32,C63,1)-INDEX('E1'!I$4:I$32,D63,1))))*100000000</f>
        <v>0</v>
      </c>
      <c r="F63" s="4" t="str">
        <f>HYPERLINK("http://141.218.60.56/~jnz1568/getInfo.php?workbook=02_02.xlsx&amp;sheet=A1&amp;row=63&amp;col=6&amp;number=&amp;sourceID=15","")</f>
        <v/>
      </c>
      <c r="G63" s="4" t="str">
        <f>HYPERLINK("http://141.218.60.56/~jnz1568/getInfo.php?workbook=02_02.xlsx&amp;sheet=A1&amp;row=63&amp;col=7&amp;number=&amp;sourceID=15","")</f>
        <v/>
      </c>
      <c r="H63" s="4" t="str">
        <f>HYPERLINK("http://141.218.60.56/~jnz1568/getInfo.php?workbook=02_02.xlsx&amp;sheet=A1&amp;row=63&amp;col=8&amp;number=&amp;sourceID=15","")</f>
        <v/>
      </c>
      <c r="I63" s="4" t="str">
        <f>HYPERLINK("http://141.218.60.56/~jnz1568/getInfo.php?workbook=02_02.xlsx&amp;sheet=A1&amp;row=63&amp;col=9&amp;number=&amp;sourceID=15","")</f>
        <v/>
      </c>
      <c r="J63" s="4" t="str">
        <f>HYPERLINK("http://141.218.60.56/~jnz1568/getInfo.php?workbook=02_02.xlsx&amp;sheet=A1&amp;row=63&amp;col=10&amp;number=&amp;sourceID=15","")</f>
        <v/>
      </c>
      <c r="K63" s="4" t="str">
        <f>HYPERLINK("http://141.218.60.56/~jnz1568/getInfo.php?workbook=02_02.xlsx&amp;sheet=A1&amp;row=63&amp;col=11&amp;number=&amp;sourceID=24","")</f>
        <v/>
      </c>
      <c r="L63" s="4" t="str">
        <f>HYPERLINK("http://141.218.60.56/~jnz1568/getInfo.php?workbook=02_02.xlsx&amp;sheet=A1&amp;row=63&amp;col=12&amp;number=&amp;sourceID=25","")</f>
        <v/>
      </c>
    </row>
    <row r="64" spans="1:12">
      <c r="A64" s="3">
        <v>2</v>
      </c>
      <c r="B64" s="3">
        <v>2</v>
      </c>
      <c r="C64" s="3">
        <v>12</v>
      </c>
      <c r="D64" s="3">
        <v>7</v>
      </c>
      <c r="E64" s="3">
        <f>((1/(INDEX('E1'!I$4:I$32,C64,1)-INDEX('E1'!I$4:I$32,D64,1))))*100000000</f>
        <v>0</v>
      </c>
      <c r="F64" s="4" t="str">
        <f>HYPERLINK("http://141.218.60.56/~jnz1568/getInfo.php?workbook=02_02.xlsx&amp;sheet=A1&amp;row=64&amp;col=6&amp;number=&amp;sourceID=15","")</f>
        <v/>
      </c>
      <c r="G64" s="4" t="str">
        <f>HYPERLINK("http://141.218.60.56/~jnz1568/getInfo.php?workbook=02_02.xlsx&amp;sheet=A1&amp;row=64&amp;col=7&amp;number=&amp;sourceID=15","")</f>
        <v/>
      </c>
      <c r="H64" s="4" t="str">
        <f>HYPERLINK("http://141.218.60.56/~jnz1568/getInfo.php?workbook=02_02.xlsx&amp;sheet=A1&amp;row=64&amp;col=8&amp;number=&amp;sourceID=15","")</f>
        <v/>
      </c>
      <c r="I64" s="4" t="str">
        <f>HYPERLINK("http://141.218.60.56/~jnz1568/getInfo.php?workbook=02_02.xlsx&amp;sheet=A1&amp;row=64&amp;col=9&amp;number=&amp;sourceID=15","")</f>
        <v/>
      </c>
      <c r="J64" s="4" t="str">
        <f>HYPERLINK("http://141.218.60.56/~jnz1568/getInfo.php?workbook=02_02.xlsx&amp;sheet=A1&amp;row=64&amp;col=10&amp;number=&amp;sourceID=15","")</f>
        <v/>
      </c>
      <c r="K64" s="4" t="str">
        <f>HYPERLINK("http://141.218.60.56/~jnz1568/getInfo.php?workbook=02_02.xlsx&amp;sheet=A1&amp;row=64&amp;col=11&amp;number=&amp;sourceID=24","")</f>
        <v/>
      </c>
      <c r="L64" s="4" t="str">
        <f>HYPERLINK("http://141.218.60.56/~jnz1568/getInfo.php?workbook=02_02.xlsx&amp;sheet=A1&amp;row=64&amp;col=12&amp;number=&amp;sourceID=25","")</f>
        <v/>
      </c>
    </row>
    <row r="65" spans="1:12">
      <c r="A65" s="3">
        <v>2</v>
      </c>
      <c r="B65" s="3">
        <v>2</v>
      </c>
      <c r="C65" s="3">
        <v>12</v>
      </c>
      <c r="D65" s="3">
        <v>8</v>
      </c>
      <c r="E65" s="3">
        <f>((1/(INDEX('E1'!I$4:I$32,C65,1)-INDEX('E1'!I$4:I$32,D65,1))))*100000000</f>
        <v>0</v>
      </c>
      <c r="F65" s="4" t="str">
        <f>HYPERLINK("http://141.218.60.56/~jnz1568/getInfo.php?workbook=02_02.xlsx&amp;sheet=A1&amp;row=65&amp;col=6&amp;number==SUM(G65:J65)&amp;sourceID=15","=SUM(G65:J65)")</f>
        <v>=SUM(G65:J65)</v>
      </c>
      <c r="G65" s="4" t="str">
        <f>HYPERLINK("http://141.218.60.56/~jnz1568/getInfo.php?workbook=02_02.xlsx&amp;sheet=A1&amp;row=65&amp;col=7&amp;number=6512200&amp;sourceID=15","6512200")</f>
        <v>6512200</v>
      </c>
      <c r="H65" s="4" t="str">
        <f>HYPERLINK("http://141.218.60.56/~jnz1568/getInfo.php?workbook=02_02.xlsx&amp;sheet=A1&amp;row=65&amp;col=8&amp;number=&amp;sourceID=15","")</f>
        <v/>
      </c>
      <c r="I65" s="4" t="str">
        <f>HYPERLINK("http://141.218.60.56/~jnz1568/getInfo.php?workbook=02_02.xlsx&amp;sheet=A1&amp;row=65&amp;col=9&amp;number=&amp;sourceID=15","")</f>
        <v/>
      </c>
      <c r="J65" s="4" t="str">
        <f>HYPERLINK("http://141.218.60.56/~jnz1568/getInfo.php?workbook=02_02.xlsx&amp;sheet=A1&amp;row=65&amp;col=10&amp;number=&amp;sourceID=15","")</f>
        <v/>
      </c>
      <c r="K65" s="4" t="str">
        <f>HYPERLINK("http://141.218.60.56/~jnz1568/getInfo.php?workbook=02_02.xlsx&amp;sheet=A1&amp;row=65&amp;col=11&amp;number=6623000&amp;sourceID=24","6623000")</f>
        <v>6623000</v>
      </c>
      <c r="L65" s="4" t="str">
        <f>HYPERLINK("http://141.218.60.56/~jnz1568/getInfo.php?workbook=02_02.xlsx&amp;sheet=A1&amp;row=65&amp;col=12&amp;number=6500000&amp;sourceID=25","6500000")</f>
        <v>6500000</v>
      </c>
    </row>
    <row r="66" spans="1:12">
      <c r="A66" s="3">
        <v>2</v>
      </c>
      <c r="B66" s="3">
        <v>2</v>
      </c>
      <c r="C66" s="3">
        <v>12</v>
      </c>
      <c r="D66" s="3">
        <v>9</v>
      </c>
      <c r="E66" s="3">
        <f>((1/(INDEX('E1'!I$4:I$32,C66,1)-INDEX('E1'!I$4:I$32,D66,1))))*100000000</f>
        <v>0</v>
      </c>
      <c r="F66" s="4" t="str">
        <f>HYPERLINK("http://141.218.60.56/~jnz1568/getInfo.php?workbook=02_02.xlsx&amp;sheet=A1&amp;row=66&amp;col=6&amp;number==SUM(G66:J66)&amp;sourceID=15","=SUM(G66:J66)")</f>
        <v>=SUM(G66:J66)</v>
      </c>
      <c r="G66" s="4" t="str">
        <f>HYPERLINK("http://141.218.60.56/~jnz1568/getInfo.php?workbook=02_02.xlsx&amp;sheet=A1&amp;row=66&amp;col=7&amp;number=&amp;sourceID=15","")</f>
        <v/>
      </c>
      <c r="H66" s="4" t="str">
        <f>HYPERLINK("http://141.218.60.56/~jnz1568/getInfo.php?workbook=02_02.xlsx&amp;sheet=A1&amp;row=66&amp;col=8&amp;number=1.1614&amp;sourceID=15","1.1614")</f>
        <v>1.1614</v>
      </c>
      <c r="I66" s="4" t="str">
        <f>HYPERLINK("http://141.218.60.56/~jnz1568/getInfo.php?workbook=02_02.xlsx&amp;sheet=A1&amp;row=66&amp;col=9&amp;number=&amp;sourceID=15","")</f>
        <v/>
      </c>
      <c r="J66" s="4" t="str">
        <f>HYPERLINK("http://141.218.60.56/~jnz1568/getInfo.php?workbook=02_02.xlsx&amp;sheet=A1&amp;row=66&amp;col=10&amp;number=&amp;sourceID=15","")</f>
        <v/>
      </c>
      <c r="K66" s="4" t="str">
        <f>HYPERLINK("http://141.218.60.56/~jnz1568/getInfo.php?workbook=02_02.xlsx&amp;sheet=A1&amp;row=66&amp;col=11&amp;number=&amp;sourceID=24","")</f>
        <v/>
      </c>
      <c r="L66" s="4" t="str">
        <f>HYPERLINK("http://141.218.60.56/~jnz1568/getInfo.php?workbook=02_02.xlsx&amp;sheet=A1&amp;row=66&amp;col=12&amp;number=&amp;sourceID=25","")</f>
        <v/>
      </c>
    </row>
    <row r="67" spans="1:12">
      <c r="A67" s="3">
        <v>2</v>
      </c>
      <c r="B67" s="3">
        <v>2</v>
      </c>
      <c r="C67" s="3">
        <v>12</v>
      </c>
      <c r="D67" s="3">
        <v>10</v>
      </c>
      <c r="E67" s="3">
        <f>((1/(INDEX('E1'!I$4:I$32,C67,1)-INDEX('E1'!I$4:I$32,D67,1))))*100000000</f>
        <v>0</v>
      </c>
      <c r="F67" s="4" t="str">
        <f>HYPERLINK("http://141.218.60.56/~jnz1568/getInfo.php?workbook=02_02.xlsx&amp;sheet=A1&amp;row=67&amp;col=6&amp;number=&amp;sourceID=15","")</f>
        <v/>
      </c>
      <c r="G67" s="4" t="str">
        <f>HYPERLINK("http://141.218.60.56/~jnz1568/getInfo.php?workbook=02_02.xlsx&amp;sheet=A1&amp;row=67&amp;col=7&amp;number=&amp;sourceID=15","")</f>
        <v/>
      </c>
      <c r="H67" s="4" t="str">
        <f>HYPERLINK("http://141.218.60.56/~jnz1568/getInfo.php?workbook=02_02.xlsx&amp;sheet=A1&amp;row=67&amp;col=8&amp;number=&amp;sourceID=15","")</f>
        <v/>
      </c>
      <c r="I67" s="4" t="str">
        <f>HYPERLINK("http://141.218.60.56/~jnz1568/getInfo.php?workbook=02_02.xlsx&amp;sheet=A1&amp;row=67&amp;col=9&amp;number=&amp;sourceID=15","")</f>
        <v/>
      </c>
      <c r="J67" s="4" t="str">
        <f>HYPERLINK("http://141.218.60.56/~jnz1568/getInfo.php?workbook=02_02.xlsx&amp;sheet=A1&amp;row=67&amp;col=10&amp;number=&amp;sourceID=15","")</f>
        <v/>
      </c>
      <c r="K67" s="4" t="str">
        <f>HYPERLINK("http://141.218.60.56/~jnz1568/getInfo.php?workbook=02_02.xlsx&amp;sheet=A1&amp;row=67&amp;col=11&amp;number=&amp;sourceID=24","")</f>
        <v/>
      </c>
      <c r="L67" s="4" t="str">
        <f>HYPERLINK("http://141.218.60.56/~jnz1568/getInfo.php?workbook=02_02.xlsx&amp;sheet=A1&amp;row=67&amp;col=12&amp;number=&amp;sourceID=25","")</f>
        <v/>
      </c>
    </row>
    <row r="68" spans="1:12">
      <c r="A68" s="3">
        <v>2</v>
      </c>
      <c r="B68" s="3">
        <v>2</v>
      </c>
      <c r="C68" s="3">
        <v>12</v>
      </c>
      <c r="D68" s="3">
        <v>11</v>
      </c>
      <c r="E68" s="3">
        <f>((1/(INDEX('E1'!I$4:I$32,C68,1)-INDEX('E1'!I$4:I$32,D68,1))))*100000000</f>
        <v>0</v>
      </c>
      <c r="F68" s="4" t="str">
        <f>HYPERLINK("http://141.218.60.56/~jnz1568/getInfo.php?workbook=02_02.xlsx&amp;sheet=A1&amp;row=68&amp;col=6&amp;number=&amp;sourceID=15","")</f>
        <v/>
      </c>
      <c r="G68" s="4" t="str">
        <f>HYPERLINK("http://141.218.60.56/~jnz1568/getInfo.php?workbook=02_02.xlsx&amp;sheet=A1&amp;row=68&amp;col=7&amp;number=&amp;sourceID=15","")</f>
        <v/>
      </c>
      <c r="H68" s="4" t="str">
        <f>HYPERLINK("http://141.218.60.56/~jnz1568/getInfo.php?workbook=02_02.xlsx&amp;sheet=A1&amp;row=68&amp;col=8&amp;number=&amp;sourceID=15","")</f>
        <v/>
      </c>
      <c r="I68" s="4" t="str">
        <f>HYPERLINK("http://141.218.60.56/~jnz1568/getInfo.php?workbook=02_02.xlsx&amp;sheet=A1&amp;row=68&amp;col=9&amp;number=&amp;sourceID=15","")</f>
        <v/>
      </c>
      <c r="J68" s="4" t="str">
        <f>HYPERLINK("http://141.218.60.56/~jnz1568/getInfo.php?workbook=02_02.xlsx&amp;sheet=A1&amp;row=68&amp;col=10&amp;number=&amp;sourceID=15","")</f>
        <v/>
      </c>
      <c r="K68" s="4" t="str">
        <f>HYPERLINK("http://141.218.60.56/~jnz1568/getInfo.php?workbook=02_02.xlsx&amp;sheet=A1&amp;row=68&amp;col=11&amp;number=&amp;sourceID=24","")</f>
        <v/>
      </c>
      <c r="L68" s="4" t="str">
        <f>HYPERLINK("http://141.218.60.56/~jnz1568/getInfo.php?workbook=02_02.xlsx&amp;sheet=A1&amp;row=68&amp;col=12&amp;number=&amp;sourceID=25","")</f>
        <v/>
      </c>
    </row>
    <row r="69" spans="1:12">
      <c r="A69" s="3">
        <v>2</v>
      </c>
      <c r="B69" s="3">
        <v>2</v>
      </c>
      <c r="C69" s="3">
        <v>13</v>
      </c>
      <c r="D69" s="3">
        <v>1</v>
      </c>
      <c r="E69" s="3">
        <f>((1/(INDEX('E1'!I$4:I$32,C69,1)-INDEX('E1'!I$4:I$32,D69,1))))*100000000</f>
        <v>0</v>
      </c>
      <c r="F69" s="4" t="str">
        <f>HYPERLINK("http://141.218.60.56/~jnz1568/getInfo.php?workbook=02_02.xlsx&amp;sheet=A1&amp;row=69&amp;col=6&amp;number=&amp;sourceID=15","")</f>
        <v/>
      </c>
      <c r="G69" s="4" t="str">
        <f>HYPERLINK("http://141.218.60.56/~jnz1568/getInfo.php?workbook=02_02.xlsx&amp;sheet=A1&amp;row=69&amp;col=7&amp;number=&amp;sourceID=15","")</f>
        <v/>
      </c>
      <c r="H69" s="4" t="str">
        <f>HYPERLINK("http://141.218.60.56/~jnz1568/getInfo.php?workbook=02_02.xlsx&amp;sheet=A1&amp;row=69&amp;col=8&amp;number=&amp;sourceID=15","")</f>
        <v/>
      </c>
      <c r="I69" s="4" t="str">
        <f>HYPERLINK("http://141.218.60.56/~jnz1568/getInfo.php?workbook=02_02.xlsx&amp;sheet=A1&amp;row=69&amp;col=9&amp;number=&amp;sourceID=15","")</f>
        <v/>
      </c>
      <c r="J69" s="4" t="str">
        <f>HYPERLINK("http://141.218.60.56/~jnz1568/getInfo.php?workbook=02_02.xlsx&amp;sheet=A1&amp;row=69&amp;col=10&amp;number=&amp;sourceID=15","")</f>
        <v/>
      </c>
      <c r="K69" s="4" t="str">
        <f>HYPERLINK("http://141.218.60.56/~jnz1568/getInfo.php?workbook=02_02.xlsx&amp;sheet=A1&amp;row=69&amp;col=11&amp;number=&amp;sourceID=24","")</f>
        <v/>
      </c>
      <c r="L69" s="4" t="str">
        <f>HYPERLINK("http://141.218.60.56/~jnz1568/getInfo.php?workbook=02_02.xlsx&amp;sheet=A1&amp;row=69&amp;col=12&amp;number=&amp;sourceID=25","")</f>
        <v/>
      </c>
    </row>
    <row r="70" spans="1:12">
      <c r="A70" s="3">
        <v>2</v>
      </c>
      <c r="B70" s="3">
        <v>2</v>
      </c>
      <c r="C70" s="3">
        <v>13</v>
      </c>
      <c r="D70" s="3">
        <v>2</v>
      </c>
      <c r="E70" s="3">
        <f>((1/(INDEX('E1'!I$4:I$32,C70,1)-INDEX('E1'!I$4:I$32,D70,1))))*100000000</f>
        <v>0</v>
      </c>
      <c r="F70" s="4" t="str">
        <f>HYPERLINK("http://141.218.60.56/~jnz1568/getInfo.php?workbook=02_02.xlsx&amp;sheet=A1&amp;row=70&amp;col=6&amp;number=&amp;sourceID=15","")</f>
        <v/>
      </c>
      <c r="G70" s="4" t="str">
        <f>HYPERLINK("http://141.218.60.56/~jnz1568/getInfo.php?workbook=02_02.xlsx&amp;sheet=A1&amp;row=70&amp;col=7&amp;number=&amp;sourceID=15","")</f>
        <v/>
      </c>
      <c r="H70" s="4" t="str">
        <f>HYPERLINK("http://141.218.60.56/~jnz1568/getInfo.php?workbook=02_02.xlsx&amp;sheet=A1&amp;row=70&amp;col=8&amp;number=&amp;sourceID=15","")</f>
        <v/>
      </c>
      <c r="I70" s="4" t="str">
        <f>HYPERLINK("http://141.218.60.56/~jnz1568/getInfo.php?workbook=02_02.xlsx&amp;sheet=A1&amp;row=70&amp;col=9&amp;number=&amp;sourceID=15","")</f>
        <v/>
      </c>
      <c r="J70" s="4" t="str">
        <f>HYPERLINK("http://141.218.60.56/~jnz1568/getInfo.php?workbook=02_02.xlsx&amp;sheet=A1&amp;row=70&amp;col=10&amp;number=&amp;sourceID=15","")</f>
        <v/>
      </c>
      <c r="K70" s="4" t="str">
        <f>HYPERLINK("http://141.218.60.56/~jnz1568/getInfo.php?workbook=02_02.xlsx&amp;sheet=A1&amp;row=70&amp;col=11&amp;number=&amp;sourceID=24","")</f>
        <v/>
      </c>
      <c r="L70" s="4" t="str">
        <f>HYPERLINK("http://141.218.60.56/~jnz1568/getInfo.php?workbook=02_02.xlsx&amp;sheet=A1&amp;row=70&amp;col=12&amp;number=&amp;sourceID=25","")</f>
        <v/>
      </c>
    </row>
    <row r="71" spans="1:12">
      <c r="A71" s="3">
        <v>2</v>
      </c>
      <c r="B71" s="3">
        <v>2</v>
      </c>
      <c r="C71" s="3">
        <v>13</v>
      </c>
      <c r="D71" s="3">
        <v>3</v>
      </c>
      <c r="E71" s="3">
        <f>((1/(INDEX('E1'!I$4:I$32,C71,1)-INDEX('E1'!I$4:I$32,D71,1))))*100000000</f>
        <v>0</v>
      </c>
      <c r="F71" s="4" t="str">
        <f>HYPERLINK("http://141.218.60.56/~jnz1568/getInfo.php?workbook=02_02.xlsx&amp;sheet=A1&amp;row=71&amp;col=6&amp;number=&amp;sourceID=15","")</f>
        <v/>
      </c>
      <c r="G71" s="4" t="str">
        <f>HYPERLINK("http://141.218.60.56/~jnz1568/getInfo.php?workbook=02_02.xlsx&amp;sheet=A1&amp;row=71&amp;col=7&amp;number=&amp;sourceID=15","")</f>
        <v/>
      </c>
      <c r="H71" s="4" t="str">
        <f>HYPERLINK("http://141.218.60.56/~jnz1568/getInfo.php?workbook=02_02.xlsx&amp;sheet=A1&amp;row=71&amp;col=8&amp;number=&amp;sourceID=15","")</f>
        <v/>
      </c>
      <c r="I71" s="4" t="str">
        <f>HYPERLINK("http://141.218.60.56/~jnz1568/getInfo.php?workbook=02_02.xlsx&amp;sheet=A1&amp;row=71&amp;col=9&amp;number=&amp;sourceID=15","")</f>
        <v/>
      </c>
      <c r="J71" s="4" t="str">
        <f>HYPERLINK("http://141.218.60.56/~jnz1568/getInfo.php?workbook=02_02.xlsx&amp;sheet=A1&amp;row=71&amp;col=10&amp;number=&amp;sourceID=15","")</f>
        <v/>
      </c>
      <c r="K71" s="4" t="str">
        <f>HYPERLINK("http://141.218.60.56/~jnz1568/getInfo.php?workbook=02_02.xlsx&amp;sheet=A1&amp;row=71&amp;col=11&amp;number=&amp;sourceID=24","")</f>
        <v/>
      </c>
      <c r="L71" s="4" t="str">
        <f>HYPERLINK("http://141.218.60.56/~jnz1568/getInfo.php?workbook=02_02.xlsx&amp;sheet=A1&amp;row=71&amp;col=12&amp;number=&amp;sourceID=25","")</f>
        <v/>
      </c>
    </row>
    <row r="72" spans="1:12">
      <c r="A72" s="3">
        <v>2</v>
      </c>
      <c r="B72" s="3">
        <v>2</v>
      </c>
      <c r="C72" s="3">
        <v>13</v>
      </c>
      <c r="D72" s="3">
        <v>4</v>
      </c>
      <c r="E72" s="3">
        <f>((1/(INDEX('E1'!I$4:I$32,C72,1)-INDEX('E1'!I$4:I$32,D72,1))))*100000000</f>
        <v>0</v>
      </c>
      <c r="F72" s="4" t="str">
        <f>HYPERLINK("http://141.218.60.56/~jnz1568/getInfo.php?workbook=02_02.xlsx&amp;sheet=A1&amp;row=72&amp;col=6&amp;number=&amp;sourceID=15","")</f>
        <v/>
      </c>
      <c r="G72" s="4" t="str">
        <f>HYPERLINK("http://141.218.60.56/~jnz1568/getInfo.php?workbook=02_02.xlsx&amp;sheet=A1&amp;row=72&amp;col=7&amp;number=&amp;sourceID=15","")</f>
        <v/>
      </c>
      <c r="H72" s="4" t="str">
        <f>HYPERLINK("http://141.218.60.56/~jnz1568/getInfo.php?workbook=02_02.xlsx&amp;sheet=A1&amp;row=72&amp;col=8&amp;number=&amp;sourceID=15","")</f>
        <v/>
      </c>
      <c r="I72" s="4" t="str">
        <f>HYPERLINK("http://141.218.60.56/~jnz1568/getInfo.php?workbook=02_02.xlsx&amp;sheet=A1&amp;row=72&amp;col=9&amp;number=&amp;sourceID=15","")</f>
        <v/>
      </c>
      <c r="J72" s="4" t="str">
        <f>HYPERLINK("http://141.218.60.56/~jnz1568/getInfo.php?workbook=02_02.xlsx&amp;sheet=A1&amp;row=72&amp;col=10&amp;number=&amp;sourceID=15","")</f>
        <v/>
      </c>
      <c r="K72" s="4" t="str">
        <f>HYPERLINK("http://141.218.60.56/~jnz1568/getInfo.php?workbook=02_02.xlsx&amp;sheet=A1&amp;row=72&amp;col=11&amp;number=&amp;sourceID=24","")</f>
        <v/>
      </c>
      <c r="L72" s="4" t="str">
        <f>HYPERLINK("http://141.218.60.56/~jnz1568/getInfo.php?workbook=02_02.xlsx&amp;sheet=A1&amp;row=72&amp;col=12&amp;number=&amp;sourceID=25","")</f>
        <v/>
      </c>
    </row>
    <row r="73" spans="1:12">
      <c r="A73" s="3">
        <v>2</v>
      </c>
      <c r="B73" s="3">
        <v>2</v>
      </c>
      <c r="C73" s="3">
        <v>13</v>
      </c>
      <c r="D73" s="3">
        <v>5</v>
      </c>
      <c r="E73" s="3">
        <f>((1/(INDEX('E1'!I$4:I$32,C73,1)-INDEX('E1'!I$4:I$32,D73,1))))*100000000</f>
        <v>0</v>
      </c>
      <c r="F73" s="4" t="str">
        <f>HYPERLINK("http://141.218.60.56/~jnz1568/getInfo.php?workbook=02_02.xlsx&amp;sheet=A1&amp;row=73&amp;col=6&amp;number==SUM(G73:J73)&amp;sourceID=15","=SUM(G73:J73)")</f>
        <v>=SUM(G73:J73)</v>
      </c>
      <c r="G73" s="4" t="str">
        <f>HYPERLINK("http://141.218.60.56/~jnz1568/getInfo.php?workbook=02_02.xlsx&amp;sheet=A1&amp;row=73&amp;col=7&amp;number=6771200&amp;sourceID=15","6771200")</f>
        <v>6771200</v>
      </c>
      <c r="H73" s="4" t="str">
        <f>HYPERLINK("http://141.218.60.56/~jnz1568/getInfo.php?workbook=02_02.xlsx&amp;sheet=A1&amp;row=73&amp;col=8&amp;number=&amp;sourceID=15","")</f>
        <v/>
      </c>
      <c r="I73" s="4" t="str">
        <f>HYPERLINK("http://141.218.60.56/~jnz1568/getInfo.php?workbook=02_02.xlsx&amp;sheet=A1&amp;row=73&amp;col=9&amp;number=&amp;sourceID=15","")</f>
        <v/>
      </c>
      <c r="J73" s="4" t="str">
        <f>HYPERLINK("http://141.218.60.56/~jnz1568/getInfo.php?workbook=02_02.xlsx&amp;sheet=A1&amp;row=73&amp;col=10&amp;number=&amp;sourceID=15","")</f>
        <v/>
      </c>
      <c r="K73" s="4" t="str">
        <f>HYPERLINK("http://141.218.60.56/~jnz1568/getInfo.php?workbook=02_02.xlsx&amp;sheet=A1&amp;row=73&amp;col=11&amp;number=6589000&amp;sourceID=24","6589000")</f>
        <v>6589000</v>
      </c>
      <c r="L73" s="4" t="str">
        <f>HYPERLINK("http://141.218.60.56/~jnz1568/getInfo.php?workbook=02_02.xlsx&amp;sheet=A1&amp;row=73&amp;col=12&amp;number=6570000&amp;sourceID=25","6570000")</f>
        <v>6570000</v>
      </c>
    </row>
    <row r="74" spans="1:12">
      <c r="A74" s="3">
        <v>2</v>
      </c>
      <c r="B74" s="3">
        <v>2</v>
      </c>
      <c r="C74" s="3">
        <v>13</v>
      </c>
      <c r="D74" s="3">
        <v>6</v>
      </c>
      <c r="E74" s="3">
        <f>((1/(INDEX('E1'!I$4:I$32,C74,1)-INDEX('E1'!I$4:I$32,D74,1))))*100000000</f>
        <v>0</v>
      </c>
      <c r="F74" s="4" t="str">
        <f>HYPERLINK("http://141.218.60.56/~jnz1568/getInfo.php?workbook=02_02.xlsx&amp;sheet=A1&amp;row=74&amp;col=6&amp;number=&amp;sourceID=15","")</f>
        <v/>
      </c>
      <c r="G74" s="4" t="str">
        <f>HYPERLINK("http://141.218.60.56/~jnz1568/getInfo.php?workbook=02_02.xlsx&amp;sheet=A1&amp;row=74&amp;col=7&amp;number=&amp;sourceID=15","")</f>
        <v/>
      </c>
      <c r="H74" s="4" t="str">
        <f>HYPERLINK("http://141.218.60.56/~jnz1568/getInfo.php?workbook=02_02.xlsx&amp;sheet=A1&amp;row=74&amp;col=8&amp;number=&amp;sourceID=15","")</f>
        <v/>
      </c>
      <c r="I74" s="4" t="str">
        <f>HYPERLINK("http://141.218.60.56/~jnz1568/getInfo.php?workbook=02_02.xlsx&amp;sheet=A1&amp;row=74&amp;col=9&amp;number=&amp;sourceID=15","")</f>
        <v/>
      </c>
      <c r="J74" s="4" t="str">
        <f>HYPERLINK("http://141.218.60.56/~jnz1568/getInfo.php?workbook=02_02.xlsx&amp;sheet=A1&amp;row=74&amp;col=10&amp;number=&amp;sourceID=15","")</f>
        <v/>
      </c>
      <c r="K74" s="4" t="str">
        <f>HYPERLINK("http://141.218.60.56/~jnz1568/getInfo.php?workbook=02_02.xlsx&amp;sheet=A1&amp;row=74&amp;col=11&amp;number=&amp;sourceID=24","")</f>
        <v/>
      </c>
      <c r="L74" s="4" t="str">
        <f>HYPERLINK("http://141.218.60.56/~jnz1568/getInfo.php?workbook=02_02.xlsx&amp;sheet=A1&amp;row=74&amp;col=12&amp;number=&amp;sourceID=25","")</f>
        <v/>
      </c>
    </row>
    <row r="75" spans="1:12">
      <c r="A75" s="3">
        <v>2</v>
      </c>
      <c r="B75" s="3">
        <v>2</v>
      </c>
      <c r="C75" s="3">
        <v>13</v>
      </c>
      <c r="D75" s="3">
        <v>7</v>
      </c>
      <c r="E75" s="3">
        <f>((1/(INDEX('E1'!I$4:I$32,C75,1)-INDEX('E1'!I$4:I$32,D75,1))))*100000000</f>
        <v>0</v>
      </c>
      <c r="F75" s="4" t="str">
        <f>HYPERLINK("http://141.218.60.56/~jnz1568/getInfo.php?workbook=02_02.xlsx&amp;sheet=A1&amp;row=75&amp;col=6&amp;number=&amp;sourceID=15","")</f>
        <v/>
      </c>
      <c r="G75" s="4" t="str">
        <f>HYPERLINK("http://141.218.60.56/~jnz1568/getInfo.php?workbook=02_02.xlsx&amp;sheet=A1&amp;row=75&amp;col=7&amp;number=&amp;sourceID=15","")</f>
        <v/>
      </c>
      <c r="H75" s="4" t="str">
        <f>HYPERLINK("http://141.218.60.56/~jnz1568/getInfo.php?workbook=02_02.xlsx&amp;sheet=A1&amp;row=75&amp;col=8&amp;number=&amp;sourceID=15","")</f>
        <v/>
      </c>
      <c r="I75" s="4" t="str">
        <f>HYPERLINK("http://141.218.60.56/~jnz1568/getInfo.php?workbook=02_02.xlsx&amp;sheet=A1&amp;row=75&amp;col=9&amp;number=&amp;sourceID=15","")</f>
        <v/>
      </c>
      <c r="J75" s="4" t="str">
        <f>HYPERLINK("http://141.218.60.56/~jnz1568/getInfo.php?workbook=02_02.xlsx&amp;sheet=A1&amp;row=75&amp;col=10&amp;number=&amp;sourceID=15","")</f>
        <v/>
      </c>
      <c r="K75" s="4" t="str">
        <f>HYPERLINK("http://141.218.60.56/~jnz1568/getInfo.php?workbook=02_02.xlsx&amp;sheet=A1&amp;row=75&amp;col=11&amp;number=&amp;sourceID=24","")</f>
        <v/>
      </c>
      <c r="L75" s="4" t="str">
        <f>HYPERLINK("http://141.218.60.56/~jnz1568/getInfo.php?workbook=02_02.xlsx&amp;sheet=A1&amp;row=75&amp;col=12&amp;number=&amp;sourceID=25","")</f>
        <v/>
      </c>
    </row>
    <row r="76" spans="1:12">
      <c r="A76" s="3">
        <v>2</v>
      </c>
      <c r="B76" s="3">
        <v>2</v>
      </c>
      <c r="C76" s="3">
        <v>13</v>
      </c>
      <c r="D76" s="3">
        <v>8</v>
      </c>
      <c r="E76" s="3">
        <f>((1/(INDEX('E1'!I$4:I$32,C76,1)-INDEX('E1'!I$4:I$32,D76,1))))*100000000</f>
        <v>0</v>
      </c>
      <c r="F76" s="4" t="str">
        <f>HYPERLINK("http://141.218.60.56/~jnz1568/getInfo.php?workbook=02_02.xlsx&amp;sheet=A1&amp;row=76&amp;col=6&amp;number=&amp;sourceID=15","")</f>
        <v/>
      </c>
      <c r="G76" s="4" t="str">
        <f>HYPERLINK("http://141.218.60.56/~jnz1568/getInfo.php?workbook=02_02.xlsx&amp;sheet=A1&amp;row=76&amp;col=7&amp;number=&amp;sourceID=15","")</f>
        <v/>
      </c>
      <c r="H76" s="4" t="str">
        <f>HYPERLINK("http://141.218.60.56/~jnz1568/getInfo.php?workbook=02_02.xlsx&amp;sheet=A1&amp;row=76&amp;col=8&amp;number=&amp;sourceID=15","")</f>
        <v/>
      </c>
      <c r="I76" s="4" t="str">
        <f>HYPERLINK("http://141.218.60.56/~jnz1568/getInfo.php?workbook=02_02.xlsx&amp;sheet=A1&amp;row=76&amp;col=9&amp;number=&amp;sourceID=15","")</f>
        <v/>
      </c>
      <c r="J76" s="4" t="str">
        <f>HYPERLINK("http://141.218.60.56/~jnz1568/getInfo.php?workbook=02_02.xlsx&amp;sheet=A1&amp;row=76&amp;col=10&amp;number=&amp;sourceID=15","")</f>
        <v/>
      </c>
      <c r="K76" s="4" t="str">
        <f>HYPERLINK("http://141.218.60.56/~jnz1568/getInfo.php?workbook=02_02.xlsx&amp;sheet=A1&amp;row=76&amp;col=11&amp;number=&amp;sourceID=24","")</f>
        <v/>
      </c>
      <c r="L76" s="4" t="str">
        <f>HYPERLINK("http://141.218.60.56/~jnz1568/getInfo.php?workbook=02_02.xlsx&amp;sheet=A1&amp;row=76&amp;col=12&amp;number=&amp;sourceID=25","")</f>
        <v/>
      </c>
    </row>
    <row r="77" spans="1:12">
      <c r="A77" s="3">
        <v>2</v>
      </c>
      <c r="B77" s="3">
        <v>2</v>
      </c>
      <c r="C77" s="3">
        <v>13</v>
      </c>
      <c r="D77" s="3">
        <v>9</v>
      </c>
      <c r="E77" s="3">
        <f>((1/(INDEX('E1'!I$4:I$32,C77,1)-INDEX('E1'!I$4:I$32,D77,1))))*100000000</f>
        <v>0</v>
      </c>
      <c r="F77" s="4" t="str">
        <f>HYPERLINK("http://141.218.60.56/~jnz1568/getInfo.php?workbook=02_02.xlsx&amp;sheet=A1&amp;row=77&amp;col=6&amp;number=&amp;sourceID=15","")</f>
        <v/>
      </c>
      <c r="G77" s="4" t="str">
        <f>HYPERLINK("http://141.218.60.56/~jnz1568/getInfo.php?workbook=02_02.xlsx&amp;sheet=A1&amp;row=77&amp;col=7&amp;number=&amp;sourceID=15","")</f>
        <v/>
      </c>
      <c r="H77" s="4" t="str">
        <f>HYPERLINK("http://141.218.60.56/~jnz1568/getInfo.php?workbook=02_02.xlsx&amp;sheet=A1&amp;row=77&amp;col=8&amp;number=&amp;sourceID=15","")</f>
        <v/>
      </c>
      <c r="I77" s="4" t="str">
        <f>HYPERLINK("http://141.218.60.56/~jnz1568/getInfo.php?workbook=02_02.xlsx&amp;sheet=A1&amp;row=77&amp;col=9&amp;number=&amp;sourceID=15","")</f>
        <v/>
      </c>
      <c r="J77" s="4" t="str">
        <f>HYPERLINK("http://141.218.60.56/~jnz1568/getInfo.php?workbook=02_02.xlsx&amp;sheet=A1&amp;row=77&amp;col=10&amp;number=&amp;sourceID=15","")</f>
        <v/>
      </c>
      <c r="K77" s="4" t="str">
        <f>HYPERLINK("http://141.218.60.56/~jnz1568/getInfo.php?workbook=02_02.xlsx&amp;sheet=A1&amp;row=77&amp;col=11&amp;number=&amp;sourceID=24","")</f>
        <v/>
      </c>
      <c r="L77" s="4" t="str">
        <f>HYPERLINK("http://141.218.60.56/~jnz1568/getInfo.php?workbook=02_02.xlsx&amp;sheet=A1&amp;row=77&amp;col=12&amp;number=&amp;sourceID=25","")</f>
        <v/>
      </c>
    </row>
    <row r="78" spans="1:12">
      <c r="A78" s="3">
        <v>2</v>
      </c>
      <c r="B78" s="3">
        <v>2</v>
      </c>
      <c r="C78" s="3">
        <v>13</v>
      </c>
      <c r="D78" s="3">
        <v>10</v>
      </c>
      <c r="E78" s="3">
        <f>((1/(INDEX('E1'!I$4:I$32,C78,1)-INDEX('E1'!I$4:I$32,D78,1))))*100000000</f>
        <v>0</v>
      </c>
      <c r="F78" s="4" t="str">
        <f>HYPERLINK("http://141.218.60.56/~jnz1568/getInfo.php?workbook=02_02.xlsx&amp;sheet=A1&amp;row=78&amp;col=6&amp;number==SUM(G78:J78)&amp;sourceID=15","=SUM(G78:J78)")</f>
        <v>=SUM(G78:J78)</v>
      </c>
      <c r="G78" s="4" t="str">
        <f>HYPERLINK("http://141.218.60.56/~jnz1568/getInfo.php?workbook=02_02.xlsx&amp;sheet=A1&amp;row=78&amp;col=7&amp;number=&amp;sourceID=15","")</f>
        <v/>
      </c>
      <c r="H78" s="4" t="str">
        <f>HYPERLINK("http://141.218.60.56/~jnz1568/getInfo.php?workbook=02_02.xlsx&amp;sheet=A1&amp;row=78&amp;col=8&amp;number=1.3064&amp;sourceID=15","1.3064")</f>
        <v>1.3064</v>
      </c>
      <c r="I78" s="4" t="str">
        <f>HYPERLINK("http://141.218.60.56/~jnz1568/getInfo.php?workbook=02_02.xlsx&amp;sheet=A1&amp;row=78&amp;col=9&amp;number=&amp;sourceID=15","")</f>
        <v/>
      </c>
      <c r="J78" s="4" t="str">
        <f>HYPERLINK("http://141.218.60.56/~jnz1568/getInfo.php?workbook=02_02.xlsx&amp;sheet=A1&amp;row=78&amp;col=10&amp;number=&amp;sourceID=15","")</f>
        <v/>
      </c>
      <c r="K78" s="4" t="str">
        <f>HYPERLINK("http://141.218.60.56/~jnz1568/getInfo.php?workbook=02_02.xlsx&amp;sheet=A1&amp;row=78&amp;col=11&amp;number=&amp;sourceID=24","")</f>
        <v/>
      </c>
      <c r="L78" s="4" t="str">
        <f>HYPERLINK("http://141.218.60.56/~jnz1568/getInfo.php?workbook=02_02.xlsx&amp;sheet=A1&amp;row=78&amp;col=12&amp;number=&amp;sourceID=25","")</f>
        <v/>
      </c>
    </row>
    <row r="79" spans="1:12">
      <c r="A79" s="3">
        <v>2</v>
      </c>
      <c r="B79" s="3">
        <v>2</v>
      </c>
      <c r="C79" s="3">
        <v>13</v>
      </c>
      <c r="D79" s="3">
        <v>11</v>
      </c>
      <c r="E79" s="3">
        <f>((1/(INDEX('E1'!I$4:I$32,C79,1)-INDEX('E1'!I$4:I$32,D79,1))))*100000000</f>
        <v>0</v>
      </c>
      <c r="F79" s="4" t="str">
        <f>HYPERLINK("http://141.218.60.56/~jnz1568/getInfo.php?workbook=02_02.xlsx&amp;sheet=A1&amp;row=79&amp;col=6&amp;number==SUM(G79:J79)&amp;sourceID=15","=SUM(G79:J79)")</f>
        <v>=SUM(G79:J79)</v>
      </c>
      <c r="G79" s="4" t="str">
        <f>HYPERLINK("http://141.218.60.56/~jnz1568/getInfo.php?workbook=02_02.xlsx&amp;sheet=A1&amp;row=79&amp;col=7&amp;number=4592500&amp;sourceID=15","4592500")</f>
        <v>4592500</v>
      </c>
      <c r="H79" s="4" t="str">
        <f>HYPERLINK("http://141.218.60.56/~jnz1568/getInfo.php?workbook=02_02.xlsx&amp;sheet=A1&amp;row=79&amp;col=8&amp;number=&amp;sourceID=15","")</f>
        <v/>
      </c>
      <c r="I79" s="4" t="str">
        <f>HYPERLINK("http://141.218.60.56/~jnz1568/getInfo.php?workbook=02_02.xlsx&amp;sheet=A1&amp;row=79&amp;col=9&amp;number=&amp;sourceID=15","")</f>
        <v/>
      </c>
      <c r="J79" s="4" t="str">
        <f>HYPERLINK("http://141.218.60.56/~jnz1568/getInfo.php?workbook=02_02.xlsx&amp;sheet=A1&amp;row=79&amp;col=10&amp;number=&amp;sourceID=15","")</f>
        <v/>
      </c>
      <c r="K79" s="4" t="str">
        <f>HYPERLINK("http://141.218.60.56/~jnz1568/getInfo.php?workbook=02_02.xlsx&amp;sheet=A1&amp;row=79&amp;col=11&amp;number=4413000&amp;sourceID=24","4413000")</f>
        <v>4413000</v>
      </c>
      <c r="L79" s="4" t="str">
        <f>HYPERLINK("http://141.218.60.56/~jnz1568/getInfo.php?workbook=02_02.xlsx&amp;sheet=A1&amp;row=79&amp;col=12&amp;number=4470000&amp;sourceID=25","4470000")</f>
        <v>4470000</v>
      </c>
    </row>
    <row r="80" spans="1:12">
      <c r="A80" s="3">
        <v>2</v>
      </c>
      <c r="B80" s="3">
        <v>2</v>
      </c>
      <c r="C80" s="3">
        <v>13</v>
      </c>
      <c r="D80" s="3">
        <v>12</v>
      </c>
      <c r="E80" s="3">
        <f>((1/(INDEX('E1'!I$4:I$32,C80,1)-INDEX('E1'!I$4:I$32,D80,1))))*100000000</f>
        <v>0</v>
      </c>
      <c r="F80" s="4" t="str">
        <f>HYPERLINK("http://141.218.60.56/~jnz1568/getInfo.php?workbook=02_02.xlsx&amp;sheet=A1&amp;row=80&amp;col=6&amp;number=&amp;sourceID=15","")</f>
        <v/>
      </c>
      <c r="G80" s="4" t="str">
        <f>HYPERLINK("http://141.218.60.56/~jnz1568/getInfo.php?workbook=02_02.xlsx&amp;sheet=A1&amp;row=80&amp;col=7&amp;number=&amp;sourceID=15","")</f>
        <v/>
      </c>
      <c r="H80" s="4" t="str">
        <f>HYPERLINK("http://141.218.60.56/~jnz1568/getInfo.php?workbook=02_02.xlsx&amp;sheet=A1&amp;row=80&amp;col=8&amp;number=&amp;sourceID=15","")</f>
        <v/>
      </c>
      <c r="I80" s="4" t="str">
        <f>HYPERLINK("http://141.218.60.56/~jnz1568/getInfo.php?workbook=02_02.xlsx&amp;sheet=A1&amp;row=80&amp;col=9&amp;number=&amp;sourceID=15","")</f>
        <v/>
      </c>
      <c r="J80" s="4" t="str">
        <f>HYPERLINK("http://141.218.60.56/~jnz1568/getInfo.php?workbook=02_02.xlsx&amp;sheet=A1&amp;row=80&amp;col=10&amp;number=&amp;sourceID=15","")</f>
        <v/>
      </c>
      <c r="K80" s="4" t="str">
        <f>HYPERLINK("http://141.218.60.56/~jnz1568/getInfo.php?workbook=02_02.xlsx&amp;sheet=A1&amp;row=80&amp;col=11&amp;number=&amp;sourceID=24","")</f>
        <v/>
      </c>
      <c r="L80" s="4" t="str">
        <f>HYPERLINK("http://141.218.60.56/~jnz1568/getInfo.php?workbook=02_02.xlsx&amp;sheet=A1&amp;row=80&amp;col=12&amp;number=&amp;sourceID=25","")</f>
        <v/>
      </c>
    </row>
    <row r="81" spans="1:12">
      <c r="A81" s="3">
        <v>2</v>
      </c>
      <c r="B81" s="3">
        <v>2</v>
      </c>
      <c r="C81" s="3">
        <v>14</v>
      </c>
      <c r="D81" s="3">
        <v>1</v>
      </c>
      <c r="E81" s="3">
        <f>((1/(INDEX('E1'!I$4:I$32,C81,1)-INDEX('E1'!I$4:I$32,D81,1))))*100000000</f>
        <v>0</v>
      </c>
      <c r="F81" s="4" t="str">
        <f>HYPERLINK("http://141.218.60.56/~jnz1568/getInfo.php?workbook=02_02.xlsx&amp;sheet=A1&amp;row=81&amp;col=6&amp;number==SUM(G81:J81)&amp;sourceID=15","=SUM(G81:J81)")</f>
        <v>=SUM(G81:J81)</v>
      </c>
      <c r="G81" s="4" t="str">
        <f>HYPERLINK("http://141.218.60.56/~jnz1568/getInfo.php?workbook=02_02.xlsx&amp;sheet=A1&amp;row=81&amp;col=7&amp;number=&amp;sourceID=15","")</f>
        <v/>
      </c>
      <c r="H81" s="4" t="str">
        <f>HYPERLINK("http://141.218.60.56/~jnz1568/getInfo.php?workbook=02_02.xlsx&amp;sheet=A1&amp;row=81&amp;col=8&amp;number=&amp;sourceID=15","")</f>
        <v/>
      </c>
      <c r="I81" s="4" t="str">
        <f>HYPERLINK("http://141.218.60.56/~jnz1568/getInfo.php?workbook=02_02.xlsx&amp;sheet=A1&amp;row=81&amp;col=9&amp;number=&amp;sourceID=15","")</f>
        <v/>
      </c>
      <c r="J81" s="4" t="str">
        <f>HYPERLINK("http://141.218.60.56/~jnz1568/getInfo.php?workbook=02_02.xlsx&amp;sheet=A1&amp;row=81&amp;col=10&amp;number=0.052&amp;sourceID=15","0.052")</f>
        <v>0.052</v>
      </c>
      <c r="K81" s="4" t="str">
        <f>HYPERLINK("http://141.218.60.56/~jnz1568/getInfo.php?workbook=02_02.xlsx&amp;sheet=A1&amp;row=81&amp;col=11&amp;number=&amp;sourceID=24","")</f>
        <v/>
      </c>
      <c r="L81" s="4" t="str">
        <f>HYPERLINK("http://141.218.60.56/~jnz1568/getInfo.php?workbook=02_02.xlsx&amp;sheet=A1&amp;row=81&amp;col=12&amp;number=&amp;sourceID=25","")</f>
        <v/>
      </c>
    </row>
    <row r="82" spans="1:12">
      <c r="A82" s="3">
        <v>2</v>
      </c>
      <c r="B82" s="3">
        <v>2</v>
      </c>
      <c r="C82" s="3">
        <v>14</v>
      </c>
      <c r="D82" s="3">
        <v>2</v>
      </c>
      <c r="E82" s="3">
        <f>((1/(INDEX('E1'!I$4:I$32,C82,1)-INDEX('E1'!I$4:I$32,D82,1))))*100000000</f>
        <v>0</v>
      </c>
      <c r="F82" s="4" t="str">
        <f>HYPERLINK("http://141.218.60.56/~jnz1568/getInfo.php?workbook=02_02.xlsx&amp;sheet=A1&amp;row=82&amp;col=6&amp;number==SUM(G82:J82)&amp;sourceID=15","=SUM(G82:J82)")</f>
        <v>=SUM(G82:J82)</v>
      </c>
      <c r="G82" s="4" t="str">
        <f>HYPERLINK("http://141.218.60.56/~jnz1568/getInfo.php?workbook=02_02.xlsx&amp;sheet=A1&amp;row=82&amp;col=7&amp;number=5636100&amp;sourceID=15","5636100")</f>
        <v>5636100</v>
      </c>
      <c r="H82" s="4" t="str">
        <f>HYPERLINK("http://141.218.60.56/~jnz1568/getInfo.php?workbook=02_02.xlsx&amp;sheet=A1&amp;row=82&amp;col=8&amp;number=&amp;sourceID=15","")</f>
        <v/>
      </c>
      <c r="I82" s="4" t="str">
        <f>HYPERLINK("http://141.218.60.56/~jnz1568/getInfo.php?workbook=02_02.xlsx&amp;sheet=A1&amp;row=82&amp;col=9&amp;number=&amp;sourceID=15","")</f>
        <v/>
      </c>
      <c r="J82" s="4" t="str">
        <f>HYPERLINK("http://141.218.60.56/~jnz1568/getInfo.php?workbook=02_02.xlsx&amp;sheet=A1&amp;row=82&amp;col=10&amp;number=&amp;sourceID=15","")</f>
        <v/>
      </c>
      <c r="K82" s="4" t="str">
        <f>HYPERLINK("http://141.218.60.56/~jnz1568/getInfo.php?workbook=02_02.xlsx&amp;sheet=A1&amp;row=82&amp;col=11&amp;number=5490000&amp;sourceID=24","5490000")</f>
        <v>5490000</v>
      </c>
      <c r="L82" s="4" t="str">
        <f>HYPERLINK("http://141.218.60.56/~jnz1568/getInfo.php?workbook=02_02.xlsx&amp;sheet=A1&amp;row=82&amp;col=12&amp;number=5611111.11111&amp;sourceID=25","5611111.11111")</f>
        <v>5611111.11111</v>
      </c>
    </row>
    <row r="83" spans="1:12">
      <c r="A83" s="3">
        <v>2</v>
      </c>
      <c r="B83" s="3">
        <v>2</v>
      </c>
      <c r="C83" s="3">
        <v>14</v>
      </c>
      <c r="D83" s="3">
        <v>3</v>
      </c>
      <c r="E83" s="3">
        <f>((1/(INDEX('E1'!I$4:I$32,C83,1)-INDEX('E1'!I$4:I$32,D83,1))))*100000000</f>
        <v>0</v>
      </c>
      <c r="F83" s="4" t="str">
        <f>HYPERLINK("http://141.218.60.56/~jnz1568/getInfo.php?workbook=02_02.xlsx&amp;sheet=A1&amp;row=83&amp;col=6&amp;number=&amp;sourceID=15","")</f>
        <v/>
      </c>
      <c r="G83" s="4" t="str">
        <f>HYPERLINK("http://141.218.60.56/~jnz1568/getInfo.php?workbook=02_02.xlsx&amp;sheet=A1&amp;row=83&amp;col=7&amp;number=&amp;sourceID=15","")</f>
        <v/>
      </c>
      <c r="H83" s="4" t="str">
        <f>HYPERLINK("http://141.218.60.56/~jnz1568/getInfo.php?workbook=02_02.xlsx&amp;sheet=A1&amp;row=83&amp;col=8&amp;number=&amp;sourceID=15","")</f>
        <v/>
      </c>
      <c r="I83" s="4" t="str">
        <f>HYPERLINK("http://141.218.60.56/~jnz1568/getInfo.php?workbook=02_02.xlsx&amp;sheet=A1&amp;row=83&amp;col=9&amp;number=&amp;sourceID=15","")</f>
        <v/>
      </c>
      <c r="J83" s="4" t="str">
        <f>HYPERLINK("http://141.218.60.56/~jnz1568/getInfo.php?workbook=02_02.xlsx&amp;sheet=A1&amp;row=83&amp;col=10&amp;number=&amp;sourceID=15","")</f>
        <v/>
      </c>
      <c r="K83" s="4" t="str">
        <f>HYPERLINK("http://141.218.60.56/~jnz1568/getInfo.php?workbook=02_02.xlsx&amp;sheet=A1&amp;row=83&amp;col=11&amp;number=&amp;sourceID=24","")</f>
        <v/>
      </c>
      <c r="L83" s="4" t="str">
        <f>HYPERLINK("http://141.218.60.56/~jnz1568/getInfo.php?workbook=02_02.xlsx&amp;sheet=A1&amp;row=83&amp;col=12&amp;number=&amp;sourceID=25","")</f>
        <v/>
      </c>
    </row>
    <row r="84" spans="1:12">
      <c r="A84" s="3">
        <v>2</v>
      </c>
      <c r="B84" s="3">
        <v>2</v>
      </c>
      <c r="C84" s="3">
        <v>14</v>
      </c>
      <c r="D84" s="3">
        <v>4</v>
      </c>
      <c r="E84" s="3">
        <f>((1/(INDEX('E1'!I$4:I$32,C84,1)-INDEX('E1'!I$4:I$32,D84,1))))*100000000</f>
        <v>0</v>
      </c>
      <c r="F84" s="4" t="str">
        <f>HYPERLINK("http://141.218.60.56/~jnz1568/getInfo.php?workbook=02_02.xlsx&amp;sheet=A1&amp;row=84&amp;col=6&amp;number==SUM(G84:J84)&amp;sourceID=15","=SUM(G84:J84)")</f>
        <v>=SUM(G84:J84)</v>
      </c>
      <c r="G84" s="4" t="str">
        <f>HYPERLINK("http://141.218.60.56/~jnz1568/getInfo.php?workbook=02_02.xlsx&amp;sheet=A1&amp;row=84&amp;col=7&amp;number=&amp;sourceID=15","")</f>
        <v/>
      </c>
      <c r="H84" s="4" t="str">
        <f>HYPERLINK("http://141.218.60.56/~jnz1568/getInfo.php?workbook=02_02.xlsx&amp;sheet=A1&amp;row=84&amp;col=8&amp;number=11.88&amp;sourceID=15","11.88")</f>
        <v>11.88</v>
      </c>
      <c r="I84" s="4" t="str">
        <f>HYPERLINK("http://141.218.60.56/~jnz1568/getInfo.php?workbook=02_02.xlsx&amp;sheet=A1&amp;row=84&amp;col=9&amp;number=&amp;sourceID=15","")</f>
        <v/>
      </c>
      <c r="J84" s="4" t="str">
        <f>HYPERLINK("http://141.218.60.56/~jnz1568/getInfo.php?workbook=02_02.xlsx&amp;sheet=A1&amp;row=84&amp;col=10&amp;number=&amp;sourceID=15","")</f>
        <v/>
      </c>
      <c r="K84" s="4" t="str">
        <f>HYPERLINK("http://141.218.60.56/~jnz1568/getInfo.php?workbook=02_02.xlsx&amp;sheet=A1&amp;row=84&amp;col=11&amp;number=&amp;sourceID=24","")</f>
        <v/>
      </c>
      <c r="L84" s="4" t="str">
        <f>HYPERLINK("http://141.218.60.56/~jnz1568/getInfo.php?workbook=02_02.xlsx&amp;sheet=A1&amp;row=84&amp;col=12&amp;number=&amp;sourceID=25","")</f>
        <v/>
      </c>
    </row>
    <row r="85" spans="1:12">
      <c r="A85" s="3">
        <v>2</v>
      </c>
      <c r="B85" s="3">
        <v>2</v>
      </c>
      <c r="C85" s="3">
        <v>14</v>
      </c>
      <c r="D85" s="3">
        <v>5</v>
      </c>
      <c r="E85" s="3">
        <f>((1/(INDEX('E1'!I$4:I$32,C85,1)-INDEX('E1'!I$4:I$32,D85,1))))*100000000</f>
        <v>0</v>
      </c>
      <c r="F85" s="4" t="str">
        <f>HYPERLINK("http://141.218.60.56/~jnz1568/getInfo.php?workbook=02_02.xlsx&amp;sheet=A1&amp;row=85&amp;col=6&amp;number=&amp;sourceID=15","")</f>
        <v/>
      </c>
      <c r="G85" s="4" t="str">
        <f>HYPERLINK("http://141.218.60.56/~jnz1568/getInfo.php?workbook=02_02.xlsx&amp;sheet=A1&amp;row=85&amp;col=7&amp;number=&amp;sourceID=15","")</f>
        <v/>
      </c>
      <c r="H85" s="4" t="str">
        <f>HYPERLINK("http://141.218.60.56/~jnz1568/getInfo.php?workbook=02_02.xlsx&amp;sheet=A1&amp;row=85&amp;col=8&amp;number=&amp;sourceID=15","")</f>
        <v/>
      </c>
      <c r="I85" s="4" t="str">
        <f>HYPERLINK("http://141.218.60.56/~jnz1568/getInfo.php?workbook=02_02.xlsx&amp;sheet=A1&amp;row=85&amp;col=9&amp;number=&amp;sourceID=15","")</f>
        <v/>
      </c>
      <c r="J85" s="4" t="str">
        <f>HYPERLINK("http://141.218.60.56/~jnz1568/getInfo.php?workbook=02_02.xlsx&amp;sheet=A1&amp;row=85&amp;col=10&amp;number=&amp;sourceID=15","")</f>
        <v/>
      </c>
      <c r="K85" s="4" t="str">
        <f>HYPERLINK("http://141.218.60.56/~jnz1568/getInfo.php?workbook=02_02.xlsx&amp;sheet=A1&amp;row=85&amp;col=11&amp;number=&amp;sourceID=24","")</f>
        <v/>
      </c>
      <c r="L85" s="4" t="str">
        <f>HYPERLINK("http://141.218.60.56/~jnz1568/getInfo.php?workbook=02_02.xlsx&amp;sheet=A1&amp;row=85&amp;col=12&amp;number=&amp;sourceID=25","")</f>
        <v/>
      </c>
    </row>
    <row r="86" spans="1:12">
      <c r="A86" s="3">
        <v>2</v>
      </c>
      <c r="B86" s="3">
        <v>2</v>
      </c>
      <c r="C86" s="3">
        <v>14</v>
      </c>
      <c r="D86" s="3">
        <v>6</v>
      </c>
      <c r="E86" s="3">
        <f>((1/(INDEX('E1'!I$4:I$32,C86,1)-INDEX('E1'!I$4:I$32,D86,1))))*100000000</f>
        <v>0</v>
      </c>
      <c r="F86" s="4" t="str">
        <f>HYPERLINK("http://141.218.60.56/~jnz1568/getInfo.php?workbook=02_02.xlsx&amp;sheet=A1&amp;row=86&amp;col=6&amp;number==SUM(G86:J86)&amp;sourceID=15","=SUM(G86:J86)")</f>
        <v>=SUM(G86:J86)</v>
      </c>
      <c r="G86" s="4" t="str">
        <f>HYPERLINK("http://141.218.60.56/~jnz1568/getInfo.php?workbook=02_02.xlsx&amp;sheet=A1&amp;row=86&amp;col=7&amp;number=709320&amp;sourceID=15","709320")</f>
        <v>709320</v>
      </c>
      <c r="H86" s="4" t="str">
        <f>HYPERLINK("http://141.218.60.56/~jnz1568/getInfo.php?workbook=02_02.xlsx&amp;sheet=A1&amp;row=86&amp;col=8&amp;number=&amp;sourceID=15","")</f>
        <v/>
      </c>
      <c r="I86" s="4" t="str">
        <f>HYPERLINK("http://141.218.60.56/~jnz1568/getInfo.php?workbook=02_02.xlsx&amp;sheet=A1&amp;row=86&amp;col=9&amp;number=&amp;sourceID=15","")</f>
        <v/>
      </c>
      <c r="J86" s="4" t="str">
        <f>HYPERLINK("http://141.218.60.56/~jnz1568/getInfo.php?workbook=02_02.xlsx&amp;sheet=A1&amp;row=86&amp;col=10&amp;number=&amp;sourceID=15","")</f>
        <v/>
      </c>
      <c r="K86" s="4" t="str">
        <f>HYPERLINK("http://141.218.60.56/~jnz1568/getInfo.php?workbook=02_02.xlsx&amp;sheet=A1&amp;row=86&amp;col=11&amp;number=674700&amp;sourceID=24","674700")</f>
        <v>674700</v>
      </c>
      <c r="L86" s="4" t="str">
        <f>HYPERLINK("http://141.218.60.56/~jnz1568/getInfo.php?workbook=02_02.xlsx&amp;sheet=A1&amp;row=86&amp;col=12&amp;number=703333.333333&amp;sourceID=25","703333.333333")</f>
        <v>703333.333333</v>
      </c>
    </row>
    <row r="87" spans="1:12">
      <c r="A87" s="3">
        <v>2</v>
      </c>
      <c r="B87" s="3">
        <v>2</v>
      </c>
      <c r="C87" s="3">
        <v>14</v>
      </c>
      <c r="D87" s="3">
        <v>7</v>
      </c>
      <c r="E87" s="3">
        <f>((1/(INDEX('E1'!I$4:I$32,C87,1)-INDEX('E1'!I$4:I$32,D87,1))))*100000000</f>
        <v>0</v>
      </c>
      <c r="F87" s="4" t="str">
        <f>HYPERLINK("http://141.218.60.56/~jnz1568/getInfo.php?workbook=02_02.xlsx&amp;sheet=A1&amp;row=87&amp;col=6&amp;number=&amp;sourceID=15","")</f>
        <v/>
      </c>
      <c r="G87" s="4" t="str">
        <f>HYPERLINK("http://141.218.60.56/~jnz1568/getInfo.php?workbook=02_02.xlsx&amp;sheet=A1&amp;row=87&amp;col=7&amp;number=&amp;sourceID=15","")</f>
        <v/>
      </c>
      <c r="H87" s="4" t="str">
        <f>HYPERLINK("http://141.218.60.56/~jnz1568/getInfo.php?workbook=02_02.xlsx&amp;sheet=A1&amp;row=87&amp;col=8&amp;number=&amp;sourceID=15","")</f>
        <v/>
      </c>
      <c r="I87" s="4" t="str">
        <f>HYPERLINK("http://141.218.60.56/~jnz1568/getInfo.php?workbook=02_02.xlsx&amp;sheet=A1&amp;row=87&amp;col=9&amp;number=&amp;sourceID=15","")</f>
        <v/>
      </c>
      <c r="J87" s="4" t="str">
        <f>HYPERLINK("http://141.218.60.56/~jnz1568/getInfo.php?workbook=02_02.xlsx&amp;sheet=A1&amp;row=87&amp;col=10&amp;number=&amp;sourceID=15","")</f>
        <v/>
      </c>
      <c r="K87" s="4" t="str">
        <f>HYPERLINK("http://141.218.60.56/~jnz1568/getInfo.php?workbook=02_02.xlsx&amp;sheet=A1&amp;row=87&amp;col=11&amp;number=&amp;sourceID=24","")</f>
        <v/>
      </c>
      <c r="L87" s="4" t="str">
        <f>HYPERLINK("http://141.218.60.56/~jnz1568/getInfo.php?workbook=02_02.xlsx&amp;sheet=A1&amp;row=87&amp;col=12&amp;number=&amp;sourceID=25","")</f>
        <v/>
      </c>
    </row>
    <row r="88" spans="1:12">
      <c r="A88" s="3">
        <v>2</v>
      </c>
      <c r="B88" s="3">
        <v>2</v>
      </c>
      <c r="C88" s="3">
        <v>14</v>
      </c>
      <c r="D88" s="3">
        <v>8</v>
      </c>
      <c r="E88" s="3">
        <f>((1/(INDEX('E1'!I$4:I$32,C88,1)-INDEX('E1'!I$4:I$32,D88,1))))*100000000</f>
        <v>0</v>
      </c>
      <c r="F88" s="4" t="str">
        <f>HYPERLINK("http://141.218.60.56/~jnz1568/getInfo.php?workbook=02_02.xlsx&amp;sheet=A1&amp;row=88&amp;col=6&amp;number==SUM(G88:J88)&amp;sourceID=15","=SUM(G88:J88)")</f>
        <v>=SUM(G88:J88)</v>
      </c>
      <c r="G88" s="4" t="str">
        <f>HYPERLINK("http://141.218.60.56/~jnz1568/getInfo.php?workbook=02_02.xlsx&amp;sheet=A1&amp;row=88&amp;col=7&amp;number=&amp;sourceID=15","")</f>
        <v/>
      </c>
      <c r="H88" s="4" t="str">
        <f>HYPERLINK("http://141.218.60.56/~jnz1568/getInfo.php?workbook=02_02.xlsx&amp;sheet=A1&amp;row=88&amp;col=8&amp;number=2.9354&amp;sourceID=15","2.9354")</f>
        <v>2.9354</v>
      </c>
      <c r="I88" s="4" t="str">
        <f>HYPERLINK("http://141.218.60.56/~jnz1568/getInfo.php?workbook=02_02.xlsx&amp;sheet=A1&amp;row=88&amp;col=9&amp;number=&amp;sourceID=15","")</f>
        <v/>
      </c>
      <c r="J88" s="4" t="str">
        <f>HYPERLINK("http://141.218.60.56/~jnz1568/getInfo.php?workbook=02_02.xlsx&amp;sheet=A1&amp;row=88&amp;col=10&amp;number=&amp;sourceID=15","")</f>
        <v/>
      </c>
      <c r="K88" s="4" t="str">
        <f>HYPERLINK("http://141.218.60.56/~jnz1568/getInfo.php?workbook=02_02.xlsx&amp;sheet=A1&amp;row=88&amp;col=11&amp;number=&amp;sourceID=24","")</f>
        <v/>
      </c>
      <c r="L88" s="4" t="str">
        <f>HYPERLINK("http://141.218.60.56/~jnz1568/getInfo.php?workbook=02_02.xlsx&amp;sheet=A1&amp;row=88&amp;col=12&amp;number=&amp;sourceID=25","")</f>
        <v/>
      </c>
    </row>
    <row r="89" spans="1:12">
      <c r="A89" s="3">
        <v>2</v>
      </c>
      <c r="B89" s="3">
        <v>2</v>
      </c>
      <c r="C89" s="3">
        <v>14</v>
      </c>
      <c r="D89" s="3">
        <v>9</v>
      </c>
      <c r="E89" s="3">
        <f>((1/(INDEX('E1'!I$4:I$32,C89,1)-INDEX('E1'!I$4:I$32,D89,1))))*100000000</f>
        <v>0</v>
      </c>
      <c r="F89" s="4" t="str">
        <f>HYPERLINK("http://141.218.60.56/~jnz1568/getInfo.php?workbook=02_02.xlsx&amp;sheet=A1&amp;row=89&amp;col=6&amp;number==SUM(G89:J89)&amp;sourceID=15","=SUM(G89:J89)")</f>
        <v>=SUM(G89:J89)</v>
      </c>
      <c r="G89" s="4" t="str">
        <f>HYPERLINK("http://141.218.60.56/~jnz1568/getInfo.php?workbook=02_02.xlsx&amp;sheet=A1&amp;row=89&amp;col=7&amp;number=645290&amp;sourceID=15","645290")</f>
        <v>645290</v>
      </c>
      <c r="H89" s="4" t="str">
        <f>HYPERLINK("http://141.218.60.56/~jnz1568/getInfo.php?workbook=02_02.xlsx&amp;sheet=A1&amp;row=89&amp;col=8&amp;number=&amp;sourceID=15","")</f>
        <v/>
      </c>
      <c r="I89" s="4" t="str">
        <f>HYPERLINK("http://141.218.60.56/~jnz1568/getInfo.php?workbook=02_02.xlsx&amp;sheet=A1&amp;row=89&amp;col=9&amp;number=&amp;sourceID=15","")</f>
        <v/>
      </c>
      <c r="J89" s="4" t="str">
        <f>HYPERLINK("http://141.218.60.56/~jnz1568/getInfo.php?workbook=02_02.xlsx&amp;sheet=A1&amp;row=89&amp;col=10&amp;number=&amp;sourceID=15","")</f>
        <v/>
      </c>
      <c r="K89" s="4" t="str">
        <f>HYPERLINK("http://141.218.60.56/~jnz1568/getInfo.php?workbook=02_02.xlsx&amp;sheet=A1&amp;row=89&amp;col=11&amp;number=625600&amp;sourceID=24","625600")</f>
        <v>625600</v>
      </c>
      <c r="L89" s="4" t="str">
        <f>HYPERLINK("http://141.218.60.56/~jnz1568/getInfo.php?workbook=02_02.xlsx&amp;sheet=A1&amp;row=89&amp;col=12&amp;number=642222.222222&amp;sourceID=25","642222.222222")</f>
        <v>642222.222222</v>
      </c>
    </row>
    <row r="90" spans="1:12">
      <c r="A90" s="3">
        <v>2</v>
      </c>
      <c r="B90" s="3">
        <v>2</v>
      </c>
      <c r="C90" s="3">
        <v>14</v>
      </c>
      <c r="D90" s="3">
        <v>10</v>
      </c>
      <c r="E90" s="3">
        <f>((1/(INDEX('E1'!I$4:I$32,C90,1)-INDEX('E1'!I$4:I$32,D90,1))))*100000000</f>
        <v>0</v>
      </c>
      <c r="F90" s="4" t="str">
        <f>HYPERLINK("http://141.218.60.56/~jnz1568/getInfo.php?workbook=02_02.xlsx&amp;sheet=A1&amp;row=90&amp;col=6&amp;number==SUM(G90:J90)&amp;sourceID=15","=SUM(G90:J90)")</f>
        <v>=SUM(G90:J90)</v>
      </c>
      <c r="G90" s="4" t="str">
        <f>HYPERLINK("http://141.218.60.56/~jnz1568/getInfo.php?workbook=02_02.xlsx&amp;sheet=A1&amp;row=90&amp;col=7&amp;number=138.5&amp;sourceID=15","138.5")</f>
        <v>138.5</v>
      </c>
      <c r="H90" s="4" t="str">
        <f>HYPERLINK("http://141.218.60.56/~jnz1568/getInfo.php?workbook=02_02.xlsx&amp;sheet=A1&amp;row=90&amp;col=8&amp;number=&amp;sourceID=15","")</f>
        <v/>
      </c>
      <c r="I90" s="4" t="str">
        <f>HYPERLINK("http://141.218.60.56/~jnz1568/getInfo.php?workbook=02_02.xlsx&amp;sheet=A1&amp;row=90&amp;col=9&amp;number=&amp;sourceID=15","")</f>
        <v/>
      </c>
      <c r="J90" s="4" t="str">
        <f>HYPERLINK("http://141.218.60.56/~jnz1568/getInfo.php?workbook=02_02.xlsx&amp;sheet=A1&amp;row=90&amp;col=10&amp;number=&amp;sourceID=15","")</f>
        <v/>
      </c>
      <c r="K90" s="4" t="str">
        <f>HYPERLINK("http://141.218.60.56/~jnz1568/getInfo.php?workbook=02_02.xlsx&amp;sheet=A1&amp;row=90&amp;col=11&amp;number=&amp;sourceID=24","")</f>
        <v/>
      </c>
      <c r="L90" s="4" t="str">
        <f>HYPERLINK("http://141.218.60.56/~jnz1568/getInfo.php?workbook=02_02.xlsx&amp;sheet=A1&amp;row=90&amp;col=12&amp;number=&amp;sourceID=25","")</f>
        <v/>
      </c>
    </row>
    <row r="91" spans="1:12">
      <c r="A91" s="3">
        <v>2</v>
      </c>
      <c r="B91" s="3">
        <v>2</v>
      </c>
      <c r="C91" s="3">
        <v>14</v>
      </c>
      <c r="D91" s="3">
        <v>11</v>
      </c>
      <c r="E91" s="3">
        <f>((1/(INDEX('E1'!I$4:I$32,C91,1)-INDEX('E1'!I$4:I$32,D91,1))))*100000000</f>
        <v>0</v>
      </c>
      <c r="F91" s="4" t="str">
        <f>HYPERLINK("http://141.218.60.56/~jnz1568/getInfo.php?workbook=02_02.xlsx&amp;sheet=A1&amp;row=91&amp;col=6&amp;number=&amp;sourceID=15","")</f>
        <v/>
      </c>
      <c r="G91" s="4" t="str">
        <f>HYPERLINK("http://141.218.60.56/~jnz1568/getInfo.php?workbook=02_02.xlsx&amp;sheet=A1&amp;row=91&amp;col=7&amp;number=&amp;sourceID=15","")</f>
        <v/>
      </c>
      <c r="H91" s="4" t="str">
        <f>HYPERLINK("http://141.218.60.56/~jnz1568/getInfo.php?workbook=02_02.xlsx&amp;sheet=A1&amp;row=91&amp;col=8&amp;number=&amp;sourceID=15","")</f>
        <v/>
      </c>
      <c r="I91" s="4" t="str">
        <f>HYPERLINK("http://141.218.60.56/~jnz1568/getInfo.php?workbook=02_02.xlsx&amp;sheet=A1&amp;row=91&amp;col=9&amp;number=&amp;sourceID=15","")</f>
        <v/>
      </c>
      <c r="J91" s="4" t="str">
        <f>HYPERLINK("http://141.218.60.56/~jnz1568/getInfo.php?workbook=02_02.xlsx&amp;sheet=A1&amp;row=91&amp;col=10&amp;number=&amp;sourceID=15","")</f>
        <v/>
      </c>
      <c r="K91" s="4" t="str">
        <f>HYPERLINK("http://141.218.60.56/~jnz1568/getInfo.php?workbook=02_02.xlsx&amp;sheet=A1&amp;row=91&amp;col=11&amp;number=&amp;sourceID=24","")</f>
        <v/>
      </c>
      <c r="L91" s="4" t="str">
        <f>HYPERLINK("http://141.218.60.56/~jnz1568/getInfo.php?workbook=02_02.xlsx&amp;sheet=A1&amp;row=91&amp;col=12&amp;number=&amp;sourceID=25","")</f>
        <v/>
      </c>
    </row>
    <row r="92" spans="1:12">
      <c r="A92" s="3">
        <v>2</v>
      </c>
      <c r="B92" s="3">
        <v>2</v>
      </c>
      <c r="C92" s="3">
        <v>14</v>
      </c>
      <c r="D92" s="3">
        <v>12</v>
      </c>
      <c r="E92" s="3">
        <f>((1/(INDEX('E1'!I$4:I$32,C92,1)-INDEX('E1'!I$4:I$32,D92,1))))*100000000</f>
        <v>0</v>
      </c>
      <c r="F92" s="4" t="str">
        <f>HYPERLINK("http://141.218.60.56/~jnz1568/getInfo.php?workbook=02_02.xlsx&amp;sheet=A1&amp;row=92&amp;col=6&amp;number==SUM(G92:J92)&amp;sourceID=15","=SUM(G92:J92)")</f>
        <v>=SUM(G92:J92)</v>
      </c>
      <c r="G92" s="4" t="str">
        <f>HYPERLINK("http://141.218.60.56/~jnz1568/getInfo.php?workbook=02_02.xlsx&amp;sheet=A1&amp;row=92&amp;col=7&amp;number=228250&amp;sourceID=15","228250")</f>
        <v>228250</v>
      </c>
      <c r="H92" s="4" t="str">
        <f>HYPERLINK("http://141.218.60.56/~jnz1568/getInfo.php?workbook=02_02.xlsx&amp;sheet=A1&amp;row=92&amp;col=8&amp;number=&amp;sourceID=15","")</f>
        <v/>
      </c>
      <c r="I92" s="4" t="str">
        <f>HYPERLINK("http://141.218.60.56/~jnz1568/getInfo.php?workbook=02_02.xlsx&amp;sheet=A1&amp;row=92&amp;col=9&amp;number=&amp;sourceID=15","")</f>
        <v/>
      </c>
      <c r="J92" s="4" t="str">
        <f>HYPERLINK("http://141.218.60.56/~jnz1568/getInfo.php?workbook=02_02.xlsx&amp;sheet=A1&amp;row=92&amp;col=10&amp;number=&amp;sourceID=15","")</f>
        <v/>
      </c>
      <c r="K92" s="4" t="str">
        <f>HYPERLINK("http://141.218.60.56/~jnz1568/getInfo.php?workbook=02_02.xlsx&amp;sheet=A1&amp;row=92&amp;col=11&amp;number=228200&amp;sourceID=24","228200")</f>
        <v>228200</v>
      </c>
      <c r="L92" s="4" t="str">
        <f>HYPERLINK("http://141.218.60.56/~jnz1568/getInfo.php?workbook=02_02.xlsx&amp;sheet=A1&amp;row=92&amp;col=12&amp;number=228888.888889&amp;sourceID=25","228888.888889")</f>
        <v>228888.888889</v>
      </c>
    </row>
    <row r="93" spans="1:12">
      <c r="A93" s="3">
        <v>2</v>
      </c>
      <c r="B93" s="3">
        <v>2</v>
      </c>
      <c r="C93" s="3">
        <v>14</v>
      </c>
      <c r="D93" s="3">
        <v>13</v>
      </c>
      <c r="E93" s="3">
        <f>((1/(INDEX('E1'!I$4:I$32,C93,1)-INDEX('E1'!I$4:I$32,D93,1))))*100000000</f>
        <v>0</v>
      </c>
      <c r="F93" s="4" t="str">
        <f>HYPERLINK("http://141.218.60.56/~jnz1568/getInfo.php?workbook=02_02.xlsx&amp;sheet=A1&amp;row=93&amp;col=6&amp;number=&amp;sourceID=15","")</f>
        <v/>
      </c>
      <c r="G93" s="4" t="str">
        <f>HYPERLINK("http://141.218.60.56/~jnz1568/getInfo.php?workbook=02_02.xlsx&amp;sheet=A1&amp;row=93&amp;col=7&amp;number=&amp;sourceID=15","")</f>
        <v/>
      </c>
      <c r="H93" s="4" t="str">
        <f>HYPERLINK("http://141.218.60.56/~jnz1568/getInfo.php?workbook=02_02.xlsx&amp;sheet=A1&amp;row=93&amp;col=8&amp;number=&amp;sourceID=15","")</f>
        <v/>
      </c>
      <c r="I93" s="4" t="str">
        <f>HYPERLINK("http://141.218.60.56/~jnz1568/getInfo.php?workbook=02_02.xlsx&amp;sheet=A1&amp;row=93&amp;col=9&amp;number=&amp;sourceID=15","")</f>
        <v/>
      </c>
      <c r="J93" s="4" t="str">
        <f>HYPERLINK("http://141.218.60.56/~jnz1568/getInfo.php?workbook=02_02.xlsx&amp;sheet=A1&amp;row=93&amp;col=10&amp;number=&amp;sourceID=15","")</f>
        <v/>
      </c>
      <c r="K93" s="4" t="str">
        <f>HYPERLINK("http://141.218.60.56/~jnz1568/getInfo.php?workbook=02_02.xlsx&amp;sheet=A1&amp;row=93&amp;col=11&amp;number=&amp;sourceID=24","")</f>
        <v/>
      </c>
      <c r="L93" s="4" t="str">
        <f>HYPERLINK("http://141.218.60.56/~jnz1568/getInfo.php?workbook=02_02.xlsx&amp;sheet=A1&amp;row=93&amp;col=12&amp;number=&amp;sourceID=25","")</f>
        <v/>
      </c>
    </row>
    <row r="94" spans="1:12">
      <c r="A94" s="3">
        <v>2</v>
      </c>
      <c r="B94" s="3">
        <v>2</v>
      </c>
      <c r="C94" s="3">
        <v>15</v>
      </c>
      <c r="D94" s="3">
        <v>1</v>
      </c>
      <c r="E94" s="3">
        <f>((1/(INDEX('E1'!I$4:I$32,C94,1)-INDEX('E1'!I$4:I$32,D94,1))))*100000000</f>
        <v>0</v>
      </c>
      <c r="F94" s="4" t="str">
        <f>HYPERLINK("http://141.218.60.56/~jnz1568/getInfo.php?workbook=02_02.xlsx&amp;sheet=A1&amp;row=94&amp;col=6&amp;number=&amp;sourceID=15","")</f>
        <v/>
      </c>
      <c r="G94" s="4" t="str">
        <f>HYPERLINK("http://141.218.60.56/~jnz1568/getInfo.php?workbook=02_02.xlsx&amp;sheet=A1&amp;row=94&amp;col=7&amp;number=&amp;sourceID=15","")</f>
        <v/>
      </c>
      <c r="H94" s="4" t="str">
        <f>HYPERLINK("http://141.218.60.56/~jnz1568/getInfo.php?workbook=02_02.xlsx&amp;sheet=A1&amp;row=94&amp;col=8&amp;number=&amp;sourceID=15","")</f>
        <v/>
      </c>
      <c r="I94" s="4" t="str">
        <f>HYPERLINK("http://141.218.60.56/~jnz1568/getInfo.php?workbook=02_02.xlsx&amp;sheet=A1&amp;row=94&amp;col=9&amp;number=&amp;sourceID=15","")</f>
        <v/>
      </c>
      <c r="J94" s="4" t="str">
        <f>HYPERLINK("http://141.218.60.56/~jnz1568/getInfo.php?workbook=02_02.xlsx&amp;sheet=A1&amp;row=94&amp;col=10&amp;number=&amp;sourceID=15","")</f>
        <v/>
      </c>
      <c r="K94" s="4" t="str">
        <f>HYPERLINK("http://141.218.60.56/~jnz1568/getInfo.php?workbook=02_02.xlsx&amp;sheet=A1&amp;row=94&amp;col=11&amp;number=&amp;sourceID=24","")</f>
        <v/>
      </c>
      <c r="L94" s="4" t="str">
        <f>HYPERLINK("http://141.218.60.56/~jnz1568/getInfo.php?workbook=02_02.xlsx&amp;sheet=A1&amp;row=94&amp;col=12&amp;number=&amp;sourceID=25","")</f>
        <v/>
      </c>
    </row>
    <row r="95" spans="1:12">
      <c r="A95" s="3">
        <v>2</v>
      </c>
      <c r="B95" s="3">
        <v>2</v>
      </c>
      <c r="C95" s="3">
        <v>15</v>
      </c>
      <c r="D95" s="3">
        <v>2</v>
      </c>
      <c r="E95" s="3">
        <f>((1/(INDEX('E1'!I$4:I$32,C95,1)-INDEX('E1'!I$4:I$32,D95,1))))*100000000</f>
        <v>0</v>
      </c>
      <c r="F95" s="4" t="str">
        <f>HYPERLINK("http://141.218.60.56/~jnz1568/getInfo.php?workbook=02_02.xlsx&amp;sheet=A1&amp;row=95&amp;col=6&amp;number==SUM(G95:J95)&amp;sourceID=15","=SUM(G95:J95)")</f>
        <v>=SUM(G95:J95)</v>
      </c>
      <c r="G95" s="4" t="str">
        <f>HYPERLINK("http://141.218.60.56/~jnz1568/getInfo.php?workbook=02_02.xlsx&amp;sheet=A1&amp;row=95&amp;col=7&amp;number=&amp;sourceID=15","")</f>
        <v/>
      </c>
      <c r="H95" s="4" t="str">
        <f>HYPERLINK("http://141.218.60.56/~jnz1568/getInfo.php?workbook=02_02.xlsx&amp;sheet=A1&amp;row=95&amp;col=8&amp;number=62.239&amp;sourceID=15","62.239")</f>
        <v>62.239</v>
      </c>
      <c r="I95" s="4" t="str">
        <f>HYPERLINK("http://141.218.60.56/~jnz1568/getInfo.php?workbook=02_02.xlsx&amp;sheet=A1&amp;row=95&amp;col=9&amp;number=&amp;sourceID=15","")</f>
        <v/>
      </c>
      <c r="J95" s="4" t="str">
        <f>HYPERLINK("http://141.218.60.56/~jnz1568/getInfo.php?workbook=02_02.xlsx&amp;sheet=A1&amp;row=95&amp;col=10&amp;number=&amp;sourceID=15","")</f>
        <v/>
      </c>
      <c r="K95" s="4" t="str">
        <f>HYPERLINK("http://141.218.60.56/~jnz1568/getInfo.php?workbook=02_02.xlsx&amp;sheet=A1&amp;row=95&amp;col=11&amp;number=&amp;sourceID=24","")</f>
        <v/>
      </c>
      <c r="L95" s="4" t="str">
        <f>HYPERLINK("http://141.218.60.56/~jnz1568/getInfo.php?workbook=02_02.xlsx&amp;sheet=A1&amp;row=95&amp;col=12&amp;number=&amp;sourceID=25","")</f>
        <v/>
      </c>
    </row>
    <row r="96" spans="1:12">
      <c r="A96" s="3">
        <v>2</v>
      </c>
      <c r="B96" s="3">
        <v>2</v>
      </c>
      <c r="C96" s="3">
        <v>15</v>
      </c>
      <c r="D96" s="3">
        <v>3</v>
      </c>
      <c r="E96" s="3">
        <f>((1/(INDEX('E1'!I$4:I$32,C96,1)-INDEX('E1'!I$4:I$32,D96,1))))*100000000</f>
        <v>0</v>
      </c>
      <c r="F96" s="4" t="str">
        <f>HYPERLINK("http://141.218.60.56/~jnz1568/getInfo.php?workbook=02_02.xlsx&amp;sheet=A1&amp;row=96&amp;col=6&amp;number=&amp;sourceID=15","")</f>
        <v/>
      </c>
      <c r="G96" s="4" t="str">
        <f>HYPERLINK("http://141.218.60.56/~jnz1568/getInfo.php?workbook=02_02.xlsx&amp;sheet=A1&amp;row=96&amp;col=7&amp;number=&amp;sourceID=15","")</f>
        <v/>
      </c>
      <c r="H96" s="4" t="str">
        <f>HYPERLINK("http://141.218.60.56/~jnz1568/getInfo.php?workbook=02_02.xlsx&amp;sheet=A1&amp;row=96&amp;col=8&amp;number=&amp;sourceID=15","")</f>
        <v/>
      </c>
      <c r="I96" s="4" t="str">
        <f>HYPERLINK("http://141.218.60.56/~jnz1568/getInfo.php?workbook=02_02.xlsx&amp;sheet=A1&amp;row=96&amp;col=9&amp;number=&amp;sourceID=15","")</f>
        <v/>
      </c>
      <c r="J96" s="4" t="str">
        <f>HYPERLINK("http://141.218.60.56/~jnz1568/getInfo.php?workbook=02_02.xlsx&amp;sheet=A1&amp;row=96&amp;col=10&amp;number=&amp;sourceID=15","")</f>
        <v/>
      </c>
      <c r="K96" s="4" t="str">
        <f>HYPERLINK("http://141.218.60.56/~jnz1568/getInfo.php?workbook=02_02.xlsx&amp;sheet=A1&amp;row=96&amp;col=11&amp;number=&amp;sourceID=24","")</f>
        <v/>
      </c>
      <c r="L96" s="4" t="str">
        <f>HYPERLINK("http://141.218.60.56/~jnz1568/getInfo.php?workbook=02_02.xlsx&amp;sheet=A1&amp;row=96&amp;col=12&amp;number=&amp;sourceID=25","")</f>
        <v/>
      </c>
    </row>
    <row r="97" spans="1:12">
      <c r="A97" s="3">
        <v>2</v>
      </c>
      <c r="B97" s="3">
        <v>2</v>
      </c>
      <c r="C97" s="3">
        <v>15</v>
      </c>
      <c r="D97" s="3">
        <v>4</v>
      </c>
      <c r="E97" s="3">
        <f>((1/(INDEX('E1'!I$4:I$32,C97,1)-INDEX('E1'!I$4:I$32,D97,1))))*100000000</f>
        <v>0</v>
      </c>
      <c r="F97" s="4" t="str">
        <f>HYPERLINK("http://141.218.60.56/~jnz1568/getInfo.php?workbook=02_02.xlsx&amp;sheet=A1&amp;row=97&amp;col=6&amp;number==SUM(G97:J97)&amp;sourceID=15","=SUM(G97:J97)")</f>
        <v>=SUM(G97:J97)</v>
      </c>
      <c r="G97" s="4" t="str">
        <f>HYPERLINK("http://141.218.60.56/~jnz1568/getInfo.php?workbook=02_02.xlsx&amp;sheet=A1&amp;row=97&amp;col=7&amp;number=24578000&amp;sourceID=15","24578000")</f>
        <v>24578000</v>
      </c>
      <c r="H97" s="4" t="str">
        <f>HYPERLINK("http://141.218.60.56/~jnz1568/getInfo.php?workbook=02_02.xlsx&amp;sheet=A1&amp;row=97&amp;col=8&amp;number=&amp;sourceID=15","")</f>
        <v/>
      </c>
      <c r="I97" s="4" t="str">
        <f>HYPERLINK("http://141.218.60.56/~jnz1568/getInfo.php?workbook=02_02.xlsx&amp;sheet=A1&amp;row=97&amp;col=9&amp;number=&amp;sourceID=15","")</f>
        <v/>
      </c>
      <c r="J97" s="4" t="str">
        <f>HYPERLINK("http://141.218.60.56/~jnz1568/getInfo.php?workbook=02_02.xlsx&amp;sheet=A1&amp;row=97&amp;col=10&amp;number=&amp;sourceID=15","")</f>
        <v/>
      </c>
      <c r="K97" s="4" t="str">
        <f>HYPERLINK("http://141.218.60.56/~jnz1568/getInfo.php?workbook=02_02.xlsx&amp;sheet=A1&amp;row=97&amp;col=11&amp;number=24650000&amp;sourceID=24","24650000")</f>
        <v>24650000</v>
      </c>
      <c r="L97" s="4" t="str">
        <f>HYPERLINK("http://141.218.60.56/~jnz1568/getInfo.php?workbook=02_02.xlsx&amp;sheet=A1&amp;row=97&amp;col=12&amp;number=24600000&amp;sourceID=25","24600000")</f>
        <v>24600000</v>
      </c>
    </row>
    <row r="98" spans="1:12">
      <c r="A98" s="3">
        <v>2</v>
      </c>
      <c r="B98" s="3">
        <v>2</v>
      </c>
      <c r="C98" s="3">
        <v>15</v>
      </c>
      <c r="D98" s="3">
        <v>5</v>
      </c>
      <c r="E98" s="3">
        <f>((1/(INDEX('E1'!I$4:I$32,C98,1)-INDEX('E1'!I$4:I$32,D98,1))))*100000000</f>
        <v>0</v>
      </c>
      <c r="F98" s="4" t="str">
        <f>HYPERLINK("http://141.218.60.56/~jnz1568/getInfo.php?workbook=02_02.xlsx&amp;sheet=A1&amp;row=98&amp;col=6&amp;number=&amp;sourceID=15","")</f>
        <v/>
      </c>
      <c r="G98" s="4" t="str">
        <f>HYPERLINK("http://141.218.60.56/~jnz1568/getInfo.php?workbook=02_02.xlsx&amp;sheet=A1&amp;row=98&amp;col=7&amp;number=&amp;sourceID=15","")</f>
        <v/>
      </c>
      <c r="H98" s="4" t="str">
        <f>HYPERLINK("http://141.218.60.56/~jnz1568/getInfo.php?workbook=02_02.xlsx&amp;sheet=A1&amp;row=98&amp;col=8&amp;number=&amp;sourceID=15","")</f>
        <v/>
      </c>
      <c r="I98" s="4" t="str">
        <f>HYPERLINK("http://141.218.60.56/~jnz1568/getInfo.php?workbook=02_02.xlsx&amp;sheet=A1&amp;row=98&amp;col=9&amp;number=&amp;sourceID=15","")</f>
        <v/>
      </c>
      <c r="J98" s="4" t="str">
        <f>HYPERLINK("http://141.218.60.56/~jnz1568/getInfo.php?workbook=02_02.xlsx&amp;sheet=A1&amp;row=98&amp;col=10&amp;number=&amp;sourceID=15","")</f>
        <v/>
      </c>
      <c r="K98" s="4" t="str">
        <f>HYPERLINK("http://141.218.60.56/~jnz1568/getInfo.php?workbook=02_02.xlsx&amp;sheet=A1&amp;row=98&amp;col=11&amp;number=&amp;sourceID=24","")</f>
        <v/>
      </c>
      <c r="L98" s="4" t="str">
        <f>HYPERLINK("http://141.218.60.56/~jnz1568/getInfo.php?workbook=02_02.xlsx&amp;sheet=A1&amp;row=98&amp;col=12&amp;number=&amp;sourceID=25","")</f>
        <v/>
      </c>
    </row>
    <row r="99" spans="1:12">
      <c r="A99" s="3">
        <v>2</v>
      </c>
      <c r="B99" s="3">
        <v>2</v>
      </c>
      <c r="C99" s="3">
        <v>15</v>
      </c>
      <c r="D99" s="3">
        <v>6</v>
      </c>
      <c r="E99" s="3">
        <f>((1/(INDEX('E1'!I$4:I$32,C99,1)-INDEX('E1'!I$4:I$32,D99,1))))*100000000</f>
        <v>0</v>
      </c>
      <c r="F99" s="4" t="str">
        <f>HYPERLINK("http://141.218.60.56/~jnz1568/getInfo.php?workbook=02_02.xlsx&amp;sheet=A1&amp;row=99&amp;col=6&amp;number==SUM(G99:J99)&amp;sourceID=15","=SUM(G99:J99)")</f>
        <v>=SUM(G99:J99)</v>
      </c>
      <c r="G99" s="4" t="str">
        <f>HYPERLINK("http://141.218.60.56/~jnz1568/getInfo.php?workbook=02_02.xlsx&amp;sheet=A1&amp;row=99&amp;col=7&amp;number=&amp;sourceID=15","")</f>
        <v/>
      </c>
      <c r="H99" s="4" t="str">
        <f>HYPERLINK("http://141.218.60.56/~jnz1568/getInfo.php?workbook=02_02.xlsx&amp;sheet=A1&amp;row=99&amp;col=8&amp;number=6.9183&amp;sourceID=15","6.9183")</f>
        <v>6.9183</v>
      </c>
      <c r="I99" s="4" t="str">
        <f>HYPERLINK("http://141.218.60.56/~jnz1568/getInfo.php?workbook=02_02.xlsx&amp;sheet=A1&amp;row=99&amp;col=9&amp;number=&amp;sourceID=15","")</f>
        <v/>
      </c>
      <c r="J99" s="4" t="str">
        <f>HYPERLINK("http://141.218.60.56/~jnz1568/getInfo.php?workbook=02_02.xlsx&amp;sheet=A1&amp;row=99&amp;col=10&amp;number=&amp;sourceID=15","")</f>
        <v/>
      </c>
      <c r="K99" s="4" t="str">
        <f>HYPERLINK("http://141.218.60.56/~jnz1568/getInfo.php?workbook=02_02.xlsx&amp;sheet=A1&amp;row=99&amp;col=11&amp;number=&amp;sourceID=24","")</f>
        <v/>
      </c>
      <c r="L99" s="4" t="str">
        <f>HYPERLINK("http://141.218.60.56/~jnz1568/getInfo.php?workbook=02_02.xlsx&amp;sheet=A1&amp;row=99&amp;col=12&amp;number=&amp;sourceID=25","")</f>
        <v/>
      </c>
    </row>
    <row r="100" spans="1:12">
      <c r="A100" s="3">
        <v>2</v>
      </c>
      <c r="B100" s="3">
        <v>2</v>
      </c>
      <c r="C100" s="3">
        <v>15</v>
      </c>
      <c r="D100" s="3">
        <v>7</v>
      </c>
      <c r="E100" s="3">
        <f>((1/(INDEX('E1'!I$4:I$32,C100,1)-INDEX('E1'!I$4:I$32,D100,1))))*100000000</f>
        <v>0</v>
      </c>
      <c r="F100" s="4" t="str">
        <f>HYPERLINK("http://141.218.60.56/~jnz1568/getInfo.php?workbook=02_02.xlsx&amp;sheet=A1&amp;row=100&amp;col=6&amp;number=&amp;sourceID=15","")</f>
        <v/>
      </c>
      <c r="G100" s="4" t="str">
        <f>HYPERLINK("http://141.218.60.56/~jnz1568/getInfo.php?workbook=02_02.xlsx&amp;sheet=A1&amp;row=100&amp;col=7&amp;number=&amp;sourceID=15","")</f>
        <v/>
      </c>
      <c r="H100" s="4" t="str">
        <f>HYPERLINK("http://141.218.60.56/~jnz1568/getInfo.php?workbook=02_02.xlsx&amp;sheet=A1&amp;row=100&amp;col=8&amp;number=&amp;sourceID=15","")</f>
        <v/>
      </c>
      <c r="I100" s="4" t="str">
        <f>HYPERLINK("http://141.218.60.56/~jnz1568/getInfo.php?workbook=02_02.xlsx&amp;sheet=A1&amp;row=100&amp;col=9&amp;number=&amp;sourceID=15","")</f>
        <v/>
      </c>
      <c r="J100" s="4" t="str">
        <f>HYPERLINK("http://141.218.60.56/~jnz1568/getInfo.php?workbook=02_02.xlsx&amp;sheet=A1&amp;row=100&amp;col=10&amp;number=&amp;sourceID=15","")</f>
        <v/>
      </c>
      <c r="K100" s="4" t="str">
        <f>HYPERLINK("http://141.218.60.56/~jnz1568/getInfo.php?workbook=02_02.xlsx&amp;sheet=A1&amp;row=100&amp;col=11&amp;number=&amp;sourceID=24","")</f>
        <v/>
      </c>
      <c r="L100" s="4" t="str">
        <f>HYPERLINK("http://141.218.60.56/~jnz1568/getInfo.php?workbook=02_02.xlsx&amp;sheet=A1&amp;row=100&amp;col=12&amp;number=&amp;sourceID=25","")</f>
        <v/>
      </c>
    </row>
    <row r="101" spans="1:12">
      <c r="A101" s="3">
        <v>2</v>
      </c>
      <c r="B101" s="3">
        <v>2</v>
      </c>
      <c r="C101" s="3">
        <v>15</v>
      </c>
      <c r="D101" s="3">
        <v>8</v>
      </c>
      <c r="E101" s="3">
        <f>((1/(INDEX('E1'!I$4:I$32,C101,1)-INDEX('E1'!I$4:I$32,D101,1))))*100000000</f>
        <v>0</v>
      </c>
      <c r="F101" s="4" t="str">
        <f>HYPERLINK("http://141.218.60.56/~jnz1568/getInfo.php?workbook=02_02.xlsx&amp;sheet=A1&amp;row=101&amp;col=6&amp;number==SUM(G101:J101)&amp;sourceID=15","=SUM(G101:J101)")</f>
        <v>=SUM(G101:J101)</v>
      </c>
      <c r="G101" s="4" t="str">
        <f>HYPERLINK("http://141.218.60.56/~jnz1568/getInfo.php?workbook=02_02.xlsx&amp;sheet=A1&amp;row=101&amp;col=7&amp;number=6608800&amp;sourceID=15","6608800")</f>
        <v>6608800</v>
      </c>
      <c r="H101" s="4" t="str">
        <f>HYPERLINK("http://141.218.60.56/~jnz1568/getInfo.php?workbook=02_02.xlsx&amp;sheet=A1&amp;row=101&amp;col=8&amp;number=&amp;sourceID=15","")</f>
        <v/>
      </c>
      <c r="I101" s="4" t="str">
        <f>HYPERLINK("http://141.218.60.56/~jnz1568/getInfo.php?workbook=02_02.xlsx&amp;sheet=A1&amp;row=101&amp;col=9&amp;number=&amp;sourceID=15","")</f>
        <v/>
      </c>
      <c r="J101" s="4" t="str">
        <f>HYPERLINK("http://141.218.60.56/~jnz1568/getInfo.php?workbook=02_02.xlsx&amp;sheet=A1&amp;row=101&amp;col=10&amp;number=&amp;sourceID=15","")</f>
        <v/>
      </c>
      <c r="K101" s="4" t="str">
        <f>HYPERLINK("http://141.218.60.56/~jnz1568/getInfo.php?workbook=02_02.xlsx&amp;sheet=A1&amp;row=101&amp;col=11&amp;number=6713000&amp;sourceID=24","6713000")</f>
        <v>6713000</v>
      </c>
      <c r="L101" s="4" t="str">
        <f>HYPERLINK("http://141.218.60.56/~jnz1568/getInfo.php?workbook=02_02.xlsx&amp;sheet=A1&amp;row=101&amp;col=12&amp;number=6613333.33333&amp;sourceID=25","6613333.33333")</f>
        <v>6613333.33333</v>
      </c>
    </row>
    <row r="102" spans="1:12">
      <c r="A102" s="3">
        <v>2</v>
      </c>
      <c r="B102" s="3">
        <v>2</v>
      </c>
      <c r="C102" s="3">
        <v>15</v>
      </c>
      <c r="D102" s="3">
        <v>9</v>
      </c>
      <c r="E102" s="3">
        <f>((1/(INDEX('E1'!I$4:I$32,C102,1)-INDEX('E1'!I$4:I$32,D102,1))))*100000000</f>
        <v>0</v>
      </c>
      <c r="F102" s="4" t="str">
        <f>HYPERLINK("http://141.218.60.56/~jnz1568/getInfo.php?workbook=02_02.xlsx&amp;sheet=A1&amp;row=102&amp;col=6&amp;number=&amp;sourceID=15","")</f>
        <v/>
      </c>
      <c r="G102" s="4" t="str">
        <f>HYPERLINK("http://141.218.60.56/~jnz1568/getInfo.php?workbook=02_02.xlsx&amp;sheet=A1&amp;row=102&amp;col=7&amp;number=&amp;sourceID=15","")</f>
        <v/>
      </c>
      <c r="H102" s="4" t="str">
        <f>HYPERLINK("http://141.218.60.56/~jnz1568/getInfo.php?workbook=02_02.xlsx&amp;sheet=A1&amp;row=102&amp;col=8&amp;number=&amp;sourceID=15","")</f>
        <v/>
      </c>
      <c r="I102" s="4" t="str">
        <f>HYPERLINK("http://141.218.60.56/~jnz1568/getInfo.php?workbook=02_02.xlsx&amp;sheet=A1&amp;row=102&amp;col=9&amp;number=&amp;sourceID=15","")</f>
        <v/>
      </c>
      <c r="J102" s="4" t="str">
        <f>HYPERLINK("http://141.218.60.56/~jnz1568/getInfo.php?workbook=02_02.xlsx&amp;sheet=A1&amp;row=102&amp;col=10&amp;number=&amp;sourceID=15","")</f>
        <v/>
      </c>
      <c r="K102" s="4" t="str">
        <f>HYPERLINK("http://141.218.60.56/~jnz1568/getInfo.php?workbook=02_02.xlsx&amp;sheet=A1&amp;row=102&amp;col=11&amp;number=&amp;sourceID=24","")</f>
        <v/>
      </c>
      <c r="L102" s="4" t="str">
        <f>HYPERLINK("http://141.218.60.56/~jnz1568/getInfo.php?workbook=02_02.xlsx&amp;sheet=A1&amp;row=102&amp;col=12&amp;number=&amp;sourceID=25","")</f>
        <v/>
      </c>
    </row>
    <row r="103" spans="1:12">
      <c r="A103" s="3">
        <v>2</v>
      </c>
      <c r="B103" s="3">
        <v>2</v>
      </c>
      <c r="C103" s="3">
        <v>15</v>
      </c>
      <c r="D103" s="3">
        <v>10</v>
      </c>
      <c r="E103" s="3">
        <f>((1/(INDEX('E1'!I$4:I$32,C103,1)-INDEX('E1'!I$4:I$32,D103,1))))*100000000</f>
        <v>0</v>
      </c>
      <c r="F103" s="4" t="str">
        <f>HYPERLINK("http://141.218.60.56/~jnz1568/getInfo.php?workbook=02_02.xlsx&amp;sheet=A1&amp;row=103&amp;col=6&amp;number=&amp;sourceID=15","")</f>
        <v/>
      </c>
      <c r="G103" s="4" t="str">
        <f>HYPERLINK("http://141.218.60.56/~jnz1568/getInfo.php?workbook=02_02.xlsx&amp;sheet=A1&amp;row=103&amp;col=7&amp;number=&amp;sourceID=15","")</f>
        <v/>
      </c>
      <c r="H103" s="4" t="str">
        <f>HYPERLINK("http://141.218.60.56/~jnz1568/getInfo.php?workbook=02_02.xlsx&amp;sheet=A1&amp;row=103&amp;col=8&amp;number=&amp;sourceID=15","")</f>
        <v/>
      </c>
      <c r="I103" s="4" t="str">
        <f>HYPERLINK("http://141.218.60.56/~jnz1568/getInfo.php?workbook=02_02.xlsx&amp;sheet=A1&amp;row=103&amp;col=9&amp;number=&amp;sourceID=15","")</f>
        <v/>
      </c>
      <c r="J103" s="4" t="str">
        <f>HYPERLINK("http://141.218.60.56/~jnz1568/getInfo.php?workbook=02_02.xlsx&amp;sheet=A1&amp;row=103&amp;col=10&amp;number=&amp;sourceID=15","")</f>
        <v/>
      </c>
      <c r="K103" s="4" t="str">
        <f>HYPERLINK("http://141.218.60.56/~jnz1568/getInfo.php?workbook=02_02.xlsx&amp;sheet=A1&amp;row=103&amp;col=11&amp;number=&amp;sourceID=24","")</f>
        <v/>
      </c>
      <c r="L103" s="4" t="str">
        <f>HYPERLINK("http://141.218.60.56/~jnz1568/getInfo.php?workbook=02_02.xlsx&amp;sheet=A1&amp;row=103&amp;col=12&amp;number=&amp;sourceID=25","")</f>
        <v/>
      </c>
    </row>
    <row r="104" spans="1:12">
      <c r="A104" s="3">
        <v>2</v>
      </c>
      <c r="B104" s="3">
        <v>2</v>
      </c>
      <c r="C104" s="3">
        <v>15</v>
      </c>
      <c r="D104" s="3">
        <v>11</v>
      </c>
      <c r="E104" s="3">
        <f>((1/(INDEX('E1'!I$4:I$32,C104,1)-INDEX('E1'!I$4:I$32,D104,1))))*100000000</f>
        <v>0</v>
      </c>
      <c r="F104" s="4" t="str">
        <f>HYPERLINK("http://141.218.60.56/~jnz1568/getInfo.php?workbook=02_02.xlsx&amp;sheet=A1&amp;row=104&amp;col=6&amp;number==SUM(G104:J104)&amp;sourceID=15","=SUM(G104:J104)")</f>
        <v>=SUM(G104:J104)</v>
      </c>
      <c r="G104" s="4" t="str">
        <f>HYPERLINK("http://141.218.60.56/~jnz1568/getInfo.php?workbook=02_02.xlsx&amp;sheet=A1&amp;row=104&amp;col=7&amp;number=894.4&amp;sourceID=15","894.4")</f>
        <v>894.4</v>
      </c>
      <c r="H104" s="4" t="str">
        <f>HYPERLINK("http://141.218.60.56/~jnz1568/getInfo.php?workbook=02_02.xlsx&amp;sheet=A1&amp;row=104&amp;col=8&amp;number=&amp;sourceID=15","")</f>
        <v/>
      </c>
      <c r="I104" s="4" t="str">
        <f>HYPERLINK("http://141.218.60.56/~jnz1568/getInfo.php?workbook=02_02.xlsx&amp;sheet=A1&amp;row=104&amp;col=9&amp;number=&amp;sourceID=15","")</f>
        <v/>
      </c>
      <c r="J104" s="4" t="str">
        <f>HYPERLINK("http://141.218.60.56/~jnz1568/getInfo.php?workbook=02_02.xlsx&amp;sheet=A1&amp;row=104&amp;col=10&amp;number=&amp;sourceID=15","")</f>
        <v/>
      </c>
      <c r="K104" s="4" t="str">
        <f>HYPERLINK("http://141.218.60.56/~jnz1568/getInfo.php?workbook=02_02.xlsx&amp;sheet=A1&amp;row=104&amp;col=11&amp;number=&amp;sourceID=24","")</f>
        <v/>
      </c>
      <c r="L104" s="4" t="str">
        <f>HYPERLINK("http://141.218.60.56/~jnz1568/getInfo.php?workbook=02_02.xlsx&amp;sheet=A1&amp;row=104&amp;col=12&amp;number=&amp;sourceID=25","")</f>
        <v/>
      </c>
    </row>
    <row r="105" spans="1:12">
      <c r="A105" s="3">
        <v>2</v>
      </c>
      <c r="B105" s="3">
        <v>2</v>
      </c>
      <c r="C105" s="3">
        <v>15</v>
      </c>
      <c r="D105" s="3">
        <v>12</v>
      </c>
      <c r="E105" s="3">
        <f>((1/(INDEX('E1'!I$4:I$32,C105,1)-INDEX('E1'!I$4:I$32,D105,1))))*100000000</f>
        <v>0</v>
      </c>
      <c r="F105" s="4" t="str">
        <f>HYPERLINK("http://141.218.60.56/~jnz1568/getInfo.php?workbook=02_02.xlsx&amp;sheet=A1&amp;row=105&amp;col=6&amp;number==SUM(G105:J105)&amp;sourceID=15","=SUM(G105:J105)")</f>
        <v>=SUM(G105:J105)</v>
      </c>
      <c r="G105" s="4" t="str">
        <f>HYPERLINK("http://141.218.60.56/~jnz1568/getInfo.php?workbook=02_02.xlsx&amp;sheet=A1&amp;row=105&amp;col=7&amp;number=&amp;sourceID=15","")</f>
        <v/>
      </c>
      <c r="H105" s="4" t="str">
        <f>HYPERLINK("http://141.218.60.56/~jnz1568/getInfo.php?workbook=02_02.xlsx&amp;sheet=A1&amp;row=105&amp;col=8&amp;number=0.010456&amp;sourceID=15","0.010456")</f>
        <v>0.010456</v>
      </c>
      <c r="I105" s="4" t="str">
        <f>HYPERLINK("http://141.218.60.56/~jnz1568/getInfo.php?workbook=02_02.xlsx&amp;sheet=A1&amp;row=105&amp;col=9&amp;number=&amp;sourceID=15","")</f>
        <v/>
      </c>
      <c r="J105" s="4" t="str">
        <f>HYPERLINK("http://141.218.60.56/~jnz1568/getInfo.php?workbook=02_02.xlsx&amp;sheet=A1&amp;row=105&amp;col=10&amp;number=&amp;sourceID=15","")</f>
        <v/>
      </c>
      <c r="K105" s="4" t="str">
        <f>HYPERLINK("http://141.218.60.56/~jnz1568/getInfo.php?workbook=02_02.xlsx&amp;sheet=A1&amp;row=105&amp;col=11&amp;number=&amp;sourceID=24","")</f>
        <v/>
      </c>
      <c r="L105" s="4" t="str">
        <f>HYPERLINK("http://141.218.60.56/~jnz1568/getInfo.php?workbook=02_02.xlsx&amp;sheet=A1&amp;row=105&amp;col=12&amp;number=&amp;sourceID=25","")</f>
        <v/>
      </c>
    </row>
    <row r="106" spans="1:12">
      <c r="A106" s="3">
        <v>2</v>
      </c>
      <c r="B106" s="3">
        <v>2</v>
      </c>
      <c r="C106" s="3">
        <v>15</v>
      </c>
      <c r="D106" s="3">
        <v>13</v>
      </c>
      <c r="E106" s="3">
        <f>((1/(INDEX('E1'!I$4:I$32,C106,1)-INDEX('E1'!I$4:I$32,D106,1))))*100000000</f>
        <v>0</v>
      </c>
      <c r="F106" s="4" t="str">
        <f>HYPERLINK("http://141.218.60.56/~jnz1568/getInfo.php?workbook=02_02.xlsx&amp;sheet=A1&amp;row=106&amp;col=6&amp;number=&amp;sourceID=15","")</f>
        <v/>
      </c>
      <c r="G106" s="4" t="str">
        <f>HYPERLINK("http://141.218.60.56/~jnz1568/getInfo.php?workbook=02_02.xlsx&amp;sheet=A1&amp;row=106&amp;col=7&amp;number=&amp;sourceID=15","")</f>
        <v/>
      </c>
      <c r="H106" s="4" t="str">
        <f>HYPERLINK("http://141.218.60.56/~jnz1568/getInfo.php?workbook=02_02.xlsx&amp;sheet=A1&amp;row=106&amp;col=8&amp;number=&amp;sourceID=15","")</f>
        <v/>
      </c>
      <c r="I106" s="4" t="str">
        <f>HYPERLINK("http://141.218.60.56/~jnz1568/getInfo.php?workbook=02_02.xlsx&amp;sheet=A1&amp;row=106&amp;col=9&amp;number=&amp;sourceID=15","")</f>
        <v/>
      </c>
      <c r="J106" s="4" t="str">
        <f>HYPERLINK("http://141.218.60.56/~jnz1568/getInfo.php?workbook=02_02.xlsx&amp;sheet=A1&amp;row=106&amp;col=10&amp;number=&amp;sourceID=15","")</f>
        <v/>
      </c>
      <c r="K106" s="4" t="str">
        <f>HYPERLINK("http://141.218.60.56/~jnz1568/getInfo.php?workbook=02_02.xlsx&amp;sheet=A1&amp;row=106&amp;col=11&amp;number=&amp;sourceID=24","")</f>
        <v/>
      </c>
      <c r="L106" s="4" t="str">
        <f>HYPERLINK("http://141.218.60.56/~jnz1568/getInfo.php?workbook=02_02.xlsx&amp;sheet=A1&amp;row=106&amp;col=12&amp;number=&amp;sourceID=25","")</f>
        <v/>
      </c>
    </row>
    <row r="107" spans="1:12">
      <c r="A107" s="3">
        <v>2</v>
      </c>
      <c r="B107" s="3">
        <v>2</v>
      </c>
      <c r="C107" s="3">
        <v>15</v>
      </c>
      <c r="D107" s="3">
        <v>14</v>
      </c>
      <c r="E107" s="3">
        <f>((1/(INDEX('E1'!I$4:I$32,C107,1)-INDEX('E1'!I$4:I$32,D107,1))))*100000000</f>
        <v>0</v>
      </c>
      <c r="F107" s="4" t="str">
        <f>HYPERLINK("http://141.218.60.56/~jnz1568/getInfo.php?workbook=02_02.xlsx&amp;sheet=A1&amp;row=107&amp;col=6&amp;number==SUM(G107:J107)&amp;sourceID=15","=SUM(G107:J107)")</f>
        <v>=SUM(G107:J107)</v>
      </c>
      <c r="G107" s="4" t="str">
        <f>HYPERLINK("http://141.218.60.56/~jnz1568/getInfo.php?workbook=02_02.xlsx&amp;sheet=A1&amp;row=107&amp;col=7&amp;number=4153.7&amp;sourceID=15","4153.7")</f>
        <v>4153.7</v>
      </c>
      <c r="H107" s="4" t="str">
        <f>HYPERLINK("http://141.218.60.56/~jnz1568/getInfo.php?workbook=02_02.xlsx&amp;sheet=A1&amp;row=107&amp;col=8&amp;number=&amp;sourceID=15","")</f>
        <v/>
      </c>
      <c r="I107" s="4" t="str">
        <f>HYPERLINK("http://141.218.60.56/~jnz1568/getInfo.php?workbook=02_02.xlsx&amp;sheet=A1&amp;row=107&amp;col=9&amp;number=&amp;sourceID=15","")</f>
        <v/>
      </c>
      <c r="J107" s="4" t="str">
        <f>HYPERLINK("http://141.218.60.56/~jnz1568/getInfo.php?workbook=02_02.xlsx&amp;sheet=A1&amp;row=107&amp;col=10&amp;number=&amp;sourceID=15","")</f>
        <v/>
      </c>
      <c r="K107" s="4" t="str">
        <f>HYPERLINK("http://141.218.60.56/~jnz1568/getInfo.php?workbook=02_02.xlsx&amp;sheet=A1&amp;row=107&amp;col=11&amp;number=4168&amp;sourceID=24","4168")</f>
        <v>4168</v>
      </c>
      <c r="L107" s="4" t="str">
        <f>HYPERLINK("http://141.218.60.56/~jnz1568/getInfo.php?workbook=02_02.xlsx&amp;sheet=A1&amp;row=107&amp;col=12&amp;number=4026.66666667&amp;sourceID=25","4026.66666667")</f>
        <v>4026.66666667</v>
      </c>
    </row>
    <row r="108" spans="1:12">
      <c r="A108" s="3">
        <v>2</v>
      </c>
      <c r="B108" s="3">
        <v>2</v>
      </c>
      <c r="C108" s="3">
        <v>16</v>
      </c>
      <c r="D108" s="3">
        <v>1</v>
      </c>
      <c r="E108" s="3">
        <f>((1/(INDEX('E1'!I$4:I$32,C108,1)-INDEX('E1'!I$4:I$32,D108,1))))*100000000</f>
        <v>0</v>
      </c>
      <c r="F108" s="4" t="str">
        <f>HYPERLINK("http://141.218.60.56/~jnz1568/getInfo.php?workbook=02_02.xlsx&amp;sheet=A1&amp;row=108&amp;col=6&amp;number==SUM(G108:J108)&amp;sourceID=15","=SUM(G108:J108)")</f>
        <v>=SUM(G108:J108)</v>
      </c>
      <c r="G108" s="4" t="str">
        <f>HYPERLINK("http://141.218.60.56/~jnz1568/getInfo.php?workbook=02_02.xlsx&amp;sheet=A1&amp;row=108&amp;col=7&amp;number=&amp;sourceID=15","")</f>
        <v/>
      </c>
      <c r="H108" s="4" t="str">
        <f>HYPERLINK("http://141.218.60.56/~jnz1568/getInfo.php?workbook=02_02.xlsx&amp;sheet=A1&amp;row=108&amp;col=8&amp;number=748.48&amp;sourceID=15","748.48")</f>
        <v>748.48</v>
      </c>
      <c r="I108" s="4" t="str">
        <f>HYPERLINK("http://141.218.60.56/~jnz1568/getInfo.php?workbook=02_02.xlsx&amp;sheet=A1&amp;row=108&amp;col=9&amp;number=&amp;sourceID=15","")</f>
        <v/>
      </c>
      <c r="J108" s="4" t="str">
        <f>HYPERLINK("http://141.218.60.56/~jnz1568/getInfo.php?workbook=02_02.xlsx&amp;sheet=A1&amp;row=108&amp;col=10&amp;number=&amp;sourceID=15","")</f>
        <v/>
      </c>
      <c r="K108" s="4" t="str">
        <f>HYPERLINK("http://141.218.60.56/~jnz1568/getInfo.php?workbook=02_02.xlsx&amp;sheet=A1&amp;row=108&amp;col=11&amp;number=&amp;sourceID=24","")</f>
        <v/>
      </c>
      <c r="L108" s="4" t="str">
        <f>HYPERLINK("http://141.218.60.56/~jnz1568/getInfo.php?workbook=02_02.xlsx&amp;sheet=A1&amp;row=108&amp;col=12&amp;number=&amp;sourceID=25","")</f>
        <v/>
      </c>
    </row>
    <row r="109" spans="1:12">
      <c r="A109" s="3">
        <v>2</v>
      </c>
      <c r="B109" s="3">
        <v>2</v>
      </c>
      <c r="C109" s="3">
        <v>16</v>
      </c>
      <c r="D109" s="3">
        <v>2</v>
      </c>
      <c r="E109" s="3">
        <f>((1/(INDEX('E1'!I$4:I$32,C109,1)-INDEX('E1'!I$4:I$32,D109,1))))*100000000</f>
        <v>0</v>
      </c>
      <c r="F109" s="4" t="str">
        <f>HYPERLINK("http://141.218.60.56/~jnz1568/getInfo.php?workbook=02_02.xlsx&amp;sheet=A1&amp;row=109&amp;col=6&amp;number=&amp;sourceID=15","")</f>
        <v/>
      </c>
      <c r="G109" s="4" t="str">
        <f>HYPERLINK("http://141.218.60.56/~jnz1568/getInfo.php?workbook=02_02.xlsx&amp;sheet=A1&amp;row=109&amp;col=7&amp;number=&amp;sourceID=15","")</f>
        <v/>
      </c>
      <c r="H109" s="4" t="str">
        <f>HYPERLINK("http://141.218.60.56/~jnz1568/getInfo.php?workbook=02_02.xlsx&amp;sheet=A1&amp;row=109&amp;col=8&amp;number=&amp;sourceID=15","")</f>
        <v/>
      </c>
      <c r="I109" s="4" t="str">
        <f>HYPERLINK("http://141.218.60.56/~jnz1568/getInfo.php?workbook=02_02.xlsx&amp;sheet=A1&amp;row=109&amp;col=9&amp;number=&amp;sourceID=15","")</f>
        <v/>
      </c>
      <c r="J109" s="4" t="str">
        <f>HYPERLINK("http://141.218.60.56/~jnz1568/getInfo.php?workbook=02_02.xlsx&amp;sheet=A1&amp;row=109&amp;col=10&amp;number=&amp;sourceID=15","")</f>
        <v/>
      </c>
      <c r="K109" s="4" t="str">
        <f>HYPERLINK("http://141.218.60.56/~jnz1568/getInfo.php?workbook=02_02.xlsx&amp;sheet=A1&amp;row=109&amp;col=11&amp;number=&amp;sourceID=24","")</f>
        <v/>
      </c>
      <c r="L109" s="4" t="str">
        <f>HYPERLINK("http://141.218.60.56/~jnz1568/getInfo.php?workbook=02_02.xlsx&amp;sheet=A1&amp;row=109&amp;col=12&amp;number=&amp;sourceID=25","")</f>
        <v/>
      </c>
    </row>
    <row r="110" spans="1:12">
      <c r="A110" s="3">
        <v>2</v>
      </c>
      <c r="B110" s="3">
        <v>2</v>
      </c>
      <c r="C110" s="3">
        <v>16</v>
      </c>
      <c r="D110" s="3">
        <v>3</v>
      </c>
      <c r="E110" s="3">
        <f>((1/(INDEX('E1'!I$4:I$32,C110,1)-INDEX('E1'!I$4:I$32,D110,1))))*100000000</f>
        <v>0</v>
      </c>
      <c r="F110" s="4" t="str">
        <f>HYPERLINK("http://141.218.60.56/~jnz1568/getInfo.php?workbook=02_02.xlsx&amp;sheet=A1&amp;row=110&amp;col=6&amp;number==SUM(G110:J110)&amp;sourceID=15","=SUM(G110:J110)")</f>
        <v>=SUM(G110:J110)</v>
      </c>
      <c r="G110" s="4" t="str">
        <f>HYPERLINK("http://141.218.60.56/~jnz1568/getInfo.php?workbook=02_02.xlsx&amp;sheet=A1&amp;row=110&amp;col=7&amp;number=&amp;sourceID=15","")</f>
        <v/>
      </c>
      <c r="H110" s="4" t="str">
        <f>HYPERLINK("http://141.218.60.56/~jnz1568/getInfo.php?workbook=02_02.xlsx&amp;sheet=A1&amp;row=110&amp;col=8&amp;number=22.842&amp;sourceID=15","22.842")</f>
        <v>22.842</v>
      </c>
      <c r="I110" s="4" t="str">
        <f>HYPERLINK("http://141.218.60.56/~jnz1568/getInfo.php?workbook=02_02.xlsx&amp;sheet=A1&amp;row=110&amp;col=9&amp;number=&amp;sourceID=15","")</f>
        <v/>
      </c>
      <c r="J110" s="4" t="str">
        <f>HYPERLINK("http://141.218.60.56/~jnz1568/getInfo.php?workbook=02_02.xlsx&amp;sheet=A1&amp;row=110&amp;col=10&amp;number=&amp;sourceID=15","")</f>
        <v/>
      </c>
      <c r="K110" s="4" t="str">
        <f>HYPERLINK("http://141.218.60.56/~jnz1568/getInfo.php?workbook=02_02.xlsx&amp;sheet=A1&amp;row=110&amp;col=11&amp;number=&amp;sourceID=24","")</f>
        <v/>
      </c>
      <c r="L110" s="4" t="str">
        <f>HYPERLINK("http://141.218.60.56/~jnz1568/getInfo.php?workbook=02_02.xlsx&amp;sheet=A1&amp;row=110&amp;col=12&amp;number=&amp;sourceID=25","")</f>
        <v/>
      </c>
    </row>
    <row r="111" spans="1:12">
      <c r="A111" s="3">
        <v>2</v>
      </c>
      <c r="B111" s="3">
        <v>2</v>
      </c>
      <c r="C111" s="3">
        <v>16</v>
      </c>
      <c r="D111" s="3">
        <v>4</v>
      </c>
      <c r="E111" s="3">
        <f>((1/(INDEX('E1'!I$4:I$32,C111,1)-INDEX('E1'!I$4:I$32,D111,1))))*100000000</f>
        <v>0</v>
      </c>
      <c r="F111" s="4" t="str">
        <f>HYPERLINK("http://141.218.60.56/~jnz1568/getInfo.php?workbook=02_02.xlsx&amp;sheet=A1&amp;row=111&amp;col=6&amp;number=&amp;sourceID=15","")</f>
        <v/>
      </c>
      <c r="G111" s="4" t="str">
        <f>HYPERLINK("http://141.218.60.56/~jnz1568/getInfo.php?workbook=02_02.xlsx&amp;sheet=A1&amp;row=111&amp;col=7&amp;number=&amp;sourceID=15","")</f>
        <v/>
      </c>
      <c r="H111" s="4" t="str">
        <f>HYPERLINK("http://141.218.60.56/~jnz1568/getInfo.php?workbook=02_02.xlsx&amp;sheet=A1&amp;row=111&amp;col=8&amp;number=&amp;sourceID=15","")</f>
        <v/>
      </c>
      <c r="I111" s="4" t="str">
        <f>HYPERLINK("http://141.218.60.56/~jnz1568/getInfo.php?workbook=02_02.xlsx&amp;sheet=A1&amp;row=111&amp;col=9&amp;number=&amp;sourceID=15","")</f>
        <v/>
      </c>
      <c r="J111" s="4" t="str">
        <f>HYPERLINK("http://141.218.60.56/~jnz1568/getInfo.php?workbook=02_02.xlsx&amp;sheet=A1&amp;row=111&amp;col=10&amp;number=&amp;sourceID=15","")</f>
        <v/>
      </c>
      <c r="K111" s="4" t="str">
        <f>HYPERLINK("http://141.218.60.56/~jnz1568/getInfo.php?workbook=02_02.xlsx&amp;sheet=A1&amp;row=111&amp;col=11&amp;number=&amp;sourceID=24","")</f>
        <v/>
      </c>
      <c r="L111" s="4" t="str">
        <f>HYPERLINK("http://141.218.60.56/~jnz1568/getInfo.php?workbook=02_02.xlsx&amp;sheet=A1&amp;row=111&amp;col=12&amp;number=&amp;sourceID=25","")</f>
        <v/>
      </c>
    </row>
    <row r="112" spans="1:12">
      <c r="A112" s="3">
        <v>2</v>
      </c>
      <c r="B112" s="3">
        <v>2</v>
      </c>
      <c r="C112" s="3">
        <v>16</v>
      </c>
      <c r="D112" s="3">
        <v>5</v>
      </c>
      <c r="E112" s="3">
        <f>((1/(INDEX('E1'!I$4:I$32,C112,1)-INDEX('E1'!I$4:I$32,D112,1))))*100000000</f>
        <v>0</v>
      </c>
      <c r="F112" s="4" t="str">
        <f>HYPERLINK("http://141.218.60.56/~jnz1568/getInfo.php?workbook=02_02.xlsx&amp;sheet=A1&amp;row=112&amp;col=6&amp;number==SUM(G112:J112)&amp;sourceID=15","=SUM(G112:J112)")</f>
        <v>=SUM(G112:J112)</v>
      </c>
      <c r="G112" s="4" t="str">
        <f>HYPERLINK("http://141.218.60.56/~jnz1568/getInfo.php?workbook=02_02.xlsx&amp;sheet=A1&amp;row=112&amp;col=7&amp;number=19863000&amp;sourceID=15","19863000")</f>
        <v>19863000</v>
      </c>
      <c r="H112" s="4" t="str">
        <f>HYPERLINK("http://141.218.60.56/~jnz1568/getInfo.php?workbook=02_02.xlsx&amp;sheet=A1&amp;row=112&amp;col=8&amp;number=&amp;sourceID=15","")</f>
        <v/>
      </c>
      <c r="I112" s="4" t="str">
        <f>HYPERLINK("http://141.218.60.56/~jnz1568/getInfo.php?workbook=02_02.xlsx&amp;sheet=A1&amp;row=112&amp;col=9&amp;number=&amp;sourceID=15","")</f>
        <v/>
      </c>
      <c r="J112" s="4" t="str">
        <f>HYPERLINK("http://141.218.60.56/~jnz1568/getInfo.php?workbook=02_02.xlsx&amp;sheet=A1&amp;row=112&amp;col=10&amp;number=&amp;sourceID=15","")</f>
        <v/>
      </c>
      <c r="K112" s="4" t="str">
        <f>HYPERLINK("http://141.218.60.56/~jnz1568/getInfo.php?workbook=02_02.xlsx&amp;sheet=A1&amp;row=112&amp;col=11&amp;number=19890000&amp;sourceID=24","19890000")</f>
        <v>19890000</v>
      </c>
      <c r="L112" s="4" t="str">
        <f>HYPERLINK("http://141.218.60.56/~jnz1568/getInfo.php?workbook=02_02.xlsx&amp;sheet=A1&amp;row=112&amp;col=12&amp;number=19820000&amp;sourceID=25","19820000")</f>
        <v>19820000</v>
      </c>
    </row>
    <row r="113" spans="1:12">
      <c r="A113" s="3">
        <v>2</v>
      </c>
      <c r="B113" s="3">
        <v>2</v>
      </c>
      <c r="C113" s="3">
        <v>16</v>
      </c>
      <c r="D113" s="3">
        <v>6</v>
      </c>
      <c r="E113" s="3">
        <f>((1/(INDEX('E1'!I$4:I$32,C113,1)-INDEX('E1'!I$4:I$32,D113,1))))*100000000</f>
        <v>0</v>
      </c>
      <c r="F113" s="4" t="str">
        <f>HYPERLINK("http://141.218.60.56/~jnz1568/getInfo.php?workbook=02_02.xlsx&amp;sheet=A1&amp;row=113&amp;col=6&amp;number=&amp;sourceID=15","")</f>
        <v/>
      </c>
      <c r="G113" s="4" t="str">
        <f>HYPERLINK("http://141.218.60.56/~jnz1568/getInfo.php?workbook=02_02.xlsx&amp;sheet=A1&amp;row=113&amp;col=7&amp;number=&amp;sourceID=15","")</f>
        <v/>
      </c>
      <c r="H113" s="4" t="str">
        <f>HYPERLINK("http://141.218.60.56/~jnz1568/getInfo.php?workbook=02_02.xlsx&amp;sheet=A1&amp;row=113&amp;col=8&amp;number=&amp;sourceID=15","")</f>
        <v/>
      </c>
      <c r="I113" s="4" t="str">
        <f>HYPERLINK("http://141.218.60.56/~jnz1568/getInfo.php?workbook=02_02.xlsx&amp;sheet=A1&amp;row=113&amp;col=9&amp;number=&amp;sourceID=15","")</f>
        <v/>
      </c>
      <c r="J113" s="4" t="str">
        <f>HYPERLINK("http://141.218.60.56/~jnz1568/getInfo.php?workbook=02_02.xlsx&amp;sheet=A1&amp;row=113&amp;col=10&amp;number=&amp;sourceID=15","")</f>
        <v/>
      </c>
      <c r="K113" s="4" t="str">
        <f>HYPERLINK("http://141.218.60.56/~jnz1568/getInfo.php?workbook=02_02.xlsx&amp;sheet=A1&amp;row=113&amp;col=11&amp;number=&amp;sourceID=24","")</f>
        <v/>
      </c>
      <c r="L113" s="4" t="str">
        <f>HYPERLINK("http://141.218.60.56/~jnz1568/getInfo.php?workbook=02_02.xlsx&amp;sheet=A1&amp;row=113&amp;col=12&amp;number=&amp;sourceID=25","")</f>
        <v/>
      </c>
    </row>
    <row r="114" spans="1:12">
      <c r="A114" s="3">
        <v>2</v>
      </c>
      <c r="B114" s="3">
        <v>2</v>
      </c>
      <c r="C114" s="3">
        <v>16</v>
      </c>
      <c r="D114" s="3">
        <v>7</v>
      </c>
      <c r="E114" s="3">
        <f>((1/(INDEX('E1'!I$4:I$32,C114,1)-INDEX('E1'!I$4:I$32,D114,1))))*100000000</f>
        <v>0</v>
      </c>
      <c r="F114" s="4" t="str">
        <f>HYPERLINK("http://141.218.60.56/~jnz1568/getInfo.php?workbook=02_02.xlsx&amp;sheet=A1&amp;row=114&amp;col=6&amp;number==SUM(G114:J114)&amp;sourceID=15","=SUM(G114:J114)")</f>
        <v>=SUM(G114:J114)</v>
      </c>
      <c r="G114" s="4" t="str">
        <f>HYPERLINK("http://141.218.60.56/~jnz1568/getInfo.php?workbook=02_02.xlsx&amp;sheet=A1&amp;row=114&amp;col=7&amp;number=&amp;sourceID=15","")</f>
        <v/>
      </c>
      <c r="H114" s="4" t="str">
        <f>HYPERLINK("http://141.218.60.56/~jnz1568/getInfo.php?workbook=02_02.xlsx&amp;sheet=A1&amp;row=114&amp;col=8&amp;number=5.6132&amp;sourceID=15","5.6132")</f>
        <v>5.6132</v>
      </c>
      <c r="I114" s="4" t="str">
        <f>HYPERLINK("http://141.218.60.56/~jnz1568/getInfo.php?workbook=02_02.xlsx&amp;sheet=A1&amp;row=114&amp;col=9&amp;number=&amp;sourceID=15","")</f>
        <v/>
      </c>
      <c r="J114" s="4" t="str">
        <f>HYPERLINK("http://141.218.60.56/~jnz1568/getInfo.php?workbook=02_02.xlsx&amp;sheet=A1&amp;row=114&amp;col=10&amp;number=&amp;sourceID=15","")</f>
        <v/>
      </c>
      <c r="K114" s="4" t="str">
        <f>HYPERLINK("http://141.218.60.56/~jnz1568/getInfo.php?workbook=02_02.xlsx&amp;sheet=A1&amp;row=114&amp;col=11&amp;number=&amp;sourceID=24","")</f>
        <v/>
      </c>
      <c r="L114" s="4" t="str">
        <f>HYPERLINK("http://141.218.60.56/~jnz1568/getInfo.php?workbook=02_02.xlsx&amp;sheet=A1&amp;row=114&amp;col=12&amp;number=&amp;sourceID=25","")</f>
        <v/>
      </c>
    </row>
    <row r="115" spans="1:12">
      <c r="A115" s="3">
        <v>2</v>
      </c>
      <c r="B115" s="3">
        <v>2</v>
      </c>
      <c r="C115" s="3">
        <v>16</v>
      </c>
      <c r="D115" s="3">
        <v>8</v>
      </c>
      <c r="E115" s="3">
        <f>((1/(INDEX('E1'!I$4:I$32,C115,1)-INDEX('E1'!I$4:I$32,D115,1))))*100000000</f>
        <v>0</v>
      </c>
      <c r="F115" s="4" t="str">
        <f>HYPERLINK("http://141.218.60.56/~jnz1568/getInfo.php?workbook=02_02.xlsx&amp;sheet=A1&amp;row=115&amp;col=6&amp;number==SUM(G115:J115)&amp;sourceID=15","=SUM(G115:J115)")</f>
        <v>=SUM(G115:J115)</v>
      </c>
      <c r="G115" s="4" t="str">
        <f>HYPERLINK("http://141.218.60.56/~jnz1568/getInfo.php?workbook=02_02.xlsx&amp;sheet=A1&amp;row=115&amp;col=7&amp;number=818.6&amp;sourceID=15","818.6")</f>
        <v>818.6</v>
      </c>
      <c r="H115" s="4" t="str">
        <f>HYPERLINK("http://141.218.60.56/~jnz1568/getInfo.php?workbook=02_02.xlsx&amp;sheet=A1&amp;row=115&amp;col=8&amp;number=&amp;sourceID=15","")</f>
        <v/>
      </c>
      <c r="I115" s="4" t="str">
        <f>HYPERLINK("http://141.218.60.56/~jnz1568/getInfo.php?workbook=02_02.xlsx&amp;sheet=A1&amp;row=115&amp;col=9&amp;number=&amp;sourceID=15","")</f>
        <v/>
      </c>
      <c r="J115" s="4" t="str">
        <f>HYPERLINK("http://141.218.60.56/~jnz1568/getInfo.php?workbook=02_02.xlsx&amp;sheet=A1&amp;row=115&amp;col=10&amp;number=&amp;sourceID=15","")</f>
        <v/>
      </c>
      <c r="K115" s="4" t="str">
        <f>HYPERLINK("http://141.218.60.56/~jnz1568/getInfo.php?workbook=02_02.xlsx&amp;sheet=A1&amp;row=115&amp;col=11&amp;number=&amp;sourceID=24","")</f>
        <v/>
      </c>
      <c r="L115" s="4" t="str">
        <f>HYPERLINK("http://141.218.60.56/~jnz1568/getInfo.php?workbook=02_02.xlsx&amp;sheet=A1&amp;row=115&amp;col=12&amp;number=&amp;sourceID=25","")</f>
        <v/>
      </c>
    </row>
    <row r="116" spans="1:12">
      <c r="A116" s="3">
        <v>2</v>
      </c>
      <c r="B116" s="3">
        <v>2</v>
      </c>
      <c r="C116" s="3">
        <v>16</v>
      </c>
      <c r="D116" s="3">
        <v>9</v>
      </c>
      <c r="E116" s="3">
        <f>((1/(INDEX('E1'!I$4:I$32,C116,1)-INDEX('E1'!I$4:I$32,D116,1))))*100000000</f>
        <v>0</v>
      </c>
      <c r="F116" s="4" t="str">
        <f>HYPERLINK("http://141.218.60.56/~jnz1568/getInfo.php?workbook=02_02.xlsx&amp;sheet=A1&amp;row=116&amp;col=6&amp;number=&amp;sourceID=15","")</f>
        <v/>
      </c>
      <c r="G116" s="4" t="str">
        <f>HYPERLINK("http://141.218.60.56/~jnz1568/getInfo.php?workbook=02_02.xlsx&amp;sheet=A1&amp;row=116&amp;col=7&amp;number=&amp;sourceID=15","")</f>
        <v/>
      </c>
      <c r="H116" s="4" t="str">
        <f>HYPERLINK("http://141.218.60.56/~jnz1568/getInfo.php?workbook=02_02.xlsx&amp;sheet=A1&amp;row=116&amp;col=8&amp;number=&amp;sourceID=15","")</f>
        <v/>
      </c>
      <c r="I116" s="4" t="str">
        <f>HYPERLINK("http://141.218.60.56/~jnz1568/getInfo.php?workbook=02_02.xlsx&amp;sheet=A1&amp;row=116&amp;col=9&amp;number=&amp;sourceID=15","")</f>
        <v/>
      </c>
      <c r="J116" s="4" t="str">
        <f>HYPERLINK("http://141.218.60.56/~jnz1568/getInfo.php?workbook=02_02.xlsx&amp;sheet=A1&amp;row=116&amp;col=10&amp;number=&amp;sourceID=15","")</f>
        <v/>
      </c>
      <c r="K116" s="4" t="str">
        <f>HYPERLINK("http://141.218.60.56/~jnz1568/getInfo.php?workbook=02_02.xlsx&amp;sheet=A1&amp;row=116&amp;col=11&amp;number=&amp;sourceID=24","")</f>
        <v/>
      </c>
      <c r="L116" s="4" t="str">
        <f>HYPERLINK("http://141.218.60.56/~jnz1568/getInfo.php?workbook=02_02.xlsx&amp;sheet=A1&amp;row=116&amp;col=12&amp;number=&amp;sourceID=25","")</f>
        <v/>
      </c>
    </row>
    <row r="117" spans="1:12">
      <c r="A117" s="3">
        <v>2</v>
      </c>
      <c r="B117" s="3">
        <v>2</v>
      </c>
      <c r="C117" s="3">
        <v>16</v>
      </c>
      <c r="D117" s="3">
        <v>10</v>
      </c>
      <c r="E117" s="3">
        <f>((1/(INDEX('E1'!I$4:I$32,C117,1)-INDEX('E1'!I$4:I$32,D117,1))))*100000000</f>
        <v>0</v>
      </c>
      <c r="F117" s="4" t="str">
        <f>HYPERLINK("http://141.218.60.56/~jnz1568/getInfo.php?workbook=02_02.xlsx&amp;sheet=A1&amp;row=117&amp;col=6&amp;number=&amp;sourceID=15","")</f>
        <v/>
      </c>
      <c r="G117" s="4" t="str">
        <f>HYPERLINK("http://141.218.60.56/~jnz1568/getInfo.php?workbook=02_02.xlsx&amp;sheet=A1&amp;row=117&amp;col=7&amp;number=&amp;sourceID=15","")</f>
        <v/>
      </c>
      <c r="H117" s="4" t="str">
        <f>HYPERLINK("http://141.218.60.56/~jnz1568/getInfo.php?workbook=02_02.xlsx&amp;sheet=A1&amp;row=117&amp;col=8&amp;number=&amp;sourceID=15","")</f>
        <v/>
      </c>
      <c r="I117" s="4" t="str">
        <f>HYPERLINK("http://141.218.60.56/~jnz1568/getInfo.php?workbook=02_02.xlsx&amp;sheet=A1&amp;row=117&amp;col=9&amp;number=&amp;sourceID=15","")</f>
        <v/>
      </c>
      <c r="J117" s="4" t="str">
        <f>HYPERLINK("http://141.218.60.56/~jnz1568/getInfo.php?workbook=02_02.xlsx&amp;sheet=A1&amp;row=117&amp;col=10&amp;number=&amp;sourceID=15","")</f>
        <v/>
      </c>
      <c r="K117" s="4" t="str">
        <f>HYPERLINK("http://141.218.60.56/~jnz1568/getInfo.php?workbook=02_02.xlsx&amp;sheet=A1&amp;row=117&amp;col=11&amp;number=&amp;sourceID=24","")</f>
        <v/>
      </c>
      <c r="L117" s="4" t="str">
        <f>HYPERLINK("http://141.218.60.56/~jnz1568/getInfo.php?workbook=02_02.xlsx&amp;sheet=A1&amp;row=117&amp;col=12&amp;number=&amp;sourceID=25","")</f>
        <v/>
      </c>
    </row>
    <row r="118" spans="1:12">
      <c r="A118" s="3">
        <v>2</v>
      </c>
      <c r="B118" s="3">
        <v>2</v>
      </c>
      <c r="C118" s="3">
        <v>16</v>
      </c>
      <c r="D118" s="3">
        <v>11</v>
      </c>
      <c r="E118" s="3">
        <f>((1/(INDEX('E1'!I$4:I$32,C118,1)-INDEX('E1'!I$4:I$32,D118,1))))*100000000</f>
        <v>0</v>
      </c>
      <c r="F118" s="4" t="str">
        <f>HYPERLINK("http://141.218.60.56/~jnz1568/getInfo.php?workbook=02_02.xlsx&amp;sheet=A1&amp;row=118&amp;col=6&amp;number==SUM(G118:J118)&amp;sourceID=15","=SUM(G118:J118)")</f>
        <v>=SUM(G118:J118)</v>
      </c>
      <c r="G118" s="4" t="str">
        <f>HYPERLINK("http://141.218.60.56/~jnz1568/getInfo.php?workbook=02_02.xlsx&amp;sheet=A1&amp;row=118&amp;col=7&amp;number=7115900&amp;sourceID=15","7115900")</f>
        <v>7115900</v>
      </c>
      <c r="H118" s="4" t="str">
        <f>HYPERLINK("http://141.218.60.56/~jnz1568/getInfo.php?workbook=02_02.xlsx&amp;sheet=A1&amp;row=118&amp;col=8&amp;number=&amp;sourceID=15","")</f>
        <v/>
      </c>
      <c r="I118" s="4" t="str">
        <f>HYPERLINK("http://141.218.60.56/~jnz1568/getInfo.php?workbook=02_02.xlsx&amp;sheet=A1&amp;row=118&amp;col=9&amp;number=&amp;sourceID=15","")</f>
        <v/>
      </c>
      <c r="J118" s="4" t="str">
        <f>HYPERLINK("http://141.218.60.56/~jnz1568/getInfo.php?workbook=02_02.xlsx&amp;sheet=A1&amp;row=118&amp;col=10&amp;number=&amp;sourceID=15","")</f>
        <v/>
      </c>
      <c r="K118" s="4" t="str">
        <f>HYPERLINK("http://141.218.60.56/~jnz1568/getInfo.php?workbook=02_02.xlsx&amp;sheet=A1&amp;row=118&amp;col=11&amp;number=7224000&amp;sourceID=24","7224000")</f>
        <v>7224000</v>
      </c>
      <c r="L118" s="4" t="str">
        <f>HYPERLINK("http://141.218.60.56/~jnz1568/getInfo.php?workbook=02_02.xlsx&amp;sheet=A1&amp;row=118&amp;col=12&amp;number=7120000&amp;sourceID=25","7120000")</f>
        <v>7120000</v>
      </c>
    </row>
    <row r="119" spans="1:12">
      <c r="A119" s="3">
        <v>2</v>
      </c>
      <c r="B119" s="3">
        <v>2</v>
      </c>
      <c r="C119" s="3">
        <v>16</v>
      </c>
      <c r="D119" s="3">
        <v>12</v>
      </c>
      <c r="E119" s="3">
        <f>((1/(INDEX('E1'!I$4:I$32,C119,1)-INDEX('E1'!I$4:I$32,D119,1))))*100000000</f>
        <v>0</v>
      </c>
      <c r="F119" s="4" t="str">
        <f>HYPERLINK("http://141.218.60.56/~jnz1568/getInfo.php?workbook=02_02.xlsx&amp;sheet=A1&amp;row=119&amp;col=6&amp;number=&amp;sourceID=15","")</f>
        <v/>
      </c>
      <c r="G119" s="4" t="str">
        <f>HYPERLINK("http://141.218.60.56/~jnz1568/getInfo.php?workbook=02_02.xlsx&amp;sheet=A1&amp;row=119&amp;col=7&amp;number=&amp;sourceID=15","")</f>
        <v/>
      </c>
      <c r="H119" s="4" t="str">
        <f>HYPERLINK("http://141.218.60.56/~jnz1568/getInfo.php?workbook=02_02.xlsx&amp;sheet=A1&amp;row=119&amp;col=8&amp;number=&amp;sourceID=15","")</f>
        <v/>
      </c>
      <c r="I119" s="4" t="str">
        <f>HYPERLINK("http://141.218.60.56/~jnz1568/getInfo.php?workbook=02_02.xlsx&amp;sheet=A1&amp;row=119&amp;col=9&amp;number=&amp;sourceID=15","")</f>
        <v/>
      </c>
      <c r="J119" s="4" t="str">
        <f>HYPERLINK("http://141.218.60.56/~jnz1568/getInfo.php?workbook=02_02.xlsx&amp;sheet=A1&amp;row=119&amp;col=10&amp;number=&amp;sourceID=15","")</f>
        <v/>
      </c>
      <c r="K119" s="4" t="str">
        <f>HYPERLINK("http://141.218.60.56/~jnz1568/getInfo.php?workbook=02_02.xlsx&amp;sheet=A1&amp;row=119&amp;col=11&amp;number=&amp;sourceID=24","")</f>
        <v/>
      </c>
      <c r="L119" s="4" t="str">
        <f>HYPERLINK("http://141.218.60.56/~jnz1568/getInfo.php?workbook=02_02.xlsx&amp;sheet=A1&amp;row=119&amp;col=12&amp;number=&amp;sourceID=25","")</f>
        <v/>
      </c>
    </row>
    <row r="120" spans="1:12">
      <c r="A120" s="3">
        <v>2</v>
      </c>
      <c r="B120" s="3">
        <v>2</v>
      </c>
      <c r="C120" s="3">
        <v>16</v>
      </c>
      <c r="D120" s="3">
        <v>13</v>
      </c>
      <c r="E120" s="3">
        <f>((1/(INDEX('E1'!I$4:I$32,C120,1)-INDEX('E1'!I$4:I$32,D120,1))))*100000000</f>
        <v>0</v>
      </c>
      <c r="F120" s="4" t="str">
        <f>HYPERLINK("http://141.218.60.56/~jnz1568/getInfo.php?workbook=02_02.xlsx&amp;sheet=A1&amp;row=120&amp;col=6&amp;number==SUM(G120:J120)&amp;sourceID=15","=SUM(G120:J120)")</f>
        <v>=SUM(G120:J120)</v>
      </c>
      <c r="G120" s="4" t="str">
        <f>HYPERLINK("http://141.218.60.56/~jnz1568/getInfo.php?workbook=02_02.xlsx&amp;sheet=A1&amp;row=120&amp;col=7&amp;number=&amp;sourceID=15","")</f>
        <v/>
      </c>
      <c r="H120" s="4" t="str">
        <f>HYPERLINK("http://141.218.60.56/~jnz1568/getInfo.php?workbook=02_02.xlsx&amp;sheet=A1&amp;row=120&amp;col=8&amp;number=0.00020286&amp;sourceID=15","0.00020286")</f>
        <v>0.00020286</v>
      </c>
      <c r="I120" s="4" t="str">
        <f>HYPERLINK("http://141.218.60.56/~jnz1568/getInfo.php?workbook=02_02.xlsx&amp;sheet=A1&amp;row=120&amp;col=9&amp;number=&amp;sourceID=15","")</f>
        <v/>
      </c>
      <c r="J120" s="4" t="str">
        <f>HYPERLINK("http://141.218.60.56/~jnz1568/getInfo.php?workbook=02_02.xlsx&amp;sheet=A1&amp;row=120&amp;col=10&amp;number=&amp;sourceID=15","")</f>
        <v/>
      </c>
      <c r="K120" s="4" t="str">
        <f>HYPERLINK("http://141.218.60.56/~jnz1568/getInfo.php?workbook=02_02.xlsx&amp;sheet=A1&amp;row=120&amp;col=11&amp;number=&amp;sourceID=24","")</f>
        <v/>
      </c>
      <c r="L120" s="4" t="str">
        <f>HYPERLINK("http://141.218.60.56/~jnz1568/getInfo.php?workbook=02_02.xlsx&amp;sheet=A1&amp;row=120&amp;col=12&amp;number=&amp;sourceID=25","")</f>
        <v/>
      </c>
    </row>
    <row r="121" spans="1:12">
      <c r="A121" s="3">
        <v>2</v>
      </c>
      <c r="B121" s="3">
        <v>2</v>
      </c>
      <c r="C121" s="3">
        <v>16</v>
      </c>
      <c r="D121" s="3">
        <v>14</v>
      </c>
      <c r="E121" s="3">
        <f>((1/(INDEX('E1'!I$4:I$32,C121,1)-INDEX('E1'!I$4:I$32,D121,1))))*100000000</f>
        <v>0</v>
      </c>
      <c r="F121" s="4" t="str">
        <f>HYPERLINK("http://141.218.60.56/~jnz1568/getInfo.php?workbook=02_02.xlsx&amp;sheet=A1&amp;row=121&amp;col=6&amp;number=&amp;sourceID=15","")</f>
        <v/>
      </c>
      <c r="G121" s="4" t="str">
        <f>HYPERLINK("http://141.218.60.56/~jnz1568/getInfo.php?workbook=02_02.xlsx&amp;sheet=A1&amp;row=121&amp;col=7&amp;number=&amp;sourceID=15","")</f>
        <v/>
      </c>
      <c r="H121" s="4" t="str">
        <f>HYPERLINK("http://141.218.60.56/~jnz1568/getInfo.php?workbook=02_02.xlsx&amp;sheet=A1&amp;row=121&amp;col=8&amp;number=&amp;sourceID=15","")</f>
        <v/>
      </c>
      <c r="I121" s="4" t="str">
        <f>HYPERLINK("http://141.218.60.56/~jnz1568/getInfo.php?workbook=02_02.xlsx&amp;sheet=A1&amp;row=121&amp;col=9&amp;number=&amp;sourceID=15","")</f>
        <v/>
      </c>
      <c r="J121" s="4" t="str">
        <f>HYPERLINK("http://141.218.60.56/~jnz1568/getInfo.php?workbook=02_02.xlsx&amp;sheet=A1&amp;row=121&amp;col=10&amp;number=&amp;sourceID=15","")</f>
        <v/>
      </c>
      <c r="K121" s="4" t="str">
        <f>HYPERLINK("http://141.218.60.56/~jnz1568/getInfo.php?workbook=02_02.xlsx&amp;sheet=A1&amp;row=121&amp;col=11&amp;number=&amp;sourceID=24","")</f>
        <v/>
      </c>
      <c r="L121" s="4" t="str">
        <f>HYPERLINK("http://141.218.60.56/~jnz1568/getInfo.php?workbook=02_02.xlsx&amp;sheet=A1&amp;row=121&amp;col=12&amp;number=&amp;sourceID=25","")</f>
        <v/>
      </c>
    </row>
    <row r="122" spans="1:12">
      <c r="A122" s="3">
        <v>2</v>
      </c>
      <c r="B122" s="3">
        <v>2</v>
      </c>
      <c r="C122" s="3">
        <v>16</v>
      </c>
      <c r="D122" s="3">
        <v>15</v>
      </c>
      <c r="E122" s="3">
        <f>((1/(INDEX('E1'!I$4:I$32,C122,1)-INDEX('E1'!I$4:I$32,D122,1))))*100000000</f>
        <v>0</v>
      </c>
      <c r="F122" s="4" t="str">
        <f>HYPERLINK("http://141.218.60.56/~jnz1568/getInfo.php?workbook=02_02.xlsx&amp;sheet=A1&amp;row=122&amp;col=6&amp;number=&amp;sourceID=15","")</f>
        <v/>
      </c>
      <c r="G122" s="4" t="str">
        <f>HYPERLINK("http://141.218.60.56/~jnz1568/getInfo.php?workbook=02_02.xlsx&amp;sheet=A1&amp;row=122&amp;col=7&amp;number=&amp;sourceID=15","")</f>
        <v/>
      </c>
      <c r="H122" s="4" t="str">
        <f>HYPERLINK("http://141.218.60.56/~jnz1568/getInfo.php?workbook=02_02.xlsx&amp;sheet=A1&amp;row=122&amp;col=8&amp;number=&amp;sourceID=15","")</f>
        <v/>
      </c>
      <c r="I122" s="4" t="str">
        <f>HYPERLINK("http://141.218.60.56/~jnz1568/getInfo.php?workbook=02_02.xlsx&amp;sheet=A1&amp;row=122&amp;col=9&amp;number=&amp;sourceID=15","")</f>
        <v/>
      </c>
      <c r="J122" s="4" t="str">
        <f>HYPERLINK("http://141.218.60.56/~jnz1568/getInfo.php?workbook=02_02.xlsx&amp;sheet=A1&amp;row=122&amp;col=10&amp;number=&amp;sourceID=15","")</f>
        <v/>
      </c>
      <c r="K122" s="4" t="str">
        <f>HYPERLINK("http://141.218.60.56/~jnz1568/getInfo.php?workbook=02_02.xlsx&amp;sheet=A1&amp;row=122&amp;col=11&amp;number=&amp;sourceID=24","")</f>
        <v/>
      </c>
      <c r="L122" s="4" t="str">
        <f>HYPERLINK("http://141.218.60.56/~jnz1568/getInfo.php?workbook=02_02.xlsx&amp;sheet=A1&amp;row=122&amp;col=12&amp;number=&amp;sourceID=25","")</f>
        <v/>
      </c>
    </row>
    <row r="123" spans="1:12">
      <c r="A123" s="3">
        <v>2</v>
      </c>
      <c r="B123" s="3">
        <v>2</v>
      </c>
      <c r="C123" s="3">
        <v>17</v>
      </c>
      <c r="D123" s="3">
        <v>1</v>
      </c>
      <c r="E123" s="3">
        <f>((1/(INDEX('E1'!I$4:I$32,C123,1)-INDEX('E1'!I$4:I$32,D123,1))))*100000000</f>
        <v>0</v>
      </c>
      <c r="F123" s="4" t="str">
        <f>HYPERLINK("http://141.218.60.56/~jnz1568/getInfo.php?workbook=02_02.xlsx&amp;sheet=A1&amp;row=123&amp;col=6&amp;number=&amp;sourceID=15","")</f>
        <v/>
      </c>
      <c r="G123" s="4" t="str">
        <f>HYPERLINK("http://141.218.60.56/~jnz1568/getInfo.php?workbook=02_02.xlsx&amp;sheet=A1&amp;row=123&amp;col=7&amp;number=&amp;sourceID=15","")</f>
        <v/>
      </c>
      <c r="H123" s="4" t="str">
        <f>HYPERLINK("http://141.218.60.56/~jnz1568/getInfo.php?workbook=02_02.xlsx&amp;sheet=A1&amp;row=123&amp;col=8&amp;number=&amp;sourceID=15","")</f>
        <v/>
      </c>
      <c r="I123" s="4" t="str">
        <f>HYPERLINK("http://141.218.60.56/~jnz1568/getInfo.php?workbook=02_02.xlsx&amp;sheet=A1&amp;row=123&amp;col=9&amp;number=&amp;sourceID=15","")</f>
        <v/>
      </c>
      <c r="J123" s="4" t="str">
        <f>HYPERLINK("http://141.218.60.56/~jnz1568/getInfo.php?workbook=02_02.xlsx&amp;sheet=A1&amp;row=123&amp;col=10&amp;number=&amp;sourceID=15","")</f>
        <v/>
      </c>
      <c r="K123" s="4" t="str">
        <f>HYPERLINK("http://141.218.60.56/~jnz1568/getInfo.php?workbook=02_02.xlsx&amp;sheet=A1&amp;row=123&amp;col=11&amp;number=&amp;sourceID=24","")</f>
        <v/>
      </c>
      <c r="L123" s="4" t="str">
        <f>HYPERLINK("http://141.218.60.56/~jnz1568/getInfo.php?workbook=02_02.xlsx&amp;sheet=A1&amp;row=123&amp;col=12&amp;number=&amp;sourceID=25","")</f>
        <v/>
      </c>
    </row>
    <row r="124" spans="1:12">
      <c r="A124" s="3">
        <v>2</v>
      </c>
      <c r="B124" s="3">
        <v>2</v>
      </c>
      <c r="C124" s="3">
        <v>17</v>
      </c>
      <c r="D124" s="3">
        <v>2</v>
      </c>
      <c r="E124" s="3">
        <f>((1/(INDEX('E1'!I$4:I$32,C124,1)-INDEX('E1'!I$4:I$32,D124,1))))*100000000</f>
        <v>0</v>
      </c>
      <c r="F124" s="4" t="str">
        <f>HYPERLINK("http://141.218.60.56/~jnz1568/getInfo.php?workbook=02_02.xlsx&amp;sheet=A1&amp;row=124&amp;col=6&amp;number=&amp;sourceID=15","")</f>
        <v/>
      </c>
      <c r="G124" s="4" t="str">
        <f>HYPERLINK("http://141.218.60.56/~jnz1568/getInfo.php?workbook=02_02.xlsx&amp;sheet=A1&amp;row=124&amp;col=7&amp;number=&amp;sourceID=15","")</f>
        <v/>
      </c>
      <c r="H124" s="4" t="str">
        <f>HYPERLINK("http://141.218.60.56/~jnz1568/getInfo.php?workbook=02_02.xlsx&amp;sheet=A1&amp;row=124&amp;col=8&amp;number=&amp;sourceID=15","")</f>
        <v/>
      </c>
      <c r="I124" s="4" t="str">
        <f>HYPERLINK("http://141.218.60.56/~jnz1568/getInfo.php?workbook=02_02.xlsx&amp;sheet=A1&amp;row=124&amp;col=9&amp;number=&amp;sourceID=15","")</f>
        <v/>
      </c>
      <c r="J124" s="4" t="str">
        <f>HYPERLINK("http://141.218.60.56/~jnz1568/getInfo.php?workbook=02_02.xlsx&amp;sheet=A1&amp;row=124&amp;col=10&amp;number=&amp;sourceID=15","")</f>
        <v/>
      </c>
      <c r="K124" s="4" t="str">
        <f>HYPERLINK("http://141.218.60.56/~jnz1568/getInfo.php?workbook=02_02.xlsx&amp;sheet=A1&amp;row=124&amp;col=11&amp;number=&amp;sourceID=24","")</f>
        <v/>
      </c>
      <c r="L124" s="4" t="str">
        <f>HYPERLINK("http://141.218.60.56/~jnz1568/getInfo.php?workbook=02_02.xlsx&amp;sheet=A1&amp;row=124&amp;col=12&amp;number=&amp;sourceID=25","")</f>
        <v/>
      </c>
    </row>
    <row r="125" spans="1:12">
      <c r="A125" s="3">
        <v>2</v>
      </c>
      <c r="B125" s="3">
        <v>2</v>
      </c>
      <c r="C125" s="3">
        <v>17</v>
      </c>
      <c r="D125" s="3">
        <v>3</v>
      </c>
      <c r="E125" s="3">
        <f>((1/(INDEX('E1'!I$4:I$32,C125,1)-INDEX('E1'!I$4:I$32,D125,1))))*100000000</f>
        <v>0</v>
      </c>
      <c r="F125" s="4" t="str">
        <f>HYPERLINK("http://141.218.60.56/~jnz1568/getInfo.php?workbook=02_02.xlsx&amp;sheet=A1&amp;row=125&amp;col=6&amp;number=&amp;sourceID=15","")</f>
        <v/>
      </c>
      <c r="G125" s="4" t="str">
        <f>HYPERLINK("http://141.218.60.56/~jnz1568/getInfo.php?workbook=02_02.xlsx&amp;sheet=A1&amp;row=125&amp;col=7&amp;number=&amp;sourceID=15","")</f>
        <v/>
      </c>
      <c r="H125" s="4" t="str">
        <f>HYPERLINK("http://141.218.60.56/~jnz1568/getInfo.php?workbook=02_02.xlsx&amp;sheet=A1&amp;row=125&amp;col=8&amp;number=&amp;sourceID=15","")</f>
        <v/>
      </c>
      <c r="I125" s="4" t="str">
        <f>HYPERLINK("http://141.218.60.56/~jnz1568/getInfo.php?workbook=02_02.xlsx&amp;sheet=A1&amp;row=125&amp;col=9&amp;number=&amp;sourceID=15","")</f>
        <v/>
      </c>
      <c r="J125" s="4" t="str">
        <f>HYPERLINK("http://141.218.60.56/~jnz1568/getInfo.php?workbook=02_02.xlsx&amp;sheet=A1&amp;row=125&amp;col=10&amp;number=&amp;sourceID=15","")</f>
        <v/>
      </c>
      <c r="K125" s="4" t="str">
        <f>HYPERLINK("http://141.218.60.56/~jnz1568/getInfo.php?workbook=02_02.xlsx&amp;sheet=A1&amp;row=125&amp;col=11&amp;number=&amp;sourceID=24","")</f>
        <v/>
      </c>
      <c r="L125" s="4" t="str">
        <f>HYPERLINK("http://141.218.60.56/~jnz1568/getInfo.php?workbook=02_02.xlsx&amp;sheet=A1&amp;row=125&amp;col=12&amp;number=&amp;sourceID=25","")</f>
        <v/>
      </c>
    </row>
    <row r="126" spans="1:12">
      <c r="A126" s="3">
        <v>2</v>
      </c>
      <c r="B126" s="3">
        <v>2</v>
      </c>
      <c r="C126" s="3">
        <v>17</v>
      </c>
      <c r="D126" s="3">
        <v>4</v>
      </c>
      <c r="E126" s="3">
        <f>((1/(INDEX('E1'!I$4:I$32,C126,1)-INDEX('E1'!I$4:I$32,D126,1))))*100000000</f>
        <v>0</v>
      </c>
      <c r="F126" s="4" t="str">
        <f>HYPERLINK("http://141.218.60.56/~jnz1568/getInfo.php?workbook=02_02.xlsx&amp;sheet=A1&amp;row=126&amp;col=6&amp;number==SUM(G126:J126)&amp;sourceID=15","=SUM(G126:J126)")</f>
        <v>=SUM(G126:J126)</v>
      </c>
      <c r="G126" s="4" t="str">
        <f>HYPERLINK("http://141.218.60.56/~jnz1568/getInfo.php?workbook=02_02.xlsx&amp;sheet=A1&amp;row=126&amp;col=7&amp;number=&amp;sourceID=15","")</f>
        <v/>
      </c>
      <c r="H126" s="4" t="str">
        <f>HYPERLINK("http://141.218.60.56/~jnz1568/getInfo.php?workbook=02_02.xlsx&amp;sheet=A1&amp;row=126&amp;col=8&amp;number=61.5&amp;sourceID=15","61.5")</f>
        <v>61.5</v>
      </c>
      <c r="I126" s="4" t="str">
        <f>HYPERLINK("http://141.218.60.56/~jnz1568/getInfo.php?workbook=02_02.xlsx&amp;sheet=A1&amp;row=126&amp;col=9&amp;number=&amp;sourceID=15","")</f>
        <v/>
      </c>
      <c r="J126" s="4" t="str">
        <f>HYPERLINK("http://141.218.60.56/~jnz1568/getInfo.php?workbook=02_02.xlsx&amp;sheet=A1&amp;row=126&amp;col=10&amp;number=&amp;sourceID=15","")</f>
        <v/>
      </c>
      <c r="K126" s="4" t="str">
        <f>HYPERLINK("http://141.218.60.56/~jnz1568/getInfo.php?workbook=02_02.xlsx&amp;sheet=A1&amp;row=126&amp;col=11&amp;number=&amp;sourceID=24","")</f>
        <v/>
      </c>
      <c r="L126" s="4" t="str">
        <f>HYPERLINK("http://141.218.60.56/~jnz1568/getInfo.php?workbook=02_02.xlsx&amp;sheet=A1&amp;row=126&amp;col=12&amp;number=&amp;sourceID=25","")</f>
        <v/>
      </c>
    </row>
    <row r="127" spans="1:12">
      <c r="A127" s="3">
        <v>2</v>
      </c>
      <c r="B127" s="3">
        <v>2</v>
      </c>
      <c r="C127" s="3">
        <v>17</v>
      </c>
      <c r="D127" s="3">
        <v>5</v>
      </c>
      <c r="E127" s="3">
        <f>((1/(INDEX('E1'!I$4:I$32,C127,1)-INDEX('E1'!I$4:I$32,D127,1))))*100000000</f>
        <v>0</v>
      </c>
      <c r="F127" s="4" t="str">
        <f>HYPERLINK("http://141.218.60.56/~jnz1568/getInfo.php?workbook=02_02.xlsx&amp;sheet=A1&amp;row=127&amp;col=6&amp;number=&amp;sourceID=15","")</f>
        <v/>
      </c>
      <c r="G127" s="4" t="str">
        <f>HYPERLINK("http://141.218.60.56/~jnz1568/getInfo.php?workbook=02_02.xlsx&amp;sheet=A1&amp;row=127&amp;col=7&amp;number=&amp;sourceID=15","")</f>
        <v/>
      </c>
      <c r="H127" s="4" t="str">
        <f>HYPERLINK("http://141.218.60.56/~jnz1568/getInfo.php?workbook=02_02.xlsx&amp;sheet=A1&amp;row=127&amp;col=8&amp;number=&amp;sourceID=15","")</f>
        <v/>
      </c>
      <c r="I127" s="4" t="str">
        <f>HYPERLINK("http://141.218.60.56/~jnz1568/getInfo.php?workbook=02_02.xlsx&amp;sheet=A1&amp;row=127&amp;col=9&amp;number=&amp;sourceID=15","")</f>
        <v/>
      </c>
      <c r="J127" s="4" t="str">
        <f>HYPERLINK("http://141.218.60.56/~jnz1568/getInfo.php?workbook=02_02.xlsx&amp;sheet=A1&amp;row=127&amp;col=10&amp;number=&amp;sourceID=15","")</f>
        <v/>
      </c>
      <c r="K127" s="4" t="str">
        <f>HYPERLINK("http://141.218.60.56/~jnz1568/getInfo.php?workbook=02_02.xlsx&amp;sheet=A1&amp;row=127&amp;col=11&amp;number=&amp;sourceID=24","")</f>
        <v/>
      </c>
      <c r="L127" s="4" t="str">
        <f>HYPERLINK("http://141.218.60.56/~jnz1568/getInfo.php?workbook=02_02.xlsx&amp;sheet=A1&amp;row=127&amp;col=12&amp;number=&amp;sourceID=25","")</f>
        <v/>
      </c>
    </row>
    <row r="128" spans="1:12">
      <c r="A128" s="3">
        <v>2</v>
      </c>
      <c r="B128" s="3">
        <v>2</v>
      </c>
      <c r="C128" s="3">
        <v>17</v>
      </c>
      <c r="D128" s="3">
        <v>6</v>
      </c>
      <c r="E128" s="3">
        <f>((1/(INDEX('E1'!I$4:I$32,C128,1)-INDEX('E1'!I$4:I$32,D128,1))))*100000000</f>
        <v>0</v>
      </c>
      <c r="F128" s="4" t="str">
        <f>HYPERLINK("http://141.218.60.56/~jnz1568/getInfo.php?workbook=02_02.xlsx&amp;sheet=A1&amp;row=128&amp;col=6&amp;number=&amp;sourceID=15","")</f>
        <v/>
      </c>
      <c r="G128" s="4" t="str">
        <f>HYPERLINK("http://141.218.60.56/~jnz1568/getInfo.php?workbook=02_02.xlsx&amp;sheet=A1&amp;row=128&amp;col=7&amp;number=&amp;sourceID=15","")</f>
        <v/>
      </c>
      <c r="H128" s="4" t="str">
        <f>HYPERLINK("http://141.218.60.56/~jnz1568/getInfo.php?workbook=02_02.xlsx&amp;sheet=A1&amp;row=128&amp;col=8&amp;number=&amp;sourceID=15","")</f>
        <v/>
      </c>
      <c r="I128" s="4" t="str">
        <f>HYPERLINK("http://141.218.60.56/~jnz1568/getInfo.php?workbook=02_02.xlsx&amp;sheet=A1&amp;row=128&amp;col=9&amp;number=&amp;sourceID=15","")</f>
        <v/>
      </c>
      <c r="J128" s="4" t="str">
        <f>HYPERLINK("http://141.218.60.56/~jnz1568/getInfo.php?workbook=02_02.xlsx&amp;sheet=A1&amp;row=128&amp;col=10&amp;number=&amp;sourceID=15","")</f>
        <v/>
      </c>
      <c r="K128" s="4" t="str">
        <f>HYPERLINK("http://141.218.60.56/~jnz1568/getInfo.php?workbook=02_02.xlsx&amp;sheet=A1&amp;row=128&amp;col=11&amp;number=&amp;sourceID=24","")</f>
        <v/>
      </c>
      <c r="L128" s="4" t="str">
        <f>HYPERLINK("http://141.218.60.56/~jnz1568/getInfo.php?workbook=02_02.xlsx&amp;sheet=A1&amp;row=128&amp;col=12&amp;number=&amp;sourceID=25","")</f>
        <v/>
      </c>
    </row>
    <row r="129" spans="1:12">
      <c r="A129" s="3">
        <v>2</v>
      </c>
      <c r="B129" s="3">
        <v>2</v>
      </c>
      <c r="C129" s="3">
        <v>17</v>
      </c>
      <c r="D129" s="3">
        <v>7</v>
      </c>
      <c r="E129" s="3">
        <f>((1/(INDEX('E1'!I$4:I$32,C129,1)-INDEX('E1'!I$4:I$32,D129,1))))*100000000</f>
        <v>0</v>
      </c>
      <c r="F129" s="4" t="str">
        <f>HYPERLINK("http://141.218.60.56/~jnz1568/getInfo.php?workbook=02_02.xlsx&amp;sheet=A1&amp;row=129&amp;col=6&amp;number=&amp;sourceID=15","")</f>
        <v/>
      </c>
      <c r="G129" s="4" t="str">
        <f>HYPERLINK("http://141.218.60.56/~jnz1568/getInfo.php?workbook=02_02.xlsx&amp;sheet=A1&amp;row=129&amp;col=7&amp;number=&amp;sourceID=15","")</f>
        <v/>
      </c>
      <c r="H129" s="4" t="str">
        <f>HYPERLINK("http://141.218.60.56/~jnz1568/getInfo.php?workbook=02_02.xlsx&amp;sheet=A1&amp;row=129&amp;col=8&amp;number=&amp;sourceID=15","")</f>
        <v/>
      </c>
      <c r="I129" s="4" t="str">
        <f>HYPERLINK("http://141.218.60.56/~jnz1568/getInfo.php?workbook=02_02.xlsx&amp;sheet=A1&amp;row=129&amp;col=9&amp;number=&amp;sourceID=15","")</f>
        <v/>
      </c>
      <c r="J129" s="4" t="str">
        <f>HYPERLINK("http://141.218.60.56/~jnz1568/getInfo.php?workbook=02_02.xlsx&amp;sheet=A1&amp;row=129&amp;col=10&amp;number=&amp;sourceID=15","")</f>
        <v/>
      </c>
      <c r="K129" s="4" t="str">
        <f>HYPERLINK("http://141.218.60.56/~jnz1568/getInfo.php?workbook=02_02.xlsx&amp;sheet=A1&amp;row=129&amp;col=11&amp;number=&amp;sourceID=24","")</f>
        <v/>
      </c>
      <c r="L129" s="4" t="str">
        <f>HYPERLINK("http://141.218.60.56/~jnz1568/getInfo.php?workbook=02_02.xlsx&amp;sheet=A1&amp;row=129&amp;col=12&amp;number=&amp;sourceID=25","")</f>
        <v/>
      </c>
    </row>
    <row r="130" spans="1:12">
      <c r="A130" s="3">
        <v>2</v>
      </c>
      <c r="B130" s="3">
        <v>2</v>
      </c>
      <c r="C130" s="3">
        <v>17</v>
      </c>
      <c r="D130" s="3">
        <v>8</v>
      </c>
      <c r="E130" s="3">
        <f>((1/(INDEX('E1'!I$4:I$32,C130,1)-INDEX('E1'!I$4:I$32,D130,1))))*100000000</f>
        <v>0</v>
      </c>
      <c r="F130" s="4" t="str">
        <f>HYPERLINK("http://141.218.60.56/~jnz1568/getInfo.php?workbook=02_02.xlsx&amp;sheet=A1&amp;row=130&amp;col=6&amp;number=&amp;sourceID=15","")</f>
        <v/>
      </c>
      <c r="G130" s="4" t="str">
        <f>HYPERLINK("http://141.218.60.56/~jnz1568/getInfo.php?workbook=02_02.xlsx&amp;sheet=A1&amp;row=130&amp;col=7&amp;number=&amp;sourceID=15","")</f>
        <v/>
      </c>
      <c r="H130" s="4" t="str">
        <f>HYPERLINK("http://141.218.60.56/~jnz1568/getInfo.php?workbook=02_02.xlsx&amp;sheet=A1&amp;row=130&amp;col=8&amp;number=&amp;sourceID=15","")</f>
        <v/>
      </c>
      <c r="I130" s="4" t="str">
        <f>HYPERLINK("http://141.218.60.56/~jnz1568/getInfo.php?workbook=02_02.xlsx&amp;sheet=A1&amp;row=130&amp;col=9&amp;number=&amp;sourceID=15","")</f>
        <v/>
      </c>
      <c r="J130" s="4" t="str">
        <f>HYPERLINK("http://141.218.60.56/~jnz1568/getInfo.php?workbook=02_02.xlsx&amp;sheet=A1&amp;row=130&amp;col=10&amp;number=&amp;sourceID=15","")</f>
        <v/>
      </c>
      <c r="K130" s="4" t="str">
        <f>HYPERLINK("http://141.218.60.56/~jnz1568/getInfo.php?workbook=02_02.xlsx&amp;sheet=A1&amp;row=130&amp;col=11&amp;number=&amp;sourceID=24","")</f>
        <v/>
      </c>
      <c r="L130" s="4" t="str">
        <f>HYPERLINK("http://141.218.60.56/~jnz1568/getInfo.php?workbook=02_02.xlsx&amp;sheet=A1&amp;row=130&amp;col=12&amp;number=&amp;sourceID=25","")</f>
        <v/>
      </c>
    </row>
    <row r="131" spans="1:12">
      <c r="A131" s="3">
        <v>2</v>
      </c>
      <c r="B131" s="3">
        <v>2</v>
      </c>
      <c r="C131" s="3">
        <v>17</v>
      </c>
      <c r="D131" s="3">
        <v>9</v>
      </c>
      <c r="E131" s="3">
        <f>((1/(INDEX('E1'!I$4:I$32,C131,1)-INDEX('E1'!I$4:I$32,D131,1))))*100000000</f>
        <v>0</v>
      </c>
      <c r="F131" s="4" t="str">
        <f>HYPERLINK("http://141.218.60.56/~jnz1568/getInfo.php?workbook=02_02.xlsx&amp;sheet=A1&amp;row=131&amp;col=6&amp;number==SUM(G131:J131)&amp;sourceID=15","=SUM(G131:J131)")</f>
        <v>=SUM(G131:J131)</v>
      </c>
      <c r="G131" s="4" t="str">
        <f>HYPERLINK("http://141.218.60.56/~jnz1568/getInfo.php?workbook=02_02.xlsx&amp;sheet=A1&amp;row=131&amp;col=7&amp;number=12220000&amp;sourceID=15","12220000")</f>
        <v>12220000</v>
      </c>
      <c r="H131" s="4" t="str">
        <f>HYPERLINK("http://141.218.60.56/~jnz1568/getInfo.php?workbook=02_02.xlsx&amp;sheet=A1&amp;row=131&amp;col=8&amp;number=&amp;sourceID=15","")</f>
        <v/>
      </c>
      <c r="I131" s="4" t="str">
        <f>HYPERLINK("http://141.218.60.56/~jnz1568/getInfo.php?workbook=02_02.xlsx&amp;sheet=A1&amp;row=131&amp;col=9&amp;number=&amp;sourceID=15","")</f>
        <v/>
      </c>
      <c r="J131" s="4" t="str">
        <f>HYPERLINK("http://141.218.60.56/~jnz1568/getInfo.php?workbook=02_02.xlsx&amp;sheet=A1&amp;row=131&amp;col=10&amp;number=&amp;sourceID=15","")</f>
        <v/>
      </c>
      <c r="K131" s="4" t="str">
        <f>HYPERLINK("http://141.218.60.56/~jnz1568/getInfo.php?workbook=02_02.xlsx&amp;sheet=A1&amp;row=131&amp;col=11&amp;number=13840000&amp;sourceID=24","13840000")</f>
        <v>13840000</v>
      </c>
      <c r="L131" s="4" t="str">
        <f>HYPERLINK("http://141.218.60.56/~jnz1568/getInfo.php?workbook=02_02.xlsx&amp;sheet=A1&amp;row=131&amp;col=12&amp;number=&amp;sourceID=25","")</f>
        <v/>
      </c>
    </row>
    <row r="132" spans="1:12">
      <c r="A132" s="3">
        <v>2</v>
      </c>
      <c r="B132" s="3">
        <v>2</v>
      </c>
      <c r="C132" s="3">
        <v>17</v>
      </c>
      <c r="D132" s="3">
        <v>10</v>
      </c>
      <c r="E132" s="3">
        <f>((1/(INDEX('E1'!I$4:I$32,C132,1)-INDEX('E1'!I$4:I$32,D132,1))))*100000000</f>
        <v>0</v>
      </c>
      <c r="F132" s="4" t="str">
        <f>HYPERLINK("http://141.218.60.56/~jnz1568/getInfo.php?workbook=02_02.xlsx&amp;sheet=A1&amp;row=132&amp;col=6&amp;number==SUM(G132:J132)&amp;sourceID=15","=SUM(G132:J132)")</f>
        <v>=SUM(G132:J132)</v>
      </c>
      <c r="G132" s="4" t="str">
        <f>HYPERLINK("http://141.218.60.56/~jnz1568/getInfo.php?workbook=02_02.xlsx&amp;sheet=A1&amp;row=132&amp;col=7&amp;number=4853000&amp;sourceID=15","4853000")</f>
        <v>4853000</v>
      </c>
      <c r="H132" s="4" t="str">
        <f>HYPERLINK("http://141.218.60.56/~jnz1568/getInfo.php?workbook=02_02.xlsx&amp;sheet=A1&amp;row=132&amp;col=8&amp;number=&amp;sourceID=15","")</f>
        <v/>
      </c>
      <c r="I132" s="4" t="str">
        <f>HYPERLINK("http://141.218.60.56/~jnz1568/getInfo.php?workbook=02_02.xlsx&amp;sheet=A1&amp;row=132&amp;col=9&amp;number=&amp;sourceID=15","")</f>
        <v/>
      </c>
      <c r="J132" s="4" t="str">
        <f>HYPERLINK("http://141.218.60.56/~jnz1568/getInfo.php?workbook=02_02.xlsx&amp;sheet=A1&amp;row=132&amp;col=10&amp;number=&amp;sourceID=15","")</f>
        <v/>
      </c>
      <c r="K132" s="4" t="str">
        <f>HYPERLINK("http://141.218.60.56/~jnz1568/getInfo.php?workbook=02_02.xlsx&amp;sheet=A1&amp;row=132&amp;col=11&amp;number=&amp;sourceID=24","")</f>
        <v/>
      </c>
      <c r="L132" s="4" t="str">
        <f>HYPERLINK("http://141.218.60.56/~jnz1568/getInfo.php?workbook=02_02.xlsx&amp;sheet=A1&amp;row=132&amp;col=12&amp;number=&amp;sourceID=25","")</f>
        <v/>
      </c>
    </row>
    <row r="133" spans="1:12">
      <c r="A133" s="3">
        <v>2</v>
      </c>
      <c r="B133" s="3">
        <v>2</v>
      </c>
      <c r="C133" s="3">
        <v>17</v>
      </c>
      <c r="D133" s="3">
        <v>11</v>
      </c>
      <c r="E133" s="3">
        <f>((1/(INDEX('E1'!I$4:I$32,C133,1)-INDEX('E1'!I$4:I$32,D133,1))))*100000000</f>
        <v>0</v>
      </c>
      <c r="F133" s="4" t="str">
        <f>HYPERLINK("http://141.218.60.56/~jnz1568/getInfo.php?workbook=02_02.xlsx&amp;sheet=A1&amp;row=133&amp;col=6&amp;number=&amp;sourceID=15","")</f>
        <v/>
      </c>
      <c r="G133" s="4" t="str">
        <f>HYPERLINK("http://141.218.60.56/~jnz1568/getInfo.php?workbook=02_02.xlsx&amp;sheet=A1&amp;row=133&amp;col=7&amp;number=&amp;sourceID=15","")</f>
        <v/>
      </c>
      <c r="H133" s="4" t="str">
        <f>HYPERLINK("http://141.218.60.56/~jnz1568/getInfo.php?workbook=02_02.xlsx&amp;sheet=A1&amp;row=133&amp;col=8&amp;number=&amp;sourceID=15","")</f>
        <v/>
      </c>
      <c r="I133" s="4" t="str">
        <f>HYPERLINK("http://141.218.60.56/~jnz1568/getInfo.php?workbook=02_02.xlsx&amp;sheet=A1&amp;row=133&amp;col=9&amp;number=&amp;sourceID=15","")</f>
        <v/>
      </c>
      <c r="J133" s="4" t="str">
        <f>HYPERLINK("http://141.218.60.56/~jnz1568/getInfo.php?workbook=02_02.xlsx&amp;sheet=A1&amp;row=133&amp;col=10&amp;number=&amp;sourceID=15","")</f>
        <v/>
      </c>
      <c r="K133" s="4" t="str">
        <f>HYPERLINK("http://141.218.60.56/~jnz1568/getInfo.php?workbook=02_02.xlsx&amp;sheet=A1&amp;row=133&amp;col=11&amp;number=&amp;sourceID=24","")</f>
        <v/>
      </c>
      <c r="L133" s="4" t="str">
        <f>HYPERLINK("http://141.218.60.56/~jnz1568/getInfo.php?workbook=02_02.xlsx&amp;sheet=A1&amp;row=133&amp;col=12&amp;number=&amp;sourceID=25","")</f>
        <v/>
      </c>
    </row>
    <row r="134" spans="1:12">
      <c r="A134" s="3">
        <v>2</v>
      </c>
      <c r="B134" s="3">
        <v>2</v>
      </c>
      <c r="C134" s="3">
        <v>17</v>
      </c>
      <c r="D134" s="3">
        <v>12</v>
      </c>
      <c r="E134" s="3">
        <f>((1/(INDEX('E1'!I$4:I$32,C134,1)-INDEX('E1'!I$4:I$32,D134,1))))*100000000</f>
        <v>0</v>
      </c>
      <c r="F134" s="4" t="str">
        <f>HYPERLINK("http://141.218.60.56/~jnz1568/getInfo.php?workbook=02_02.xlsx&amp;sheet=A1&amp;row=134&amp;col=6&amp;number=&amp;sourceID=15","")</f>
        <v/>
      </c>
      <c r="G134" s="4" t="str">
        <f>HYPERLINK("http://141.218.60.56/~jnz1568/getInfo.php?workbook=02_02.xlsx&amp;sheet=A1&amp;row=134&amp;col=7&amp;number=&amp;sourceID=15","")</f>
        <v/>
      </c>
      <c r="H134" s="4" t="str">
        <f>HYPERLINK("http://141.218.60.56/~jnz1568/getInfo.php?workbook=02_02.xlsx&amp;sheet=A1&amp;row=134&amp;col=8&amp;number=&amp;sourceID=15","")</f>
        <v/>
      </c>
      <c r="I134" s="4" t="str">
        <f>HYPERLINK("http://141.218.60.56/~jnz1568/getInfo.php?workbook=02_02.xlsx&amp;sheet=A1&amp;row=134&amp;col=9&amp;number=&amp;sourceID=15","")</f>
        <v/>
      </c>
      <c r="J134" s="4" t="str">
        <f>HYPERLINK("http://141.218.60.56/~jnz1568/getInfo.php?workbook=02_02.xlsx&amp;sheet=A1&amp;row=134&amp;col=10&amp;number=&amp;sourceID=15","")</f>
        <v/>
      </c>
      <c r="K134" s="4" t="str">
        <f>HYPERLINK("http://141.218.60.56/~jnz1568/getInfo.php?workbook=02_02.xlsx&amp;sheet=A1&amp;row=134&amp;col=11&amp;number=&amp;sourceID=24","")</f>
        <v/>
      </c>
      <c r="L134" s="4" t="str">
        <f>HYPERLINK("http://141.218.60.56/~jnz1568/getInfo.php?workbook=02_02.xlsx&amp;sheet=A1&amp;row=134&amp;col=12&amp;number=&amp;sourceID=25","")</f>
        <v/>
      </c>
    </row>
    <row r="135" spans="1:12">
      <c r="A135" s="3">
        <v>2</v>
      </c>
      <c r="B135" s="3">
        <v>2</v>
      </c>
      <c r="C135" s="3">
        <v>17</v>
      </c>
      <c r="D135" s="3">
        <v>13</v>
      </c>
      <c r="E135" s="3">
        <f>((1/(INDEX('E1'!I$4:I$32,C135,1)-INDEX('E1'!I$4:I$32,D135,1))))*100000000</f>
        <v>0</v>
      </c>
      <c r="F135" s="4" t="str">
        <f>HYPERLINK("http://141.218.60.56/~jnz1568/getInfo.php?workbook=02_02.xlsx&amp;sheet=A1&amp;row=135&amp;col=6&amp;number=&amp;sourceID=15","")</f>
        <v/>
      </c>
      <c r="G135" s="4" t="str">
        <f>HYPERLINK("http://141.218.60.56/~jnz1568/getInfo.php?workbook=02_02.xlsx&amp;sheet=A1&amp;row=135&amp;col=7&amp;number=&amp;sourceID=15","")</f>
        <v/>
      </c>
      <c r="H135" s="4" t="str">
        <f>HYPERLINK("http://141.218.60.56/~jnz1568/getInfo.php?workbook=02_02.xlsx&amp;sheet=A1&amp;row=135&amp;col=8&amp;number=&amp;sourceID=15","")</f>
        <v/>
      </c>
      <c r="I135" s="4" t="str">
        <f>HYPERLINK("http://141.218.60.56/~jnz1568/getInfo.php?workbook=02_02.xlsx&amp;sheet=A1&amp;row=135&amp;col=9&amp;number=&amp;sourceID=15","")</f>
        <v/>
      </c>
      <c r="J135" s="4" t="str">
        <f>HYPERLINK("http://141.218.60.56/~jnz1568/getInfo.php?workbook=02_02.xlsx&amp;sheet=A1&amp;row=135&amp;col=10&amp;number=&amp;sourceID=15","")</f>
        <v/>
      </c>
      <c r="K135" s="4" t="str">
        <f>HYPERLINK("http://141.218.60.56/~jnz1568/getInfo.php?workbook=02_02.xlsx&amp;sheet=A1&amp;row=135&amp;col=11&amp;number=&amp;sourceID=24","")</f>
        <v/>
      </c>
      <c r="L135" s="4" t="str">
        <f>HYPERLINK("http://141.218.60.56/~jnz1568/getInfo.php?workbook=02_02.xlsx&amp;sheet=A1&amp;row=135&amp;col=12&amp;number=&amp;sourceID=25","")</f>
        <v/>
      </c>
    </row>
    <row r="136" spans="1:12">
      <c r="A136" s="3">
        <v>2</v>
      </c>
      <c r="B136" s="3">
        <v>2</v>
      </c>
      <c r="C136" s="3">
        <v>17</v>
      </c>
      <c r="D136" s="3">
        <v>14</v>
      </c>
      <c r="E136" s="3">
        <f>((1/(INDEX('E1'!I$4:I$32,C136,1)-INDEX('E1'!I$4:I$32,D136,1))))*100000000</f>
        <v>0</v>
      </c>
      <c r="F136" s="4" t="str">
        <f>HYPERLINK("http://141.218.60.56/~jnz1568/getInfo.php?workbook=02_02.xlsx&amp;sheet=A1&amp;row=136&amp;col=6&amp;number=&amp;sourceID=15","")</f>
        <v/>
      </c>
      <c r="G136" s="4" t="str">
        <f>HYPERLINK("http://141.218.60.56/~jnz1568/getInfo.php?workbook=02_02.xlsx&amp;sheet=A1&amp;row=136&amp;col=7&amp;number=&amp;sourceID=15","")</f>
        <v/>
      </c>
      <c r="H136" s="4" t="str">
        <f>HYPERLINK("http://141.218.60.56/~jnz1568/getInfo.php?workbook=02_02.xlsx&amp;sheet=A1&amp;row=136&amp;col=8&amp;number=&amp;sourceID=15","")</f>
        <v/>
      </c>
      <c r="I136" s="4" t="str">
        <f>HYPERLINK("http://141.218.60.56/~jnz1568/getInfo.php?workbook=02_02.xlsx&amp;sheet=A1&amp;row=136&amp;col=9&amp;number=&amp;sourceID=15","")</f>
        <v/>
      </c>
      <c r="J136" s="4" t="str">
        <f>HYPERLINK("http://141.218.60.56/~jnz1568/getInfo.php?workbook=02_02.xlsx&amp;sheet=A1&amp;row=136&amp;col=10&amp;number=&amp;sourceID=15","")</f>
        <v/>
      </c>
      <c r="K136" s="4" t="str">
        <f>HYPERLINK("http://141.218.60.56/~jnz1568/getInfo.php?workbook=02_02.xlsx&amp;sheet=A1&amp;row=136&amp;col=11&amp;number=&amp;sourceID=24","")</f>
        <v/>
      </c>
      <c r="L136" s="4" t="str">
        <f>HYPERLINK("http://141.218.60.56/~jnz1568/getInfo.php?workbook=02_02.xlsx&amp;sheet=A1&amp;row=136&amp;col=12&amp;number=&amp;sourceID=25","")</f>
        <v/>
      </c>
    </row>
    <row r="137" spans="1:12">
      <c r="A137" s="3">
        <v>2</v>
      </c>
      <c r="B137" s="3">
        <v>2</v>
      </c>
      <c r="C137" s="3">
        <v>17</v>
      </c>
      <c r="D137" s="3">
        <v>15</v>
      </c>
      <c r="E137" s="3">
        <f>((1/(INDEX('E1'!I$4:I$32,C137,1)-INDEX('E1'!I$4:I$32,D137,1))))*100000000</f>
        <v>0</v>
      </c>
      <c r="F137" s="4" t="str">
        <f>HYPERLINK("http://141.218.60.56/~jnz1568/getInfo.php?workbook=02_02.xlsx&amp;sheet=A1&amp;row=137&amp;col=6&amp;number=&amp;sourceID=15","")</f>
        <v/>
      </c>
      <c r="G137" s="4" t="str">
        <f>HYPERLINK("http://141.218.60.56/~jnz1568/getInfo.php?workbook=02_02.xlsx&amp;sheet=A1&amp;row=137&amp;col=7&amp;number=&amp;sourceID=15","")</f>
        <v/>
      </c>
      <c r="H137" s="4" t="str">
        <f>HYPERLINK("http://141.218.60.56/~jnz1568/getInfo.php?workbook=02_02.xlsx&amp;sheet=A1&amp;row=137&amp;col=8&amp;number=&amp;sourceID=15","")</f>
        <v/>
      </c>
      <c r="I137" s="4" t="str">
        <f>HYPERLINK("http://141.218.60.56/~jnz1568/getInfo.php?workbook=02_02.xlsx&amp;sheet=A1&amp;row=137&amp;col=9&amp;number=&amp;sourceID=15","")</f>
        <v/>
      </c>
      <c r="J137" s="4" t="str">
        <f>HYPERLINK("http://141.218.60.56/~jnz1568/getInfo.php?workbook=02_02.xlsx&amp;sheet=A1&amp;row=137&amp;col=10&amp;number=&amp;sourceID=15","")</f>
        <v/>
      </c>
      <c r="K137" s="4" t="str">
        <f>HYPERLINK("http://141.218.60.56/~jnz1568/getInfo.php?workbook=02_02.xlsx&amp;sheet=A1&amp;row=137&amp;col=11&amp;number=0.08701&amp;sourceID=24","0.08701")</f>
        <v>0.08701</v>
      </c>
      <c r="L137" s="4" t="str">
        <f>HYPERLINK("http://141.218.60.56/~jnz1568/getInfo.php?workbook=02_02.xlsx&amp;sheet=A1&amp;row=137&amp;col=12&amp;number=&amp;sourceID=25","")</f>
        <v/>
      </c>
    </row>
    <row r="138" spans="1:12">
      <c r="A138" s="3">
        <v>2</v>
      </c>
      <c r="B138" s="3">
        <v>2</v>
      </c>
      <c r="C138" s="3">
        <v>17</v>
      </c>
      <c r="D138" s="3">
        <v>16</v>
      </c>
      <c r="E138" s="3">
        <f>((1/(INDEX('E1'!I$4:I$32,C138,1)-INDEX('E1'!I$4:I$32,D138,1))))*100000000</f>
        <v>0</v>
      </c>
      <c r="F138" s="4" t="str">
        <f>HYPERLINK("http://141.218.60.56/~jnz1568/getInfo.php?workbook=02_02.xlsx&amp;sheet=A1&amp;row=138&amp;col=6&amp;number=&amp;sourceID=15","")</f>
        <v/>
      </c>
      <c r="G138" s="4" t="str">
        <f>HYPERLINK("http://141.218.60.56/~jnz1568/getInfo.php?workbook=02_02.xlsx&amp;sheet=A1&amp;row=138&amp;col=7&amp;number=&amp;sourceID=15","")</f>
        <v/>
      </c>
      <c r="H138" s="4" t="str">
        <f>HYPERLINK("http://141.218.60.56/~jnz1568/getInfo.php?workbook=02_02.xlsx&amp;sheet=A1&amp;row=138&amp;col=8&amp;number=&amp;sourceID=15","")</f>
        <v/>
      </c>
      <c r="I138" s="4" t="str">
        <f>HYPERLINK("http://141.218.60.56/~jnz1568/getInfo.php?workbook=02_02.xlsx&amp;sheet=A1&amp;row=138&amp;col=9&amp;number=&amp;sourceID=15","")</f>
        <v/>
      </c>
      <c r="J138" s="4" t="str">
        <f>HYPERLINK("http://141.218.60.56/~jnz1568/getInfo.php?workbook=02_02.xlsx&amp;sheet=A1&amp;row=138&amp;col=10&amp;number=&amp;sourceID=15","")</f>
        <v/>
      </c>
      <c r="K138" s="4" t="str">
        <f>HYPERLINK("http://141.218.60.56/~jnz1568/getInfo.php?workbook=02_02.xlsx&amp;sheet=A1&amp;row=138&amp;col=11&amp;number=&amp;sourceID=24","")</f>
        <v/>
      </c>
      <c r="L138" s="4" t="str">
        <f>HYPERLINK("http://141.218.60.56/~jnz1568/getInfo.php?workbook=02_02.xlsx&amp;sheet=A1&amp;row=138&amp;col=12&amp;number=&amp;sourceID=25","")</f>
        <v/>
      </c>
    </row>
    <row r="139" spans="1:12">
      <c r="A139" s="3">
        <v>2</v>
      </c>
      <c r="B139" s="3">
        <v>2</v>
      </c>
      <c r="C139" s="3">
        <v>18</v>
      </c>
      <c r="D139" s="3">
        <v>1</v>
      </c>
      <c r="E139" s="3">
        <f>((1/(INDEX('E1'!I$4:I$32,C139,1)-INDEX('E1'!I$4:I$32,D139,1))))*100000000</f>
        <v>0</v>
      </c>
      <c r="F139" s="4" t="str">
        <f>HYPERLINK("http://141.218.60.56/~jnz1568/getInfo.php?workbook=02_02.xlsx&amp;sheet=A1&amp;row=139&amp;col=6&amp;number=&amp;sourceID=15","")</f>
        <v/>
      </c>
      <c r="G139" s="4" t="str">
        <f>HYPERLINK("http://141.218.60.56/~jnz1568/getInfo.php?workbook=02_02.xlsx&amp;sheet=A1&amp;row=139&amp;col=7&amp;number=&amp;sourceID=15","")</f>
        <v/>
      </c>
      <c r="H139" s="4" t="str">
        <f>HYPERLINK("http://141.218.60.56/~jnz1568/getInfo.php?workbook=02_02.xlsx&amp;sheet=A1&amp;row=139&amp;col=8&amp;number=&amp;sourceID=15","")</f>
        <v/>
      </c>
      <c r="I139" s="4" t="str">
        <f>HYPERLINK("http://141.218.60.56/~jnz1568/getInfo.php?workbook=02_02.xlsx&amp;sheet=A1&amp;row=139&amp;col=9&amp;number=&amp;sourceID=15","")</f>
        <v/>
      </c>
      <c r="J139" s="4" t="str">
        <f>HYPERLINK("http://141.218.60.56/~jnz1568/getInfo.php?workbook=02_02.xlsx&amp;sheet=A1&amp;row=139&amp;col=10&amp;number=&amp;sourceID=15","")</f>
        <v/>
      </c>
      <c r="K139" s="4" t="str">
        <f>HYPERLINK("http://141.218.60.56/~jnz1568/getInfo.php?workbook=02_02.xlsx&amp;sheet=A1&amp;row=139&amp;col=11&amp;number=&amp;sourceID=24","")</f>
        <v/>
      </c>
      <c r="L139" s="4" t="str">
        <f>HYPERLINK("http://141.218.60.56/~jnz1568/getInfo.php?workbook=02_02.xlsx&amp;sheet=A1&amp;row=139&amp;col=12&amp;number=&amp;sourceID=25","")</f>
        <v/>
      </c>
    </row>
    <row r="140" spans="1:12">
      <c r="A140" s="3">
        <v>2</v>
      </c>
      <c r="B140" s="3">
        <v>2</v>
      </c>
      <c r="C140" s="3">
        <v>18</v>
      </c>
      <c r="D140" s="3">
        <v>2</v>
      </c>
      <c r="E140" s="3">
        <f>((1/(INDEX('E1'!I$4:I$32,C140,1)-INDEX('E1'!I$4:I$32,D140,1))))*100000000</f>
        <v>0</v>
      </c>
      <c r="F140" s="4" t="str">
        <f>HYPERLINK("http://141.218.60.56/~jnz1568/getInfo.php?workbook=02_02.xlsx&amp;sheet=A1&amp;row=140&amp;col=6&amp;number=&amp;sourceID=15","")</f>
        <v/>
      </c>
      <c r="G140" s="4" t="str">
        <f>HYPERLINK("http://141.218.60.56/~jnz1568/getInfo.php?workbook=02_02.xlsx&amp;sheet=A1&amp;row=140&amp;col=7&amp;number=&amp;sourceID=15","")</f>
        <v/>
      </c>
      <c r="H140" s="4" t="str">
        <f>HYPERLINK("http://141.218.60.56/~jnz1568/getInfo.php?workbook=02_02.xlsx&amp;sheet=A1&amp;row=140&amp;col=8&amp;number=&amp;sourceID=15","")</f>
        <v/>
      </c>
      <c r="I140" s="4" t="str">
        <f>HYPERLINK("http://141.218.60.56/~jnz1568/getInfo.php?workbook=02_02.xlsx&amp;sheet=A1&amp;row=140&amp;col=9&amp;number=&amp;sourceID=15","")</f>
        <v/>
      </c>
      <c r="J140" s="4" t="str">
        <f>HYPERLINK("http://141.218.60.56/~jnz1568/getInfo.php?workbook=02_02.xlsx&amp;sheet=A1&amp;row=140&amp;col=10&amp;number=&amp;sourceID=15","")</f>
        <v/>
      </c>
      <c r="K140" s="4" t="str">
        <f>HYPERLINK("http://141.218.60.56/~jnz1568/getInfo.php?workbook=02_02.xlsx&amp;sheet=A1&amp;row=140&amp;col=11&amp;number=&amp;sourceID=24","")</f>
        <v/>
      </c>
      <c r="L140" s="4" t="str">
        <f>HYPERLINK("http://141.218.60.56/~jnz1568/getInfo.php?workbook=02_02.xlsx&amp;sheet=A1&amp;row=140&amp;col=12&amp;number=&amp;sourceID=25","")</f>
        <v/>
      </c>
    </row>
    <row r="141" spans="1:12">
      <c r="A141" s="3">
        <v>2</v>
      </c>
      <c r="B141" s="3">
        <v>2</v>
      </c>
      <c r="C141" s="3">
        <v>18</v>
      </c>
      <c r="D141" s="3">
        <v>3</v>
      </c>
      <c r="E141" s="3">
        <f>((1/(INDEX('E1'!I$4:I$32,C141,1)-INDEX('E1'!I$4:I$32,D141,1))))*100000000</f>
        <v>0</v>
      </c>
      <c r="F141" s="4" t="str">
        <f>HYPERLINK("http://141.218.60.56/~jnz1568/getInfo.php?workbook=02_02.xlsx&amp;sheet=A1&amp;row=141&amp;col=6&amp;number=&amp;sourceID=15","")</f>
        <v/>
      </c>
      <c r="G141" s="4" t="str">
        <f>HYPERLINK("http://141.218.60.56/~jnz1568/getInfo.php?workbook=02_02.xlsx&amp;sheet=A1&amp;row=141&amp;col=7&amp;number=&amp;sourceID=15","")</f>
        <v/>
      </c>
      <c r="H141" s="4" t="str">
        <f>HYPERLINK("http://141.218.60.56/~jnz1568/getInfo.php?workbook=02_02.xlsx&amp;sheet=A1&amp;row=141&amp;col=8&amp;number=&amp;sourceID=15","")</f>
        <v/>
      </c>
      <c r="I141" s="4" t="str">
        <f>HYPERLINK("http://141.218.60.56/~jnz1568/getInfo.php?workbook=02_02.xlsx&amp;sheet=A1&amp;row=141&amp;col=9&amp;number=&amp;sourceID=15","")</f>
        <v/>
      </c>
      <c r="J141" s="4" t="str">
        <f>HYPERLINK("http://141.218.60.56/~jnz1568/getInfo.php?workbook=02_02.xlsx&amp;sheet=A1&amp;row=141&amp;col=10&amp;number=&amp;sourceID=15","")</f>
        <v/>
      </c>
      <c r="K141" s="4" t="str">
        <f>HYPERLINK("http://141.218.60.56/~jnz1568/getInfo.php?workbook=02_02.xlsx&amp;sheet=A1&amp;row=141&amp;col=11&amp;number=&amp;sourceID=24","")</f>
        <v/>
      </c>
      <c r="L141" s="4" t="str">
        <f>HYPERLINK("http://141.218.60.56/~jnz1568/getInfo.php?workbook=02_02.xlsx&amp;sheet=A1&amp;row=141&amp;col=12&amp;number=&amp;sourceID=25","")</f>
        <v/>
      </c>
    </row>
    <row r="142" spans="1:12">
      <c r="A142" s="3">
        <v>2</v>
      </c>
      <c r="B142" s="3">
        <v>2</v>
      </c>
      <c r="C142" s="3">
        <v>18</v>
      </c>
      <c r="D142" s="3">
        <v>4</v>
      </c>
      <c r="E142" s="3">
        <f>((1/(INDEX('E1'!I$4:I$32,C142,1)-INDEX('E1'!I$4:I$32,D142,1))))*100000000</f>
        <v>0</v>
      </c>
      <c r="F142" s="4" t="str">
        <f>HYPERLINK("http://141.218.60.56/~jnz1568/getInfo.php?workbook=02_02.xlsx&amp;sheet=A1&amp;row=142&amp;col=6&amp;number=&amp;sourceID=15","")</f>
        <v/>
      </c>
      <c r="G142" s="4" t="str">
        <f>HYPERLINK("http://141.218.60.56/~jnz1568/getInfo.php?workbook=02_02.xlsx&amp;sheet=A1&amp;row=142&amp;col=7&amp;number=&amp;sourceID=15","")</f>
        <v/>
      </c>
      <c r="H142" s="4" t="str">
        <f>HYPERLINK("http://141.218.60.56/~jnz1568/getInfo.php?workbook=02_02.xlsx&amp;sheet=A1&amp;row=142&amp;col=8&amp;number=&amp;sourceID=15","")</f>
        <v/>
      </c>
      <c r="I142" s="4" t="str">
        <f>HYPERLINK("http://141.218.60.56/~jnz1568/getInfo.php?workbook=02_02.xlsx&amp;sheet=A1&amp;row=142&amp;col=9&amp;number=&amp;sourceID=15","")</f>
        <v/>
      </c>
      <c r="J142" s="4" t="str">
        <f>HYPERLINK("http://141.218.60.56/~jnz1568/getInfo.php?workbook=02_02.xlsx&amp;sheet=A1&amp;row=142&amp;col=10&amp;number=&amp;sourceID=15","")</f>
        <v/>
      </c>
      <c r="K142" s="4" t="str">
        <f>HYPERLINK("http://141.218.60.56/~jnz1568/getInfo.php?workbook=02_02.xlsx&amp;sheet=A1&amp;row=142&amp;col=11&amp;number=&amp;sourceID=24","")</f>
        <v/>
      </c>
      <c r="L142" s="4" t="str">
        <f>HYPERLINK("http://141.218.60.56/~jnz1568/getInfo.php?workbook=02_02.xlsx&amp;sheet=A1&amp;row=142&amp;col=12&amp;number=&amp;sourceID=25","")</f>
        <v/>
      </c>
    </row>
    <row r="143" spans="1:12">
      <c r="A143" s="3">
        <v>2</v>
      </c>
      <c r="B143" s="3">
        <v>2</v>
      </c>
      <c r="C143" s="3">
        <v>18</v>
      </c>
      <c r="D143" s="3">
        <v>5</v>
      </c>
      <c r="E143" s="3">
        <f>((1/(INDEX('E1'!I$4:I$32,C143,1)-INDEX('E1'!I$4:I$32,D143,1))))*100000000</f>
        <v>0</v>
      </c>
      <c r="F143" s="4" t="str">
        <f>HYPERLINK("http://141.218.60.56/~jnz1568/getInfo.php?workbook=02_02.xlsx&amp;sheet=A1&amp;row=143&amp;col=6&amp;number==SUM(G143:J143)&amp;sourceID=15","=SUM(G143:J143)")</f>
        <v>=SUM(G143:J143)</v>
      </c>
      <c r="G143" s="4" t="str">
        <f>HYPERLINK("http://141.218.60.56/~jnz1568/getInfo.php?workbook=02_02.xlsx&amp;sheet=A1&amp;row=143&amp;col=7&amp;number=&amp;sourceID=15","")</f>
        <v/>
      </c>
      <c r="H143" s="4" t="str">
        <f>HYPERLINK("http://141.218.60.56/~jnz1568/getInfo.php?workbook=02_02.xlsx&amp;sheet=A1&amp;row=143&amp;col=8&amp;number=62.19&amp;sourceID=15","62.19")</f>
        <v>62.19</v>
      </c>
      <c r="I143" s="4" t="str">
        <f>HYPERLINK("http://141.218.60.56/~jnz1568/getInfo.php?workbook=02_02.xlsx&amp;sheet=A1&amp;row=143&amp;col=9&amp;number=&amp;sourceID=15","")</f>
        <v/>
      </c>
      <c r="J143" s="4" t="str">
        <f>HYPERLINK("http://141.218.60.56/~jnz1568/getInfo.php?workbook=02_02.xlsx&amp;sheet=A1&amp;row=143&amp;col=10&amp;number=&amp;sourceID=15","")</f>
        <v/>
      </c>
      <c r="K143" s="4" t="str">
        <f>HYPERLINK("http://141.218.60.56/~jnz1568/getInfo.php?workbook=02_02.xlsx&amp;sheet=A1&amp;row=143&amp;col=11&amp;number=&amp;sourceID=24","")</f>
        <v/>
      </c>
      <c r="L143" s="4" t="str">
        <f>HYPERLINK("http://141.218.60.56/~jnz1568/getInfo.php?workbook=02_02.xlsx&amp;sheet=A1&amp;row=143&amp;col=12&amp;number=&amp;sourceID=25","")</f>
        <v/>
      </c>
    </row>
    <row r="144" spans="1:12">
      <c r="A144" s="3">
        <v>2</v>
      </c>
      <c r="B144" s="3">
        <v>2</v>
      </c>
      <c r="C144" s="3">
        <v>18</v>
      </c>
      <c r="D144" s="3">
        <v>6</v>
      </c>
      <c r="E144" s="3">
        <f>((1/(INDEX('E1'!I$4:I$32,C144,1)-INDEX('E1'!I$4:I$32,D144,1))))*100000000</f>
        <v>0</v>
      </c>
      <c r="F144" s="4" t="str">
        <f>HYPERLINK("http://141.218.60.56/~jnz1568/getInfo.php?workbook=02_02.xlsx&amp;sheet=A1&amp;row=144&amp;col=6&amp;number=&amp;sourceID=15","")</f>
        <v/>
      </c>
      <c r="G144" s="4" t="str">
        <f>HYPERLINK("http://141.218.60.56/~jnz1568/getInfo.php?workbook=02_02.xlsx&amp;sheet=A1&amp;row=144&amp;col=7&amp;number=&amp;sourceID=15","")</f>
        <v/>
      </c>
      <c r="H144" s="4" t="str">
        <f>HYPERLINK("http://141.218.60.56/~jnz1568/getInfo.php?workbook=02_02.xlsx&amp;sheet=A1&amp;row=144&amp;col=8&amp;number=&amp;sourceID=15","")</f>
        <v/>
      </c>
      <c r="I144" s="4" t="str">
        <f>HYPERLINK("http://141.218.60.56/~jnz1568/getInfo.php?workbook=02_02.xlsx&amp;sheet=A1&amp;row=144&amp;col=9&amp;number=&amp;sourceID=15","")</f>
        <v/>
      </c>
      <c r="J144" s="4" t="str">
        <f>HYPERLINK("http://141.218.60.56/~jnz1568/getInfo.php?workbook=02_02.xlsx&amp;sheet=A1&amp;row=144&amp;col=10&amp;number=&amp;sourceID=15","")</f>
        <v/>
      </c>
      <c r="K144" s="4" t="str">
        <f>HYPERLINK("http://141.218.60.56/~jnz1568/getInfo.php?workbook=02_02.xlsx&amp;sheet=A1&amp;row=144&amp;col=11&amp;number=&amp;sourceID=24","")</f>
        <v/>
      </c>
      <c r="L144" s="4" t="str">
        <f>HYPERLINK("http://141.218.60.56/~jnz1568/getInfo.php?workbook=02_02.xlsx&amp;sheet=A1&amp;row=144&amp;col=12&amp;number=&amp;sourceID=25","")</f>
        <v/>
      </c>
    </row>
    <row r="145" spans="1:12">
      <c r="A145" s="3">
        <v>2</v>
      </c>
      <c r="B145" s="3">
        <v>2</v>
      </c>
      <c r="C145" s="3">
        <v>18</v>
      </c>
      <c r="D145" s="3">
        <v>7</v>
      </c>
      <c r="E145" s="3">
        <f>((1/(INDEX('E1'!I$4:I$32,C145,1)-INDEX('E1'!I$4:I$32,D145,1))))*100000000</f>
        <v>0</v>
      </c>
      <c r="F145" s="4" t="str">
        <f>HYPERLINK("http://141.218.60.56/~jnz1568/getInfo.php?workbook=02_02.xlsx&amp;sheet=A1&amp;row=145&amp;col=6&amp;number=&amp;sourceID=15","")</f>
        <v/>
      </c>
      <c r="G145" s="4" t="str">
        <f>HYPERLINK("http://141.218.60.56/~jnz1568/getInfo.php?workbook=02_02.xlsx&amp;sheet=A1&amp;row=145&amp;col=7&amp;number=&amp;sourceID=15","")</f>
        <v/>
      </c>
      <c r="H145" s="4" t="str">
        <f>HYPERLINK("http://141.218.60.56/~jnz1568/getInfo.php?workbook=02_02.xlsx&amp;sheet=A1&amp;row=145&amp;col=8&amp;number=&amp;sourceID=15","")</f>
        <v/>
      </c>
      <c r="I145" s="4" t="str">
        <f>HYPERLINK("http://141.218.60.56/~jnz1568/getInfo.php?workbook=02_02.xlsx&amp;sheet=A1&amp;row=145&amp;col=9&amp;number=&amp;sourceID=15","")</f>
        <v/>
      </c>
      <c r="J145" s="4" t="str">
        <f>HYPERLINK("http://141.218.60.56/~jnz1568/getInfo.php?workbook=02_02.xlsx&amp;sheet=A1&amp;row=145&amp;col=10&amp;number=&amp;sourceID=15","")</f>
        <v/>
      </c>
      <c r="K145" s="4" t="str">
        <f>HYPERLINK("http://141.218.60.56/~jnz1568/getInfo.php?workbook=02_02.xlsx&amp;sheet=A1&amp;row=145&amp;col=11&amp;number=&amp;sourceID=24","")</f>
        <v/>
      </c>
      <c r="L145" s="4" t="str">
        <f>HYPERLINK("http://141.218.60.56/~jnz1568/getInfo.php?workbook=02_02.xlsx&amp;sheet=A1&amp;row=145&amp;col=12&amp;number=&amp;sourceID=25","")</f>
        <v/>
      </c>
    </row>
    <row r="146" spans="1:12">
      <c r="A146" s="3">
        <v>2</v>
      </c>
      <c r="B146" s="3">
        <v>2</v>
      </c>
      <c r="C146" s="3">
        <v>18</v>
      </c>
      <c r="D146" s="3">
        <v>8</v>
      </c>
      <c r="E146" s="3">
        <f>((1/(INDEX('E1'!I$4:I$32,C146,1)-INDEX('E1'!I$4:I$32,D146,1))))*100000000</f>
        <v>0</v>
      </c>
      <c r="F146" s="4" t="str">
        <f>HYPERLINK("http://141.218.60.56/~jnz1568/getInfo.php?workbook=02_02.xlsx&amp;sheet=A1&amp;row=146&amp;col=6&amp;number=&amp;sourceID=15","")</f>
        <v/>
      </c>
      <c r="G146" s="4" t="str">
        <f>HYPERLINK("http://141.218.60.56/~jnz1568/getInfo.php?workbook=02_02.xlsx&amp;sheet=A1&amp;row=146&amp;col=7&amp;number=&amp;sourceID=15","")</f>
        <v/>
      </c>
      <c r="H146" s="4" t="str">
        <f>HYPERLINK("http://141.218.60.56/~jnz1568/getInfo.php?workbook=02_02.xlsx&amp;sheet=A1&amp;row=146&amp;col=8&amp;number=&amp;sourceID=15","")</f>
        <v/>
      </c>
      <c r="I146" s="4" t="str">
        <f>HYPERLINK("http://141.218.60.56/~jnz1568/getInfo.php?workbook=02_02.xlsx&amp;sheet=A1&amp;row=146&amp;col=9&amp;number=&amp;sourceID=15","")</f>
        <v/>
      </c>
      <c r="J146" s="4" t="str">
        <f>HYPERLINK("http://141.218.60.56/~jnz1568/getInfo.php?workbook=02_02.xlsx&amp;sheet=A1&amp;row=146&amp;col=10&amp;number=&amp;sourceID=15","")</f>
        <v/>
      </c>
      <c r="K146" s="4" t="str">
        <f>HYPERLINK("http://141.218.60.56/~jnz1568/getInfo.php?workbook=02_02.xlsx&amp;sheet=A1&amp;row=146&amp;col=11&amp;number=&amp;sourceID=24","")</f>
        <v/>
      </c>
      <c r="L146" s="4" t="str">
        <f>HYPERLINK("http://141.218.60.56/~jnz1568/getInfo.php?workbook=02_02.xlsx&amp;sheet=A1&amp;row=146&amp;col=12&amp;number=&amp;sourceID=25","")</f>
        <v/>
      </c>
    </row>
    <row r="147" spans="1:12">
      <c r="A147" s="3">
        <v>2</v>
      </c>
      <c r="B147" s="3">
        <v>2</v>
      </c>
      <c r="C147" s="3">
        <v>18</v>
      </c>
      <c r="D147" s="3">
        <v>9</v>
      </c>
      <c r="E147" s="3">
        <f>((1/(INDEX('E1'!I$4:I$32,C147,1)-INDEX('E1'!I$4:I$32,D147,1))))*100000000</f>
        <v>0</v>
      </c>
      <c r="F147" s="4" t="str">
        <f>HYPERLINK("http://141.218.60.56/~jnz1568/getInfo.php?workbook=02_02.xlsx&amp;sheet=A1&amp;row=147&amp;col=6&amp;number==SUM(G147:J147)&amp;sourceID=15","=SUM(G147:J147)")</f>
        <v>=SUM(G147:J147)</v>
      </c>
      <c r="G147" s="4" t="str">
        <f>HYPERLINK("http://141.218.60.56/~jnz1568/getInfo.php?workbook=02_02.xlsx&amp;sheet=A1&amp;row=147&amp;col=7&amp;number=4855000&amp;sourceID=15","4855000")</f>
        <v>4855000</v>
      </c>
      <c r="H147" s="4" t="str">
        <f>HYPERLINK("http://141.218.60.56/~jnz1568/getInfo.php?workbook=02_02.xlsx&amp;sheet=A1&amp;row=147&amp;col=8&amp;number=&amp;sourceID=15","")</f>
        <v/>
      </c>
      <c r="I147" s="4" t="str">
        <f>HYPERLINK("http://141.218.60.56/~jnz1568/getInfo.php?workbook=02_02.xlsx&amp;sheet=A1&amp;row=147&amp;col=9&amp;number=&amp;sourceID=15","")</f>
        <v/>
      </c>
      <c r="J147" s="4" t="str">
        <f>HYPERLINK("http://141.218.60.56/~jnz1568/getInfo.php?workbook=02_02.xlsx&amp;sheet=A1&amp;row=147&amp;col=10&amp;number=&amp;sourceID=15","")</f>
        <v/>
      </c>
      <c r="K147" s="4" t="str">
        <f>HYPERLINK("http://141.218.60.56/~jnz1568/getInfo.php?workbook=02_02.xlsx&amp;sheet=A1&amp;row=147&amp;col=11&amp;number=&amp;sourceID=24","")</f>
        <v/>
      </c>
      <c r="L147" s="4" t="str">
        <f>HYPERLINK("http://141.218.60.56/~jnz1568/getInfo.php?workbook=02_02.xlsx&amp;sheet=A1&amp;row=147&amp;col=12&amp;number=&amp;sourceID=25","")</f>
        <v/>
      </c>
    </row>
    <row r="148" spans="1:12">
      <c r="A148" s="3">
        <v>2</v>
      </c>
      <c r="B148" s="3">
        <v>2</v>
      </c>
      <c r="C148" s="3">
        <v>18</v>
      </c>
      <c r="D148" s="3">
        <v>10</v>
      </c>
      <c r="E148" s="3">
        <f>((1/(INDEX('E1'!I$4:I$32,C148,1)-INDEX('E1'!I$4:I$32,D148,1))))*100000000</f>
        <v>0</v>
      </c>
      <c r="F148" s="4" t="str">
        <f>HYPERLINK("http://141.218.60.56/~jnz1568/getInfo.php?workbook=02_02.xlsx&amp;sheet=A1&amp;row=148&amp;col=6&amp;number==SUM(G148:J148)&amp;sourceID=15","=SUM(G148:J148)")</f>
        <v>=SUM(G148:J148)</v>
      </c>
      <c r="G148" s="4" t="str">
        <f>HYPERLINK("http://141.218.60.56/~jnz1568/getInfo.php?workbook=02_02.xlsx&amp;sheet=A1&amp;row=148&amp;col=7&amp;number=8978000&amp;sourceID=15","8978000")</f>
        <v>8978000</v>
      </c>
      <c r="H148" s="4" t="str">
        <f>HYPERLINK("http://141.218.60.56/~jnz1568/getInfo.php?workbook=02_02.xlsx&amp;sheet=A1&amp;row=148&amp;col=8&amp;number=&amp;sourceID=15","")</f>
        <v/>
      </c>
      <c r="I148" s="4" t="str">
        <f>HYPERLINK("http://141.218.60.56/~jnz1568/getInfo.php?workbook=02_02.xlsx&amp;sheet=A1&amp;row=148&amp;col=9&amp;number=&amp;sourceID=15","")</f>
        <v/>
      </c>
      <c r="J148" s="4" t="str">
        <f>HYPERLINK("http://141.218.60.56/~jnz1568/getInfo.php?workbook=02_02.xlsx&amp;sheet=A1&amp;row=148&amp;col=10&amp;number=&amp;sourceID=15","")</f>
        <v/>
      </c>
      <c r="K148" s="4" t="str">
        <f>HYPERLINK("http://141.218.60.56/~jnz1568/getInfo.php?workbook=02_02.xlsx&amp;sheet=A1&amp;row=148&amp;col=11&amp;number=13830000&amp;sourceID=24","13830000")</f>
        <v>13830000</v>
      </c>
      <c r="L148" s="4" t="str">
        <f>HYPERLINK("http://141.218.60.56/~jnz1568/getInfo.php?workbook=02_02.xlsx&amp;sheet=A1&amp;row=148&amp;col=12&amp;number=&amp;sourceID=25","")</f>
        <v/>
      </c>
    </row>
    <row r="149" spans="1:12">
      <c r="A149" s="3">
        <v>2</v>
      </c>
      <c r="B149" s="3">
        <v>2</v>
      </c>
      <c r="C149" s="3">
        <v>18</v>
      </c>
      <c r="D149" s="3">
        <v>11</v>
      </c>
      <c r="E149" s="3">
        <f>((1/(INDEX('E1'!I$4:I$32,C149,1)-INDEX('E1'!I$4:I$32,D149,1))))*100000000</f>
        <v>0</v>
      </c>
      <c r="F149" s="4" t="str">
        <f>HYPERLINK("http://141.218.60.56/~jnz1568/getInfo.php?workbook=02_02.xlsx&amp;sheet=A1&amp;row=149&amp;col=6&amp;number=&amp;sourceID=15","")</f>
        <v/>
      </c>
      <c r="G149" s="4" t="str">
        <f>HYPERLINK("http://141.218.60.56/~jnz1568/getInfo.php?workbook=02_02.xlsx&amp;sheet=A1&amp;row=149&amp;col=7&amp;number=&amp;sourceID=15","")</f>
        <v/>
      </c>
      <c r="H149" s="4" t="str">
        <f>HYPERLINK("http://141.218.60.56/~jnz1568/getInfo.php?workbook=02_02.xlsx&amp;sheet=A1&amp;row=149&amp;col=8&amp;number=&amp;sourceID=15","")</f>
        <v/>
      </c>
      <c r="I149" s="4" t="str">
        <f>HYPERLINK("http://141.218.60.56/~jnz1568/getInfo.php?workbook=02_02.xlsx&amp;sheet=A1&amp;row=149&amp;col=9&amp;number=&amp;sourceID=15","")</f>
        <v/>
      </c>
      <c r="J149" s="4" t="str">
        <f>HYPERLINK("http://141.218.60.56/~jnz1568/getInfo.php?workbook=02_02.xlsx&amp;sheet=A1&amp;row=149&amp;col=10&amp;number=&amp;sourceID=15","")</f>
        <v/>
      </c>
      <c r="K149" s="4" t="str">
        <f>HYPERLINK("http://141.218.60.56/~jnz1568/getInfo.php?workbook=02_02.xlsx&amp;sheet=A1&amp;row=149&amp;col=11&amp;number=&amp;sourceID=24","")</f>
        <v/>
      </c>
      <c r="L149" s="4" t="str">
        <f>HYPERLINK("http://141.218.60.56/~jnz1568/getInfo.php?workbook=02_02.xlsx&amp;sheet=A1&amp;row=149&amp;col=12&amp;number=&amp;sourceID=25","")</f>
        <v/>
      </c>
    </row>
    <row r="150" spans="1:12">
      <c r="A150" s="3">
        <v>2</v>
      </c>
      <c r="B150" s="3">
        <v>2</v>
      </c>
      <c r="C150" s="3">
        <v>18</v>
      </c>
      <c r="D150" s="3">
        <v>12</v>
      </c>
      <c r="E150" s="3">
        <f>((1/(INDEX('E1'!I$4:I$32,C150,1)-INDEX('E1'!I$4:I$32,D150,1))))*100000000</f>
        <v>0</v>
      </c>
      <c r="F150" s="4" t="str">
        <f>HYPERLINK("http://141.218.60.56/~jnz1568/getInfo.php?workbook=02_02.xlsx&amp;sheet=A1&amp;row=150&amp;col=6&amp;number=&amp;sourceID=15","")</f>
        <v/>
      </c>
      <c r="G150" s="4" t="str">
        <f>HYPERLINK("http://141.218.60.56/~jnz1568/getInfo.php?workbook=02_02.xlsx&amp;sheet=A1&amp;row=150&amp;col=7&amp;number=&amp;sourceID=15","")</f>
        <v/>
      </c>
      <c r="H150" s="4" t="str">
        <f>HYPERLINK("http://141.218.60.56/~jnz1568/getInfo.php?workbook=02_02.xlsx&amp;sheet=A1&amp;row=150&amp;col=8&amp;number=&amp;sourceID=15","")</f>
        <v/>
      </c>
      <c r="I150" s="4" t="str">
        <f>HYPERLINK("http://141.218.60.56/~jnz1568/getInfo.php?workbook=02_02.xlsx&amp;sheet=A1&amp;row=150&amp;col=9&amp;number=&amp;sourceID=15","")</f>
        <v/>
      </c>
      <c r="J150" s="4" t="str">
        <f>HYPERLINK("http://141.218.60.56/~jnz1568/getInfo.php?workbook=02_02.xlsx&amp;sheet=A1&amp;row=150&amp;col=10&amp;number=&amp;sourceID=15","")</f>
        <v/>
      </c>
      <c r="K150" s="4" t="str">
        <f>HYPERLINK("http://141.218.60.56/~jnz1568/getInfo.php?workbook=02_02.xlsx&amp;sheet=A1&amp;row=150&amp;col=11&amp;number=&amp;sourceID=24","")</f>
        <v/>
      </c>
      <c r="L150" s="4" t="str">
        <f>HYPERLINK("http://141.218.60.56/~jnz1568/getInfo.php?workbook=02_02.xlsx&amp;sheet=A1&amp;row=150&amp;col=12&amp;number=&amp;sourceID=25","")</f>
        <v/>
      </c>
    </row>
    <row r="151" spans="1:12">
      <c r="A151" s="3">
        <v>2</v>
      </c>
      <c r="B151" s="3">
        <v>2</v>
      </c>
      <c r="C151" s="3">
        <v>18</v>
      </c>
      <c r="D151" s="3">
        <v>13</v>
      </c>
      <c r="E151" s="3">
        <f>((1/(INDEX('E1'!I$4:I$32,C151,1)-INDEX('E1'!I$4:I$32,D151,1))))*100000000</f>
        <v>0</v>
      </c>
      <c r="F151" s="4" t="str">
        <f>HYPERLINK("http://141.218.60.56/~jnz1568/getInfo.php?workbook=02_02.xlsx&amp;sheet=A1&amp;row=151&amp;col=6&amp;number=&amp;sourceID=15","")</f>
        <v/>
      </c>
      <c r="G151" s="4" t="str">
        <f>HYPERLINK("http://141.218.60.56/~jnz1568/getInfo.php?workbook=02_02.xlsx&amp;sheet=A1&amp;row=151&amp;col=7&amp;number=&amp;sourceID=15","")</f>
        <v/>
      </c>
      <c r="H151" s="4" t="str">
        <f>HYPERLINK("http://141.218.60.56/~jnz1568/getInfo.php?workbook=02_02.xlsx&amp;sheet=A1&amp;row=151&amp;col=8&amp;number=&amp;sourceID=15","")</f>
        <v/>
      </c>
      <c r="I151" s="4" t="str">
        <f>HYPERLINK("http://141.218.60.56/~jnz1568/getInfo.php?workbook=02_02.xlsx&amp;sheet=A1&amp;row=151&amp;col=9&amp;number=&amp;sourceID=15","")</f>
        <v/>
      </c>
      <c r="J151" s="4" t="str">
        <f>HYPERLINK("http://141.218.60.56/~jnz1568/getInfo.php?workbook=02_02.xlsx&amp;sheet=A1&amp;row=151&amp;col=10&amp;number=&amp;sourceID=15","")</f>
        <v/>
      </c>
      <c r="K151" s="4" t="str">
        <f>HYPERLINK("http://141.218.60.56/~jnz1568/getInfo.php?workbook=02_02.xlsx&amp;sheet=A1&amp;row=151&amp;col=11&amp;number=&amp;sourceID=24","")</f>
        <v/>
      </c>
      <c r="L151" s="4" t="str">
        <f>HYPERLINK("http://141.218.60.56/~jnz1568/getInfo.php?workbook=02_02.xlsx&amp;sheet=A1&amp;row=151&amp;col=12&amp;number=&amp;sourceID=25","")</f>
        <v/>
      </c>
    </row>
    <row r="152" spans="1:12">
      <c r="A152" s="3">
        <v>2</v>
      </c>
      <c r="B152" s="3">
        <v>2</v>
      </c>
      <c r="C152" s="3">
        <v>18</v>
      </c>
      <c r="D152" s="3">
        <v>14</v>
      </c>
      <c r="E152" s="3">
        <f>((1/(INDEX('E1'!I$4:I$32,C152,1)-INDEX('E1'!I$4:I$32,D152,1))))*100000000</f>
        <v>0</v>
      </c>
      <c r="F152" s="4" t="str">
        <f>HYPERLINK("http://141.218.60.56/~jnz1568/getInfo.php?workbook=02_02.xlsx&amp;sheet=A1&amp;row=152&amp;col=6&amp;number=&amp;sourceID=15","")</f>
        <v/>
      </c>
      <c r="G152" s="4" t="str">
        <f>HYPERLINK("http://141.218.60.56/~jnz1568/getInfo.php?workbook=02_02.xlsx&amp;sheet=A1&amp;row=152&amp;col=7&amp;number=&amp;sourceID=15","")</f>
        <v/>
      </c>
      <c r="H152" s="4" t="str">
        <f>HYPERLINK("http://141.218.60.56/~jnz1568/getInfo.php?workbook=02_02.xlsx&amp;sheet=A1&amp;row=152&amp;col=8&amp;number=&amp;sourceID=15","")</f>
        <v/>
      </c>
      <c r="I152" s="4" t="str">
        <f>HYPERLINK("http://141.218.60.56/~jnz1568/getInfo.php?workbook=02_02.xlsx&amp;sheet=A1&amp;row=152&amp;col=9&amp;number=&amp;sourceID=15","")</f>
        <v/>
      </c>
      <c r="J152" s="4" t="str">
        <f>HYPERLINK("http://141.218.60.56/~jnz1568/getInfo.php?workbook=02_02.xlsx&amp;sheet=A1&amp;row=152&amp;col=10&amp;number=&amp;sourceID=15","")</f>
        <v/>
      </c>
      <c r="K152" s="4" t="str">
        <f>HYPERLINK("http://141.218.60.56/~jnz1568/getInfo.php?workbook=02_02.xlsx&amp;sheet=A1&amp;row=152&amp;col=11&amp;number=&amp;sourceID=24","")</f>
        <v/>
      </c>
      <c r="L152" s="4" t="str">
        <f>HYPERLINK("http://141.218.60.56/~jnz1568/getInfo.php?workbook=02_02.xlsx&amp;sheet=A1&amp;row=152&amp;col=12&amp;number=&amp;sourceID=25","")</f>
        <v/>
      </c>
    </row>
    <row r="153" spans="1:12">
      <c r="A153" s="3">
        <v>2</v>
      </c>
      <c r="B153" s="3">
        <v>2</v>
      </c>
      <c r="C153" s="3">
        <v>18</v>
      </c>
      <c r="D153" s="3">
        <v>15</v>
      </c>
      <c r="E153" s="3">
        <f>((1/(INDEX('E1'!I$4:I$32,C153,1)-INDEX('E1'!I$4:I$32,D153,1))))*100000000</f>
        <v>0</v>
      </c>
      <c r="F153" s="4" t="str">
        <f>HYPERLINK("http://141.218.60.56/~jnz1568/getInfo.php?workbook=02_02.xlsx&amp;sheet=A1&amp;row=153&amp;col=6&amp;number=&amp;sourceID=15","")</f>
        <v/>
      </c>
      <c r="G153" s="4" t="str">
        <f>HYPERLINK("http://141.218.60.56/~jnz1568/getInfo.php?workbook=02_02.xlsx&amp;sheet=A1&amp;row=153&amp;col=7&amp;number=&amp;sourceID=15","")</f>
        <v/>
      </c>
      <c r="H153" s="4" t="str">
        <f>HYPERLINK("http://141.218.60.56/~jnz1568/getInfo.php?workbook=02_02.xlsx&amp;sheet=A1&amp;row=153&amp;col=8&amp;number=&amp;sourceID=15","")</f>
        <v/>
      </c>
      <c r="I153" s="4" t="str">
        <f>HYPERLINK("http://141.218.60.56/~jnz1568/getInfo.php?workbook=02_02.xlsx&amp;sheet=A1&amp;row=153&amp;col=9&amp;number=&amp;sourceID=15","")</f>
        <v/>
      </c>
      <c r="J153" s="4" t="str">
        <f>HYPERLINK("http://141.218.60.56/~jnz1568/getInfo.php?workbook=02_02.xlsx&amp;sheet=A1&amp;row=153&amp;col=10&amp;number=&amp;sourceID=15","")</f>
        <v/>
      </c>
      <c r="K153" s="4" t="str">
        <f>HYPERLINK("http://141.218.60.56/~jnz1568/getInfo.php?workbook=02_02.xlsx&amp;sheet=A1&amp;row=153&amp;col=11&amp;number=&amp;sourceID=24","")</f>
        <v/>
      </c>
      <c r="L153" s="4" t="str">
        <f>HYPERLINK("http://141.218.60.56/~jnz1568/getInfo.php?workbook=02_02.xlsx&amp;sheet=A1&amp;row=153&amp;col=12&amp;number=&amp;sourceID=25","")</f>
        <v/>
      </c>
    </row>
    <row r="154" spans="1:12">
      <c r="A154" s="3">
        <v>2</v>
      </c>
      <c r="B154" s="3">
        <v>2</v>
      </c>
      <c r="C154" s="3">
        <v>18</v>
      </c>
      <c r="D154" s="3">
        <v>16</v>
      </c>
      <c r="E154" s="3">
        <f>((1/(INDEX('E1'!I$4:I$32,C154,1)-INDEX('E1'!I$4:I$32,D154,1))))*100000000</f>
        <v>0</v>
      </c>
      <c r="F154" s="4" t="str">
        <f>HYPERLINK("http://141.218.60.56/~jnz1568/getInfo.php?workbook=02_02.xlsx&amp;sheet=A1&amp;row=154&amp;col=6&amp;number=&amp;sourceID=15","")</f>
        <v/>
      </c>
      <c r="G154" s="4" t="str">
        <f>HYPERLINK("http://141.218.60.56/~jnz1568/getInfo.php?workbook=02_02.xlsx&amp;sheet=A1&amp;row=154&amp;col=7&amp;number=&amp;sourceID=15","")</f>
        <v/>
      </c>
      <c r="H154" s="4" t="str">
        <f>HYPERLINK("http://141.218.60.56/~jnz1568/getInfo.php?workbook=02_02.xlsx&amp;sheet=A1&amp;row=154&amp;col=8&amp;number=&amp;sourceID=15","")</f>
        <v/>
      </c>
      <c r="I154" s="4" t="str">
        <f>HYPERLINK("http://141.218.60.56/~jnz1568/getInfo.php?workbook=02_02.xlsx&amp;sheet=A1&amp;row=154&amp;col=9&amp;number=&amp;sourceID=15","")</f>
        <v/>
      </c>
      <c r="J154" s="4" t="str">
        <f>HYPERLINK("http://141.218.60.56/~jnz1568/getInfo.php?workbook=02_02.xlsx&amp;sheet=A1&amp;row=154&amp;col=10&amp;number=&amp;sourceID=15","")</f>
        <v/>
      </c>
      <c r="K154" s="4" t="str">
        <f>HYPERLINK("http://141.218.60.56/~jnz1568/getInfo.php?workbook=02_02.xlsx&amp;sheet=A1&amp;row=154&amp;col=11&amp;number=&amp;sourceID=24","")</f>
        <v/>
      </c>
      <c r="L154" s="4" t="str">
        <f>HYPERLINK("http://141.218.60.56/~jnz1568/getInfo.php?workbook=02_02.xlsx&amp;sheet=A1&amp;row=154&amp;col=12&amp;number=&amp;sourceID=25","")</f>
        <v/>
      </c>
    </row>
    <row r="155" spans="1:12">
      <c r="A155" s="3">
        <v>2</v>
      </c>
      <c r="B155" s="3">
        <v>2</v>
      </c>
      <c r="C155" s="3">
        <v>18</v>
      </c>
      <c r="D155" s="3">
        <v>17</v>
      </c>
      <c r="E155" s="3">
        <f>((1/(INDEX('E1'!I$4:I$32,C155,1)-INDEX('E1'!I$4:I$32,D155,1))))*100000000</f>
        <v>0</v>
      </c>
      <c r="F155" s="4" t="str">
        <f>HYPERLINK("http://141.218.60.56/~jnz1568/getInfo.php?workbook=02_02.xlsx&amp;sheet=A1&amp;row=155&amp;col=6&amp;number=&amp;sourceID=15","")</f>
        <v/>
      </c>
      <c r="G155" s="4" t="str">
        <f>HYPERLINK("http://141.218.60.56/~jnz1568/getInfo.php?workbook=02_02.xlsx&amp;sheet=A1&amp;row=155&amp;col=7&amp;number=&amp;sourceID=15","")</f>
        <v/>
      </c>
      <c r="H155" s="4" t="str">
        <f>HYPERLINK("http://141.218.60.56/~jnz1568/getInfo.php?workbook=02_02.xlsx&amp;sheet=A1&amp;row=155&amp;col=8&amp;number=&amp;sourceID=15","")</f>
        <v/>
      </c>
      <c r="I155" s="4" t="str">
        <f>HYPERLINK("http://141.218.60.56/~jnz1568/getInfo.php?workbook=02_02.xlsx&amp;sheet=A1&amp;row=155&amp;col=9&amp;number=&amp;sourceID=15","")</f>
        <v/>
      </c>
      <c r="J155" s="4" t="str">
        <f>HYPERLINK("http://141.218.60.56/~jnz1568/getInfo.php?workbook=02_02.xlsx&amp;sheet=A1&amp;row=155&amp;col=10&amp;number=&amp;sourceID=15","")</f>
        <v/>
      </c>
      <c r="K155" s="4" t="str">
        <f>HYPERLINK("http://141.218.60.56/~jnz1568/getInfo.php?workbook=02_02.xlsx&amp;sheet=A1&amp;row=155&amp;col=11&amp;number=&amp;sourceID=24","")</f>
        <v/>
      </c>
      <c r="L155" s="4" t="str">
        <f>HYPERLINK("http://141.218.60.56/~jnz1568/getInfo.php?workbook=02_02.xlsx&amp;sheet=A1&amp;row=155&amp;col=12&amp;number=&amp;sourceID=25","")</f>
        <v/>
      </c>
    </row>
    <row r="156" spans="1:12">
      <c r="A156" s="3">
        <v>2</v>
      </c>
      <c r="B156" s="3">
        <v>2</v>
      </c>
      <c r="C156" s="3">
        <v>19</v>
      </c>
      <c r="D156" s="3">
        <v>1</v>
      </c>
      <c r="E156" s="3">
        <f>((1/(INDEX('E1'!I$4:I$32,C156,1)-INDEX('E1'!I$4:I$32,D156,1))))*100000000</f>
        <v>0</v>
      </c>
      <c r="F156" s="4" t="str">
        <f>HYPERLINK("http://141.218.60.56/~jnz1568/getInfo.php?workbook=02_02.xlsx&amp;sheet=A1&amp;row=156&amp;col=6&amp;number==SUM(G156:J156)&amp;sourceID=15","=SUM(G156:J156)")</f>
        <v>=SUM(G156:J156)</v>
      </c>
      <c r="G156" s="4" t="str">
        <f>HYPERLINK("http://141.218.60.56/~jnz1568/getInfo.php?workbook=02_02.xlsx&amp;sheet=A1&amp;row=156&amp;col=7&amp;number=243560000&amp;sourceID=15","243560000")</f>
        <v>243560000</v>
      </c>
      <c r="H156" s="4" t="str">
        <f>HYPERLINK("http://141.218.60.56/~jnz1568/getInfo.php?workbook=02_02.xlsx&amp;sheet=A1&amp;row=156&amp;col=8&amp;number=&amp;sourceID=15","")</f>
        <v/>
      </c>
      <c r="I156" s="4" t="str">
        <f>HYPERLINK("http://141.218.60.56/~jnz1568/getInfo.php?workbook=02_02.xlsx&amp;sheet=A1&amp;row=156&amp;col=9&amp;number=&amp;sourceID=15","")</f>
        <v/>
      </c>
      <c r="J156" s="4" t="str">
        <f>HYPERLINK("http://141.218.60.56/~jnz1568/getInfo.php?workbook=02_02.xlsx&amp;sheet=A1&amp;row=156&amp;col=10&amp;number=&amp;sourceID=15","")</f>
        <v/>
      </c>
      <c r="K156" s="4" t="str">
        <f>HYPERLINK("http://141.218.60.56/~jnz1568/getInfo.php?workbook=02_02.xlsx&amp;sheet=A1&amp;row=156&amp;col=11&amp;number=247200000&amp;sourceID=24","247200000")</f>
        <v>247200000</v>
      </c>
      <c r="L156" s="4" t="str">
        <f>HYPERLINK("http://141.218.60.56/~jnz1568/getInfo.php?workbook=02_02.xlsx&amp;sheet=A1&amp;row=156&amp;col=12&amp;number=241333333.333&amp;sourceID=25","241333333.333")</f>
        <v>241333333.333</v>
      </c>
    </row>
    <row r="157" spans="1:12">
      <c r="A157" s="3">
        <v>2</v>
      </c>
      <c r="B157" s="3">
        <v>2</v>
      </c>
      <c r="C157" s="3">
        <v>19</v>
      </c>
      <c r="D157" s="3">
        <v>2</v>
      </c>
      <c r="E157" s="3">
        <f>((1/(INDEX('E1'!I$4:I$32,C157,1)-INDEX('E1'!I$4:I$32,D157,1))))*100000000</f>
        <v>0</v>
      </c>
      <c r="F157" s="4" t="str">
        <f>HYPERLINK("http://141.218.60.56/~jnz1568/getInfo.php?workbook=02_02.xlsx&amp;sheet=A1&amp;row=157&amp;col=6&amp;number=&amp;sourceID=15","")</f>
        <v/>
      </c>
      <c r="G157" s="4" t="str">
        <f>HYPERLINK("http://141.218.60.56/~jnz1568/getInfo.php?workbook=02_02.xlsx&amp;sheet=A1&amp;row=157&amp;col=7&amp;number=&amp;sourceID=15","")</f>
        <v/>
      </c>
      <c r="H157" s="4" t="str">
        <f>HYPERLINK("http://141.218.60.56/~jnz1568/getInfo.php?workbook=02_02.xlsx&amp;sheet=A1&amp;row=157&amp;col=8&amp;number=&amp;sourceID=15","")</f>
        <v/>
      </c>
      <c r="I157" s="4" t="str">
        <f>HYPERLINK("http://141.218.60.56/~jnz1568/getInfo.php?workbook=02_02.xlsx&amp;sheet=A1&amp;row=157&amp;col=9&amp;number=&amp;sourceID=15","")</f>
        <v/>
      </c>
      <c r="J157" s="4" t="str">
        <f>HYPERLINK("http://141.218.60.56/~jnz1568/getInfo.php?workbook=02_02.xlsx&amp;sheet=A1&amp;row=157&amp;col=10&amp;number=&amp;sourceID=15","")</f>
        <v/>
      </c>
      <c r="K157" s="4" t="str">
        <f>HYPERLINK("http://141.218.60.56/~jnz1568/getInfo.php?workbook=02_02.xlsx&amp;sheet=A1&amp;row=157&amp;col=11&amp;number=&amp;sourceID=24","")</f>
        <v/>
      </c>
      <c r="L157" s="4" t="str">
        <f>HYPERLINK("http://141.218.60.56/~jnz1568/getInfo.php?workbook=02_02.xlsx&amp;sheet=A1&amp;row=157&amp;col=12&amp;number=&amp;sourceID=25","")</f>
        <v/>
      </c>
    </row>
    <row r="158" spans="1:12">
      <c r="A158" s="3">
        <v>2</v>
      </c>
      <c r="B158" s="3">
        <v>2</v>
      </c>
      <c r="C158" s="3">
        <v>19</v>
      </c>
      <c r="D158" s="3">
        <v>3</v>
      </c>
      <c r="E158" s="3">
        <f>((1/(INDEX('E1'!I$4:I$32,C158,1)-INDEX('E1'!I$4:I$32,D158,1))))*100000000</f>
        <v>0</v>
      </c>
      <c r="F158" s="4" t="str">
        <f>HYPERLINK("http://141.218.60.56/~jnz1568/getInfo.php?workbook=02_02.xlsx&amp;sheet=A1&amp;row=158&amp;col=6&amp;number==SUM(G158:J158)&amp;sourceID=15","=SUM(G158:J158)")</f>
        <v>=SUM(G158:J158)</v>
      </c>
      <c r="G158" s="4" t="str">
        <f>HYPERLINK("http://141.218.60.56/~jnz1568/getInfo.php?workbook=02_02.xlsx&amp;sheet=A1&amp;row=158&amp;col=7&amp;number=6950700&amp;sourceID=15","6950700")</f>
        <v>6950700</v>
      </c>
      <c r="H158" s="4" t="str">
        <f>HYPERLINK("http://141.218.60.56/~jnz1568/getInfo.php?workbook=02_02.xlsx&amp;sheet=A1&amp;row=158&amp;col=8&amp;number=&amp;sourceID=15","")</f>
        <v/>
      </c>
      <c r="I158" s="4" t="str">
        <f>HYPERLINK("http://141.218.60.56/~jnz1568/getInfo.php?workbook=02_02.xlsx&amp;sheet=A1&amp;row=158&amp;col=9&amp;number=&amp;sourceID=15","")</f>
        <v/>
      </c>
      <c r="J158" s="4" t="str">
        <f>HYPERLINK("http://141.218.60.56/~jnz1568/getInfo.php?workbook=02_02.xlsx&amp;sheet=A1&amp;row=158&amp;col=10&amp;number=&amp;sourceID=15","")</f>
        <v/>
      </c>
      <c r="K158" s="4" t="str">
        <f>HYPERLINK("http://141.218.60.56/~jnz1568/getInfo.php?workbook=02_02.xlsx&amp;sheet=A1&amp;row=158&amp;col=11&amp;number=7308000&amp;sourceID=24","7308000")</f>
        <v>7308000</v>
      </c>
      <c r="L158" s="4" t="str">
        <f>HYPERLINK("http://141.218.60.56/~jnz1568/getInfo.php?workbook=02_02.xlsx&amp;sheet=A1&amp;row=158&amp;col=12&amp;number=7100000&amp;sourceID=25","7100000")</f>
        <v>7100000</v>
      </c>
    </row>
    <row r="159" spans="1:12">
      <c r="A159" s="3">
        <v>2</v>
      </c>
      <c r="B159" s="3">
        <v>2</v>
      </c>
      <c r="C159" s="3">
        <v>19</v>
      </c>
      <c r="D159" s="3">
        <v>4</v>
      </c>
      <c r="E159" s="3">
        <f>((1/(INDEX('E1'!I$4:I$32,C159,1)-INDEX('E1'!I$4:I$32,D159,1))))*100000000</f>
        <v>0</v>
      </c>
      <c r="F159" s="4" t="str">
        <f>HYPERLINK("http://141.218.60.56/~jnz1568/getInfo.php?workbook=02_02.xlsx&amp;sheet=A1&amp;row=159&amp;col=6&amp;number=&amp;sourceID=15","")</f>
        <v/>
      </c>
      <c r="G159" s="4" t="str">
        <f>HYPERLINK("http://141.218.60.56/~jnz1568/getInfo.php?workbook=02_02.xlsx&amp;sheet=A1&amp;row=159&amp;col=7&amp;number=&amp;sourceID=15","")</f>
        <v/>
      </c>
      <c r="H159" s="4" t="str">
        <f>HYPERLINK("http://141.218.60.56/~jnz1568/getInfo.php?workbook=02_02.xlsx&amp;sheet=A1&amp;row=159&amp;col=8&amp;number=&amp;sourceID=15","")</f>
        <v/>
      </c>
      <c r="I159" s="4" t="str">
        <f>HYPERLINK("http://141.218.60.56/~jnz1568/getInfo.php?workbook=02_02.xlsx&amp;sheet=A1&amp;row=159&amp;col=9&amp;number=&amp;sourceID=15","")</f>
        <v/>
      </c>
      <c r="J159" s="4" t="str">
        <f>HYPERLINK("http://141.218.60.56/~jnz1568/getInfo.php?workbook=02_02.xlsx&amp;sheet=A1&amp;row=159&amp;col=10&amp;number=&amp;sourceID=15","")</f>
        <v/>
      </c>
      <c r="K159" s="4" t="str">
        <f>HYPERLINK("http://141.218.60.56/~jnz1568/getInfo.php?workbook=02_02.xlsx&amp;sheet=A1&amp;row=159&amp;col=11&amp;number=&amp;sourceID=24","")</f>
        <v/>
      </c>
      <c r="L159" s="4" t="str">
        <f>HYPERLINK("http://141.218.60.56/~jnz1568/getInfo.php?workbook=02_02.xlsx&amp;sheet=A1&amp;row=159&amp;col=12&amp;number=&amp;sourceID=25","")</f>
        <v/>
      </c>
    </row>
    <row r="160" spans="1:12">
      <c r="A160" s="3">
        <v>2</v>
      </c>
      <c r="B160" s="3">
        <v>2</v>
      </c>
      <c r="C160" s="3">
        <v>19</v>
      </c>
      <c r="D160" s="3">
        <v>5</v>
      </c>
      <c r="E160" s="3">
        <f>((1/(INDEX('E1'!I$4:I$32,C160,1)-INDEX('E1'!I$4:I$32,D160,1))))*100000000</f>
        <v>0</v>
      </c>
      <c r="F160" s="4" t="str">
        <f>HYPERLINK("http://141.218.60.56/~jnz1568/getInfo.php?workbook=02_02.xlsx&amp;sheet=A1&amp;row=160&amp;col=6&amp;number==SUM(G160:J160)&amp;sourceID=15","=SUM(G160:J160)")</f>
        <v>=SUM(G160:J160)</v>
      </c>
      <c r="G160" s="4" t="str">
        <f>HYPERLINK("http://141.218.60.56/~jnz1568/getInfo.php?workbook=02_02.xlsx&amp;sheet=A1&amp;row=160&amp;col=7&amp;number=&amp;sourceID=15","")</f>
        <v/>
      </c>
      <c r="H160" s="4" t="str">
        <f>HYPERLINK("http://141.218.60.56/~jnz1568/getInfo.php?workbook=02_02.xlsx&amp;sheet=A1&amp;row=160&amp;col=8&amp;number=10.28&amp;sourceID=15","10.28")</f>
        <v>10.28</v>
      </c>
      <c r="I160" s="4" t="str">
        <f>HYPERLINK("http://141.218.60.56/~jnz1568/getInfo.php?workbook=02_02.xlsx&amp;sheet=A1&amp;row=160&amp;col=9&amp;number=&amp;sourceID=15","")</f>
        <v/>
      </c>
      <c r="J160" s="4" t="str">
        <f>HYPERLINK("http://141.218.60.56/~jnz1568/getInfo.php?workbook=02_02.xlsx&amp;sheet=A1&amp;row=160&amp;col=10&amp;number=&amp;sourceID=15","")</f>
        <v/>
      </c>
      <c r="K160" s="4" t="str">
        <f>HYPERLINK("http://141.218.60.56/~jnz1568/getInfo.php?workbook=02_02.xlsx&amp;sheet=A1&amp;row=160&amp;col=11&amp;number=&amp;sourceID=24","")</f>
        <v/>
      </c>
      <c r="L160" s="4" t="str">
        <f>HYPERLINK("http://141.218.60.56/~jnz1568/getInfo.php?workbook=02_02.xlsx&amp;sheet=A1&amp;row=160&amp;col=12&amp;number=&amp;sourceID=25","")</f>
        <v/>
      </c>
    </row>
    <row r="161" spans="1:12">
      <c r="A161" s="3">
        <v>2</v>
      </c>
      <c r="B161" s="3">
        <v>2</v>
      </c>
      <c r="C161" s="3">
        <v>19</v>
      </c>
      <c r="D161" s="3">
        <v>6</v>
      </c>
      <c r="E161" s="3">
        <f>((1/(INDEX('E1'!I$4:I$32,C161,1)-INDEX('E1'!I$4:I$32,D161,1))))*100000000</f>
        <v>0</v>
      </c>
      <c r="F161" s="4" t="str">
        <f>HYPERLINK("http://141.218.60.56/~jnz1568/getInfo.php?workbook=02_02.xlsx&amp;sheet=A1&amp;row=161&amp;col=6&amp;number=&amp;sourceID=15","")</f>
        <v/>
      </c>
      <c r="G161" s="4" t="str">
        <f>HYPERLINK("http://141.218.60.56/~jnz1568/getInfo.php?workbook=02_02.xlsx&amp;sheet=A1&amp;row=161&amp;col=7&amp;number=&amp;sourceID=15","")</f>
        <v/>
      </c>
      <c r="H161" s="4" t="str">
        <f>HYPERLINK("http://141.218.60.56/~jnz1568/getInfo.php?workbook=02_02.xlsx&amp;sheet=A1&amp;row=161&amp;col=8&amp;number=&amp;sourceID=15","")</f>
        <v/>
      </c>
      <c r="I161" s="4" t="str">
        <f>HYPERLINK("http://141.218.60.56/~jnz1568/getInfo.php?workbook=02_02.xlsx&amp;sheet=A1&amp;row=161&amp;col=9&amp;number=&amp;sourceID=15","")</f>
        <v/>
      </c>
      <c r="J161" s="4" t="str">
        <f>HYPERLINK("http://141.218.60.56/~jnz1568/getInfo.php?workbook=02_02.xlsx&amp;sheet=A1&amp;row=161&amp;col=10&amp;number=&amp;sourceID=15","")</f>
        <v/>
      </c>
      <c r="K161" s="4" t="str">
        <f>HYPERLINK("http://141.218.60.56/~jnz1568/getInfo.php?workbook=02_02.xlsx&amp;sheet=A1&amp;row=161&amp;col=11&amp;number=&amp;sourceID=24","")</f>
        <v/>
      </c>
      <c r="L161" s="4" t="str">
        <f>HYPERLINK("http://141.218.60.56/~jnz1568/getInfo.php?workbook=02_02.xlsx&amp;sheet=A1&amp;row=161&amp;col=12&amp;number=&amp;sourceID=25","")</f>
        <v/>
      </c>
    </row>
    <row r="162" spans="1:12">
      <c r="A162" s="3">
        <v>2</v>
      </c>
      <c r="B162" s="3">
        <v>2</v>
      </c>
      <c r="C162" s="3">
        <v>19</v>
      </c>
      <c r="D162" s="3">
        <v>7</v>
      </c>
      <c r="E162" s="3">
        <f>((1/(INDEX('E1'!I$4:I$32,C162,1)-INDEX('E1'!I$4:I$32,D162,1))))*100000000</f>
        <v>0</v>
      </c>
      <c r="F162" s="4" t="str">
        <f>HYPERLINK("http://141.218.60.56/~jnz1568/getInfo.php?workbook=02_02.xlsx&amp;sheet=A1&amp;row=162&amp;col=6&amp;number==SUM(G162:J162)&amp;sourceID=15","=SUM(G162:J162)")</f>
        <v>=SUM(G162:J162)</v>
      </c>
      <c r="G162" s="4" t="str">
        <f>HYPERLINK("http://141.218.60.56/~jnz1568/getInfo.php?workbook=02_02.xlsx&amp;sheet=A1&amp;row=162&amp;col=7&amp;number=1405700&amp;sourceID=15","1405700")</f>
        <v>1405700</v>
      </c>
      <c r="H162" s="4" t="str">
        <f>HYPERLINK("http://141.218.60.56/~jnz1568/getInfo.php?workbook=02_02.xlsx&amp;sheet=A1&amp;row=162&amp;col=8&amp;number=&amp;sourceID=15","")</f>
        <v/>
      </c>
      <c r="I162" s="4" t="str">
        <f>HYPERLINK("http://141.218.60.56/~jnz1568/getInfo.php?workbook=02_02.xlsx&amp;sheet=A1&amp;row=162&amp;col=9&amp;number=&amp;sourceID=15","")</f>
        <v/>
      </c>
      <c r="J162" s="4" t="str">
        <f>HYPERLINK("http://141.218.60.56/~jnz1568/getInfo.php?workbook=02_02.xlsx&amp;sheet=A1&amp;row=162&amp;col=10&amp;number=&amp;sourceID=15","")</f>
        <v/>
      </c>
      <c r="K162" s="4" t="str">
        <f>HYPERLINK("http://141.218.60.56/~jnz1568/getInfo.php?workbook=02_02.xlsx&amp;sheet=A1&amp;row=162&amp;col=11&amp;number=1517000&amp;sourceID=24","1517000")</f>
        <v>1517000</v>
      </c>
      <c r="L162" s="4" t="str">
        <f>HYPERLINK("http://141.218.60.56/~jnz1568/getInfo.php?workbook=02_02.xlsx&amp;sheet=A1&amp;row=162&amp;col=12&amp;number=1476666.66667&amp;sourceID=25","1476666.66667")</f>
        <v>1476666.66667</v>
      </c>
    </row>
    <row r="163" spans="1:12">
      <c r="A163" s="3">
        <v>2</v>
      </c>
      <c r="B163" s="3">
        <v>2</v>
      </c>
      <c r="C163" s="3">
        <v>19</v>
      </c>
      <c r="D163" s="3">
        <v>8</v>
      </c>
      <c r="E163" s="3">
        <f>((1/(INDEX('E1'!I$4:I$32,C163,1)-INDEX('E1'!I$4:I$32,D163,1))))*100000000</f>
        <v>0</v>
      </c>
      <c r="F163" s="4" t="str">
        <f>HYPERLINK("http://141.218.60.56/~jnz1568/getInfo.php?workbook=02_02.xlsx&amp;sheet=A1&amp;row=163&amp;col=6&amp;number=&amp;sourceID=15","")</f>
        <v/>
      </c>
      <c r="G163" s="4" t="str">
        <f>HYPERLINK("http://141.218.60.56/~jnz1568/getInfo.php?workbook=02_02.xlsx&amp;sheet=A1&amp;row=163&amp;col=7&amp;number=&amp;sourceID=15","")</f>
        <v/>
      </c>
      <c r="H163" s="4" t="str">
        <f>HYPERLINK("http://141.218.60.56/~jnz1568/getInfo.php?workbook=02_02.xlsx&amp;sheet=A1&amp;row=163&amp;col=8&amp;number=&amp;sourceID=15","")</f>
        <v/>
      </c>
      <c r="I163" s="4" t="str">
        <f>HYPERLINK("http://141.218.60.56/~jnz1568/getInfo.php?workbook=02_02.xlsx&amp;sheet=A1&amp;row=163&amp;col=9&amp;number=&amp;sourceID=15","")</f>
        <v/>
      </c>
      <c r="J163" s="4" t="str">
        <f>HYPERLINK("http://141.218.60.56/~jnz1568/getInfo.php?workbook=02_02.xlsx&amp;sheet=A1&amp;row=163&amp;col=10&amp;number=&amp;sourceID=15","")</f>
        <v/>
      </c>
      <c r="K163" s="4" t="str">
        <f>HYPERLINK("http://141.218.60.56/~jnz1568/getInfo.php?workbook=02_02.xlsx&amp;sheet=A1&amp;row=163&amp;col=11&amp;number=&amp;sourceID=24","")</f>
        <v/>
      </c>
      <c r="L163" s="4" t="str">
        <f>HYPERLINK("http://141.218.60.56/~jnz1568/getInfo.php?workbook=02_02.xlsx&amp;sheet=A1&amp;row=163&amp;col=12&amp;number=&amp;sourceID=25","")</f>
        <v/>
      </c>
    </row>
    <row r="164" spans="1:12">
      <c r="A164" s="3">
        <v>2</v>
      </c>
      <c r="B164" s="3">
        <v>2</v>
      </c>
      <c r="C164" s="3">
        <v>19</v>
      </c>
      <c r="D164" s="3">
        <v>9</v>
      </c>
      <c r="E164" s="3">
        <f>((1/(INDEX('E1'!I$4:I$32,C164,1)-INDEX('E1'!I$4:I$32,D164,1))))*100000000</f>
        <v>0</v>
      </c>
      <c r="F164" s="4" t="str">
        <f>HYPERLINK("http://141.218.60.56/~jnz1568/getInfo.php?workbook=02_02.xlsx&amp;sheet=A1&amp;row=164&amp;col=6&amp;number=&amp;sourceID=15","")</f>
        <v/>
      </c>
      <c r="G164" s="4" t="str">
        <f>HYPERLINK("http://141.218.60.56/~jnz1568/getInfo.php?workbook=02_02.xlsx&amp;sheet=A1&amp;row=164&amp;col=7&amp;number=&amp;sourceID=15","")</f>
        <v/>
      </c>
      <c r="H164" s="4" t="str">
        <f>HYPERLINK("http://141.218.60.56/~jnz1568/getInfo.php?workbook=02_02.xlsx&amp;sheet=A1&amp;row=164&amp;col=8&amp;number=&amp;sourceID=15","")</f>
        <v/>
      </c>
      <c r="I164" s="4" t="str">
        <f>HYPERLINK("http://141.218.60.56/~jnz1568/getInfo.php?workbook=02_02.xlsx&amp;sheet=A1&amp;row=164&amp;col=9&amp;number=&amp;sourceID=15","")</f>
        <v/>
      </c>
      <c r="J164" s="4" t="str">
        <f>HYPERLINK("http://141.218.60.56/~jnz1568/getInfo.php?workbook=02_02.xlsx&amp;sheet=A1&amp;row=164&amp;col=10&amp;number=&amp;sourceID=15","")</f>
        <v/>
      </c>
      <c r="K164" s="4" t="str">
        <f>HYPERLINK("http://141.218.60.56/~jnz1568/getInfo.php?workbook=02_02.xlsx&amp;sheet=A1&amp;row=164&amp;col=11&amp;number=&amp;sourceID=24","")</f>
        <v/>
      </c>
      <c r="L164" s="4" t="str">
        <f>HYPERLINK("http://141.218.60.56/~jnz1568/getInfo.php?workbook=02_02.xlsx&amp;sheet=A1&amp;row=164&amp;col=12&amp;number=&amp;sourceID=25","")</f>
        <v/>
      </c>
    </row>
    <row r="165" spans="1:12">
      <c r="A165" s="3">
        <v>2</v>
      </c>
      <c r="B165" s="3">
        <v>2</v>
      </c>
      <c r="C165" s="3">
        <v>19</v>
      </c>
      <c r="D165" s="3">
        <v>10</v>
      </c>
      <c r="E165" s="3">
        <f>((1/(INDEX('E1'!I$4:I$32,C165,1)-INDEX('E1'!I$4:I$32,D165,1))))*100000000</f>
        <v>0</v>
      </c>
      <c r="F165" s="4" t="str">
        <f>HYPERLINK("http://141.218.60.56/~jnz1568/getInfo.php?workbook=02_02.xlsx&amp;sheet=A1&amp;row=165&amp;col=6&amp;number==SUM(G165:J165)&amp;sourceID=15","=SUM(G165:J165)")</f>
        <v>=SUM(G165:J165)</v>
      </c>
      <c r="G165" s="4" t="str">
        <f>HYPERLINK("http://141.218.60.56/~jnz1568/getInfo.php?workbook=02_02.xlsx&amp;sheet=A1&amp;row=165&amp;col=7&amp;number=296300&amp;sourceID=15","296300")</f>
        <v>296300</v>
      </c>
      <c r="H165" s="4" t="str">
        <f>HYPERLINK("http://141.218.60.56/~jnz1568/getInfo.php?workbook=02_02.xlsx&amp;sheet=A1&amp;row=165&amp;col=8&amp;number=&amp;sourceID=15","")</f>
        <v/>
      </c>
      <c r="I165" s="4" t="str">
        <f>HYPERLINK("http://141.218.60.56/~jnz1568/getInfo.php?workbook=02_02.xlsx&amp;sheet=A1&amp;row=165&amp;col=9&amp;number=&amp;sourceID=15","")</f>
        <v/>
      </c>
      <c r="J165" s="4" t="str">
        <f>HYPERLINK("http://141.218.60.56/~jnz1568/getInfo.php?workbook=02_02.xlsx&amp;sheet=A1&amp;row=165&amp;col=10&amp;number=&amp;sourceID=15","")</f>
        <v/>
      </c>
      <c r="K165" s="4" t="str">
        <f>HYPERLINK("http://141.218.60.56/~jnz1568/getInfo.php?workbook=02_02.xlsx&amp;sheet=A1&amp;row=165&amp;col=11&amp;number=281400&amp;sourceID=24","281400")</f>
        <v>281400</v>
      </c>
      <c r="L165" s="4" t="str">
        <f>HYPERLINK("http://141.218.60.56/~jnz1568/getInfo.php?workbook=02_02.xlsx&amp;sheet=A1&amp;row=165&amp;col=12&amp;number=292666.666667&amp;sourceID=25","292666.666667")</f>
        <v>292666.666667</v>
      </c>
    </row>
    <row r="166" spans="1:12">
      <c r="A166" s="3">
        <v>2</v>
      </c>
      <c r="B166" s="3">
        <v>2</v>
      </c>
      <c r="C166" s="3">
        <v>19</v>
      </c>
      <c r="D166" s="3">
        <v>11</v>
      </c>
      <c r="E166" s="3">
        <f>((1/(INDEX('E1'!I$4:I$32,C166,1)-INDEX('E1'!I$4:I$32,D166,1))))*100000000</f>
        <v>0</v>
      </c>
      <c r="F166" s="4" t="str">
        <f>HYPERLINK("http://141.218.60.56/~jnz1568/getInfo.php?workbook=02_02.xlsx&amp;sheet=A1&amp;row=166&amp;col=6&amp;number==SUM(G166:J166)&amp;sourceID=15","=SUM(G166:J166)")</f>
        <v>=SUM(G166:J166)</v>
      </c>
      <c r="G166" s="4" t="str">
        <f>HYPERLINK("http://141.218.60.56/~jnz1568/getInfo.php?workbook=02_02.xlsx&amp;sheet=A1&amp;row=166&amp;col=7&amp;number=&amp;sourceID=15","")</f>
        <v/>
      </c>
      <c r="H166" s="4" t="str">
        <f>HYPERLINK("http://141.218.60.56/~jnz1568/getInfo.php?workbook=02_02.xlsx&amp;sheet=A1&amp;row=166&amp;col=8&amp;number=2.529&amp;sourceID=15","2.529")</f>
        <v>2.529</v>
      </c>
      <c r="I166" s="4" t="str">
        <f>HYPERLINK("http://141.218.60.56/~jnz1568/getInfo.php?workbook=02_02.xlsx&amp;sheet=A1&amp;row=166&amp;col=9&amp;number=&amp;sourceID=15","")</f>
        <v/>
      </c>
      <c r="J166" s="4" t="str">
        <f>HYPERLINK("http://141.218.60.56/~jnz1568/getInfo.php?workbook=02_02.xlsx&amp;sheet=A1&amp;row=166&amp;col=10&amp;number=&amp;sourceID=15","")</f>
        <v/>
      </c>
      <c r="K166" s="4" t="str">
        <f>HYPERLINK("http://141.218.60.56/~jnz1568/getInfo.php?workbook=02_02.xlsx&amp;sheet=A1&amp;row=166&amp;col=11&amp;number=&amp;sourceID=24","")</f>
        <v/>
      </c>
      <c r="L166" s="4" t="str">
        <f>HYPERLINK("http://141.218.60.56/~jnz1568/getInfo.php?workbook=02_02.xlsx&amp;sheet=A1&amp;row=166&amp;col=12&amp;number=&amp;sourceID=25","")</f>
        <v/>
      </c>
    </row>
    <row r="167" spans="1:12">
      <c r="A167" s="3">
        <v>2</v>
      </c>
      <c r="B167" s="3">
        <v>2</v>
      </c>
      <c r="C167" s="3">
        <v>19</v>
      </c>
      <c r="D167" s="3">
        <v>12</v>
      </c>
      <c r="E167" s="3">
        <f>((1/(INDEX('E1'!I$4:I$32,C167,1)-INDEX('E1'!I$4:I$32,D167,1))))*100000000</f>
        <v>0</v>
      </c>
      <c r="F167" s="4" t="str">
        <f>HYPERLINK("http://141.218.60.56/~jnz1568/getInfo.php?workbook=02_02.xlsx&amp;sheet=A1&amp;row=167&amp;col=6&amp;number=&amp;sourceID=15","")</f>
        <v/>
      </c>
      <c r="G167" s="4" t="str">
        <f>HYPERLINK("http://141.218.60.56/~jnz1568/getInfo.php?workbook=02_02.xlsx&amp;sheet=A1&amp;row=167&amp;col=7&amp;number=&amp;sourceID=15","")</f>
        <v/>
      </c>
      <c r="H167" s="4" t="str">
        <f>HYPERLINK("http://141.218.60.56/~jnz1568/getInfo.php?workbook=02_02.xlsx&amp;sheet=A1&amp;row=167&amp;col=8&amp;number=&amp;sourceID=15","")</f>
        <v/>
      </c>
      <c r="I167" s="4" t="str">
        <f>HYPERLINK("http://141.218.60.56/~jnz1568/getInfo.php?workbook=02_02.xlsx&amp;sheet=A1&amp;row=167&amp;col=9&amp;number=&amp;sourceID=15","")</f>
        <v/>
      </c>
      <c r="J167" s="4" t="str">
        <f>HYPERLINK("http://141.218.60.56/~jnz1568/getInfo.php?workbook=02_02.xlsx&amp;sheet=A1&amp;row=167&amp;col=10&amp;number=&amp;sourceID=15","")</f>
        <v/>
      </c>
      <c r="K167" s="4" t="str">
        <f>HYPERLINK("http://141.218.60.56/~jnz1568/getInfo.php?workbook=02_02.xlsx&amp;sheet=A1&amp;row=167&amp;col=11&amp;number=&amp;sourceID=24","")</f>
        <v/>
      </c>
      <c r="L167" s="4" t="str">
        <f>HYPERLINK("http://141.218.60.56/~jnz1568/getInfo.php?workbook=02_02.xlsx&amp;sheet=A1&amp;row=167&amp;col=12&amp;number=&amp;sourceID=25","")</f>
        <v/>
      </c>
    </row>
    <row r="168" spans="1:12">
      <c r="A168" s="3">
        <v>2</v>
      </c>
      <c r="B168" s="3">
        <v>2</v>
      </c>
      <c r="C168" s="3">
        <v>19</v>
      </c>
      <c r="D168" s="3">
        <v>13</v>
      </c>
      <c r="E168" s="3">
        <f>((1/(INDEX('E1'!I$4:I$32,C168,1)-INDEX('E1'!I$4:I$32,D168,1))))*100000000</f>
        <v>0</v>
      </c>
      <c r="F168" s="4" t="str">
        <f>HYPERLINK("http://141.218.60.56/~jnz1568/getInfo.php?workbook=02_02.xlsx&amp;sheet=A1&amp;row=168&amp;col=6&amp;number==SUM(G168:J168)&amp;sourceID=15","=SUM(G168:J168)")</f>
        <v>=SUM(G168:J168)</v>
      </c>
      <c r="G168" s="4" t="str">
        <f>HYPERLINK("http://141.218.60.56/~jnz1568/getInfo.php?workbook=02_02.xlsx&amp;sheet=A1&amp;row=168&amp;col=7&amp;number=58221&amp;sourceID=15","58221")</f>
        <v>58221</v>
      </c>
      <c r="H168" s="4" t="str">
        <f>HYPERLINK("http://141.218.60.56/~jnz1568/getInfo.php?workbook=02_02.xlsx&amp;sheet=A1&amp;row=168&amp;col=8&amp;number=&amp;sourceID=15","")</f>
        <v/>
      </c>
      <c r="I168" s="4" t="str">
        <f>HYPERLINK("http://141.218.60.56/~jnz1568/getInfo.php?workbook=02_02.xlsx&amp;sheet=A1&amp;row=168&amp;col=9&amp;number=&amp;sourceID=15","")</f>
        <v/>
      </c>
      <c r="J168" s="4" t="str">
        <f>HYPERLINK("http://141.218.60.56/~jnz1568/getInfo.php?workbook=02_02.xlsx&amp;sheet=A1&amp;row=168&amp;col=10&amp;number=&amp;sourceID=15","")</f>
        <v/>
      </c>
      <c r="K168" s="4" t="str">
        <f>HYPERLINK("http://141.218.60.56/~jnz1568/getInfo.php?workbook=02_02.xlsx&amp;sheet=A1&amp;row=168&amp;col=11&amp;number=58760&amp;sourceID=24","58760")</f>
        <v>58760</v>
      </c>
      <c r="L168" s="4" t="str">
        <f>HYPERLINK("http://141.218.60.56/~jnz1568/getInfo.php?workbook=02_02.xlsx&amp;sheet=A1&amp;row=168&amp;col=12&amp;number=51000&amp;sourceID=25","51000")</f>
        <v>51000</v>
      </c>
    </row>
    <row r="169" spans="1:12">
      <c r="A169" s="3">
        <v>2</v>
      </c>
      <c r="B169" s="3">
        <v>2</v>
      </c>
      <c r="C169" s="3">
        <v>19</v>
      </c>
      <c r="D169" s="3">
        <v>14</v>
      </c>
      <c r="E169" s="3">
        <f>((1/(INDEX('E1'!I$4:I$32,C169,1)-INDEX('E1'!I$4:I$32,D169,1))))*100000000</f>
        <v>0</v>
      </c>
      <c r="F169" s="4" t="str">
        <f>HYPERLINK("http://141.218.60.56/~jnz1568/getInfo.php?workbook=02_02.xlsx&amp;sheet=A1&amp;row=169&amp;col=6&amp;number=&amp;sourceID=15","")</f>
        <v/>
      </c>
      <c r="G169" s="4" t="str">
        <f>HYPERLINK("http://141.218.60.56/~jnz1568/getInfo.php?workbook=02_02.xlsx&amp;sheet=A1&amp;row=169&amp;col=7&amp;number=&amp;sourceID=15","")</f>
        <v/>
      </c>
      <c r="H169" s="4" t="str">
        <f>HYPERLINK("http://141.218.60.56/~jnz1568/getInfo.php?workbook=02_02.xlsx&amp;sheet=A1&amp;row=169&amp;col=8&amp;number=&amp;sourceID=15","")</f>
        <v/>
      </c>
      <c r="I169" s="4" t="str">
        <f>HYPERLINK("http://141.218.60.56/~jnz1568/getInfo.php?workbook=02_02.xlsx&amp;sheet=A1&amp;row=169&amp;col=9&amp;number=&amp;sourceID=15","")</f>
        <v/>
      </c>
      <c r="J169" s="4" t="str">
        <f>HYPERLINK("http://141.218.60.56/~jnz1568/getInfo.php?workbook=02_02.xlsx&amp;sheet=A1&amp;row=169&amp;col=10&amp;number=&amp;sourceID=15","")</f>
        <v/>
      </c>
      <c r="K169" s="4" t="str">
        <f>HYPERLINK("http://141.218.60.56/~jnz1568/getInfo.php?workbook=02_02.xlsx&amp;sheet=A1&amp;row=169&amp;col=11&amp;number=&amp;sourceID=24","")</f>
        <v/>
      </c>
      <c r="L169" s="4" t="str">
        <f>HYPERLINK("http://141.218.60.56/~jnz1568/getInfo.php?workbook=02_02.xlsx&amp;sheet=A1&amp;row=169&amp;col=12&amp;number=&amp;sourceID=25","")</f>
        <v/>
      </c>
    </row>
    <row r="170" spans="1:12">
      <c r="A170" s="3">
        <v>2</v>
      </c>
      <c r="B170" s="3">
        <v>2</v>
      </c>
      <c r="C170" s="3">
        <v>19</v>
      </c>
      <c r="D170" s="3">
        <v>15</v>
      </c>
      <c r="E170" s="3">
        <f>((1/(INDEX('E1'!I$4:I$32,C170,1)-INDEX('E1'!I$4:I$32,D170,1))))*100000000</f>
        <v>0</v>
      </c>
      <c r="F170" s="4" t="str">
        <f>HYPERLINK("http://141.218.60.56/~jnz1568/getInfo.php?workbook=02_02.xlsx&amp;sheet=A1&amp;row=170&amp;col=6&amp;number==SUM(G170:J170)&amp;sourceID=15","=SUM(G170:J170)")</f>
        <v>=SUM(G170:J170)</v>
      </c>
      <c r="G170" s="4" t="str">
        <f>HYPERLINK("http://141.218.60.56/~jnz1568/getInfo.php?workbook=02_02.xlsx&amp;sheet=A1&amp;row=170&amp;col=7&amp;number=0.008059&amp;sourceID=15","0.008059")</f>
        <v>0.008059</v>
      </c>
      <c r="H170" s="4" t="str">
        <f>HYPERLINK("http://141.218.60.56/~jnz1568/getInfo.php?workbook=02_02.xlsx&amp;sheet=A1&amp;row=170&amp;col=8&amp;number=&amp;sourceID=15","")</f>
        <v/>
      </c>
      <c r="I170" s="4" t="str">
        <f>HYPERLINK("http://141.218.60.56/~jnz1568/getInfo.php?workbook=02_02.xlsx&amp;sheet=A1&amp;row=170&amp;col=9&amp;number=&amp;sourceID=15","")</f>
        <v/>
      </c>
      <c r="J170" s="4" t="str">
        <f>HYPERLINK("http://141.218.60.56/~jnz1568/getInfo.php?workbook=02_02.xlsx&amp;sheet=A1&amp;row=170&amp;col=10&amp;number=&amp;sourceID=15","")</f>
        <v/>
      </c>
      <c r="K170" s="4" t="str">
        <f>HYPERLINK("http://141.218.60.56/~jnz1568/getInfo.php?workbook=02_02.xlsx&amp;sheet=A1&amp;row=170&amp;col=11&amp;number=&amp;sourceID=24","")</f>
        <v/>
      </c>
      <c r="L170" s="4" t="str">
        <f>HYPERLINK("http://141.218.60.56/~jnz1568/getInfo.php?workbook=02_02.xlsx&amp;sheet=A1&amp;row=170&amp;col=12&amp;number=&amp;sourceID=25","")</f>
        <v/>
      </c>
    </row>
    <row r="171" spans="1:12">
      <c r="A171" s="3">
        <v>2</v>
      </c>
      <c r="B171" s="3">
        <v>2</v>
      </c>
      <c r="C171" s="3">
        <v>19</v>
      </c>
      <c r="D171" s="3">
        <v>16</v>
      </c>
      <c r="E171" s="3">
        <f>((1/(INDEX('E1'!I$4:I$32,C171,1)-INDEX('E1'!I$4:I$32,D171,1))))*100000000</f>
        <v>0</v>
      </c>
      <c r="F171" s="4" t="str">
        <f>HYPERLINK("http://141.218.60.56/~jnz1568/getInfo.php?workbook=02_02.xlsx&amp;sheet=A1&amp;row=171&amp;col=6&amp;number==SUM(G171:J171)&amp;sourceID=15","=SUM(G171:J171)")</f>
        <v>=SUM(G171:J171)</v>
      </c>
      <c r="G171" s="4" t="str">
        <f>HYPERLINK("http://141.218.60.56/~jnz1568/getInfo.php?workbook=02_02.xlsx&amp;sheet=A1&amp;row=171&amp;col=7&amp;number=56.862&amp;sourceID=15","56.862")</f>
        <v>56.862</v>
      </c>
      <c r="H171" s="4" t="str">
        <f>HYPERLINK("http://141.218.60.56/~jnz1568/getInfo.php?workbook=02_02.xlsx&amp;sheet=A1&amp;row=171&amp;col=8&amp;number=&amp;sourceID=15","")</f>
        <v/>
      </c>
      <c r="I171" s="4" t="str">
        <f>HYPERLINK("http://141.218.60.56/~jnz1568/getInfo.php?workbook=02_02.xlsx&amp;sheet=A1&amp;row=171&amp;col=9&amp;number=&amp;sourceID=15","")</f>
        <v/>
      </c>
      <c r="J171" s="4" t="str">
        <f>HYPERLINK("http://141.218.60.56/~jnz1568/getInfo.php?workbook=02_02.xlsx&amp;sheet=A1&amp;row=171&amp;col=10&amp;number=&amp;sourceID=15","")</f>
        <v/>
      </c>
      <c r="K171" s="4" t="str">
        <f>HYPERLINK("http://141.218.60.56/~jnz1568/getInfo.php?workbook=02_02.xlsx&amp;sheet=A1&amp;row=171&amp;col=11&amp;number=57.06&amp;sourceID=24","57.06")</f>
        <v>57.06</v>
      </c>
      <c r="L171" s="4" t="str">
        <f>HYPERLINK("http://141.218.60.56/~jnz1568/getInfo.php?workbook=02_02.xlsx&amp;sheet=A1&amp;row=171&amp;col=12&amp;number=67.3333333333&amp;sourceID=25","67.3333333333")</f>
        <v>67.3333333333</v>
      </c>
    </row>
    <row r="172" spans="1:12">
      <c r="A172" s="3">
        <v>2</v>
      </c>
      <c r="B172" s="3">
        <v>2</v>
      </c>
      <c r="C172" s="3">
        <v>19</v>
      </c>
      <c r="D172" s="3">
        <v>17</v>
      </c>
      <c r="E172" s="3">
        <f>((1/(INDEX('E1'!I$4:I$32,C172,1)-INDEX('E1'!I$4:I$32,D172,1))))*100000000</f>
        <v>0</v>
      </c>
      <c r="F172" s="4" t="str">
        <f>HYPERLINK("http://141.218.60.56/~jnz1568/getInfo.php?workbook=02_02.xlsx&amp;sheet=A1&amp;row=172&amp;col=6&amp;number=&amp;sourceID=15","")</f>
        <v/>
      </c>
      <c r="G172" s="4" t="str">
        <f>HYPERLINK("http://141.218.60.56/~jnz1568/getInfo.php?workbook=02_02.xlsx&amp;sheet=A1&amp;row=172&amp;col=7&amp;number=&amp;sourceID=15","")</f>
        <v/>
      </c>
      <c r="H172" s="4" t="str">
        <f>HYPERLINK("http://141.218.60.56/~jnz1568/getInfo.php?workbook=02_02.xlsx&amp;sheet=A1&amp;row=172&amp;col=8&amp;number=&amp;sourceID=15","")</f>
        <v/>
      </c>
      <c r="I172" s="4" t="str">
        <f>HYPERLINK("http://141.218.60.56/~jnz1568/getInfo.php?workbook=02_02.xlsx&amp;sheet=A1&amp;row=172&amp;col=9&amp;number=&amp;sourceID=15","")</f>
        <v/>
      </c>
      <c r="J172" s="4" t="str">
        <f>HYPERLINK("http://141.218.60.56/~jnz1568/getInfo.php?workbook=02_02.xlsx&amp;sheet=A1&amp;row=172&amp;col=10&amp;number=&amp;sourceID=15","")</f>
        <v/>
      </c>
      <c r="K172" s="4" t="str">
        <f>HYPERLINK("http://141.218.60.56/~jnz1568/getInfo.php?workbook=02_02.xlsx&amp;sheet=A1&amp;row=172&amp;col=11&amp;number=&amp;sourceID=24","")</f>
        <v/>
      </c>
      <c r="L172" s="4" t="str">
        <f>HYPERLINK("http://141.218.60.56/~jnz1568/getInfo.php?workbook=02_02.xlsx&amp;sheet=A1&amp;row=172&amp;col=12&amp;number=&amp;sourceID=25","")</f>
        <v/>
      </c>
    </row>
    <row r="173" spans="1:12">
      <c r="A173" s="3">
        <v>2</v>
      </c>
      <c r="B173" s="3">
        <v>2</v>
      </c>
      <c r="C173" s="3">
        <v>19</v>
      </c>
      <c r="D173" s="3">
        <v>18</v>
      </c>
      <c r="E173" s="3">
        <f>((1/(INDEX('E1'!I$4:I$32,C173,1)-INDEX('E1'!I$4:I$32,D173,1))))*100000000</f>
        <v>0</v>
      </c>
      <c r="F173" s="4" t="str">
        <f>HYPERLINK("http://141.218.60.56/~jnz1568/getInfo.php?workbook=02_02.xlsx&amp;sheet=A1&amp;row=173&amp;col=6&amp;number=&amp;sourceID=15","")</f>
        <v/>
      </c>
      <c r="G173" s="4" t="str">
        <f>HYPERLINK("http://141.218.60.56/~jnz1568/getInfo.php?workbook=02_02.xlsx&amp;sheet=A1&amp;row=173&amp;col=7&amp;number=&amp;sourceID=15","")</f>
        <v/>
      </c>
      <c r="H173" s="4" t="str">
        <f>HYPERLINK("http://141.218.60.56/~jnz1568/getInfo.php?workbook=02_02.xlsx&amp;sheet=A1&amp;row=173&amp;col=8&amp;number=&amp;sourceID=15","")</f>
        <v/>
      </c>
      <c r="I173" s="4" t="str">
        <f>HYPERLINK("http://141.218.60.56/~jnz1568/getInfo.php?workbook=02_02.xlsx&amp;sheet=A1&amp;row=173&amp;col=9&amp;number=&amp;sourceID=15","")</f>
        <v/>
      </c>
      <c r="J173" s="4" t="str">
        <f>HYPERLINK("http://141.218.60.56/~jnz1568/getInfo.php?workbook=02_02.xlsx&amp;sheet=A1&amp;row=173&amp;col=10&amp;number=&amp;sourceID=15","")</f>
        <v/>
      </c>
      <c r="K173" s="4" t="str">
        <f>HYPERLINK("http://141.218.60.56/~jnz1568/getInfo.php?workbook=02_02.xlsx&amp;sheet=A1&amp;row=173&amp;col=11&amp;number=&amp;sourceID=24","")</f>
        <v/>
      </c>
      <c r="L173" s="4" t="str">
        <f>HYPERLINK("http://141.218.60.56/~jnz1568/getInfo.php?workbook=02_02.xlsx&amp;sheet=A1&amp;row=173&amp;col=12&amp;number=&amp;sourceID=25","")</f>
        <v/>
      </c>
    </row>
    <row r="174" spans="1:12">
      <c r="A174" s="3">
        <v>2</v>
      </c>
      <c r="B174" s="3">
        <v>2</v>
      </c>
      <c r="C174" s="3">
        <v>20</v>
      </c>
      <c r="D174" s="3">
        <v>4</v>
      </c>
      <c r="E174" s="3">
        <f>((1/(INDEX('E1'!I$4:I$32,C174,1)-INDEX('E1'!I$4:I$32,D174,1))))*100000000</f>
        <v>0</v>
      </c>
      <c r="F174" s="4" t="str">
        <f>HYPERLINK("http://141.218.60.56/~jnz1568/getInfo.php?workbook=02_02.xlsx&amp;sheet=A1&amp;row=174&amp;col=6&amp;number==SUM(G174:J174)&amp;sourceID=15","=SUM(G174:J174)")</f>
        <v>=SUM(G174:J174)</v>
      </c>
      <c r="G174" s="4" t="str">
        <f>HYPERLINK("http://141.218.60.56/~jnz1568/getInfo.php?workbook=02_02.xlsx&amp;sheet=A1&amp;row=174&amp;col=7&amp;number=4452900&amp;sourceID=15","4452900")</f>
        <v>4452900</v>
      </c>
      <c r="H174" s="4" t="str">
        <f>HYPERLINK("http://141.218.60.56/~jnz1568/getInfo.php?workbook=02_02.xlsx&amp;sheet=A1&amp;row=174&amp;col=8&amp;number=&amp;sourceID=15","")</f>
        <v/>
      </c>
      <c r="I174" s="4" t="str">
        <f>HYPERLINK("http://141.218.60.56/~jnz1568/getInfo.php?workbook=02_02.xlsx&amp;sheet=A1&amp;row=174&amp;col=9&amp;number=&amp;sourceID=15","")</f>
        <v/>
      </c>
      <c r="J174" s="4" t="str">
        <f>HYPERLINK("http://141.218.60.56/~jnz1568/getInfo.php?workbook=02_02.xlsx&amp;sheet=A1&amp;row=174&amp;col=10&amp;number=&amp;sourceID=15","")</f>
        <v/>
      </c>
      <c r="K174" s="4" t="str">
        <f>HYPERLINK("http://141.218.60.56/~jnz1568/getInfo.php?workbook=02_02.xlsx&amp;sheet=A1&amp;row=174&amp;col=11&amp;number=4530000&amp;sourceID=24","4530000")</f>
        <v>4530000</v>
      </c>
      <c r="L174" s="4" t="str">
        <f>HYPERLINK("http://141.218.60.56/~jnz1568/getInfo.php?workbook=02_02.xlsx&amp;sheet=A1&amp;row=174&amp;col=12&amp;number=4466666.66667&amp;sourceID=25","4466666.66667")</f>
        <v>4466666.66667</v>
      </c>
    </row>
    <row r="175" spans="1:12">
      <c r="A175" s="3">
        <v>2</v>
      </c>
      <c r="B175" s="3">
        <v>2</v>
      </c>
      <c r="C175" s="3">
        <v>20</v>
      </c>
      <c r="D175" s="3">
        <v>8</v>
      </c>
      <c r="E175" s="3">
        <f>((1/(INDEX('E1'!I$4:I$32,C175,1)-INDEX('E1'!I$4:I$32,D175,1))))*100000000</f>
        <v>0</v>
      </c>
      <c r="F175" s="4" t="str">
        <f>HYPERLINK("http://141.218.60.56/~jnz1568/getInfo.php?workbook=02_02.xlsx&amp;sheet=A1&amp;row=175&amp;col=6&amp;number==&amp;sourceID=15","=")</f>
        <v>=</v>
      </c>
      <c r="G175" s="4" t="str">
        <f>HYPERLINK("http://141.218.60.56/~jnz1568/getInfo.php?workbook=02_02.xlsx&amp;sheet=A1&amp;row=175&amp;col=7&amp;number=2731700&amp;sourceID=15","2731700")</f>
        <v>2731700</v>
      </c>
      <c r="H175" s="4" t="str">
        <f>HYPERLINK("http://141.218.60.56/~jnz1568/getInfo.php?workbook=02_02.xlsx&amp;sheet=A1&amp;row=175&amp;col=8&amp;number=&amp;sourceID=15","")</f>
        <v/>
      </c>
      <c r="I175" s="4" t="str">
        <f>HYPERLINK("http://141.218.60.56/~jnz1568/getInfo.php?workbook=02_02.xlsx&amp;sheet=A1&amp;row=175&amp;col=9&amp;number=&amp;sourceID=15","")</f>
        <v/>
      </c>
      <c r="J175" s="4" t="str">
        <f>HYPERLINK("http://141.218.60.56/~jnz1568/getInfo.php?workbook=02_02.xlsx&amp;sheet=A1&amp;row=175&amp;col=10&amp;number=&amp;sourceID=15","")</f>
        <v/>
      </c>
      <c r="K175" s="4" t="str">
        <f>HYPERLINK("http://141.218.60.56/~jnz1568/getInfo.php?workbook=02_02.xlsx&amp;sheet=A1&amp;row=175&amp;col=11&amp;number=2787000&amp;sourceID=24","2787000")</f>
        <v>2787000</v>
      </c>
      <c r="L175" s="4" t="str">
        <f>HYPERLINK("http://141.218.60.56/~jnz1568/getInfo.php?workbook=02_02.xlsx&amp;sheet=A1&amp;row=175&amp;col=12&amp;number=2730000&amp;sourceID=25","2730000")</f>
        <v>2730000</v>
      </c>
    </row>
    <row r="176" spans="1:12">
      <c r="A176" s="3">
        <v>2</v>
      </c>
      <c r="B176" s="3">
        <v>2</v>
      </c>
      <c r="C176" s="3">
        <v>20</v>
      </c>
      <c r="D176" s="3">
        <v>9</v>
      </c>
      <c r="E176" s="3">
        <f>((1/(INDEX('E1'!I$4:I$32,C176,1)-INDEX('E1'!I$4:I$32,D176,1))))*100000000</f>
        <v>0</v>
      </c>
      <c r="F176" s="4" t="str">
        <f>HYPERLINK("http://141.218.60.56/~jnz1568/getInfo.php?workbook=02_02.xlsx&amp;sheet=A1&amp;row=176&amp;col=6&amp;number==&amp;sourceID=15","=")</f>
        <v>=</v>
      </c>
      <c r="G176" s="4" t="str">
        <f>HYPERLINK("http://141.218.60.56/~jnz1568/getInfo.php?workbook=02_02.xlsx&amp;sheet=A1&amp;row=176&amp;col=7&amp;number=&amp;sourceID=15","")</f>
        <v/>
      </c>
      <c r="H176" s="4" t="str">
        <f>HYPERLINK("http://141.218.60.56/~jnz1568/getInfo.php?workbook=02_02.xlsx&amp;sheet=A1&amp;row=176&amp;col=8&amp;number=0.54583&amp;sourceID=15","0.54583")</f>
        <v>0.54583</v>
      </c>
      <c r="I176" s="4" t="str">
        <f>HYPERLINK("http://141.218.60.56/~jnz1568/getInfo.php?workbook=02_02.xlsx&amp;sheet=A1&amp;row=176&amp;col=9&amp;number=&amp;sourceID=15","")</f>
        <v/>
      </c>
      <c r="J176" s="4" t="str">
        <f>HYPERLINK("http://141.218.60.56/~jnz1568/getInfo.php?workbook=02_02.xlsx&amp;sheet=A1&amp;row=176&amp;col=10&amp;number=&amp;sourceID=15","")</f>
        <v/>
      </c>
      <c r="K176" s="4" t="str">
        <f>HYPERLINK("http://141.218.60.56/~jnz1568/getInfo.php?workbook=02_02.xlsx&amp;sheet=A1&amp;row=176&amp;col=11&amp;number=&amp;sourceID=24","")</f>
        <v/>
      </c>
      <c r="L176" s="4" t="str">
        <f>HYPERLINK("http://141.218.60.56/~jnz1568/getInfo.php?workbook=02_02.xlsx&amp;sheet=A1&amp;row=176&amp;col=12&amp;number=&amp;sourceID=25","")</f>
        <v/>
      </c>
    </row>
    <row r="177" spans="1:12">
      <c r="A177" s="3">
        <v>2</v>
      </c>
      <c r="B177" s="3">
        <v>2</v>
      </c>
      <c r="C177" s="3">
        <v>20</v>
      </c>
      <c r="D177" s="3">
        <v>14</v>
      </c>
      <c r="E177" s="3">
        <f>((1/(INDEX('E1'!I$4:I$32,C177,1)-INDEX('E1'!I$4:I$32,D177,1))))*100000000</f>
        <v>0</v>
      </c>
      <c r="F177" s="4" t="str">
        <f>HYPERLINK("http://141.218.60.56/~jnz1568/getInfo.php?workbook=02_02.xlsx&amp;sheet=A1&amp;row=177&amp;col=6&amp;number==&amp;sourceID=15","=")</f>
        <v>=</v>
      </c>
      <c r="G177" s="4" t="str">
        <f>HYPERLINK("http://141.218.60.56/~jnz1568/getInfo.php?workbook=02_02.xlsx&amp;sheet=A1&amp;row=177&amp;col=7&amp;number=2022700&amp;sourceID=15","2022700")</f>
        <v>2022700</v>
      </c>
      <c r="H177" s="4" t="str">
        <f>HYPERLINK("http://141.218.60.56/~jnz1568/getInfo.php?workbook=02_02.xlsx&amp;sheet=A1&amp;row=177&amp;col=8&amp;number=&amp;sourceID=15","")</f>
        <v/>
      </c>
      <c r="I177" s="4" t="str">
        <f>HYPERLINK("http://141.218.60.56/~jnz1568/getInfo.php?workbook=02_02.xlsx&amp;sheet=A1&amp;row=177&amp;col=9&amp;number=&amp;sourceID=15","")</f>
        <v/>
      </c>
      <c r="J177" s="4" t="str">
        <f>HYPERLINK("http://141.218.60.56/~jnz1568/getInfo.php?workbook=02_02.xlsx&amp;sheet=A1&amp;row=177&amp;col=10&amp;number=&amp;sourceID=15","")</f>
        <v/>
      </c>
      <c r="K177" s="4" t="str">
        <f>HYPERLINK("http://141.218.60.56/~jnz1568/getInfo.php?workbook=02_02.xlsx&amp;sheet=A1&amp;row=177&amp;col=11&amp;number=2059000&amp;sourceID=24","2059000")</f>
        <v>2059000</v>
      </c>
      <c r="L177" s="4" t="str">
        <f>HYPERLINK("http://141.218.60.56/~jnz1568/getInfo.php?workbook=02_02.xlsx&amp;sheet=A1&amp;row=177&amp;col=12&amp;number=2023333.33333&amp;sourceID=25","2023333.33333")</f>
        <v>2023333.33333</v>
      </c>
    </row>
    <row r="178" spans="1:12">
      <c r="A178" s="3">
        <v>2</v>
      </c>
      <c r="B178" s="3">
        <v>2</v>
      </c>
      <c r="C178" s="3">
        <v>20</v>
      </c>
      <c r="D178" s="3">
        <v>15</v>
      </c>
      <c r="E178" s="3">
        <f>((1/(INDEX('E1'!I$4:I$32,C178,1)-INDEX('E1'!I$4:I$32,D178,1))))*100000000</f>
        <v>0</v>
      </c>
      <c r="F178" s="4" t="str">
        <f>HYPERLINK("http://141.218.60.56/~jnz1568/getInfo.php?workbook=02_02.xlsx&amp;sheet=A1&amp;row=178&amp;col=6&amp;number==&amp;sourceID=15","=")</f>
        <v>=</v>
      </c>
      <c r="G178" s="4" t="str">
        <f>HYPERLINK("http://141.218.60.56/~jnz1568/getInfo.php?workbook=02_02.xlsx&amp;sheet=A1&amp;row=178&amp;col=7&amp;number=&amp;sourceID=15","")</f>
        <v/>
      </c>
      <c r="H178" s="4" t="str">
        <f>HYPERLINK("http://141.218.60.56/~jnz1568/getInfo.php?workbook=02_02.xlsx&amp;sheet=A1&amp;row=178&amp;col=8&amp;number=0.31472&amp;sourceID=15","0.31472")</f>
        <v>0.31472</v>
      </c>
      <c r="I178" s="4" t="str">
        <f>HYPERLINK("http://141.218.60.56/~jnz1568/getInfo.php?workbook=02_02.xlsx&amp;sheet=A1&amp;row=178&amp;col=9&amp;number=&amp;sourceID=15","")</f>
        <v/>
      </c>
      <c r="J178" s="4" t="str">
        <f>HYPERLINK("http://141.218.60.56/~jnz1568/getInfo.php?workbook=02_02.xlsx&amp;sheet=A1&amp;row=178&amp;col=10&amp;number=&amp;sourceID=15","")</f>
        <v/>
      </c>
      <c r="K178" s="4" t="str">
        <f>HYPERLINK("http://141.218.60.56/~jnz1568/getInfo.php?workbook=02_02.xlsx&amp;sheet=A1&amp;row=178&amp;col=11&amp;number=&amp;sourceID=24","")</f>
        <v/>
      </c>
      <c r="L178" s="4" t="str">
        <f>HYPERLINK("http://141.218.60.56/~jnz1568/getInfo.php?workbook=02_02.xlsx&amp;sheet=A1&amp;row=178&amp;col=12&amp;number=&amp;sourceID=25","")</f>
        <v/>
      </c>
    </row>
    <row r="179" spans="1:12">
      <c r="A179" s="3">
        <v>2</v>
      </c>
      <c r="B179" s="3">
        <v>2</v>
      </c>
      <c r="C179" s="3">
        <v>21</v>
      </c>
      <c r="D179" s="3">
        <v>5</v>
      </c>
      <c r="E179" s="3">
        <f>((1/(INDEX('E1'!I$4:I$32,C179,1)-INDEX('E1'!I$4:I$32,D179,1))))*100000000</f>
        <v>0</v>
      </c>
      <c r="F179" s="4" t="str">
        <f>HYPERLINK("http://141.218.60.56/~jnz1568/getInfo.php?workbook=02_02.xlsx&amp;sheet=A1&amp;row=179&amp;col=6&amp;number==&amp;sourceID=15","=")</f>
        <v>=</v>
      </c>
      <c r="G179" s="4" t="str">
        <f>HYPERLINK("http://141.218.60.56/~jnz1568/getInfo.php?workbook=02_02.xlsx&amp;sheet=A1&amp;row=179&amp;col=7&amp;number=3268900&amp;sourceID=15","3268900")</f>
        <v>3268900</v>
      </c>
      <c r="H179" s="4" t="str">
        <f>HYPERLINK("http://141.218.60.56/~jnz1568/getInfo.php?workbook=02_02.xlsx&amp;sheet=A1&amp;row=179&amp;col=8&amp;number=&amp;sourceID=15","")</f>
        <v/>
      </c>
      <c r="I179" s="4" t="str">
        <f>HYPERLINK("http://141.218.60.56/~jnz1568/getInfo.php?workbook=02_02.xlsx&amp;sheet=A1&amp;row=179&amp;col=9&amp;number=&amp;sourceID=15","")</f>
        <v/>
      </c>
      <c r="J179" s="4" t="str">
        <f>HYPERLINK("http://141.218.60.56/~jnz1568/getInfo.php?workbook=02_02.xlsx&amp;sheet=A1&amp;row=179&amp;col=10&amp;number=&amp;sourceID=15","")</f>
        <v/>
      </c>
      <c r="K179" s="4" t="str">
        <f>HYPERLINK("http://141.218.60.56/~jnz1568/getInfo.php?workbook=02_02.xlsx&amp;sheet=A1&amp;row=179&amp;col=11&amp;number=3208000&amp;sourceID=24","3208000")</f>
        <v>3208000</v>
      </c>
      <c r="L179" s="4" t="str">
        <f>HYPERLINK("http://141.218.60.56/~jnz1568/getInfo.php?workbook=02_02.xlsx&amp;sheet=A1&amp;row=179&amp;col=12&amp;number=3180000&amp;sourceID=25","3180000")</f>
        <v>3180000</v>
      </c>
    </row>
    <row r="180" spans="1:12">
      <c r="A180" s="3">
        <v>2</v>
      </c>
      <c r="B180" s="3">
        <v>2</v>
      </c>
      <c r="C180" s="3">
        <v>21</v>
      </c>
      <c r="D180" s="3">
        <v>10</v>
      </c>
      <c r="E180" s="3">
        <f>((1/(INDEX('E1'!I$4:I$32,C180,1)-INDEX('E1'!I$4:I$32,D180,1))))*100000000</f>
        <v>0</v>
      </c>
      <c r="F180" s="4" t="str">
        <f>HYPERLINK("http://141.218.60.56/~jnz1568/getInfo.php?workbook=02_02.xlsx&amp;sheet=A1&amp;row=180&amp;col=6&amp;number==&amp;sourceID=15","=")</f>
        <v>=</v>
      </c>
      <c r="G180" s="4" t="str">
        <f>HYPERLINK("http://141.218.60.56/~jnz1568/getInfo.php?workbook=02_02.xlsx&amp;sheet=A1&amp;row=180&amp;col=7&amp;number=&amp;sourceID=15","")</f>
        <v/>
      </c>
      <c r="H180" s="4" t="str">
        <f>HYPERLINK("http://141.218.60.56/~jnz1568/getInfo.php?workbook=02_02.xlsx&amp;sheet=A1&amp;row=180&amp;col=8&amp;number=0.74166&amp;sourceID=15","0.74166")</f>
        <v>0.74166</v>
      </c>
      <c r="I180" s="4" t="str">
        <f>HYPERLINK("http://141.218.60.56/~jnz1568/getInfo.php?workbook=02_02.xlsx&amp;sheet=A1&amp;row=180&amp;col=9&amp;number=&amp;sourceID=15","")</f>
        <v/>
      </c>
      <c r="J180" s="4" t="str">
        <f>HYPERLINK("http://141.218.60.56/~jnz1568/getInfo.php?workbook=02_02.xlsx&amp;sheet=A1&amp;row=180&amp;col=10&amp;number=&amp;sourceID=15","")</f>
        <v/>
      </c>
      <c r="K180" s="4" t="str">
        <f>HYPERLINK("http://141.218.60.56/~jnz1568/getInfo.php?workbook=02_02.xlsx&amp;sheet=A1&amp;row=180&amp;col=11&amp;number=&amp;sourceID=24","")</f>
        <v/>
      </c>
      <c r="L180" s="4" t="str">
        <f>HYPERLINK("http://141.218.60.56/~jnz1568/getInfo.php?workbook=02_02.xlsx&amp;sheet=A1&amp;row=180&amp;col=12&amp;number=&amp;sourceID=25","")</f>
        <v/>
      </c>
    </row>
    <row r="181" spans="1:12">
      <c r="A181" s="3">
        <v>2</v>
      </c>
      <c r="B181" s="3">
        <v>2</v>
      </c>
      <c r="C181" s="3">
        <v>21</v>
      </c>
      <c r="D181" s="3">
        <v>11</v>
      </c>
      <c r="E181" s="3">
        <f>((1/(INDEX('E1'!I$4:I$32,C181,1)-INDEX('E1'!I$4:I$32,D181,1))))*100000000</f>
        <v>0</v>
      </c>
      <c r="F181" s="4" t="str">
        <f>HYPERLINK("http://141.218.60.56/~jnz1568/getInfo.php?workbook=02_02.xlsx&amp;sheet=A1&amp;row=181&amp;col=6&amp;number==&amp;sourceID=15","=")</f>
        <v>=</v>
      </c>
      <c r="G181" s="4" t="str">
        <f>HYPERLINK("http://141.218.60.56/~jnz1568/getInfo.php?workbook=02_02.xlsx&amp;sheet=A1&amp;row=181&amp;col=7&amp;number=2057200&amp;sourceID=15","2057200")</f>
        <v>2057200</v>
      </c>
      <c r="H181" s="4" t="str">
        <f>HYPERLINK("http://141.218.60.56/~jnz1568/getInfo.php?workbook=02_02.xlsx&amp;sheet=A1&amp;row=181&amp;col=8&amp;number=&amp;sourceID=15","")</f>
        <v/>
      </c>
      <c r="I181" s="4" t="str">
        <f>HYPERLINK("http://141.218.60.56/~jnz1568/getInfo.php?workbook=02_02.xlsx&amp;sheet=A1&amp;row=181&amp;col=9&amp;number=&amp;sourceID=15","")</f>
        <v/>
      </c>
      <c r="J181" s="4" t="str">
        <f>HYPERLINK("http://141.218.60.56/~jnz1568/getInfo.php?workbook=02_02.xlsx&amp;sheet=A1&amp;row=181&amp;col=10&amp;number=&amp;sourceID=15","")</f>
        <v/>
      </c>
      <c r="K181" s="4" t="str">
        <f>HYPERLINK("http://141.218.60.56/~jnz1568/getInfo.php?workbook=02_02.xlsx&amp;sheet=A1&amp;row=181&amp;col=11&amp;number=2034000&amp;sourceID=24","2034000")</f>
        <v>2034000</v>
      </c>
      <c r="L181" s="4" t="str">
        <f>HYPERLINK("http://141.218.60.56/~jnz1568/getInfo.php?workbook=02_02.xlsx&amp;sheet=A1&amp;row=181&amp;col=12&amp;number=2010000&amp;sourceID=25","2010000")</f>
        <v>2010000</v>
      </c>
    </row>
    <row r="182" spans="1:12">
      <c r="A182" s="3">
        <v>2</v>
      </c>
      <c r="B182" s="3">
        <v>2</v>
      </c>
      <c r="C182" s="3">
        <v>21</v>
      </c>
      <c r="D182" s="3">
        <v>16</v>
      </c>
      <c r="E182" s="3">
        <f>((1/(INDEX('E1'!I$4:I$32,C182,1)-INDEX('E1'!I$4:I$32,D182,1))))*100000000</f>
        <v>0</v>
      </c>
      <c r="F182" s="4" t="str">
        <f>HYPERLINK("http://141.218.60.56/~jnz1568/getInfo.php?workbook=02_02.xlsx&amp;sheet=A1&amp;row=182&amp;col=6&amp;number==&amp;sourceID=15","=")</f>
        <v>=</v>
      </c>
      <c r="G182" s="4" t="str">
        <f>HYPERLINK("http://141.218.60.56/~jnz1568/getInfo.php?workbook=02_02.xlsx&amp;sheet=A1&amp;row=182&amp;col=7&amp;number=&amp;sourceID=15","")</f>
        <v/>
      </c>
      <c r="H182" s="4" t="str">
        <f>HYPERLINK("http://141.218.60.56/~jnz1568/getInfo.php?workbook=02_02.xlsx&amp;sheet=A1&amp;row=182&amp;col=8&amp;number=0.38108&amp;sourceID=15","0.38108")</f>
        <v>0.38108</v>
      </c>
      <c r="I182" s="4" t="str">
        <f>HYPERLINK("http://141.218.60.56/~jnz1568/getInfo.php?workbook=02_02.xlsx&amp;sheet=A1&amp;row=182&amp;col=9&amp;number=&amp;sourceID=15","")</f>
        <v/>
      </c>
      <c r="J182" s="4" t="str">
        <f>HYPERLINK("http://141.218.60.56/~jnz1568/getInfo.php?workbook=02_02.xlsx&amp;sheet=A1&amp;row=182&amp;col=10&amp;number=&amp;sourceID=15","")</f>
        <v/>
      </c>
      <c r="K182" s="4" t="str">
        <f>HYPERLINK("http://141.218.60.56/~jnz1568/getInfo.php?workbook=02_02.xlsx&amp;sheet=A1&amp;row=182&amp;col=11&amp;number=&amp;sourceID=24","")</f>
        <v/>
      </c>
      <c r="L182" s="4" t="str">
        <f>HYPERLINK("http://141.218.60.56/~jnz1568/getInfo.php?workbook=02_02.xlsx&amp;sheet=A1&amp;row=182&amp;col=12&amp;number=&amp;sourceID=25","")</f>
        <v/>
      </c>
    </row>
    <row r="183" spans="1:12">
      <c r="A183" s="3">
        <v>2</v>
      </c>
      <c r="B183" s="3">
        <v>2</v>
      </c>
      <c r="C183" s="3">
        <v>21</v>
      </c>
      <c r="D183" s="3">
        <v>19</v>
      </c>
      <c r="E183" s="3">
        <f>((1/(INDEX('E1'!I$4:I$32,C183,1)-INDEX('E1'!I$4:I$32,D183,1))))*100000000</f>
        <v>0</v>
      </c>
      <c r="F183" s="4" t="str">
        <f>HYPERLINK("http://141.218.60.56/~jnz1568/getInfo.php?workbook=02_02.xlsx&amp;sheet=A1&amp;row=183&amp;col=6&amp;number==&amp;sourceID=15","=")</f>
        <v>=</v>
      </c>
      <c r="G183" s="4" t="str">
        <f>HYPERLINK("http://141.218.60.56/~jnz1568/getInfo.php?workbook=02_02.xlsx&amp;sheet=A1&amp;row=183&amp;col=7&amp;number=1496100&amp;sourceID=15","1496100")</f>
        <v>1496100</v>
      </c>
      <c r="H183" s="4" t="str">
        <f>HYPERLINK("http://141.218.60.56/~jnz1568/getInfo.php?workbook=02_02.xlsx&amp;sheet=A1&amp;row=183&amp;col=8&amp;number=&amp;sourceID=15","")</f>
        <v/>
      </c>
      <c r="I183" s="4" t="str">
        <f>HYPERLINK("http://141.218.60.56/~jnz1568/getInfo.php?workbook=02_02.xlsx&amp;sheet=A1&amp;row=183&amp;col=9&amp;number=&amp;sourceID=15","")</f>
        <v/>
      </c>
      <c r="J183" s="4" t="str">
        <f>HYPERLINK("http://141.218.60.56/~jnz1568/getInfo.php?workbook=02_02.xlsx&amp;sheet=A1&amp;row=183&amp;col=10&amp;number=&amp;sourceID=15","")</f>
        <v/>
      </c>
      <c r="K183" s="4" t="str">
        <f>HYPERLINK("http://141.218.60.56/~jnz1568/getInfo.php?workbook=02_02.xlsx&amp;sheet=A1&amp;row=183&amp;col=11&amp;number=1441000&amp;sourceID=24","1441000")</f>
        <v>1441000</v>
      </c>
      <c r="L183" s="4" t="str">
        <f>HYPERLINK("http://141.218.60.56/~jnz1568/getInfo.php?workbook=02_02.xlsx&amp;sheet=A1&amp;row=183&amp;col=12&amp;number=1460000&amp;sourceID=25","1460000")</f>
        <v>1460000</v>
      </c>
    </row>
    <row r="184" spans="1:12">
      <c r="A184" s="3">
        <v>2</v>
      </c>
      <c r="B184" s="3">
        <v>2</v>
      </c>
      <c r="C184" s="3">
        <v>22</v>
      </c>
      <c r="D184" s="3">
        <v>1</v>
      </c>
      <c r="E184" s="3">
        <f>((1/(INDEX('E1'!I$4:I$32,C184,1)-INDEX('E1'!I$4:I$32,D184,1))))*100000000</f>
        <v>0</v>
      </c>
      <c r="F184" s="4" t="str">
        <f>HYPERLINK("http://141.218.60.56/~jnz1568/getInfo.php?workbook=02_02.xlsx&amp;sheet=A1&amp;row=184&amp;col=6&amp;number==&amp;sourceID=15","=")</f>
        <v>=</v>
      </c>
      <c r="G184" s="4" t="str">
        <f>HYPERLINK("http://141.218.60.56/~jnz1568/getInfo.php?workbook=02_02.xlsx&amp;sheet=A1&amp;row=184&amp;col=7&amp;number=&amp;sourceID=15","")</f>
        <v/>
      </c>
      <c r="H184" s="4" t="str">
        <f>HYPERLINK("http://141.218.60.56/~jnz1568/getInfo.php?workbook=02_02.xlsx&amp;sheet=A1&amp;row=184&amp;col=8&amp;number=&amp;sourceID=15","")</f>
        <v/>
      </c>
      <c r="I184" s="4" t="str">
        <f>HYPERLINK("http://141.218.60.56/~jnz1568/getInfo.php?workbook=02_02.xlsx&amp;sheet=A1&amp;row=184&amp;col=9&amp;number=&amp;sourceID=15","")</f>
        <v/>
      </c>
      <c r="J184" s="4" t="str">
        <f>HYPERLINK("http://141.218.60.56/~jnz1568/getInfo.php?workbook=02_02.xlsx&amp;sheet=A1&amp;row=184&amp;col=10&amp;number=0.0264&amp;sourceID=15","0.0264")</f>
        <v>0.0264</v>
      </c>
      <c r="K184" s="4" t="str">
        <f>HYPERLINK("http://141.218.60.56/~jnz1568/getInfo.php?workbook=02_02.xlsx&amp;sheet=A1&amp;row=184&amp;col=11&amp;number=&amp;sourceID=24","")</f>
        <v/>
      </c>
      <c r="L184" s="4" t="str">
        <f>HYPERLINK("http://141.218.60.56/~jnz1568/getInfo.php?workbook=02_02.xlsx&amp;sheet=A1&amp;row=184&amp;col=12&amp;number=&amp;sourceID=25","")</f>
        <v/>
      </c>
    </row>
    <row r="185" spans="1:12">
      <c r="A185" s="3">
        <v>2</v>
      </c>
      <c r="B185" s="3">
        <v>2</v>
      </c>
      <c r="C185" s="3">
        <v>22</v>
      </c>
      <c r="D185" s="3">
        <v>2</v>
      </c>
      <c r="E185" s="3">
        <f>((1/(INDEX('E1'!I$4:I$32,C185,1)-INDEX('E1'!I$4:I$32,D185,1))))*100000000</f>
        <v>0</v>
      </c>
      <c r="F185" s="4" t="str">
        <f>HYPERLINK("http://141.218.60.56/~jnz1568/getInfo.php?workbook=02_02.xlsx&amp;sheet=A1&amp;row=185&amp;col=6&amp;number==&amp;sourceID=15","=")</f>
        <v>=</v>
      </c>
      <c r="G185" s="4" t="str">
        <f>HYPERLINK("http://141.218.60.56/~jnz1568/getInfo.php?workbook=02_02.xlsx&amp;sheet=A1&amp;row=185&amp;col=7&amp;number=3200600&amp;sourceID=15","3200600")</f>
        <v>3200600</v>
      </c>
      <c r="H185" s="4" t="str">
        <f>HYPERLINK("http://141.218.60.56/~jnz1568/getInfo.php?workbook=02_02.xlsx&amp;sheet=A1&amp;row=185&amp;col=8&amp;number=&amp;sourceID=15","")</f>
        <v/>
      </c>
      <c r="I185" s="4" t="str">
        <f>HYPERLINK("http://141.218.60.56/~jnz1568/getInfo.php?workbook=02_02.xlsx&amp;sheet=A1&amp;row=185&amp;col=9&amp;number=&amp;sourceID=15","")</f>
        <v/>
      </c>
      <c r="J185" s="4" t="str">
        <f>HYPERLINK("http://141.218.60.56/~jnz1568/getInfo.php?workbook=02_02.xlsx&amp;sheet=A1&amp;row=185&amp;col=10&amp;number=&amp;sourceID=15","")</f>
        <v/>
      </c>
      <c r="K185" s="4" t="str">
        <f>HYPERLINK("http://141.218.60.56/~jnz1568/getInfo.php?workbook=02_02.xlsx&amp;sheet=A1&amp;row=185&amp;col=11&amp;number=3142000&amp;sourceID=24","3142000")</f>
        <v>3142000</v>
      </c>
      <c r="L185" s="4" t="str">
        <f>HYPERLINK("http://141.218.60.56/~jnz1568/getInfo.php?workbook=02_02.xlsx&amp;sheet=A1&amp;row=185&amp;col=12&amp;number=3188888.88889&amp;sourceID=25","3188888.88889")</f>
        <v>3188888.88889</v>
      </c>
    </row>
    <row r="186" spans="1:12">
      <c r="A186" s="3">
        <v>2</v>
      </c>
      <c r="B186" s="3">
        <v>2</v>
      </c>
      <c r="C186" s="3">
        <v>22</v>
      </c>
      <c r="D186" s="3">
        <v>4</v>
      </c>
      <c r="E186" s="3">
        <f>((1/(INDEX('E1'!I$4:I$32,C186,1)-INDEX('E1'!I$4:I$32,D186,1))))*100000000</f>
        <v>0</v>
      </c>
      <c r="F186" s="4" t="str">
        <f>HYPERLINK("http://141.218.60.56/~jnz1568/getInfo.php?workbook=02_02.xlsx&amp;sheet=A1&amp;row=186&amp;col=6&amp;number==&amp;sourceID=15","=")</f>
        <v>=</v>
      </c>
      <c r="G186" s="4" t="str">
        <f>HYPERLINK("http://141.218.60.56/~jnz1568/getInfo.php?workbook=02_02.xlsx&amp;sheet=A1&amp;row=186&amp;col=7&amp;number=&amp;sourceID=15","")</f>
        <v/>
      </c>
      <c r="H186" s="4" t="str">
        <f>HYPERLINK("http://141.218.60.56/~jnz1568/getInfo.php?workbook=02_02.xlsx&amp;sheet=A1&amp;row=186&amp;col=8&amp;number=5.88&amp;sourceID=15","5.88")</f>
        <v>5.88</v>
      </c>
      <c r="I186" s="4" t="str">
        <f>HYPERLINK("http://141.218.60.56/~jnz1568/getInfo.php?workbook=02_02.xlsx&amp;sheet=A1&amp;row=186&amp;col=9&amp;number=&amp;sourceID=15","")</f>
        <v/>
      </c>
      <c r="J186" s="4" t="str">
        <f>HYPERLINK("http://141.218.60.56/~jnz1568/getInfo.php?workbook=02_02.xlsx&amp;sheet=A1&amp;row=186&amp;col=10&amp;number=&amp;sourceID=15","")</f>
        <v/>
      </c>
      <c r="K186" s="4" t="str">
        <f>HYPERLINK("http://141.218.60.56/~jnz1568/getInfo.php?workbook=02_02.xlsx&amp;sheet=A1&amp;row=186&amp;col=11&amp;number=&amp;sourceID=24","")</f>
        <v/>
      </c>
      <c r="L186" s="4" t="str">
        <f>HYPERLINK("http://141.218.60.56/~jnz1568/getInfo.php?workbook=02_02.xlsx&amp;sheet=A1&amp;row=186&amp;col=12&amp;number=&amp;sourceID=25","")</f>
        <v/>
      </c>
    </row>
    <row r="187" spans="1:12">
      <c r="A187" s="3">
        <v>2</v>
      </c>
      <c r="B187" s="3">
        <v>2</v>
      </c>
      <c r="C187" s="3">
        <v>22</v>
      </c>
      <c r="D187" s="3">
        <v>6</v>
      </c>
      <c r="E187" s="3">
        <f>((1/(INDEX('E1'!I$4:I$32,C187,1)-INDEX('E1'!I$4:I$32,D187,1))))*100000000</f>
        <v>0</v>
      </c>
      <c r="F187" s="4" t="str">
        <f>HYPERLINK("http://141.218.60.56/~jnz1568/getInfo.php?workbook=02_02.xlsx&amp;sheet=A1&amp;row=187&amp;col=6&amp;number==&amp;sourceID=15","=")</f>
        <v>=</v>
      </c>
      <c r="G187" s="4" t="str">
        <f>HYPERLINK("http://141.218.60.56/~jnz1568/getInfo.php?workbook=02_02.xlsx&amp;sheet=A1&amp;row=187&amp;col=7&amp;number=568680&amp;sourceID=15","568680")</f>
        <v>568680</v>
      </c>
      <c r="H187" s="4" t="str">
        <f>HYPERLINK("http://141.218.60.56/~jnz1568/getInfo.php?workbook=02_02.xlsx&amp;sheet=A1&amp;row=187&amp;col=8&amp;number=&amp;sourceID=15","")</f>
        <v/>
      </c>
      <c r="I187" s="4" t="str">
        <f>HYPERLINK("http://141.218.60.56/~jnz1568/getInfo.php?workbook=02_02.xlsx&amp;sheet=A1&amp;row=187&amp;col=9&amp;number=&amp;sourceID=15","")</f>
        <v/>
      </c>
      <c r="J187" s="4" t="str">
        <f>HYPERLINK("http://141.218.60.56/~jnz1568/getInfo.php?workbook=02_02.xlsx&amp;sheet=A1&amp;row=187&amp;col=10&amp;number=&amp;sourceID=15","")</f>
        <v/>
      </c>
      <c r="K187" s="4" t="str">
        <f>HYPERLINK("http://141.218.60.56/~jnz1568/getInfo.php?workbook=02_02.xlsx&amp;sheet=A1&amp;row=187&amp;col=11&amp;number=558100&amp;sourceID=24","558100")</f>
        <v>558100</v>
      </c>
      <c r="L187" s="4" t="str">
        <f>HYPERLINK("http://141.218.60.56/~jnz1568/getInfo.php?workbook=02_02.xlsx&amp;sheet=A1&amp;row=187&amp;col=12&amp;number=564444.444444&amp;sourceID=25","564444.444444")</f>
        <v>564444.444444</v>
      </c>
    </row>
    <row r="188" spans="1:12">
      <c r="A188" s="3">
        <v>2</v>
      </c>
      <c r="B188" s="3">
        <v>2</v>
      </c>
      <c r="C188" s="3">
        <v>22</v>
      </c>
      <c r="D188" s="3">
        <v>8</v>
      </c>
      <c r="E188" s="3">
        <f>((1/(INDEX('E1'!I$4:I$32,C188,1)-INDEX('E1'!I$4:I$32,D188,1))))*100000000</f>
        <v>0</v>
      </c>
      <c r="F188" s="4" t="str">
        <f>HYPERLINK("http://141.218.60.56/~jnz1568/getInfo.php?workbook=02_02.xlsx&amp;sheet=A1&amp;row=188&amp;col=6&amp;number==&amp;sourceID=15","=")</f>
        <v>=</v>
      </c>
      <c r="G188" s="4" t="str">
        <f>HYPERLINK("http://141.218.60.56/~jnz1568/getInfo.php?workbook=02_02.xlsx&amp;sheet=A1&amp;row=188&amp;col=7&amp;number=&amp;sourceID=15","")</f>
        <v/>
      </c>
      <c r="H188" s="4" t="str">
        <f>HYPERLINK("http://141.218.60.56/~jnz1568/getInfo.php?workbook=02_02.xlsx&amp;sheet=A1&amp;row=188&amp;col=8&amp;number=1.6193&amp;sourceID=15","1.6193")</f>
        <v>1.6193</v>
      </c>
      <c r="I188" s="4" t="str">
        <f>HYPERLINK("http://141.218.60.56/~jnz1568/getInfo.php?workbook=02_02.xlsx&amp;sheet=A1&amp;row=188&amp;col=9&amp;number=&amp;sourceID=15","")</f>
        <v/>
      </c>
      <c r="J188" s="4" t="str">
        <f>HYPERLINK("http://141.218.60.56/~jnz1568/getInfo.php?workbook=02_02.xlsx&amp;sheet=A1&amp;row=188&amp;col=10&amp;number=&amp;sourceID=15","")</f>
        <v/>
      </c>
      <c r="K188" s="4" t="str">
        <f>HYPERLINK("http://141.218.60.56/~jnz1568/getInfo.php?workbook=02_02.xlsx&amp;sheet=A1&amp;row=188&amp;col=11&amp;number=&amp;sourceID=24","")</f>
        <v/>
      </c>
      <c r="L188" s="4" t="str">
        <f>HYPERLINK("http://141.218.60.56/~jnz1568/getInfo.php?workbook=02_02.xlsx&amp;sheet=A1&amp;row=188&amp;col=12&amp;number=&amp;sourceID=25","")</f>
        <v/>
      </c>
    </row>
    <row r="189" spans="1:12">
      <c r="A189" s="3">
        <v>2</v>
      </c>
      <c r="B189" s="3">
        <v>2</v>
      </c>
      <c r="C189" s="3">
        <v>22</v>
      </c>
      <c r="D189" s="3">
        <v>9</v>
      </c>
      <c r="E189" s="3">
        <f>((1/(INDEX('E1'!I$4:I$32,C189,1)-INDEX('E1'!I$4:I$32,D189,1))))*100000000</f>
        <v>0</v>
      </c>
      <c r="F189" s="4" t="str">
        <f>HYPERLINK("http://141.218.60.56/~jnz1568/getInfo.php?workbook=02_02.xlsx&amp;sheet=A1&amp;row=189&amp;col=6&amp;number==&amp;sourceID=15","=")</f>
        <v>=</v>
      </c>
      <c r="G189" s="4" t="str">
        <f>HYPERLINK("http://141.218.60.56/~jnz1568/getInfo.php?workbook=02_02.xlsx&amp;sheet=A1&amp;row=189&amp;col=7&amp;number=272920&amp;sourceID=15","272920")</f>
        <v>272920</v>
      </c>
      <c r="H189" s="4" t="str">
        <f>HYPERLINK("http://141.218.60.56/~jnz1568/getInfo.php?workbook=02_02.xlsx&amp;sheet=A1&amp;row=189&amp;col=8&amp;number=&amp;sourceID=15","")</f>
        <v/>
      </c>
      <c r="I189" s="4" t="str">
        <f>HYPERLINK("http://141.218.60.56/~jnz1568/getInfo.php?workbook=02_02.xlsx&amp;sheet=A1&amp;row=189&amp;col=9&amp;number=&amp;sourceID=15","")</f>
        <v/>
      </c>
      <c r="J189" s="4" t="str">
        <f>HYPERLINK("http://141.218.60.56/~jnz1568/getInfo.php?workbook=02_02.xlsx&amp;sheet=A1&amp;row=189&amp;col=10&amp;number=&amp;sourceID=15","")</f>
        <v/>
      </c>
      <c r="K189" s="4" t="str">
        <f>HYPERLINK("http://141.218.60.56/~jnz1568/getInfo.php?workbook=02_02.xlsx&amp;sheet=A1&amp;row=189&amp;col=11&amp;number=269500&amp;sourceID=24","269500")</f>
        <v>269500</v>
      </c>
      <c r="L189" s="4" t="str">
        <f>HYPERLINK("http://141.218.60.56/~jnz1568/getInfo.php?workbook=02_02.xlsx&amp;sheet=A1&amp;row=189&amp;col=12&amp;number=271111.111111&amp;sourceID=25","271111.111111")</f>
        <v>271111.111111</v>
      </c>
    </row>
    <row r="190" spans="1:12">
      <c r="A190" s="3">
        <v>2</v>
      </c>
      <c r="B190" s="3">
        <v>2</v>
      </c>
      <c r="C190" s="3">
        <v>22</v>
      </c>
      <c r="D190" s="3">
        <v>12</v>
      </c>
      <c r="E190" s="3">
        <f>((1/(INDEX('E1'!I$4:I$32,C190,1)-INDEX('E1'!I$4:I$32,D190,1))))*100000000</f>
        <v>0</v>
      </c>
      <c r="F190" s="4" t="str">
        <f>HYPERLINK("http://141.218.60.56/~jnz1568/getInfo.php?workbook=02_02.xlsx&amp;sheet=A1&amp;row=190&amp;col=6&amp;number==&amp;sourceID=15","=")</f>
        <v>=</v>
      </c>
      <c r="G190" s="4" t="str">
        <f>HYPERLINK("http://141.218.60.56/~jnz1568/getInfo.php?workbook=02_02.xlsx&amp;sheet=A1&amp;row=190&amp;col=7&amp;number=120680&amp;sourceID=15","120680")</f>
        <v>120680</v>
      </c>
      <c r="H190" s="4" t="str">
        <f>HYPERLINK("http://141.218.60.56/~jnz1568/getInfo.php?workbook=02_02.xlsx&amp;sheet=A1&amp;row=190&amp;col=8&amp;number=&amp;sourceID=15","")</f>
        <v/>
      </c>
      <c r="I190" s="4" t="str">
        <f>HYPERLINK("http://141.218.60.56/~jnz1568/getInfo.php?workbook=02_02.xlsx&amp;sheet=A1&amp;row=190&amp;col=9&amp;number=&amp;sourceID=15","")</f>
        <v/>
      </c>
      <c r="J190" s="4" t="str">
        <f>HYPERLINK("http://141.218.60.56/~jnz1568/getInfo.php?workbook=02_02.xlsx&amp;sheet=A1&amp;row=190&amp;col=10&amp;number=&amp;sourceID=15","")</f>
        <v/>
      </c>
      <c r="K190" s="4" t="str">
        <f>HYPERLINK("http://141.218.60.56/~jnz1568/getInfo.php?workbook=02_02.xlsx&amp;sheet=A1&amp;row=190&amp;col=11&amp;number=113100&amp;sourceID=24","113100")</f>
        <v>113100</v>
      </c>
      <c r="L190" s="4" t="str">
        <f>HYPERLINK("http://141.218.60.56/~jnz1568/getInfo.php?workbook=02_02.xlsx&amp;sheet=A1&amp;row=190&amp;col=12&amp;number=118888.888889&amp;sourceID=25","118888.888889")</f>
        <v>118888.888889</v>
      </c>
    </row>
    <row r="191" spans="1:12">
      <c r="A191" s="3">
        <v>2</v>
      </c>
      <c r="B191" s="3">
        <v>2</v>
      </c>
      <c r="C191" s="3">
        <v>22</v>
      </c>
      <c r="D191" s="3">
        <v>14</v>
      </c>
      <c r="E191" s="3">
        <f>((1/(INDEX('E1'!I$4:I$32,C191,1)-INDEX('E1'!I$4:I$32,D191,1))))*100000000</f>
        <v>0</v>
      </c>
      <c r="F191" s="4" t="str">
        <f>HYPERLINK("http://141.218.60.56/~jnz1568/getInfo.php?workbook=02_02.xlsx&amp;sheet=A1&amp;row=191&amp;col=6&amp;number==&amp;sourceID=15","=")</f>
        <v>=</v>
      </c>
      <c r="G191" s="4" t="str">
        <f>HYPERLINK("http://141.218.60.56/~jnz1568/getInfo.php?workbook=02_02.xlsx&amp;sheet=A1&amp;row=191&amp;col=7&amp;number=&amp;sourceID=15","")</f>
        <v/>
      </c>
      <c r="H191" s="4" t="str">
        <f>HYPERLINK("http://141.218.60.56/~jnz1568/getInfo.php?workbook=02_02.xlsx&amp;sheet=A1&amp;row=191&amp;col=8&amp;number=0.50986&amp;sourceID=15","0.50986")</f>
        <v>0.50986</v>
      </c>
      <c r="I191" s="4" t="str">
        <f>HYPERLINK("http://141.218.60.56/~jnz1568/getInfo.php?workbook=02_02.xlsx&amp;sheet=A1&amp;row=191&amp;col=9&amp;number=&amp;sourceID=15","")</f>
        <v/>
      </c>
      <c r="J191" s="4" t="str">
        <f>HYPERLINK("http://141.218.60.56/~jnz1568/getInfo.php?workbook=02_02.xlsx&amp;sheet=A1&amp;row=191&amp;col=10&amp;number=&amp;sourceID=15","")</f>
        <v/>
      </c>
      <c r="K191" s="4" t="str">
        <f>HYPERLINK("http://141.218.60.56/~jnz1568/getInfo.php?workbook=02_02.xlsx&amp;sheet=A1&amp;row=191&amp;col=11&amp;number=&amp;sourceID=24","")</f>
        <v/>
      </c>
      <c r="L191" s="4" t="str">
        <f>HYPERLINK("http://141.218.60.56/~jnz1568/getInfo.php?workbook=02_02.xlsx&amp;sheet=A1&amp;row=191&amp;col=12&amp;number=&amp;sourceID=25","")</f>
        <v/>
      </c>
    </row>
    <row r="192" spans="1:12">
      <c r="A192" s="3">
        <v>2</v>
      </c>
      <c r="B192" s="3">
        <v>2</v>
      </c>
      <c r="C192" s="3">
        <v>22</v>
      </c>
      <c r="D192" s="3">
        <v>15</v>
      </c>
      <c r="E192" s="3">
        <f>((1/(INDEX('E1'!I$4:I$32,C192,1)-INDEX('E1'!I$4:I$32,D192,1))))*100000000</f>
        <v>0</v>
      </c>
      <c r="F192" s="4" t="str">
        <f>HYPERLINK("http://141.218.60.56/~jnz1568/getInfo.php?workbook=02_02.xlsx&amp;sheet=A1&amp;row=192&amp;col=6&amp;number==&amp;sourceID=15","=")</f>
        <v>=</v>
      </c>
      <c r="G192" s="4" t="str">
        <f>HYPERLINK("http://141.218.60.56/~jnz1568/getInfo.php?workbook=02_02.xlsx&amp;sheet=A1&amp;row=192&amp;col=7&amp;number=327100&amp;sourceID=15","327100")</f>
        <v>327100</v>
      </c>
      <c r="H192" s="4" t="str">
        <f>HYPERLINK("http://141.218.60.56/~jnz1568/getInfo.php?workbook=02_02.xlsx&amp;sheet=A1&amp;row=192&amp;col=8&amp;number=&amp;sourceID=15","")</f>
        <v/>
      </c>
      <c r="I192" s="4" t="str">
        <f>HYPERLINK("http://141.218.60.56/~jnz1568/getInfo.php?workbook=02_02.xlsx&amp;sheet=A1&amp;row=192&amp;col=9&amp;number=&amp;sourceID=15","")</f>
        <v/>
      </c>
      <c r="J192" s="4" t="str">
        <f>HYPERLINK("http://141.218.60.56/~jnz1568/getInfo.php?workbook=02_02.xlsx&amp;sheet=A1&amp;row=192&amp;col=10&amp;number=&amp;sourceID=15","")</f>
        <v/>
      </c>
      <c r="K192" s="4" t="str">
        <f>HYPERLINK("http://141.218.60.56/~jnz1568/getInfo.php?workbook=02_02.xlsx&amp;sheet=A1&amp;row=192&amp;col=11&amp;number=318000&amp;sourceID=24","318000")</f>
        <v>318000</v>
      </c>
      <c r="L192" s="4" t="str">
        <f>HYPERLINK("http://141.218.60.56/~jnz1568/getInfo.php?workbook=02_02.xlsx&amp;sheet=A1&amp;row=192&amp;col=12&amp;number=325555.555556&amp;sourceID=25","325555.555556")</f>
        <v>325555.555556</v>
      </c>
    </row>
    <row r="193" spans="1:12">
      <c r="A193" s="3">
        <v>2</v>
      </c>
      <c r="B193" s="3">
        <v>2</v>
      </c>
      <c r="C193" s="3">
        <v>22</v>
      </c>
      <c r="D193" s="3">
        <v>16</v>
      </c>
      <c r="E193" s="3">
        <f>((1/(INDEX('E1'!I$4:I$32,C193,1)-INDEX('E1'!I$4:I$32,D193,1))))*100000000</f>
        <v>0</v>
      </c>
      <c r="F193" s="4" t="str">
        <f>HYPERLINK("http://141.218.60.56/~jnz1568/getInfo.php?workbook=02_02.xlsx&amp;sheet=A1&amp;row=193&amp;col=6&amp;number==&amp;sourceID=15","=")</f>
        <v>=</v>
      </c>
      <c r="G193" s="4" t="str">
        <f>HYPERLINK("http://141.218.60.56/~jnz1568/getInfo.php?workbook=02_02.xlsx&amp;sheet=A1&amp;row=193&amp;col=7&amp;number=37.12&amp;sourceID=15","37.12")</f>
        <v>37.12</v>
      </c>
      <c r="H193" s="4" t="str">
        <f>HYPERLINK("http://141.218.60.56/~jnz1568/getInfo.php?workbook=02_02.xlsx&amp;sheet=A1&amp;row=193&amp;col=8&amp;number=&amp;sourceID=15","")</f>
        <v/>
      </c>
      <c r="I193" s="4" t="str">
        <f>HYPERLINK("http://141.218.60.56/~jnz1568/getInfo.php?workbook=02_02.xlsx&amp;sheet=A1&amp;row=193&amp;col=9&amp;number=&amp;sourceID=15","")</f>
        <v/>
      </c>
      <c r="J193" s="4" t="str">
        <f>HYPERLINK("http://141.218.60.56/~jnz1568/getInfo.php?workbook=02_02.xlsx&amp;sheet=A1&amp;row=193&amp;col=10&amp;number=&amp;sourceID=15","")</f>
        <v/>
      </c>
      <c r="K193" s="4" t="str">
        <f>HYPERLINK("http://141.218.60.56/~jnz1568/getInfo.php?workbook=02_02.xlsx&amp;sheet=A1&amp;row=193&amp;col=11&amp;number=&amp;sourceID=24","")</f>
        <v/>
      </c>
      <c r="L193" s="4" t="str">
        <f>HYPERLINK("http://141.218.60.56/~jnz1568/getInfo.php?workbook=02_02.xlsx&amp;sheet=A1&amp;row=193&amp;col=12&amp;number=&amp;sourceID=25","")</f>
        <v/>
      </c>
    </row>
    <row r="194" spans="1:12">
      <c r="A194" s="3">
        <v>2</v>
      </c>
      <c r="B194" s="3">
        <v>2</v>
      </c>
      <c r="C194" s="3">
        <v>22</v>
      </c>
      <c r="D194" s="3">
        <v>20</v>
      </c>
      <c r="E194" s="3">
        <f>((1/(INDEX('E1'!I$4:I$32,C194,1)-INDEX('E1'!I$4:I$32,D194,1))))*100000000</f>
        <v>0</v>
      </c>
      <c r="F194" s="4" t="str">
        <f>HYPERLINK("http://141.218.60.56/~jnz1568/getInfo.php?workbook=02_02.xlsx&amp;sheet=A1&amp;row=194&amp;col=6&amp;number==&amp;sourceID=15","=")</f>
        <v>=</v>
      </c>
      <c r="G194" s="4" t="str">
        <f>HYPERLINK("http://141.218.60.56/~jnz1568/getInfo.php?workbook=02_02.xlsx&amp;sheet=A1&amp;row=194&amp;col=7&amp;number=70086&amp;sourceID=15","70086")</f>
        <v>70086</v>
      </c>
      <c r="H194" s="4" t="str">
        <f>HYPERLINK("http://141.218.60.56/~jnz1568/getInfo.php?workbook=02_02.xlsx&amp;sheet=A1&amp;row=194&amp;col=8&amp;number=&amp;sourceID=15","")</f>
        <v/>
      </c>
      <c r="I194" s="4" t="str">
        <f>HYPERLINK("http://141.218.60.56/~jnz1568/getInfo.php?workbook=02_02.xlsx&amp;sheet=A1&amp;row=194&amp;col=9&amp;number=&amp;sourceID=15","")</f>
        <v/>
      </c>
      <c r="J194" s="4" t="str">
        <f>HYPERLINK("http://141.218.60.56/~jnz1568/getInfo.php?workbook=02_02.xlsx&amp;sheet=A1&amp;row=194&amp;col=10&amp;number=&amp;sourceID=15","")</f>
        <v/>
      </c>
      <c r="K194" s="4" t="str">
        <f>HYPERLINK("http://141.218.60.56/~jnz1568/getInfo.php?workbook=02_02.xlsx&amp;sheet=A1&amp;row=194&amp;col=11&amp;number=69960&amp;sourceID=24","69960")</f>
        <v>69960</v>
      </c>
      <c r="L194" s="4" t="str">
        <f>HYPERLINK("http://141.218.60.56/~jnz1568/getInfo.php?workbook=02_02.xlsx&amp;sheet=A1&amp;row=194&amp;col=12&amp;number=70444.4444444&amp;sourceID=25","70444.4444444")</f>
        <v>70444.4444444</v>
      </c>
    </row>
    <row r="195" spans="1:12">
      <c r="A195" s="3">
        <v>2</v>
      </c>
      <c r="B195" s="3">
        <v>2</v>
      </c>
      <c r="C195" s="3">
        <v>23</v>
      </c>
      <c r="D195" s="3">
        <v>2</v>
      </c>
      <c r="E195" s="3">
        <f>((1/(INDEX('E1'!I$4:I$32,C195,1)-INDEX('E1'!I$4:I$32,D195,1))))*100000000</f>
        <v>0</v>
      </c>
      <c r="F195" s="4" t="str">
        <f>HYPERLINK("http://141.218.60.56/~jnz1568/getInfo.php?workbook=02_02.xlsx&amp;sheet=A1&amp;row=195&amp;col=6&amp;number==&amp;sourceID=15","=")</f>
        <v>=</v>
      </c>
      <c r="G195" s="4" t="str">
        <f>HYPERLINK("http://141.218.60.56/~jnz1568/getInfo.php?workbook=02_02.xlsx&amp;sheet=A1&amp;row=195&amp;col=7&amp;number=&amp;sourceID=15","")</f>
        <v/>
      </c>
      <c r="H195" s="4" t="str">
        <f>HYPERLINK("http://141.218.60.56/~jnz1568/getInfo.php?workbook=02_02.xlsx&amp;sheet=A1&amp;row=195&amp;col=8&amp;number=28.052&amp;sourceID=15","28.052")</f>
        <v>28.052</v>
      </c>
      <c r="I195" s="4" t="str">
        <f>HYPERLINK("http://141.218.60.56/~jnz1568/getInfo.php?workbook=02_02.xlsx&amp;sheet=A1&amp;row=195&amp;col=9&amp;number=&amp;sourceID=15","")</f>
        <v/>
      </c>
      <c r="J195" s="4" t="str">
        <f>HYPERLINK("http://141.218.60.56/~jnz1568/getInfo.php?workbook=02_02.xlsx&amp;sheet=A1&amp;row=195&amp;col=10&amp;number=&amp;sourceID=15","")</f>
        <v/>
      </c>
      <c r="K195" s="4" t="str">
        <f>HYPERLINK("http://141.218.60.56/~jnz1568/getInfo.php?workbook=02_02.xlsx&amp;sheet=A1&amp;row=195&amp;col=11&amp;number=&amp;sourceID=24","")</f>
        <v/>
      </c>
      <c r="L195" s="4" t="str">
        <f>HYPERLINK("http://141.218.60.56/~jnz1568/getInfo.php?workbook=02_02.xlsx&amp;sheet=A1&amp;row=195&amp;col=12&amp;number=&amp;sourceID=25","")</f>
        <v/>
      </c>
    </row>
    <row r="196" spans="1:12">
      <c r="A196" s="3">
        <v>2</v>
      </c>
      <c r="B196" s="3">
        <v>2</v>
      </c>
      <c r="C196" s="3">
        <v>23</v>
      </c>
      <c r="D196" s="3">
        <v>4</v>
      </c>
      <c r="E196" s="3">
        <f>((1/(INDEX('E1'!I$4:I$32,C196,1)-INDEX('E1'!I$4:I$32,D196,1))))*100000000</f>
        <v>0</v>
      </c>
      <c r="F196" s="4" t="str">
        <f>HYPERLINK("http://141.218.60.56/~jnz1568/getInfo.php?workbook=02_02.xlsx&amp;sheet=A1&amp;row=196&amp;col=6&amp;number==&amp;sourceID=15","=")</f>
        <v>=</v>
      </c>
      <c r="G196" s="4" t="str">
        <f>HYPERLINK("http://141.218.60.56/~jnz1568/getInfo.php?workbook=02_02.xlsx&amp;sheet=A1&amp;row=196&amp;col=7&amp;number=11600000&amp;sourceID=15","11600000")</f>
        <v>11600000</v>
      </c>
      <c r="H196" s="4" t="str">
        <f>HYPERLINK("http://141.218.60.56/~jnz1568/getInfo.php?workbook=02_02.xlsx&amp;sheet=A1&amp;row=196&amp;col=8&amp;number=&amp;sourceID=15","")</f>
        <v/>
      </c>
      <c r="I196" s="4" t="str">
        <f>HYPERLINK("http://141.218.60.56/~jnz1568/getInfo.php?workbook=02_02.xlsx&amp;sheet=A1&amp;row=196&amp;col=9&amp;number=&amp;sourceID=15","")</f>
        <v/>
      </c>
      <c r="J196" s="4" t="str">
        <f>HYPERLINK("http://141.218.60.56/~jnz1568/getInfo.php?workbook=02_02.xlsx&amp;sheet=A1&amp;row=196&amp;col=10&amp;number=&amp;sourceID=15","")</f>
        <v/>
      </c>
      <c r="K196" s="4" t="str">
        <f>HYPERLINK("http://141.218.60.56/~jnz1568/getInfo.php?workbook=02_02.xlsx&amp;sheet=A1&amp;row=196&amp;col=11&amp;number=11640000&amp;sourceID=24","11640000")</f>
        <v>11640000</v>
      </c>
      <c r="L196" s="4" t="str">
        <f>HYPERLINK("http://141.218.60.56/~jnz1568/getInfo.php?workbook=02_02.xlsx&amp;sheet=A1&amp;row=196&amp;col=12&amp;number=11600000&amp;sourceID=25","11600000")</f>
        <v>11600000</v>
      </c>
    </row>
    <row r="197" spans="1:12">
      <c r="A197" s="3">
        <v>2</v>
      </c>
      <c r="B197" s="3">
        <v>2</v>
      </c>
      <c r="C197" s="3">
        <v>23</v>
      </c>
      <c r="D197" s="3">
        <v>6</v>
      </c>
      <c r="E197" s="3">
        <f>((1/(INDEX('E1'!I$4:I$32,C197,1)-INDEX('E1'!I$4:I$32,D197,1))))*100000000</f>
        <v>0</v>
      </c>
      <c r="F197" s="4" t="str">
        <f>HYPERLINK("http://141.218.60.56/~jnz1568/getInfo.php?workbook=02_02.xlsx&amp;sheet=A1&amp;row=197&amp;col=6&amp;number==&amp;sourceID=15","=")</f>
        <v>=</v>
      </c>
      <c r="G197" s="4" t="str">
        <f>HYPERLINK("http://141.218.60.56/~jnz1568/getInfo.php?workbook=02_02.xlsx&amp;sheet=A1&amp;row=197&amp;col=7&amp;number=&amp;sourceID=15","")</f>
        <v/>
      </c>
      <c r="H197" s="4" t="str">
        <f>HYPERLINK("http://141.218.60.56/~jnz1568/getInfo.php?workbook=02_02.xlsx&amp;sheet=A1&amp;row=197&amp;col=8&amp;number=4.1445&amp;sourceID=15","4.1445")</f>
        <v>4.1445</v>
      </c>
      <c r="I197" s="4" t="str">
        <f>HYPERLINK("http://141.218.60.56/~jnz1568/getInfo.php?workbook=02_02.xlsx&amp;sheet=A1&amp;row=197&amp;col=9&amp;number=&amp;sourceID=15","")</f>
        <v/>
      </c>
      <c r="J197" s="4" t="str">
        <f>HYPERLINK("http://141.218.60.56/~jnz1568/getInfo.php?workbook=02_02.xlsx&amp;sheet=A1&amp;row=197&amp;col=10&amp;number=&amp;sourceID=15","")</f>
        <v/>
      </c>
      <c r="K197" s="4" t="str">
        <f>HYPERLINK("http://141.218.60.56/~jnz1568/getInfo.php?workbook=02_02.xlsx&amp;sheet=A1&amp;row=197&amp;col=11&amp;number=&amp;sourceID=24","")</f>
        <v/>
      </c>
      <c r="L197" s="4" t="str">
        <f>HYPERLINK("http://141.218.60.56/~jnz1568/getInfo.php?workbook=02_02.xlsx&amp;sheet=A1&amp;row=197&amp;col=12&amp;number=&amp;sourceID=25","")</f>
        <v/>
      </c>
    </row>
    <row r="198" spans="1:12">
      <c r="A198" s="3">
        <v>2</v>
      </c>
      <c r="B198" s="3">
        <v>2</v>
      </c>
      <c r="C198" s="3">
        <v>23</v>
      </c>
      <c r="D198" s="3">
        <v>8</v>
      </c>
      <c r="E198" s="3">
        <f>((1/(INDEX('E1'!I$4:I$32,C198,1)-INDEX('E1'!I$4:I$32,D198,1))))*100000000</f>
        <v>0</v>
      </c>
      <c r="F198" s="4" t="str">
        <f>HYPERLINK("http://141.218.60.56/~jnz1568/getInfo.php?workbook=02_02.xlsx&amp;sheet=A1&amp;row=198&amp;col=6&amp;number==&amp;sourceID=15","=")</f>
        <v>=</v>
      </c>
      <c r="G198" s="4" t="str">
        <f>HYPERLINK("http://141.218.60.56/~jnz1568/getInfo.php?workbook=02_02.xlsx&amp;sheet=A1&amp;row=198&amp;col=7&amp;number=3478100&amp;sourceID=15","3478100")</f>
        <v>3478100</v>
      </c>
      <c r="H198" s="4" t="str">
        <f>HYPERLINK("http://141.218.60.56/~jnz1568/getInfo.php?workbook=02_02.xlsx&amp;sheet=A1&amp;row=198&amp;col=8&amp;number=&amp;sourceID=15","")</f>
        <v/>
      </c>
      <c r="I198" s="4" t="str">
        <f>HYPERLINK("http://141.218.60.56/~jnz1568/getInfo.php?workbook=02_02.xlsx&amp;sheet=A1&amp;row=198&amp;col=9&amp;number=&amp;sourceID=15","")</f>
        <v/>
      </c>
      <c r="J198" s="4" t="str">
        <f>HYPERLINK("http://141.218.60.56/~jnz1568/getInfo.php?workbook=02_02.xlsx&amp;sheet=A1&amp;row=198&amp;col=10&amp;number=&amp;sourceID=15","")</f>
        <v/>
      </c>
      <c r="K198" s="4" t="str">
        <f>HYPERLINK("http://141.218.60.56/~jnz1568/getInfo.php?workbook=02_02.xlsx&amp;sheet=A1&amp;row=198&amp;col=11&amp;number=3535000&amp;sourceID=24","3535000")</f>
        <v>3535000</v>
      </c>
      <c r="L198" s="4" t="str">
        <f>HYPERLINK("http://141.218.60.56/~jnz1568/getInfo.php?workbook=02_02.xlsx&amp;sheet=A1&amp;row=198&amp;col=12&amp;number=3466666.66667&amp;sourceID=25","3466666.66667")</f>
        <v>3466666.66667</v>
      </c>
    </row>
    <row r="199" spans="1:12">
      <c r="A199" s="3">
        <v>2</v>
      </c>
      <c r="B199" s="3">
        <v>2</v>
      </c>
      <c r="C199" s="3">
        <v>23</v>
      </c>
      <c r="D199" s="3">
        <v>11</v>
      </c>
      <c r="E199" s="3">
        <f>((1/(INDEX('E1'!I$4:I$32,C199,1)-INDEX('E1'!I$4:I$32,D199,1))))*100000000</f>
        <v>0</v>
      </c>
      <c r="F199" s="4" t="str">
        <f>HYPERLINK("http://141.218.60.56/~jnz1568/getInfo.php?workbook=02_02.xlsx&amp;sheet=A1&amp;row=199&amp;col=6&amp;number==&amp;sourceID=15","=")</f>
        <v>=</v>
      </c>
      <c r="G199" s="4" t="str">
        <f>HYPERLINK("http://141.218.60.56/~jnz1568/getInfo.php?workbook=02_02.xlsx&amp;sheet=A1&amp;row=199&amp;col=7&amp;number=330.3&amp;sourceID=15","330.3")</f>
        <v>330.3</v>
      </c>
      <c r="H199" s="4" t="str">
        <f>HYPERLINK("http://141.218.60.56/~jnz1568/getInfo.php?workbook=02_02.xlsx&amp;sheet=A1&amp;row=199&amp;col=8&amp;number=&amp;sourceID=15","")</f>
        <v/>
      </c>
      <c r="I199" s="4" t="str">
        <f>HYPERLINK("http://141.218.60.56/~jnz1568/getInfo.php?workbook=02_02.xlsx&amp;sheet=A1&amp;row=199&amp;col=9&amp;number=&amp;sourceID=15","")</f>
        <v/>
      </c>
      <c r="J199" s="4" t="str">
        <f>HYPERLINK("http://141.218.60.56/~jnz1568/getInfo.php?workbook=02_02.xlsx&amp;sheet=A1&amp;row=199&amp;col=10&amp;number=&amp;sourceID=15","")</f>
        <v/>
      </c>
      <c r="K199" s="4" t="str">
        <f>HYPERLINK("http://141.218.60.56/~jnz1568/getInfo.php?workbook=02_02.xlsx&amp;sheet=A1&amp;row=199&amp;col=11&amp;number=&amp;sourceID=24","")</f>
        <v/>
      </c>
      <c r="L199" s="4" t="str">
        <f>HYPERLINK("http://141.218.60.56/~jnz1568/getInfo.php?workbook=02_02.xlsx&amp;sheet=A1&amp;row=199&amp;col=12&amp;number=&amp;sourceID=25","")</f>
        <v/>
      </c>
    </row>
    <row r="200" spans="1:12">
      <c r="A200" s="3">
        <v>2</v>
      </c>
      <c r="B200" s="3">
        <v>2</v>
      </c>
      <c r="C200" s="3">
        <v>23</v>
      </c>
      <c r="D200" s="3">
        <v>12</v>
      </c>
      <c r="E200" s="3">
        <f>((1/(INDEX('E1'!I$4:I$32,C200,1)-INDEX('E1'!I$4:I$32,D200,1))))*100000000</f>
        <v>0</v>
      </c>
      <c r="F200" s="4" t="str">
        <f>HYPERLINK("http://141.218.60.56/~jnz1568/getInfo.php?workbook=02_02.xlsx&amp;sheet=A1&amp;row=200&amp;col=6&amp;number==&amp;sourceID=15","=")</f>
        <v>=</v>
      </c>
      <c r="G200" s="4" t="str">
        <f>HYPERLINK("http://141.218.60.56/~jnz1568/getInfo.php?workbook=02_02.xlsx&amp;sheet=A1&amp;row=200&amp;col=7&amp;number=&amp;sourceID=15","")</f>
        <v/>
      </c>
      <c r="H200" s="4" t="str">
        <f>HYPERLINK("http://141.218.60.56/~jnz1568/getInfo.php?workbook=02_02.xlsx&amp;sheet=A1&amp;row=200&amp;col=8&amp;number=0.71114&amp;sourceID=15","0.71114")</f>
        <v>0.71114</v>
      </c>
      <c r="I200" s="4" t="str">
        <f>HYPERLINK("http://141.218.60.56/~jnz1568/getInfo.php?workbook=02_02.xlsx&amp;sheet=A1&amp;row=200&amp;col=9&amp;number=&amp;sourceID=15","")</f>
        <v/>
      </c>
      <c r="J200" s="4" t="str">
        <f>HYPERLINK("http://141.218.60.56/~jnz1568/getInfo.php?workbook=02_02.xlsx&amp;sheet=A1&amp;row=200&amp;col=10&amp;number=&amp;sourceID=15","")</f>
        <v/>
      </c>
      <c r="K200" s="4" t="str">
        <f>HYPERLINK("http://141.218.60.56/~jnz1568/getInfo.php?workbook=02_02.xlsx&amp;sheet=A1&amp;row=200&amp;col=11&amp;number=&amp;sourceID=24","")</f>
        <v/>
      </c>
      <c r="L200" s="4" t="str">
        <f>HYPERLINK("http://141.218.60.56/~jnz1568/getInfo.php?workbook=02_02.xlsx&amp;sheet=A1&amp;row=200&amp;col=12&amp;number=&amp;sourceID=25","")</f>
        <v/>
      </c>
    </row>
    <row r="201" spans="1:12">
      <c r="A201" s="3">
        <v>2</v>
      </c>
      <c r="B201" s="3">
        <v>2</v>
      </c>
      <c r="C201" s="3">
        <v>23</v>
      </c>
      <c r="D201" s="3">
        <v>14</v>
      </c>
      <c r="E201" s="3">
        <f>((1/(INDEX('E1'!I$4:I$32,C201,1)-INDEX('E1'!I$4:I$32,D201,1))))*100000000</f>
        <v>0</v>
      </c>
      <c r="F201" s="4" t="str">
        <f>HYPERLINK("http://141.218.60.56/~jnz1568/getInfo.php?workbook=02_02.xlsx&amp;sheet=A1&amp;row=201&amp;col=6&amp;number==&amp;sourceID=15","=")</f>
        <v>=</v>
      </c>
      <c r="G201" s="4" t="str">
        <f>HYPERLINK("http://141.218.60.56/~jnz1568/getInfo.php?workbook=02_02.xlsx&amp;sheet=A1&amp;row=201&amp;col=7&amp;number=1279200&amp;sourceID=15","1279200")</f>
        <v>1279200</v>
      </c>
      <c r="H201" s="4" t="str">
        <f>HYPERLINK("http://141.218.60.56/~jnz1568/getInfo.php?workbook=02_02.xlsx&amp;sheet=A1&amp;row=201&amp;col=8&amp;number=&amp;sourceID=15","")</f>
        <v/>
      </c>
      <c r="I201" s="4" t="str">
        <f>HYPERLINK("http://141.218.60.56/~jnz1568/getInfo.php?workbook=02_02.xlsx&amp;sheet=A1&amp;row=201&amp;col=9&amp;number=&amp;sourceID=15","")</f>
        <v/>
      </c>
      <c r="J201" s="4" t="str">
        <f>HYPERLINK("http://141.218.60.56/~jnz1568/getInfo.php?workbook=02_02.xlsx&amp;sheet=A1&amp;row=201&amp;col=10&amp;number=&amp;sourceID=15","")</f>
        <v/>
      </c>
      <c r="K201" s="4" t="str">
        <f>HYPERLINK("http://141.218.60.56/~jnz1568/getInfo.php?workbook=02_02.xlsx&amp;sheet=A1&amp;row=201&amp;col=11&amp;number=1306000&amp;sourceID=24","1306000")</f>
        <v>1306000</v>
      </c>
      <c r="L201" s="4" t="str">
        <f>HYPERLINK("http://141.218.60.56/~jnz1568/getInfo.php?workbook=02_02.xlsx&amp;sheet=A1&amp;row=201&amp;col=12&amp;number=1280000&amp;sourceID=25","1280000")</f>
        <v>1280000</v>
      </c>
    </row>
    <row r="202" spans="1:12">
      <c r="A202" s="3">
        <v>2</v>
      </c>
      <c r="B202" s="3">
        <v>2</v>
      </c>
      <c r="C202" s="3">
        <v>23</v>
      </c>
      <c r="D202" s="3">
        <v>17</v>
      </c>
      <c r="E202" s="3">
        <f>((1/(INDEX('E1'!I$4:I$32,C202,1)-INDEX('E1'!I$4:I$32,D202,1))))*100000000</f>
        <v>0</v>
      </c>
      <c r="F202" s="4" t="str">
        <f>HYPERLINK("http://141.218.60.56/~jnz1568/getInfo.php?workbook=02_02.xlsx&amp;sheet=A1&amp;row=202&amp;col=6&amp;number==&amp;sourceID=15","=")</f>
        <v>=</v>
      </c>
      <c r="G202" s="4" t="str">
        <f>HYPERLINK("http://141.218.60.56/~jnz1568/getInfo.php?workbook=02_02.xlsx&amp;sheet=A1&amp;row=202&amp;col=7&amp;number=45778&amp;sourceID=15","45778")</f>
        <v>45778</v>
      </c>
      <c r="H202" s="4" t="str">
        <f>HYPERLINK("http://141.218.60.56/~jnz1568/getInfo.php?workbook=02_02.xlsx&amp;sheet=A1&amp;row=202&amp;col=8&amp;number=&amp;sourceID=15","")</f>
        <v/>
      </c>
      <c r="I202" s="4" t="str">
        <f>HYPERLINK("http://141.218.60.56/~jnz1568/getInfo.php?workbook=02_02.xlsx&amp;sheet=A1&amp;row=202&amp;col=9&amp;number=&amp;sourceID=15","")</f>
        <v/>
      </c>
      <c r="J202" s="4" t="str">
        <f>HYPERLINK("http://141.218.60.56/~jnz1568/getInfo.php?workbook=02_02.xlsx&amp;sheet=A1&amp;row=202&amp;col=10&amp;number=&amp;sourceID=15","")</f>
        <v/>
      </c>
      <c r="K202" s="4" t="str">
        <f>HYPERLINK("http://141.218.60.56/~jnz1568/getInfo.php?workbook=02_02.xlsx&amp;sheet=A1&amp;row=202&amp;col=11&amp;number=51530&amp;sourceID=24","51530")</f>
        <v>51530</v>
      </c>
      <c r="L202" s="4" t="str">
        <f>HYPERLINK("http://141.218.60.56/~jnz1568/getInfo.php?workbook=02_02.xlsx&amp;sheet=A1&amp;row=202&amp;col=12&amp;number=&amp;sourceID=25","")</f>
        <v/>
      </c>
    </row>
    <row r="203" spans="1:12">
      <c r="A203" s="3">
        <v>2</v>
      </c>
      <c r="B203" s="3">
        <v>2</v>
      </c>
      <c r="C203" s="3">
        <v>23</v>
      </c>
      <c r="D203" s="3">
        <v>18</v>
      </c>
      <c r="E203" s="3">
        <f>((1/(INDEX('E1'!I$4:I$32,C203,1)-INDEX('E1'!I$4:I$32,D203,1))))*100000000</f>
        <v>0</v>
      </c>
      <c r="F203" s="4" t="str">
        <f>HYPERLINK("http://141.218.60.56/~jnz1568/getInfo.php?workbook=02_02.xlsx&amp;sheet=A1&amp;row=203&amp;col=6&amp;number==&amp;sourceID=15","=")</f>
        <v>=</v>
      </c>
      <c r="G203" s="4" t="str">
        <f>HYPERLINK("http://141.218.60.56/~jnz1568/getInfo.php?workbook=02_02.xlsx&amp;sheet=A1&amp;row=203&amp;col=7&amp;number=17880&amp;sourceID=15","17880")</f>
        <v>17880</v>
      </c>
      <c r="H203" s="4" t="str">
        <f>HYPERLINK("http://141.218.60.56/~jnz1568/getInfo.php?workbook=02_02.xlsx&amp;sheet=A1&amp;row=203&amp;col=8&amp;number=&amp;sourceID=15","")</f>
        <v/>
      </c>
      <c r="I203" s="4" t="str">
        <f>HYPERLINK("http://141.218.60.56/~jnz1568/getInfo.php?workbook=02_02.xlsx&amp;sheet=A1&amp;row=203&amp;col=9&amp;number=&amp;sourceID=15","")</f>
        <v/>
      </c>
      <c r="J203" s="4" t="str">
        <f>HYPERLINK("http://141.218.60.56/~jnz1568/getInfo.php?workbook=02_02.xlsx&amp;sheet=A1&amp;row=203&amp;col=10&amp;number=&amp;sourceID=15","")</f>
        <v/>
      </c>
      <c r="K203" s="4" t="str">
        <f>HYPERLINK("http://141.218.60.56/~jnz1568/getInfo.php?workbook=02_02.xlsx&amp;sheet=A1&amp;row=203&amp;col=11&amp;number=&amp;sourceID=24","")</f>
        <v/>
      </c>
      <c r="L203" s="4" t="str">
        <f>HYPERLINK("http://141.218.60.56/~jnz1568/getInfo.php?workbook=02_02.xlsx&amp;sheet=A1&amp;row=203&amp;col=12&amp;number=&amp;sourceID=25","")</f>
        <v/>
      </c>
    </row>
    <row r="204" spans="1:12">
      <c r="A204" s="3">
        <v>2</v>
      </c>
      <c r="B204" s="3">
        <v>2</v>
      </c>
      <c r="C204" s="3">
        <v>23</v>
      </c>
      <c r="D204" s="3">
        <v>19</v>
      </c>
      <c r="E204" s="3">
        <f>((1/(INDEX('E1'!I$4:I$32,C204,1)-INDEX('E1'!I$4:I$32,D204,1))))*100000000</f>
        <v>0</v>
      </c>
      <c r="F204" s="4" t="str">
        <f>HYPERLINK("http://141.218.60.56/~jnz1568/getInfo.php?workbook=02_02.xlsx&amp;sheet=A1&amp;row=204&amp;col=6&amp;number==&amp;sourceID=15","=")</f>
        <v>=</v>
      </c>
      <c r="G204" s="4" t="str">
        <f>HYPERLINK("http://141.218.60.56/~jnz1568/getInfo.php?workbook=02_02.xlsx&amp;sheet=A1&amp;row=204&amp;col=7&amp;number=150.7&amp;sourceID=15","150.7")</f>
        <v>150.7</v>
      </c>
      <c r="H204" s="4" t="str">
        <f>HYPERLINK("http://141.218.60.56/~jnz1568/getInfo.php?workbook=02_02.xlsx&amp;sheet=A1&amp;row=204&amp;col=8&amp;number=&amp;sourceID=15","")</f>
        <v/>
      </c>
      <c r="I204" s="4" t="str">
        <f>HYPERLINK("http://141.218.60.56/~jnz1568/getInfo.php?workbook=02_02.xlsx&amp;sheet=A1&amp;row=204&amp;col=9&amp;number=&amp;sourceID=15","")</f>
        <v/>
      </c>
      <c r="J204" s="4" t="str">
        <f>HYPERLINK("http://141.218.60.56/~jnz1568/getInfo.php?workbook=02_02.xlsx&amp;sheet=A1&amp;row=204&amp;col=10&amp;number=&amp;sourceID=15","")</f>
        <v/>
      </c>
      <c r="K204" s="4" t="str">
        <f>HYPERLINK("http://141.218.60.56/~jnz1568/getInfo.php?workbook=02_02.xlsx&amp;sheet=A1&amp;row=204&amp;col=11&amp;number=&amp;sourceID=24","")</f>
        <v/>
      </c>
      <c r="L204" s="4" t="str">
        <f>HYPERLINK("http://141.218.60.56/~jnz1568/getInfo.php?workbook=02_02.xlsx&amp;sheet=A1&amp;row=204&amp;col=12&amp;number=&amp;sourceID=25","")</f>
        <v/>
      </c>
    </row>
    <row r="205" spans="1:12">
      <c r="A205" s="3">
        <v>2</v>
      </c>
      <c r="B205" s="3">
        <v>2</v>
      </c>
      <c r="C205" s="3">
        <v>23</v>
      </c>
      <c r="D205" s="3">
        <v>20</v>
      </c>
      <c r="E205" s="3">
        <f>((1/(INDEX('E1'!I$4:I$32,C205,1)-INDEX('E1'!I$4:I$32,D205,1))))*100000000</f>
        <v>0</v>
      </c>
      <c r="F205" s="4" t="str">
        <f>HYPERLINK("http://141.218.60.56/~jnz1568/getInfo.php?workbook=02_02.xlsx&amp;sheet=A1&amp;row=205&amp;col=6&amp;number==&amp;sourceID=15","=")</f>
        <v>=</v>
      </c>
      <c r="G205" s="4" t="str">
        <f>HYPERLINK("http://141.218.60.56/~jnz1568/getInfo.php?workbook=02_02.xlsx&amp;sheet=A1&amp;row=205&amp;col=7&amp;number=&amp;sourceID=15","")</f>
        <v/>
      </c>
      <c r="H205" s="4" t="str">
        <f>HYPERLINK("http://141.218.60.56/~jnz1568/getInfo.php?workbook=02_02.xlsx&amp;sheet=A1&amp;row=205&amp;col=8&amp;number=0.0021961&amp;sourceID=15","0.0021961")</f>
        <v>0.0021961</v>
      </c>
      <c r="I205" s="4" t="str">
        <f>HYPERLINK("http://141.218.60.56/~jnz1568/getInfo.php?workbook=02_02.xlsx&amp;sheet=A1&amp;row=205&amp;col=9&amp;number=&amp;sourceID=15","")</f>
        <v/>
      </c>
      <c r="J205" s="4" t="str">
        <f>HYPERLINK("http://141.218.60.56/~jnz1568/getInfo.php?workbook=02_02.xlsx&amp;sheet=A1&amp;row=205&amp;col=10&amp;number=&amp;sourceID=15","")</f>
        <v/>
      </c>
      <c r="K205" s="4" t="str">
        <f>HYPERLINK("http://141.218.60.56/~jnz1568/getInfo.php?workbook=02_02.xlsx&amp;sheet=A1&amp;row=205&amp;col=11&amp;number=&amp;sourceID=24","")</f>
        <v/>
      </c>
      <c r="L205" s="4" t="str">
        <f>HYPERLINK("http://141.218.60.56/~jnz1568/getInfo.php?workbook=02_02.xlsx&amp;sheet=A1&amp;row=205&amp;col=12&amp;number=&amp;sourceID=25","")</f>
        <v/>
      </c>
    </row>
    <row r="206" spans="1:12">
      <c r="A206" s="3">
        <v>2</v>
      </c>
      <c r="B206" s="3">
        <v>2</v>
      </c>
      <c r="C206" s="3">
        <v>23</v>
      </c>
      <c r="D206" s="3">
        <v>22</v>
      </c>
      <c r="E206" s="3">
        <f>((1/(INDEX('E1'!I$4:I$32,C206,1)-INDEX('E1'!I$4:I$32,D206,1))))*100000000</f>
        <v>0</v>
      </c>
      <c r="F206" s="4" t="str">
        <f>HYPERLINK("http://141.218.60.56/~jnz1568/getInfo.php?workbook=02_02.xlsx&amp;sheet=A1&amp;row=206&amp;col=6&amp;number==SUM(G206:J206)&amp;sourceID=15","=SUM(G206:J206)")</f>
        <v>=SUM(G206:J206)</v>
      </c>
      <c r="G206" s="4" t="str">
        <f>HYPERLINK("http://141.218.60.56/~jnz1568/getInfo.php?workbook=02_02.xlsx&amp;sheet=A1&amp;row=206&amp;col=7&amp;number=1517.4&amp;sourceID=15","1517.4")</f>
        <v>1517.4</v>
      </c>
      <c r="H206" s="4" t="str">
        <f>HYPERLINK("http://141.218.60.56/~jnz1568/getInfo.php?workbook=02_02.xlsx&amp;sheet=A1&amp;row=206&amp;col=8&amp;number=&amp;sourceID=15","")</f>
        <v/>
      </c>
      <c r="I206" s="4" t="str">
        <f>HYPERLINK("http://141.218.60.56/~jnz1568/getInfo.php?workbook=02_02.xlsx&amp;sheet=A1&amp;row=206&amp;col=9&amp;number=&amp;sourceID=15","")</f>
        <v/>
      </c>
      <c r="J206" s="4" t="str">
        <f>HYPERLINK("http://141.218.60.56/~jnz1568/getInfo.php?workbook=02_02.xlsx&amp;sheet=A1&amp;row=206&amp;col=10&amp;number=&amp;sourceID=15","")</f>
        <v/>
      </c>
      <c r="K206" s="4" t="str">
        <f>HYPERLINK("http://141.218.60.56/~jnz1568/getInfo.php?workbook=02_02.xlsx&amp;sheet=A1&amp;row=206&amp;col=11&amp;number=1521&amp;sourceID=24","1521")</f>
        <v>1521</v>
      </c>
      <c r="L206" s="4" t="str">
        <f>HYPERLINK("http://141.218.60.56/~jnz1568/getInfo.php?workbook=02_02.xlsx&amp;sheet=A1&amp;row=206&amp;col=12&amp;number=1473.33333333&amp;sourceID=25","1473.33333333")</f>
        <v>1473.33333333</v>
      </c>
    </row>
    <row r="207" spans="1:12">
      <c r="A207" s="3">
        <v>2</v>
      </c>
      <c r="B207" s="3">
        <v>2</v>
      </c>
      <c r="C207" s="3">
        <v>24</v>
      </c>
      <c r="D207" s="3">
        <v>1</v>
      </c>
      <c r="E207" s="3">
        <f>((1/(INDEX('E1'!I$4:I$32,C207,1)-INDEX('E1'!I$4:I$32,D207,1))))*100000000</f>
        <v>0</v>
      </c>
      <c r="F207" s="4" t="str">
        <f>HYPERLINK("http://141.218.60.56/~jnz1568/getInfo.php?workbook=02_02.xlsx&amp;sheet=A1&amp;row=207&amp;col=6&amp;number==&amp;sourceID=15","=")</f>
        <v>=</v>
      </c>
      <c r="G207" s="4" t="str">
        <f>HYPERLINK("http://141.218.60.56/~jnz1568/getInfo.php?workbook=02_02.xlsx&amp;sheet=A1&amp;row=207&amp;col=7&amp;number=&amp;sourceID=15","")</f>
        <v/>
      </c>
      <c r="H207" s="4" t="str">
        <f>HYPERLINK("http://141.218.60.56/~jnz1568/getInfo.php?workbook=02_02.xlsx&amp;sheet=A1&amp;row=207&amp;col=8&amp;number=431.36&amp;sourceID=15","431.36")</f>
        <v>431.36</v>
      </c>
      <c r="I207" s="4" t="str">
        <f>HYPERLINK("http://141.218.60.56/~jnz1568/getInfo.php?workbook=02_02.xlsx&amp;sheet=A1&amp;row=207&amp;col=9&amp;number=&amp;sourceID=15","")</f>
        <v/>
      </c>
      <c r="J207" s="4" t="str">
        <f>HYPERLINK("http://141.218.60.56/~jnz1568/getInfo.php?workbook=02_02.xlsx&amp;sheet=A1&amp;row=207&amp;col=10&amp;number=&amp;sourceID=15","")</f>
        <v/>
      </c>
      <c r="K207" s="4" t="str">
        <f>HYPERLINK("http://141.218.60.56/~jnz1568/getInfo.php?workbook=02_02.xlsx&amp;sheet=A1&amp;row=207&amp;col=11&amp;number=&amp;sourceID=24","")</f>
        <v/>
      </c>
      <c r="L207" s="4" t="str">
        <f>HYPERLINK("http://141.218.60.56/~jnz1568/getInfo.php?workbook=02_02.xlsx&amp;sheet=A1&amp;row=207&amp;col=12&amp;number=&amp;sourceID=25","")</f>
        <v/>
      </c>
    </row>
    <row r="208" spans="1:12">
      <c r="A208" s="3">
        <v>2</v>
      </c>
      <c r="B208" s="3">
        <v>2</v>
      </c>
      <c r="C208" s="3">
        <v>24</v>
      </c>
      <c r="D208" s="3">
        <v>3</v>
      </c>
      <c r="E208" s="3">
        <f>((1/(INDEX('E1'!I$4:I$32,C208,1)-INDEX('E1'!I$4:I$32,D208,1))))*100000000</f>
        <v>0</v>
      </c>
      <c r="F208" s="4" t="str">
        <f>HYPERLINK("http://141.218.60.56/~jnz1568/getInfo.php?workbook=02_02.xlsx&amp;sheet=A1&amp;row=208&amp;col=6&amp;number==&amp;sourceID=15","=")</f>
        <v>=</v>
      </c>
      <c r="G208" s="4" t="str">
        <f>HYPERLINK("http://141.218.60.56/~jnz1568/getInfo.php?workbook=02_02.xlsx&amp;sheet=A1&amp;row=208&amp;col=7&amp;number=&amp;sourceID=15","")</f>
        <v/>
      </c>
      <c r="H208" s="4" t="str">
        <f>HYPERLINK("http://141.218.60.56/~jnz1568/getInfo.php?workbook=02_02.xlsx&amp;sheet=A1&amp;row=208&amp;col=8&amp;number=8.2983&amp;sourceID=15","8.2983")</f>
        <v>8.2983</v>
      </c>
      <c r="I208" s="4" t="str">
        <f>HYPERLINK("http://141.218.60.56/~jnz1568/getInfo.php?workbook=02_02.xlsx&amp;sheet=A1&amp;row=208&amp;col=9&amp;number=&amp;sourceID=15","")</f>
        <v/>
      </c>
      <c r="J208" s="4" t="str">
        <f>HYPERLINK("http://141.218.60.56/~jnz1568/getInfo.php?workbook=02_02.xlsx&amp;sheet=A1&amp;row=208&amp;col=10&amp;number=&amp;sourceID=15","")</f>
        <v/>
      </c>
      <c r="K208" s="4" t="str">
        <f>HYPERLINK("http://141.218.60.56/~jnz1568/getInfo.php?workbook=02_02.xlsx&amp;sheet=A1&amp;row=208&amp;col=11&amp;number=&amp;sourceID=24","")</f>
        <v/>
      </c>
      <c r="L208" s="4" t="str">
        <f>HYPERLINK("http://141.218.60.56/~jnz1568/getInfo.php?workbook=02_02.xlsx&amp;sheet=A1&amp;row=208&amp;col=12&amp;number=&amp;sourceID=25","")</f>
        <v/>
      </c>
    </row>
    <row r="209" spans="1:12">
      <c r="A209" s="3">
        <v>2</v>
      </c>
      <c r="B209" s="3">
        <v>2</v>
      </c>
      <c r="C209" s="3">
        <v>24</v>
      </c>
      <c r="D209" s="3">
        <v>5</v>
      </c>
      <c r="E209" s="3">
        <f>((1/(INDEX('E1'!I$4:I$32,C209,1)-INDEX('E1'!I$4:I$32,D209,1))))*100000000</f>
        <v>0</v>
      </c>
      <c r="F209" s="4" t="str">
        <f>HYPERLINK("http://141.218.60.56/~jnz1568/getInfo.php?workbook=02_02.xlsx&amp;sheet=A1&amp;row=209&amp;col=6&amp;number==&amp;sourceID=15","=")</f>
        <v>=</v>
      </c>
      <c r="G209" s="4" t="str">
        <f>HYPERLINK("http://141.218.60.56/~jnz1568/getInfo.php?workbook=02_02.xlsx&amp;sheet=A1&amp;row=209&amp;col=7&amp;number=8988900&amp;sourceID=15","8988900")</f>
        <v>8988900</v>
      </c>
      <c r="H209" s="4" t="str">
        <f>HYPERLINK("http://141.218.60.56/~jnz1568/getInfo.php?workbook=02_02.xlsx&amp;sheet=A1&amp;row=209&amp;col=8&amp;number=&amp;sourceID=15","")</f>
        <v/>
      </c>
      <c r="I209" s="4" t="str">
        <f>HYPERLINK("http://141.218.60.56/~jnz1568/getInfo.php?workbook=02_02.xlsx&amp;sheet=A1&amp;row=209&amp;col=9&amp;number=&amp;sourceID=15","")</f>
        <v/>
      </c>
      <c r="J209" s="4" t="str">
        <f>HYPERLINK("http://141.218.60.56/~jnz1568/getInfo.php?workbook=02_02.xlsx&amp;sheet=A1&amp;row=209&amp;col=10&amp;number=&amp;sourceID=15","")</f>
        <v/>
      </c>
      <c r="K209" s="4" t="str">
        <f>HYPERLINK("http://141.218.60.56/~jnz1568/getInfo.php?workbook=02_02.xlsx&amp;sheet=A1&amp;row=209&amp;col=11&amp;number=8997000&amp;sourceID=24","8997000")</f>
        <v>8997000</v>
      </c>
      <c r="L209" s="4" t="str">
        <f>HYPERLINK("http://141.218.60.56/~jnz1568/getInfo.php?workbook=02_02.xlsx&amp;sheet=A1&amp;row=209&amp;col=12&amp;number=8980000&amp;sourceID=25","8980000")</f>
        <v>8980000</v>
      </c>
    </row>
    <row r="210" spans="1:12">
      <c r="A210" s="3">
        <v>2</v>
      </c>
      <c r="B210" s="3">
        <v>2</v>
      </c>
      <c r="C210" s="3">
        <v>24</v>
      </c>
      <c r="D210" s="3">
        <v>7</v>
      </c>
      <c r="E210" s="3">
        <f>((1/(INDEX('E1'!I$4:I$32,C210,1)-INDEX('E1'!I$4:I$32,D210,1))))*100000000</f>
        <v>0</v>
      </c>
      <c r="F210" s="4" t="str">
        <f>HYPERLINK("http://141.218.60.56/~jnz1568/getInfo.php?workbook=02_02.xlsx&amp;sheet=A1&amp;row=210&amp;col=6&amp;number==&amp;sourceID=15","=")</f>
        <v>=</v>
      </c>
      <c r="G210" s="4" t="str">
        <f>HYPERLINK("http://141.218.60.56/~jnz1568/getInfo.php?workbook=02_02.xlsx&amp;sheet=A1&amp;row=210&amp;col=7&amp;number=&amp;sourceID=15","")</f>
        <v/>
      </c>
      <c r="H210" s="4" t="str">
        <f>HYPERLINK("http://141.218.60.56/~jnz1568/getInfo.php?workbook=02_02.xlsx&amp;sheet=A1&amp;row=210&amp;col=8&amp;number=2.514&amp;sourceID=15","2.514")</f>
        <v>2.514</v>
      </c>
      <c r="I210" s="4" t="str">
        <f>HYPERLINK("http://141.218.60.56/~jnz1568/getInfo.php?workbook=02_02.xlsx&amp;sheet=A1&amp;row=210&amp;col=9&amp;number=&amp;sourceID=15","")</f>
        <v/>
      </c>
      <c r="J210" s="4" t="str">
        <f>HYPERLINK("http://141.218.60.56/~jnz1568/getInfo.php?workbook=02_02.xlsx&amp;sheet=A1&amp;row=210&amp;col=10&amp;number=&amp;sourceID=15","")</f>
        <v/>
      </c>
      <c r="K210" s="4" t="str">
        <f>HYPERLINK("http://141.218.60.56/~jnz1568/getInfo.php?workbook=02_02.xlsx&amp;sheet=A1&amp;row=210&amp;col=11&amp;number=&amp;sourceID=24","")</f>
        <v/>
      </c>
      <c r="L210" s="4" t="str">
        <f>HYPERLINK("http://141.218.60.56/~jnz1568/getInfo.php?workbook=02_02.xlsx&amp;sheet=A1&amp;row=210&amp;col=12&amp;number=&amp;sourceID=25","")</f>
        <v/>
      </c>
    </row>
    <row r="211" spans="1:12">
      <c r="A211" s="3">
        <v>2</v>
      </c>
      <c r="B211" s="3">
        <v>2</v>
      </c>
      <c r="C211" s="3">
        <v>24</v>
      </c>
      <c r="D211" s="3">
        <v>8</v>
      </c>
      <c r="E211" s="3">
        <f>((1/(INDEX('E1'!I$4:I$32,C211,1)-INDEX('E1'!I$4:I$32,D211,1))))*100000000</f>
        <v>0</v>
      </c>
      <c r="F211" s="4" t="str">
        <f>HYPERLINK("http://141.218.60.56/~jnz1568/getInfo.php?workbook=02_02.xlsx&amp;sheet=A1&amp;row=211&amp;col=6&amp;number==&amp;sourceID=15","=")</f>
        <v>=</v>
      </c>
      <c r="G211" s="4" t="str">
        <f>HYPERLINK("http://141.218.60.56/~jnz1568/getInfo.php?workbook=02_02.xlsx&amp;sheet=A1&amp;row=211&amp;col=7&amp;number=339&amp;sourceID=15","339")</f>
        <v>339</v>
      </c>
      <c r="H211" s="4" t="str">
        <f>HYPERLINK("http://141.218.60.56/~jnz1568/getInfo.php?workbook=02_02.xlsx&amp;sheet=A1&amp;row=211&amp;col=8&amp;number=&amp;sourceID=15","")</f>
        <v/>
      </c>
      <c r="I211" s="4" t="str">
        <f>HYPERLINK("http://141.218.60.56/~jnz1568/getInfo.php?workbook=02_02.xlsx&amp;sheet=A1&amp;row=211&amp;col=9&amp;number=&amp;sourceID=15","")</f>
        <v/>
      </c>
      <c r="J211" s="4" t="str">
        <f>HYPERLINK("http://141.218.60.56/~jnz1568/getInfo.php?workbook=02_02.xlsx&amp;sheet=A1&amp;row=211&amp;col=10&amp;number=&amp;sourceID=15","")</f>
        <v/>
      </c>
      <c r="K211" s="4" t="str">
        <f>HYPERLINK("http://141.218.60.56/~jnz1568/getInfo.php?workbook=02_02.xlsx&amp;sheet=A1&amp;row=211&amp;col=11&amp;number=&amp;sourceID=24","")</f>
        <v/>
      </c>
      <c r="L211" s="4" t="str">
        <f>HYPERLINK("http://141.218.60.56/~jnz1568/getInfo.php?workbook=02_02.xlsx&amp;sheet=A1&amp;row=211&amp;col=12&amp;number=&amp;sourceID=25","")</f>
        <v/>
      </c>
    </row>
    <row r="212" spans="1:12">
      <c r="A212" s="3">
        <v>2</v>
      </c>
      <c r="B212" s="3">
        <v>2</v>
      </c>
      <c r="C212" s="3">
        <v>24</v>
      </c>
      <c r="D212" s="3">
        <v>11</v>
      </c>
      <c r="E212" s="3">
        <f>((1/(INDEX('E1'!I$4:I$32,C212,1)-INDEX('E1'!I$4:I$32,D212,1))))*100000000</f>
        <v>0</v>
      </c>
      <c r="F212" s="4" t="str">
        <f>HYPERLINK("http://141.218.60.56/~jnz1568/getInfo.php?workbook=02_02.xlsx&amp;sheet=A1&amp;row=212&amp;col=6&amp;number==&amp;sourceID=15","=")</f>
        <v>=</v>
      </c>
      <c r="G212" s="4" t="str">
        <f>HYPERLINK("http://141.218.60.56/~jnz1568/getInfo.php?workbook=02_02.xlsx&amp;sheet=A1&amp;row=212&amp;col=7&amp;number=3361500&amp;sourceID=15","3361500")</f>
        <v>3361500</v>
      </c>
      <c r="H212" s="4" t="str">
        <f>HYPERLINK("http://141.218.60.56/~jnz1568/getInfo.php?workbook=02_02.xlsx&amp;sheet=A1&amp;row=212&amp;col=8&amp;number=&amp;sourceID=15","")</f>
        <v/>
      </c>
      <c r="I212" s="4" t="str">
        <f>HYPERLINK("http://141.218.60.56/~jnz1568/getInfo.php?workbook=02_02.xlsx&amp;sheet=A1&amp;row=212&amp;col=9&amp;number=&amp;sourceID=15","")</f>
        <v/>
      </c>
      <c r="J212" s="4" t="str">
        <f>HYPERLINK("http://141.218.60.56/~jnz1568/getInfo.php?workbook=02_02.xlsx&amp;sheet=A1&amp;row=212&amp;col=10&amp;number=&amp;sourceID=15","")</f>
        <v/>
      </c>
      <c r="K212" s="4" t="str">
        <f>HYPERLINK("http://141.218.60.56/~jnz1568/getInfo.php?workbook=02_02.xlsx&amp;sheet=A1&amp;row=212&amp;col=11&amp;number=3409000&amp;sourceID=24","3409000")</f>
        <v>3409000</v>
      </c>
      <c r="L212" s="4" t="str">
        <f>HYPERLINK("http://141.218.60.56/~jnz1568/getInfo.php?workbook=02_02.xlsx&amp;sheet=A1&amp;row=212&amp;col=12&amp;number=3360000&amp;sourceID=25","3360000")</f>
        <v>3360000</v>
      </c>
    </row>
    <row r="213" spans="1:12">
      <c r="A213" s="3">
        <v>2</v>
      </c>
      <c r="B213" s="3">
        <v>2</v>
      </c>
      <c r="C213" s="3">
        <v>24</v>
      </c>
      <c r="D213" s="3">
        <v>13</v>
      </c>
      <c r="E213" s="3">
        <f>((1/(INDEX('E1'!I$4:I$32,C213,1)-INDEX('E1'!I$4:I$32,D213,1))))*100000000</f>
        <v>0</v>
      </c>
      <c r="F213" s="4" t="str">
        <f>HYPERLINK("http://141.218.60.56/~jnz1568/getInfo.php?workbook=02_02.xlsx&amp;sheet=A1&amp;row=213&amp;col=6&amp;number==&amp;sourceID=15","=")</f>
        <v>=</v>
      </c>
      <c r="G213" s="4" t="str">
        <f>HYPERLINK("http://141.218.60.56/~jnz1568/getInfo.php?workbook=02_02.xlsx&amp;sheet=A1&amp;row=213&amp;col=7&amp;number=&amp;sourceID=15","")</f>
        <v/>
      </c>
      <c r="H213" s="4" t="str">
        <f>HYPERLINK("http://141.218.60.56/~jnz1568/getInfo.php?workbook=02_02.xlsx&amp;sheet=A1&amp;row=213&amp;col=8&amp;number=0.70191&amp;sourceID=15","0.70191")</f>
        <v>0.70191</v>
      </c>
      <c r="I213" s="4" t="str">
        <f>HYPERLINK("http://141.218.60.56/~jnz1568/getInfo.php?workbook=02_02.xlsx&amp;sheet=A1&amp;row=213&amp;col=9&amp;number=&amp;sourceID=15","")</f>
        <v/>
      </c>
      <c r="J213" s="4" t="str">
        <f>HYPERLINK("http://141.218.60.56/~jnz1568/getInfo.php?workbook=02_02.xlsx&amp;sheet=A1&amp;row=213&amp;col=10&amp;number=&amp;sourceID=15","")</f>
        <v/>
      </c>
      <c r="K213" s="4" t="str">
        <f>HYPERLINK("http://141.218.60.56/~jnz1568/getInfo.php?workbook=02_02.xlsx&amp;sheet=A1&amp;row=213&amp;col=11&amp;number=&amp;sourceID=24","")</f>
        <v/>
      </c>
      <c r="L213" s="4" t="str">
        <f>HYPERLINK("http://141.218.60.56/~jnz1568/getInfo.php?workbook=02_02.xlsx&amp;sheet=A1&amp;row=213&amp;col=12&amp;number=&amp;sourceID=25","")</f>
        <v/>
      </c>
    </row>
    <row r="214" spans="1:12">
      <c r="A214" s="3">
        <v>2</v>
      </c>
      <c r="B214" s="3">
        <v>2</v>
      </c>
      <c r="C214" s="3">
        <v>24</v>
      </c>
      <c r="D214" s="3">
        <v>14</v>
      </c>
      <c r="E214" s="3">
        <f>((1/(INDEX('E1'!I$4:I$32,C214,1)-INDEX('E1'!I$4:I$32,D214,1))))*100000000</f>
        <v>0</v>
      </c>
      <c r="F214" s="4" t="str">
        <f>HYPERLINK("http://141.218.60.56/~jnz1568/getInfo.php?workbook=02_02.xlsx&amp;sheet=A1&amp;row=214&amp;col=6&amp;number==&amp;sourceID=15","=")</f>
        <v>=</v>
      </c>
      <c r="G214" s="4" t="str">
        <f>HYPERLINK("http://141.218.60.56/~jnz1568/getInfo.php?workbook=02_02.xlsx&amp;sheet=A1&amp;row=214&amp;col=7&amp;number=124&amp;sourceID=15","124")</f>
        <v>124</v>
      </c>
      <c r="H214" s="4" t="str">
        <f>HYPERLINK("http://141.218.60.56/~jnz1568/getInfo.php?workbook=02_02.xlsx&amp;sheet=A1&amp;row=214&amp;col=8&amp;number=&amp;sourceID=15","")</f>
        <v/>
      </c>
      <c r="I214" s="4" t="str">
        <f>HYPERLINK("http://141.218.60.56/~jnz1568/getInfo.php?workbook=02_02.xlsx&amp;sheet=A1&amp;row=214&amp;col=9&amp;number=&amp;sourceID=15","")</f>
        <v/>
      </c>
      <c r="J214" s="4" t="str">
        <f>HYPERLINK("http://141.218.60.56/~jnz1568/getInfo.php?workbook=02_02.xlsx&amp;sheet=A1&amp;row=214&amp;col=10&amp;number=&amp;sourceID=15","")</f>
        <v/>
      </c>
      <c r="K214" s="4" t="str">
        <f>HYPERLINK("http://141.218.60.56/~jnz1568/getInfo.php?workbook=02_02.xlsx&amp;sheet=A1&amp;row=214&amp;col=11&amp;number=&amp;sourceID=24","")</f>
        <v/>
      </c>
      <c r="L214" s="4" t="str">
        <f>HYPERLINK("http://141.218.60.56/~jnz1568/getInfo.php?workbook=02_02.xlsx&amp;sheet=A1&amp;row=214&amp;col=12&amp;number=&amp;sourceID=25","")</f>
        <v/>
      </c>
    </row>
    <row r="215" spans="1:12">
      <c r="A215" s="3">
        <v>2</v>
      </c>
      <c r="B215" s="3">
        <v>2</v>
      </c>
      <c r="C215" s="3">
        <v>24</v>
      </c>
      <c r="D215" s="3">
        <v>17</v>
      </c>
      <c r="E215" s="3">
        <f>((1/(INDEX('E1'!I$4:I$32,C215,1)-INDEX('E1'!I$4:I$32,D215,1))))*100000000</f>
        <v>0</v>
      </c>
      <c r="F215" s="4" t="str">
        <f>HYPERLINK("http://141.218.60.56/~jnz1568/getInfo.php?workbook=02_02.xlsx&amp;sheet=A1&amp;row=215&amp;col=6&amp;number==&amp;sourceID=15","=")</f>
        <v>=</v>
      </c>
      <c r="G215" s="4" t="str">
        <f>HYPERLINK("http://141.218.60.56/~jnz1568/getInfo.php?workbook=02_02.xlsx&amp;sheet=A1&amp;row=215&amp;col=7&amp;number=18330&amp;sourceID=15","18330")</f>
        <v>18330</v>
      </c>
      <c r="H215" s="4" t="str">
        <f>HYPERLINK("http://141.218.60.56/~jnz1568/getInfo.php?workbook=02_02.xlsx&amp;sheet=A1&amp;row=215&amp;col=8&amp;number=&amp;sourceID=15","")</f>
        <v/>
      </c>
      <c r="I215" s="4" t="str">
        <f>HYPERLINK("http://141.218.60.56/~jnz1568/getInfo.php?workbook=02_02.xlsx&amp;sheet=A1&amp;row=215&amp;col=9&amp;number=&amp;sourceID=15","")</f>
        <v/>
      </c>
      <c r="J215" s="4" t="str">
        <f>HYPERLINK("http://141.218.60.56/~jnz1568/getInfo.php?workbook=02_02.xlsx&amp;sheet=A1&amp;row=215&amp;col=10&amp;number=&amp;sourceID=15","")</f>
        <v/>
      </c>
      <c r="K215" s="4" t="str">
        <f>HYPERLINK("http://141.218.60.56/~jnz1568/getInfo.php?workbook=02_02.xlsx&amp;sheet=A1&amp;row=215&amp;col=11&amp;number=&amp;sourceID=24","")</f>
        <v/>
      </c>
      <c r="L215" s="4" t="str">
        <f>HYPERLINK("http://141.218.60.56/~jnz1568/getInfo.php?workbook=02_02.xlsx&amp;sheet=A1&amp;row=215&amp;col=12&amp;number=&amp;sourceID=25","")</f>
        <v/>
      </c>
    </row>
    <row r="216" spans="1:12">
      <c r="A216" s="3">
        <v>2</v>
      </c>
      <c r="B216" s="3">
        <v>2</v>
      </c>
      <c r="C216" s="3">
        <v>24</v>
      </c>
      <c r="D216" s="3">
        <v>18</v>
      </c>
      <c r="E216" s="3">
        <f>((1/(INDEX('E1'!I$4:I$32,C216,1)-INDEX('E1'!I$4:I$32,D216,1))))*100000000</f>
        <v>0</v>
      </c>
      <c r="F216" s="4" t="str">
        <f>HYPERLINK("http://141.218.60.56/~jnz1568/getInfo.php?workbook=02_02.xlsx&amp;sheet=A1&amp;row=216&amp;col=6&amp;number==&amp;sourceID=15","=")</f>
        <v>=</v>
      </c>
      <c r="G216" s="4" t="str">
        <f>HYPERLINK("http://141.218.60.56/~jnz1568/getInfo.php?workbook=02_02.xlsx&amp;sheet=A1&amp;row=216&amp;col=7&amp;number=33200&amp;sourceID=15","33200")</f>
        <v>33200</v>
      </c>
      <c r="H216" s="4" t="str">
        <f>HYPERLINK("http://141.218.60.56/~jnz1568/getInfo.php?workbook=02_02.xlsx&amp;sheet=A1&amp;row=216&amp;col=8&amp;number=&amp;sourceID=15","")</f>
        <v/>
      </c>
      <c r="I216" s="4" t="str">
        <f>HYPERLINK("http://141.218.60.56/~jnz1568/getInfo.php?workbook=02_02.xlsx&amp;sheet=A1&amp;row=216&amp;col=9&amp;number=&amp;sourceID=15","")</f>
        <v/>
      </c>
      <c r="J216" s="4" t="str">
        <f>HYPERLINK("http://141.218.60.56/~jnz1568/getInfo.php?workbook=02_02.xlsx&amp;sheet=A1&amp;row=216&amp;col=10&amp;number=&amp;sourceID=15","")</f>
        <v/>
      </c>
      <c r="K216" s="4" t="str">
        <f>HYPERLINK("http://141.218.60.56/~jnz1568/getInfo.php?workbook=02_02.xlsx&amp;sheet=A1&amp;row=216&amp;col=11&amp;number=51130&amp;sourceID=24","51130")</f>
        <v>51130</v>
      </c>
      <c r="L216" s="4" t="str">
        <f>HYPERLINK("http://141.218.60.56/~jnz1568/getInfo.php?workbook=02_02.xlsx&amp;sheet=A1&amp;row=216&amp;col=12&amp;number=&amp;sourceID=25","")</f>
        <v/>
      </c>
    </row>
    <row r="217" spans="1:12">
      <c r="A217" s="3">
        <v>2</v>
      </c>
      <c r="B217" s="3">
        <v>2</v>
      </c>
      <c r="C217" s="3">
        <v>24</v>
      </c>
      <c r="D217" s="3">
        <v>19</v>
      </c>
      <c r="E217" s="3">
        <f>((1/(INDEX('E1'!I$4:I$32,C217,1)-INDEX('E1'!I$4:I$32,D217,1))))*100000000</f>
        <v>0</v>
      </c>
      <c r="F217" s="4" t="str">
        <f>HYPERLINK("http://141.218.60.56/~jnz1568/getInfo.php?workbook=02_02.xlsx&amp;sheet=A1&amp;row=217&amp;col=6&amp;number==&amp;sourceID=15","=")</f>
        <v>=</v>
      </c>
      <c r="G217" s="4" t="str">
        <f>HYPERLINK("http://141.218.60.56/~jnz1568/getInfo.php?workbook=02_02.xlsx&amp;sheet=A1&amp;row=217&amp;col=7&amp;number=1525400&amp;sourceID=15","1525400")</f>
        <v>1525400</v>
      </c>
      <c r="H217" s="4" t="str">
        <f>HYPERLINK("http://141.218.60.56/~jnz1568/getInfo.php?workbook=02_02.xlsx&amp;sheet=A1&amp;row=217&amp;col=8&amp;number=&amp;sourceID=15","")</f>
        <v/>
      </c>
      <c r="I217" s="4" t="str">
        <f>HYPERLINK("http://141.218.60.56/~jnz1568/getInfo.php?workbook=02_02.xlsx&amp;sheet=A1&amp;row=217&amp;col=9&amp;number=&amp;sourceID=15","")</f>
        <v/>
      </c>
      <c r="J217" s="4" t="str">
        <f>HYPERLINK("http://141.218.60.56/~jnz1568/getInfo.php?workbook=02_02.xlsx&amp;sheet=A1&amp;row=217&amp;col=10&amp;number=&amp;sourceID=15","")</f>
        <v/>
      </c>
      <c r="K217" s="4" t="str">
        <f>HYPERLINK("http://141.218.60.56/~jnz1568/getInfo.php?workbook=02_02.xlsx&amp;sheet=A1&amp;row=217&amp;col=11&amp;number=1556000&amp;sourceID=24","1556000")</f>
        <v>1556000</v>
      </c>
      <c r="L217" s="4" t="str">
        <f>HYPERLINK("http://141.218.60.56/~jnz1568/getInfo.php?workbook=02_02.xlsx&amp;sheet=A1&amp;row=217&amp;col=12&amp;number=1526000&amp;sourceID=25","1526000")</f>
        <v>1526000</v>
      </c>
    </row>
    <row r="218" spans="1:12">
      <c r="A218" s="3">
        <v>2</v>
      </c>
      <c r="B218" s="3">
        <v>2</v>
      </c>
      <c r="C218" s="3">
        <v>24</v>
      </c>
      <c r="D218" s="3">
        <v>21</v>
      </c>
      <c r="E218" s="3">
        <f>((1/(INDEX('E1'!I$4:I$32,C218,1)-INDEX('E1'!I$4:I$32,D218,1))))*100000000</f>
        <v>0</v>
      </c>
      <c r="F218" s="4" t="str">
        <f>HYPERLINK("http://141.218.60.56/~jnz1568/getInfo.php?workbook=02_02.xlsx&amp;sheet=A1&amp;row=218&amp;col=6&amp;number==&amp;sourceID=15","=")</f>
        <v>=</v>
      </c>
      <c r="G218" s="4" t="str">
        <f>HYPERLINK("http://141.218.60.56/~jnz1568/getInfo.php?workbook=02_02.xlsx&amp;sheet=A1&amp;row=218&amp;col=7&amp;number=&amp;sourceID=15","")</f>
        <v/>
      </c>
      <c r="H218" s="4" t="str">
        <f>HYPERLINK("http://141.218.60.56/~jnz1568/getInfo.php?workbook=02_02.xlsx&amp;sheet=A1&amp;row=218&amp;col=8&amp;number=4.4978e-05&amp;sourceID=15","4.4978e-05")</f>
        <v>4.4978e-05</v>
      </c>
      <c r="I218" s="4" t="str">
        <f>HYPERLINK("http://141.218.60.56/~jnz1568/getInfo.php?workbook=02_02.xlsx&amp;sheet=A1&amp;row=218&amp;col=9&amp;number=&amp;sourceID=15","")</f>
        <v/>
      </c>
      <c r="J218" s="4" t="str">
        <f>HYPERLINK("http://141.218.60.56/~jnz1568/getInfo.php?workbook=02_02.xlsx&amp;sheet=A1&amp;row=218&amp;col=10&amp;number=&amp;sourceID=15","")</f>
        <v/>
      </c>
      <c r="K218" s="4" t="str">
        <f>HYPERLINK("http://141.218.60.56/~jnz1568/getInfo.php?workbook=02_02.xlsx&amp;sheet=A1&amp;row=218&amp;col=11&amp;number=&amp;sourceID=24","")</f>
        <v/>
      </c>
      <c r="L218" s="4" t="str">
        <f>HYPERLINK("http://141.218.60.56/~jnz1568/getInfo.php?workbook=02_02.xlsx&amp;sheet=A1&amp;row=218&amp;col=12&amp;number=&amp;sourceID=25","")</f>
        <v/>
      </c>
    </row>
    <row r="219" spans="1:12">
      <c r="A219" s="3">
        <v>2</v>
      </c>
      <c r="B219" s="3">
        <v>2</v>
      </c>
      <c r="C219" s="3">
        <v>25</v>
      </c>
      <c r="D219" s="3">
        <v>9</v>
      </c>
      <c r="E219" s="3">
        <f>((1/(INDEX('E1'!I$4:I$32,C219,1)-INDEX('E1'!I$4:I$32,D219,1))))*100000000</f>
        <v>0</v>
      </c>
      <c r="F219" s="4" t="str">
        <f>HYPERLINK("http://141.218.60.56/~jnz1568/getInfo.php?workbook=02_02.xlsx&amp;sheet=A1&amp;row=219&amp;col=6&amp;number==&amp;sourceID=15","=")</f>
        <v>=</v>
      </c>
      <c r="G219" s="4" t="str">
        <f>HYPERLINK("http://141.218.60.56/~jnz1568/getInfo.php?workbook=02_02.xlsx&amp;sheet=A1&amp;row=219&amp;col=7&amp;number=4133900&amp;sourceID=15","4133900")</f>
        <v>4133900</v>
      </c>
      <c r="H219" s="4" t="str">
        <f>HYPERLINK("http://141.218.60.56/~jnz1568/getInfo.php?workbook=02_02.xlsx&amp;sheet=A1&amp;row=219&amp;col=8&amp;number=&amp;sourceID=15","")</f>
        <v/>
      </c>
      <c r="I219" s="4" t="str">
        <f>HYPERLINK("http://141.218.60.56/~jnz1568/getInfo.php?workbook=02_02.xlsx&amp;sheet=A1&amp;row=219&amp;col=9&amp;number=&amp;sourceID=15","")</f>
        <v/>
      </c>
      <c r="J219" s="4" t="str">
        <f>HYPERLINK("http://141.218.60.56/~jnz1568/getInfo.php?workbook=02_02.xlsx&amp;sheet=A1&amp;row=219&amp;col=10&amp;number=&amp;sourceID=15","")</f>
        <v/>
      </c>
      <c r="K219" s="4" t="str">
        <f>HYPERLINK("http://141.218.60.56/~jnz1568/getInfo.php?workbook=02_02.xlsx&amp;sheet=A1&amp;row=219&amp;col=11&amp;number=4586000&amp;sourceID=24","4586000")</f>
        <v>4586000</v>
      </c>
      <c r="L219" s="4" t="str">
        <f>HYPERLINK("http://141.218.60.56/~jnz1568/getInfo.php?workbook=02_02.xlsx&amp;sheet=A1&amp;row=219&amp;col=12&amp;number=&amp;sourceID=25","")</f>
        <v/>
      </c>
    </row>
    <row r="220" spans="1:12">
      <c r="A220" s="3">
        <v>2</v>
      </c>
      <c r="B220" s="3">
        <v>2</v>
      </c>
      <c r="C220" s="3">
        <v>25</v>
      </c>
      <c r="D220" s="3">
        <v>10</v>
      </c>
      <c r="E220" s="3">
        <f>((1/(INDEX('E1'!I$4:I$32,C220,1)-INDEX('E1'!I$4:I$32,D220,1))))*100000000</f>
        <v>0</v>
      </c>
      <c r="F220" s="4" t="str">
        <f>HYPERLINK("http://141.218.60.56/~jnz1568/getInfo.php?workbook=02_02.xlsx&amp;sheet=A1&amp;row=220&amp;col=6&amp;number==&amp;sourceID=15","=")</f>
        <v>=</v>
      </c>
      <c r="G220" s="4" t="str">
        <f>HYPERLINK("http://141.218.60.56/~jnz1568/getInfo.php?workbook=02_02.xlsx&amp;sheet=A1&amp;row=220&amp;col=7&amp;number=1320000&amp;sourceID=15","1320000")</f>
        <v>1320000</v>
      </c>
      <c r="H220" s="4" t="str">
        <f>HYPERLINK("http://141.218.60.56/~jnz1568/getInfo.php?workbook=02_02.xlsx&amp;sheet=A1&amp;row=220&amp;col=8&amp;number=&amp;sourceID=15","")</f>
        <v/>
      </c>
      <c r="I220" s="4" t="str">
        <f>HYPERLINK("http://141.218.60.56/~jnz1568/getInfo.php?workbook=02_02.xlsx&amp;sheet=A1&amp;row=220&amp;col=9&amp;number=&amp;sourceID=15","")</f>
        <v/>
      </c>
      <c r="J220" s="4" t="str">
        <f>HYPERLINK("http://141.218.60.56/~jnz1568/getInfo.php?workbook=02_02.xlsx&amp;sheet=A1&amp;row=220&amp;col=10&amp;number=&amp;sourceID=15","")</f>
        <v/>
      </c>
      <c r="K220" s="4" t="str">
        <f>HYPERLINK("http://141.218.60.56/~jnz1568/getInfo.php?workbook=02_02.xlsx&amp;sheet=A1&amp;row=220&amp;col=11&amp;number=&amp;sourceID=24","")</f>
        <v/>
      </c>
      <c r="L220" s="4" t="str">
        <f>HYPERLINK("http://141.218.60.56/~jnz1568/getInfo.php?workbook=02_02.xlsx&amp;sheet=A1&amp;row=220&amp;col=12&amp;number=&amp;sourceID=25","")</f>
        <v/>
      </c>
    </row>
    <row r="221" spans="1:12">
      <c r="A221" s="3">
        <v>2</v>
      </c>
      <c r="B221" s="3">
        <v>2</v>
      </c>
      <c r="C221" s="3">
        <v>25</v>
      </c>
      <c r="D221" s="3">
        <v>15</v>
      </c>
      <c r="E221" s="3">
        <f>((1/(INDEX('E1'!I$4:I$32,C221,1)-INDEX('E1'!I$4:I$32,D221,1))))*100000000</f>
        <v>0</v>
      </c>
      <c r="F221" s="4" t="str">
        <f>HYPERLINK("http://141.218.60.56/~jnz1568/getInfo.php?workbook=02_02.xlsx&amp;sheet=A1&amp;row=221&amp;col=6&amp;number==&amp;sourceID=15","=")</f>
        <v>=</v>
      </c>
      <c r="G221" s="4" t="str">
        <f>HYPERLINK("http://141.218.60.56/~jnz1568/getInfo.php?workbook=02_02.xlsx&amp;sheet=A1&amp;row=221&amp;col=7&amp;number=2333600&amp;sourceID=15","2333600")</f>
        <v>2333600</v>
      </c>
      <c r="H221" s="4" t="str">
        <f>HYPERLINK("http://141.218.60.56/~jnz1568/getInfo.php?workbook=02_02.xlsx&amp;sheet=A1&amp;row=221&amp;col=8&amp;number=&amp;sourceID=15","")</f>
        <v/>
      </c>
      <c r="I221" s="4" t="str">
        <f>HYPERLINK("http://141.218.60.56/~jnz1568/getInfo.php?workbook=02_02.xlsx&amp;sheet=A1&amp;row=221&amp;col=9&amp;number=&amp;sourceID=15","")</f>
        <v/>
      </c>
      <c r="J221" s="4" t="str">
        <f>HYPERLINK("http://141.218.60.56/~jnz1568/getInfo.php?workbook=02_02.xlsx&amp;sheet=A1&amp;row=221&amp;col=10&amp;number=&amp;sourceID=15","")</f>
        <v/>
      </c>
      <c r="K221" s="4" t="str">
        <f>HYPERLINK("http://141.218.60.56/~jnz1568/getInfo.php?workbook=02_02.xlsx&amp;sheet=A1&amp;row=221&amp;col=11&amp;number=2586000&amp;sourceID=24","2586000")</f>
        <v>2586000</v>
      </c>
      <c r="L221" s="4" t="str">
        <f>HYPERLINK("http://141.218.60.56/~jnz1568/getInfo.php?workbook=02_02.xlsx&amp;sheet=A1&amp;row=221&amp;col=12&amp;number=&amp;sourceID=25","")</f>
        <v/>
      </c>
    </row>
    <row r="222" spans="1:12">
      <c r="A222" s="3">
        <v>2</v>
      </c>
      <c r="B222" s="3">
        <v>2</v>
      </c>
      <c r="C222" s="3">
        <v>25</v>
      </c>
      <c r="D222" s="3">
        <v>16</v>
      </c>
      <c r="E222" s="3">
        <f>((1/(INDEX('E1'!I$4:I$32,C222,1)-INDEX('E1'!I$4:I$32,D222,1))))*100000000</f>
        <v>0</v>
      </c>
      <c r="F222" s="4" t="str">
        <f>HYPERLINK("http://141.218.60.56/~jnz1568/getInfo.php?workbook=02_02.xlsx&amp;sheet=A1&amp;row=222&amp;col=6&amp;number==&amp;sourceID=15","=")</f>
        <v>=</v>
      </c>
      <c r="G222" s="4" t="str">
        <f>HYPERLINK("http://141.218.60.56/~jnz1568/getInfo.php?workbook=02_02.xlsx&amp;sheet=A1&amp;row=222&amp;col=7&amp;number=756800&amp;sourceID=15","756800")</f>
        <v>756800</v>
      </c>
      <c r="H222" s="4" t="str">
        <f>HYPERLINK("http://141.218.60.56/~jnz1568/getInfo.php?workbook=02_02.xlsx&amp;sheet=A1&amp;row=222&amp;col=8&amp;number=&amp;sourceID=15","")</f>
        <v/>
      </c>
      <c r="I222" s="4" t="str">
        <f>HYPERLINK("http://141.218.60.56/~jnz1568/getInfo.php?workbook=02_02.xlsx&amp;sheet=A1&amp;row=222&amp;col=9&amp;number=&amp;sourceID=15","")</f>
        <v/>
      </c>
      <c r="J222" s="4" t="str">
        <f>HYPERLINK("http://141.218.60.56/~jnz1568/getInfo.php?workbook=02_02.xlsx&amp;sheet=A1&amp;row=222&amp;col=10&amp;number=&amp;sourceID=15","")</f>
        <v/>
      </c>
      <c r="K222" s="4" t="str">
        <f>HYPERLINK("http://141.218.60.56/~jnz1568/getInfo.php?workbook=02_02.xlsx&amp;sheet=A1&amp;row=222&amp;col=11&amp;number=&amp;sourceID=24","")</f>
        <v/>
      </c>
      <c r="L222" s="4" t="str">
        <f>HYPERLINK("http://141.218.60.56/~jnz1568/getInfo.php?workbook=02_02.xlsx&amp;sheet=A1&amp;row=222&amp;col=12&amp;number=&amp;sourceID=25","")</f>
        <v/>
      </c>
    </row>
    <row r="223" spans="1:12">
      <c r="A223" s="3">
        <v>2</v>
      </c>
      <c r="B223" s="3">
        <v>2</v>
      </c>
      <c r="C223" s="3">
        <v>26</v>
      </c>
      <c r="D223" s="3">
        <v>9</v>
      </c>
      <c r="E223" s="3">
        <f>((1/(INDEX('E1'!I$4:I$32,C223,1)-INDEX('E1'!I$4:I$32,D223,1))))*100000000</f>
        <v>0</v>
      </c>
      <c r="F223" s="4" t="str">
        <f>HYPERLINK("http://141.218.60.56/~jnz1568/getInfo.php?workbook=02_02.xlsx&amp;sheet=A1&amp;row=223&amp;col=6&amp;number==&amp;sourceID=15","=")</f>
        <v>=</v>
      </c>
      <c r="G223" s="4" t="str">
        <f>HYPERLINK("http://141.218.60.56/~jnz1568/getInfo.php?workbook=02_02.xlsx&amp;sheet=A1&amp;row=223&amp;col=7&amp;number=1322000&amp;sourceID=15","1322000")</f>
        <v>1322000</v>
      </c>
      <c r="H223" s="4" t="str">
        <f>HYPERLINK("http://141.218.60.56/~jnz1568/getInfo.php?workbook=02_02.xlsx&amp;sheet=A1&amp;row=223&amp;col=8&amp;number=&amp;sourceID=15","")</f>
        <v/>
      </c>
      <c r="I223" s="4" t="str">
        <f>HYPERLINK("http://141.218.60.56/~jnz1568/getInfo.php?workbook=02_02.xlsx&amp;sheet=A1&amp;row=223&amp;col=9&amp;number=&amp;sourceID=15","")</f>
        <v/>
      </c>
      <c r="J223" s="4" t="str">
        <f>HYPERLINK("http://141.218.60.56/~jnz1568/getInfo.php?workbook=02_02.xlsx&amp;sheet=A1&amp;row=223&amp;col=10&amp;number=&amp;sourceID=15","")</f>
        <v/>
      </c>
      <c r="K223" s="4" t="str">
        <f>HYPERLINK("http://141.218.60.56/~jnz1568/getInfo.php?workbook=02_02.xlsx&amp;sheet=A1&amp;row=223&amp;col=11&amp;number=&amp;sourceID=24","")</f>
        <v/>
      </c>
      <c r="L223" s="4" t="str">
        <f>HYPERLINK("http://141.218.60.56/~jnz1568/getInfo.php?workbook=02_02.xlsx&amp;sheet=A1&amp;row=223&amp;col=12&amp;number=&amp;sourceID=25","")</f>
        <v/>
      </c>
    </row>
    <row r="224" spans="1:12">
      <c r="A224" s="3">
        <v>2</v>
      </c>
      <c r="B224" s="3">
        <v>2</v>
      </c>
      <c r="C224" s="3">
        <v>26</v>
      </c>
      <c r="D224" s="3">
        <v>10</v>
      </c>
      <c r="E224" s="3">
        <f>((1/(INDEX('E1'!I$4:I$32,C224,1)-INDEX('E1'!I$4:I$32,D224,1))))*100000000</f>
        <v>0</v>
      </c>
      <c r="F224" s="4" t="str">
        <f>HYPERLINK("http://141.218.60.56/~jnz1568/getInfo.php?workbook=02_02.xlsx&amp;sheet=A1&amp;row=224&amp;col=6&amp;number==&amp;sourceID=15","=")</f>
        <v>=</v>
      </c>
      <c r="G224" s="4" t="str">
        <f>HYPERLINK("http://141.218.60.56/~jnz1568/getInfo.php?workbook=02_02.xlsx&amp;sheet=A1&amp;row=224&amp;col=7&amp;number=3247500&amp;sourceID=15","3247500")</f>
        <v>3247500</v>
      </c>
      <c r="H224" s="4" t="str">
        <f>HYPERLINK("http://141.218.60.56/~jnz1568/getInfo.php?workbook=02_02.xlsx&amp;sheet=A1&amp;row=224&amp;col=8&amp;number=&amp;sourceID=15","")</f>
        <v/>
      </c>
      <c r="I224" s="4" t="str">
        <f>HYPERLINK("http://141.218.60.56/~jnz1568/getInfo.php?workbook=02_02.xlsx&amp;sheet=A1&amp;row=224&amp;col=9&amp;number=&amp;sourceID=15","")</f>
        <v/>
      </c>
      <c r="J224" s="4" t="str">
        <f>HYPERLINK("http://141.218.60.56/~jnz1568/getInfo.php?workbook=02_02.xlsx&amp;sheet=A1&amp;row=224&amp;col=10&amp;number=&amp;sourceID=15","")</f>
        <v/>
      </c>
      <c r="K224" s="4" t="str">
        <f>HYPERLINK("http://141.218.60.56/~jnz1568/getInfo.php?workbook=02_02.xlsx&amp;sheet=A1&amp;row=224&amp;col=11&amp;number=4579000&amp;sourceID=24","4579000")</f>
        <v>4579000</v>
      </c>
      <c r="L224" s="4" t="str">
        <f>HYPERLINK("http://141.218.60.56/~jnz1568/getInfo.php?workbook=02_02.xlsx&amp;sheet=A1&amp;row=224&amp;col=12&amp;number=&amp;sourceID=25","")</f>
        <v/>
      </c>
    </row>
    <row r="225" spans="1:12">
      <c r="A225" s="3">
        <v>2</v>
      </c>
      <c r="B225" s="3">
        <v>2</v>
      </c>
      <c r="C225" s="3">
        <v>26</v>
      </c>
      <c r="D225" s="3">
        <v>15</v>
      </c>
      <c r="E225" s="3">
        <f>((1/(INDEX('E1'!I$4:I$32,C225,1)-INDEX('E1'!I$4:I$32,D225,1))))*100000000</f>
        <v>0</v>
      </c>
      <c r="F225" s="4" t="str">
        <f>HYPERLINK("http://141.218.60.56/~jnz1568/getInfo.php?workbook=02_02.xlsx&amp;sheet=A1&amp;row=225&amp;col=6&amp;number==&amp;sourceID=15","=")</f>
        <v>=</v>
      </c>
      <c r="G225" s="4" t="str">
        <f>HYPERLINK("http://141.218.60.56/~jnz1568/getInfo.php?workbook=02_02.xlsx&amp;sheet=A1&amp;row=225&amp;col=7&amp;number=756600&amp;sourceID=15","756600")</f>
        <v>756600</v>
      </c>
      <c r="H225" s="4" t="str">
        <f>HYPERLINK("http://141.218.60.56/~jnz1568/getInfo.php?workbook=02_02.xlsx&amp;sheet=A1&amp;row=225&amp;col=8&amp;number=&amp;sourceID=15","")</f>
        <v/>
      </c>
      <c r="I225" s="4" t="str">
        <f>HYPERLINK("http://141.218.60.56/~jnz1568/getInfo.php?workbook=02_02.xlsx&amp;sheet=A1&amp;row=225&amp;col=9&amp;number=&amp;sourceID=15","")</f>
        <v/>
      </c>
      <c r="J225" s="4" t="str">
        <f>HYPERLINK("http://141.218.60.56/~jnz1568/getInfo.php?workbook=02_02.xlsx&amp;sheet=A1&amp;row=225&amp;col=10&amp;number=&amp;sourceID=15","")</f>
        <v/>
      </c>
      <c r="K225" s="4" t="str">
        <f>HYPERLINK("http://141.218.60.56/~jnz1568/getInfo.php?workbook=02_02.xlsx&amp;sheet=A1&amp;row=225&amp;col=11&amp;number=&amp;sourceID=24","")</f>
        <v/>
      </c>
      <c r="L225" s="4" t="str">
        <f>HYPERLINK("http://141.218.60.56/~jnz1568/getInfo.php?workbook=02_02.xlsx&amp;sheet=A1&amp;row=225&amp;col=12&amp;number=&amp;sourceID=25","")</f>
        <v/>
      </c>
    </row>
    <row r="226" spans="1:12">
      <c r="A226" s="3">
        <v>2</v>
      </c>
      <c r="B226" s="3">
        <v>2</v>
      </c>
      <c r="C226" s="3">
        <v>26</v>
      </c>
      <c r="D226" s="3">
        <v>16</v>
      </c>
      <c r="E226" s="3">
        <f>((1/(INDEX('E1'!I$4:I$32,C226,1)-INDEX('E1'!I$4:I$32,D226,1))))*100000000</f>
        <v>0</v>
      </c>
      <c r="F226" s="4" t="str">
        <f>HYPERLINK("http://141.218.60.56/~jnz1568/getInfo.php?workbook=02_02.xlsx&amp;sheet=A1&amp;row=226&amp;col=6&amp;number==&amp;sourceID=15","=")</f>
        <v>=</v>
      </c>
      <c r="G226" s="4" t="str">
        <f>HYPERLINK("http://141.218.60.56/~jnz1568/getInfo.php?workbook=02_02.xlsx&amp;sheet=A1&amp;row=226&amp;col=7&amp;number=1829400&amp;sourceID=15","1829400")</f>
        <v>1829400</v>
      </c>
      <c r="H226" s="4" t="str">
        <f>HYPERLINK("http://141.218.60.56/~jnz1568/getInfo.php?workbook=02_02.xlsx&amp;sheet=A1&amp;row=226&amp;col=8&amp;number=&amp;sourceID=15","")</f>
        <v/>
      </c>
      <c r="I226" s="4" t="str">
        <f>HYPERLINK("http://141.218.60.56/~jnz1568/getInfo.php?workbook=02_02.xlsx&amp;sheet=A1&amp;row=226&amp;col=9&amp;number=&amp;sourceID=15","")</f>
        <v/>
      </c>
      <c r="J226" s="4" t="str">
        <f>HYPERLINK("http://141.218.60.56/~jnz1568/getInfo.php?workbook=02_02.xlsx&amp;sheet=A1&amp;row=226&amp;col=10&amp;number=&amp;sourceID=15","")</f>
        <v/>
      </c>
      <c r="K226" s="4" t="str">
        <f>HYPERLINK("http://141.218.60.56/~jnz1568/getInfo.php?workbook=02_02.xlsx&amp;sheet=A1&amp;row=226&amp;col=11&amp;number=2587000&amp;sourceID=24","2587000")</f>
        <v>2587000</v>
      </c>
      <c r="L226" s="4" t="str">
        <f>HYPERLINK("http://141.218.60.56/~jnz1568/getInfo.php?workbook=02_02.xlsx&amp;sheet=A1&amp;row=226&amp;col=12&amp;number=&amp;sourceID=25","")</f>
        <v/>
      </c>
    </row>
    <row r="227" spans="1:12">
      <c r="A227" s="3">
        <v>2</v>
      </c>
      <c r="B227" s="3">
        <v>2</v>
      </c>
      <c r="C227" s="3">
        <v>27</v>
      </c>
      <c r="D227" s="3">
        <v>17</v>
      </c>
      <c r="E227" s="3">
        <f>((1/(INDEX('E1'!I$4:I$32,C227,1)-INDEX('E1'!I$4:I$32,D227,1))))*100000000</f>
        <v>0</v>
      </c>
      <c r="F227" s="4" t="str">
        <f>HYPERLINK("http://141.218.60.56/~jnz1568/getInfo.php?workbook=02_02.xlsx&amp;sheet=A1&amp;row=227&amp;col=6&amp;number==&amp;sourceID=15","=")</f>
        <v>=</v>
      </c>
      <c r="G227" s="4" t="str">
        <f>HYPERLINK("http://141.218.60.56/~jnz1568/getInfo.php?workbook=02_02.xlsx&amp;sheet=A1&amp;row=227&amp;col=7&amp;number=4201600&amp;sourceID=15","4201600")</f>
        <v>4201600</v>
      </c>
      <c r="H227" s="4" t="str">
        <f>HYPERLINK("http://141.218.60.56/~jnz1568/getInfo.php?workbook=02_02.xlsx&amp;sheet=A1&amp;row=227&amp;col=8&amp;number=&amp;sourceID=15","")</f>
        <v/>
      </c>
      <c r="I227" s="4" t="str">
        <f>HYPERLINK("http://141.218.60.56/~jnz1568/getInfo.php?workbook=02_02.xlsx&amp;sheet=A1&amp;row=227&amp;col=9&amp;number=&amp;sourceID=15","")</f>
        <v/>
      </c>
      <c r="J227" s="4" t="str">
        <f>HYPERLINK("http://141.218.60.56/~jnz1568/getInfo.php?workbook=02_02.xlsx&amp;sheet=A1&amp;row=227&amp;col=10&amp;number=&amp;sourceID=15","")</f>
        <v/>
      </c>
      <c r="K227" s="4" t="str">
        <f>HYPERLINK("http://141.218.60.56/~jnz1568/getInfo.php?workbook=02_02.xlsx&amp;sheet=A1&amp;row=227&amp;col=11&amp;number=4255000&amp;sourceID=24","4255000")</f>
        <v>4255000</v>
      </c>
      <c r="L227" s="4" t="str">
        <f>HYPERLINK("http://141.218.60.56/~jnz1568/getInfo.php?workbook=02_02.xlsx&amp;sheet=A1&amp;row=227&amp;col=12&amp;number=&amp;sourceID=25","")</f>
        <v/>
      </c>
    </row>
    <row r="228" spans="1:12">
      <c r="A228" s="3">
        <v>2</v>
      </c>
      <c r="B228" s="3">
        <v>2</v>
      </c>
      <c r="C228" s="3">
        <v>27</v>
      </c>
      <c r="D228" s="3">
        <v>18</v>
      </c>
      <c r="E228" s="3">
        <f>((1/(INDEX('E1'!I$4:I$32,C228,1)-INDEX('E1'!I$4:I$32,D228,1))))*100000000</f>
        <v>0</v>
      </c>
      <c r="F228" s="4" t="str">
        <f>HYPERLINK("http://141.218.60.56/~jnz1568/getInfo.php?workbook=02_02.xlsx&amp;sheet=A1&amp;row=228&amp;col=6&amp;number==&amp;sourceID=15","=")</f>
        <v>=</v>
      </c>
      <c r="G228" s="4" t="str">
        <f>HYPERLINK("http://141.218.60.56/~jnz1568/getInfo.php?workbook=02_02.xlsx&amp;sheet=A1&amp;row=228&amp;col=7&amp;number=198200&amp;sourceID=15","198200")</f>
        <v>198200</v>
      </c>
      <c r="H228" s="4" t="str">
        <f>HYPERLINK("http://141.218.60.56/~jnz1568/getInfo.php?workbook=02_02.xlsx&amp;sheet=A1&amp;row=228&amp;col=8&amp;number=&amp;sourceID=15","")</f>
        <v/>
      </c>
      <c r="I228" s="4" t="str">
        <f>HYPERLINK("http://141.218.60.56/~jnz1568/getInfo.php?workbook=02_02.xlsx&amp;sheet=A1&amp;row=228&amp;col=9&amp;number=&amp;sourceID=15","")</f>
        <v/>
      </c>
      <c r="J228" s="4" t="str">
        <f>HYPERLINK("http://141.218.60.56/~jnz1568/getInfo.php?workbook=02_02.xlsx&amp;sheet=A1&amp;row=228&amp;col=10&amp;number=&amp;sourceID=15","")</f>
        <v/>
      </c>
      <c r="K228" s="4" t="str">
        <f>HYPERLINK("http://141.218.60.56/~jnz1568/getInfo.php?workbook=02_02.xlsx&amp;sheet=A1&amp;row=228&amp;col=11&amp;number=&amp;sourceID=24","")</f>
        <v/>
      </c>
      <c r="L228" s="4" t="str">
        <f>HYPERLINK("http://141.218.60.56/~jnz1568/getInfo.php?workbook=02_02.xlsx&amp;sheet=A1&amp;row=228&amp;col=12&amp;number=&amp;sourceID=25","")</f>
        <v/>
      </c>
    </row>
    <row r="229" spans="1:12">
      <c r="A229" s="3">
        <v>2</v>
      </c>
      <c r="B229" s="3">
        <v>2</v>
      </c>
      <c r="C229" s="3">
        <v>28</v>
      </c>
      <c r="D229" s="3">
        <v>17</v>
      </c>
      <c r="E229" s="3">
        <f>((1/(INDEX('E1'!I$4:I$32,C229,1)-INDEX('E1'!I$4:I$32,D229,1))))*100000000</f>
        <v>0</v>
      </c>
      <c r="F229" s="4" t="str">
        <f>HYPERLINK("http://141.218.60.56/~jnz1568/getInfo.php?workbook=02_02.xlsx&amp;sheet=A1&amp;row=229&amp;col=6&amp;number==&amp;sourceID=15","=")</f>
        <v>=</v>
      </c>
      <c r="G229" s="4" t="str">
        <f>HYPERLINK("http://141.218.60.56/~jnz1568/getInfo.php?workbook=02_02.xlsx&amp;sheet=A1&amp;row=229&amp;col=7&amp;number=170500&amp;sourceID=15","170500")</f>
        <v>170500</v>
      </c>
      <c r="H229" s="4" t="str">
        <f>HYPERLINK("http://141.218.60.56/~jnz1568/getInfo.php?workbook=02_02.xlsx&amp;sheet=A1&amp;row=229&amp;col=8&amp;number=&amp;sourceID=15","")</f>
        <v/>
      </c>
      <c r="I229" s="4" t="str">
        <f>HYPERLINK("http://141.218.60.56/~jnz1568/getInfo.php?workbook=02_02.xlsx&amp;sheet=A1&amp;row=229&amp;col=9&amp;number=&amp;sourceID=15","")</f>
        <v/>
      </c>
      <c r="J229" s="4" t="str">
        <f>HYPERLINK("http://141.218.60.56/~jnz1568/getInfo.php?workbook=02_02.xlsx&amp;sheet=A1&amp;row=229&amp;col=10&amp;number=&amp;sourceID=15","")</f>
        <v/>
      </c>
      <c r="K229" s="4" t="str">
        <f>HYPERLINK("http://141.218.60.56/~jnz1568/getInfo.php?workbook=02_02.xlsx&amp;sheet=A1&amp;row=229&amp;col=11&amp;number=&amp;sourceID=24","")</f>
        <v/>
      </c>
      <c r="L229" s="4" t="str">
        <f>HYPERLINK("http://141.218.60.56/~jnz1568/getInfo.php?workbook=02_02.xlsx&amp;sheet=A1&amp;row=229&amp;col=12&amp;number=&amp;sourceID=25","")</f>
        <v/>
      </c>
    </row>
    <row r="230" spans="1:12">
      <c r="A230" s="3">
        <v>2</v>
      </c>
      <c r="B230" s="3">
        <v>2</v>
      </c>
      <c r="C230" s="3">
        <v>28</v>
      </c>
      <c r="D230" s="3">
        <v>18</v>
      </c>
      <c r="E230" s="3">
        <f>((1/(INDEX('E1'!I$4:I$32,C230,1)-INDEX('E1'!I$4:I$32,D230,1))))*100000000</f>
        <v>0</v>
      </c>
      <c r="F230" s="4" t="str">
        <f>HYPERLINK("http://141.218.60.56/~jnz1568/getInfo.php?workbook=02_02.xlsx&amp;sheet=A1&amp;row=230&amp;col=6&amp;number==&amp;sourceID=15","=")</f>
        <v>=</v>
      </c>
      <c r="G230" s="4" t="str">
        <f>HYPERLINK("http://141.218.60.56/~jnz1568/getInfo.php?workbook=02_02.xlsx&amp;sheet=A1&amp;row=230&amp;col=7&amp;number=4087900&amp;sourceID=15","4087900")</f>
        <v>4087900</v>
      </c>
      <c r="H230" s="4" t="str">
        <f>HYPERLINK("http://141.218.60.56/~jnz1568/getInfo.php?workbook=02_02.xlsx&amp;sheet=A1&amp;row=230&amp;col=8&amp;number=&amp;sourceID=15","")</f>
        <v/>
      </c>
      <c r="I230" s="4" t="str">
        <f>HYPERLINK("http://141.218.60.56/~jnz1568/getInfo.php?workbook=02_02.xlsx&amp;sheet=A1&amp;row=230&amp;col=9&amp;number=&amp;sourceID=15","")</f>
        <v/>
      </c>
      <c r="J230" s="4" t="str">
        <f>HYPERLINK("http://141.218.60.56/~jnz1568/getInfo.php?workbook=02_02.xlsx&amp;sheet=A1&amp;row=230&amp;col=10&amp;number=&amp;sourceID=15","")</f>
        <v/>
      </c>
      <c r="K230" s="4" t="str">
        <f>HYPERLINK("http://141.218.60.56/~jnz1568/getInfo.php?workbook=02_02.xlsx&amp;sheet=A1&amp;row=230&amp;col=11&amp;number=4255000&amp;sourceID=24","4255000")</f>
        <v>4255000</v>
      </c>
      <c r="L230" s="4" t="str">
        <f>HYPERLINK("http://141.218.60.56/~jnz1568/getInfo.php?workbook=02_02.xlsx&amp;sheet=A1&amp;row=230&amp;col=12&amp;number=&amp;sourceID=25","")</f>
        <v/>
      </c>
    </row>
    <row r="231" spans="1:12">
      <c r="A231" s="3">
        <v>2</v>
      </c>
      <c r="B231" s="3">
        <v>2</v>
      </c>
      <c r="C231" s="3">
        <v>29</v>
      </c>
      <c r="D231" s="3">
        <v>1</v>
      </c>
      <c r="E231" s="3">
        <f>((1/(INDEX('E1'!I$4:I$32,C231,1)-INDEX('E1'!I$4:I$32,D231,1))))*100000000</f>
        <v>0</v>
      </c>
      <c r="F231" s="4" t="str">
        <f>HYPERLINK("http://141.218.60.56/~jnz1568/getInfo.php?workbook=02_02.xlsx&amp;sheet=A1&amp;row=231&amp;col=6&amp;number==&amp;sourceID=15","=")</f>
        <v>=</v>
      </c>
      <c r="G231" s="4" t="str">
        <f>HYPERLINK("http://141.218.60.56/~jnz1568/getInfo.php?workbook=02_02.xlsx&amp;sheet=A1&amp;row=231&amp;col=7&amp;number=125820000&amp;sourceID=15","125820000")</f>
        <v>125820000</v>
      </c>
      <c r="H231" s="4" t="str">
        <f>HYPERLINK("http://141.218.60.56/~jnz1568/getInfo.php?workbook=02_02.xlsx&amp;sheet=A1&amp;row=231&amp;col=8&amp;number=&amp;sourceID=15","")</f>
        <v/>
      </c>
      <c r="I231" s="4" t="str">
        <f>HYPERLINK("http://141.218.60.56/~jnz1568/getInfo.php?workbook=02_02.xlsx&amp;sheet=A1&amp;row=231&amp;col=9&amp;number=&amp;sourceID=15","")</f>
        <v/>
      </c>
      <c r="J231" s="4" t="str">
        <f>HYPERLINK("http://141.218.60.56/~jnz1568/getInfo.php?workbook=02_02.xlsx&amp;sheet=A1&amp;row=231&amp;col=10&amp;number=&amp;sourceID=15","")</f>
        <v/>
      </c>
      <c r="K231" s="4" t="str">
        <f>HYPERLINK("http://141.218.60.56/~jnz1568/getInfo.php?workbook=02_02.xlsx&amp;sheet=A1&amp;row=231&amp;col=11&amp;number=127800000&amp;sourceID=24","127800000")</f>
        <v>127800000</v>
      </c>
      <c r="L231" s="4" t="str">
        <f>HYPERLINK("http://141.218.60.56/~jnz1568/getInfo.php?workbook=02_02.xlsx&amp;sheet=A1&amp;row=231&amp;col=12&amp;number=124333333.333&amp;sourceID=25","124333333.333")</f>
        <v>124333333.333</v>
      </c>
    </row>
    <row r="232" spans="1:12">
      <c r="A232" s="3">
        <v>2</v>
      </c>
      <c r="B232" s="3">
        <v>2</v>
      </c>
      <c r="C232" s="3">
        <v>29</v>
      </c>
      <c r="D232" s="3">
        <v>3</v>
      </c>
      <c r="E232" s="3">
        <f>((1/(INDEX('E1'!I$4:I$32,C232,1)-INDEX('E1'!I$4:I$32,D232,1))))*100000000</f>
        <v>0</v>
      </c>
      <c r="F232" s="4" t="str">
        <f>HYPERLINK("http://141.218.60.56/~jnz1568/getInfo.php?workbook=02_02.xlsx&amp;sheet=A1&amp;row=232&amp;col=6&amp;number==&amp;sourceID=15","=")</f>
        <v>=</v>
      </c>
      <c r="G232" s="4" t="str">
        <f>HYPERLINK("http://141.218.60.56/~jnz1568/getInfo.php?workbook=02_02.xlsx&amp;sheet=A1&amp;row=232&amp;col=7&amp;number=3802200&amp;sourceID=15","3802200")</f>
        <v>3802200</v>
      </c>
      <c r="H232" s="4" t="str">
        <f>HYPERLINK("http://141.218.60.56/~jnz1568/getInfo.php?workbook=02_02.xlsx&amp;sheet=A1&amp;row=232&amp;col=8&amp;number=&amp;sourceID=15","")</f>
        <v/>
      </c>
      <c r="I232" s="4" t="str">
        <f>HYPERLINK("http://141.218.60.56/~jnz1568/getInfo.php?workbook=02_02.xlsx&amp;sheet=A1&amp;row=232&amp;col=9&amp;number=&amp;sourceID=15","")</f>
        <v/>
      </c>
      <c r="J232" s="4" t="str">
        <f>HYPERLINK("http://141.218.60.56/~jnz1568/getInfo.php?workbook=02_02.xlsx&amp;sheet=A1&amp;row=232&amp;col=10&amp;number=&amp;sourceID=15","")</f>
        <v/>
      </c>
      <c r="K232" s="4" t="str">
        <f>HYPERLINK("http://141.218.60.56/~jnz1568/getInfo.php?workbook=02_02.xlsx&amp;sheet=A1&amp;row=232&amp;col=11&amp;number=3995000&amp;sourceID=24","3995000")</f>
        <v>3995000</v>
      </c>
      <c r="L232" s="4" t="str">
        <f>HYPERLINK("http://141.218.60.56/~jnz1568/getInfo.php?workbook=02_02.xlsx&amp;sheet=A1&amp;row=232&amp;col=12&amp;number=3866666.66667&amp;sourceID=25","3866666.66667")</f>
        <v>3866666.66667</v>
      </c>
    </row>
    <row r="233" spans="1:12">
      <c r="A233" s="3">
        <v>2</v>
      </c>
      <c r="B233" s="3">
        <v>2</v>
      </c>
      <c r="C233" s="3">
        <v>29</v>
      </c>
      <c r="D233" s="3">
        <v>5</v>
      </c>
      <c r="E233" s="3">
        <f>((1/(INDEX('E1'!I$4:I$32,C233,1)-INDEX('E1'!I$4:I$32,D233,1))))*100000000</f>
        <v>0</v>
      </c>
      <c r="F233" s="4" t="str">
        <f>HYPERLINK("http://141.218.60.56/~jnz1568/getInfo.php?workbook=02_02.xlsx&amp;sheet=A1&amp;row=233&amp;col=6&amp;number==&amp;sourceID=15","=")</f>
        <v>=</v>
      </c>
      <c r="G233" s="4" t="str">
        <f>HYPERLINK("http://141.218.60.56/~jnz1568/getInfo.php?workbook=02_02.xlsx&amp;sheet=A1&amp;row=233&amp;col=7&amp;number=&amp;sourceID=15","")</f>
        <v/>
      </c>
      <c r="H233" s="4" t="str">
        <f>HYPERLINK("http://141.218.60.56/~jnz1568/getInfo.php?workbook=02_02.xlsx&amp;sheet=A1&amp;row=233&amp;col=8&amp;number=5.317&amp;sourceID=15","5.317")</f>
        <v>5.317</v>
      </c>
      <c r="I233" s="4" t="str">
        <f>HYPERLINK("http://141.218.60.56/~jnz1568/getInfo.php?workbook=02_02.xlsx&amp;sheet=A1&amp;row=233&amp;col=9&amp;number=&amp;sourceID=15","")</f>
        <v/>
      </c>
      <c r="J233" s="4" t="str">
        <f>HYPERLINK("http://141.218.60.56/~jnz1568/getInfo.php?workbook=02_02.xlsx&amp;sheet=A1&amp;row=233&amp;col=10&amp;number=&amp;sourceID=15","")</f>
        <v/>
      </c>
      <c r="K233" s="4" t="str">
        <f>HYPERLINK("http://141.218.60.56/~jnz1568/getInfo.php?workbook=02_02.xlsx&amp;sheet=A1&amp;row=233&amp;col=11&amp;number=&amp;sourceID=24","")</f>
        <v/>
      </c>
      <c r="L233" s="4" t="str">
        <f>HYPERLINK("http://141.218.60.56/~jnz1568/getInfo.php?workbook=02_02.xlsx&amp;sheet=A1&amp;row=233&amp;col=12&amp;number=&amp;sourceID=25","")</f>
        <v/>
      </c>
    </row>
    <row r="234" spans="1:12">
      <c r="A234" s="3">
        <v>2</v>
      </c>
      <c r="B234" s="3">
        <v>2</v>
      </c>
      <c r="C234" s="3">
        <v>29</v>
      </c>
      <c r="D234" s="3">
        <v>7</v>
      </c>
      <c r="E234" s="3">
        <f>((1/(INDEX('E1'!I$4:I$32,C234,1)-INDEX('E1'!I$4:I$32,D234,1))))*100000000</f>
        <v>0</v>
      </c>
      <c r="F234" s="4" t="str">
        <f>HYPERLINK("http://141.218.60.56/~jnz1568/getInfo.php?workbook=02_02.xlsx&amp;sheet=A1&amp;row=234&amp;col=6&amp;number==&amp;sourceID=15","=")</f>
        <v>=</v>
      </c>
      <c r="G234" s="4" t="str">
        <f>HYPERLINK("http://141.218.60.56/~jnz1568/getInfo.php?workbook=02_02.xlsx&amp;sheet=A1&amp;row=234&amp;col=7&amp;number=924960&amp;sourceID=15","924960")</f>
        <v>924960</v>
      </c>
      <c r="H234" s="4" t="str">
        <f>HYPERLINK("http://141.218.60.56/~jnz1568/getInfo.php?workbook=02_02.xlsx&amp;sheet=A1&amp;row=234&amp;col=8&amp;number=&amp;sourceID=15","")</f>
        <v/>
      </c>
      <c r="I234" s="4" t="str">
        <f>HYPERLINK("http://141.218.60.56/~jnz1568/getInfo.php?workbook=02_02.xlsx&amp;sheet=A1&amp;row=234&amp;col=9&amp;number=&amp;sourceID=15","")</f>
        <v/>
      </c>
      <c r="J234" s="4" t="str">
        <f>HYPERLINK("http://141.218.60.56/~jnz1568/getInfo.php?workbook=02_02.xlsx&amp;sheet=A1&amp;row=234&amp;col=10&amp;number=&amp;sourceID=15","")</f>
        <v/>
      </c>
      <c r="K234" s="4" t="str">
        <f>HYPERLINK("http://141.218.60.56/~jnz1568/getInfo.php?workbook=02_02.xlsx&amp;sheet=A1&amp;row=234&amp;col=11&amp;number=995700&amp;sourceID=24","995700")</f>
        <v>995700</v>
      </c>
      <c r="L234" s="4" t="str">
        <f>HYPERLINK("http://141.218.60.56/~jnz1568/getInfo.php?workbook=02_02.xlsx&amp;sheet=A1&amp;row=234&amp;col=12&amp;number=960000&amp;sourceID=25","960000")</f>
        <v>960000</v>
      </c>
    </row>
    <row r="235" spans="1:12">
      <c r="A235" s="3">
        <v>2</v>
      </c>
      <c r="B235" s="3">
        <v>2</v>
      </c>
      <c r="C235" s="3">
        <v>29</v>
      </c>
      <c r="D235" s="3">
        <v>10</v>
      </c>
      <c r="E235" s="3">
        <f>((1/(INDEX('E1'!I$4:I$32,C235,1)-INDEX('E1'!I$4:I$32,D235,1))))*100000000</f>
        <v>0</v>
      </c>
      <c r="F235" s="4" t="str">
        <f>HYPERLINK("http://141.218.60.56/~jnz1568/getInfo.php?workbook=02_02.xlsx&amp;sheet=A1&amp;row=235&amp;col=6&amp;number==&amp;sourceID=15","=")</f>
        <v>=</v>
      </c>
      <c r="G235" s="4" t="str">
        <f>HYPERLINK("http://141.218.60.56/~jnz1568/getInfo.php?workbook=02_02.xlsx&amp;sheet=A1&amp;row=235&amp;col=7&amp;number=127540&amp;sourceID=15","127540")</f>
        <v>127540</v>
      </c>
      <c r="H235" s="4" t="str">
        <f>HYPERLINK("http://141.218.60.56/~jnz1568/getInfo.php?workbook=02_02.xlsx&amp;sheet=A1&amp;row=235&amp;col=8&amp;number=&amp;sourceID=15","")</f>
        <v/>
      </c>
      <c r="I235" s="4" t="str">
        <f>HYPERLINK("http://141.218.60.56/~jnz1568/getInfo.php?workbook=02_02.xlsx&amp;sheet=A1&amp;row=235&amp;col=9&amp;number=&amp;sourceID=15","")</f>
        <v/>
      </c>
      <c r="J235" s="4" t="str">
        <f>HYPERLINK("http://141.218.60.56/~jnz1568/getInfo.php?workbook=02_02.xlsx&amp;sheet=A1&amp;row=235&amp;col=10&amp;number=&amp;sourceID=15","")</f>
        <v/>
      </c>
      <c r="K235" s="4" t="str">
        <f>HYPERLINK("http://141.218.60.56/~jnz1568/getInfo.php?workbook=02_02.xlsx&amp;sheet=A1&amp;row=235&amp;col=11&amp;number=124000&amp;sourceID=24","124000")</f>
        <v>124000</v>
      </c>
      <c r="L235" s="4" t="str">
        <f>HYPERLINK("http://141.218.60.56/~jnz1568/getInfo.php?workbook=02_02.xlsx&amp;sheet=A1&amp;row=235&amp;col=12&amp;number=126000&amp;sourceID=25","126000")</f>
        <v>126000</v>
      </c>
    </row>
    <row r="236" spans="1:12">
      <c r="A236" s="3">
        <v>2</v>
      </c>
      <c r="B236" s="3">
        <v>2</v>
      </c>
      <c r="C236" s="3">
        <v>29</v>
      </c>
      <c r="D236" s="3">
        <v>11</v>
      </c>
      <c r="E236" s="3">
        <f>((1/(INDEX('E1'!I$4:I$32,C236,1)-INDEX('E1'!I$4:I$32,D236,1))))*100000000</f>
        <v>0</v>
      </c>
      <c r="F236" s="4" t="str">
        <f>HYPERLINK("http://141.218.60.56/~jnz1568/getInfo.php?workbook=02_02.xlsx&amp;sheet=A1&amp;row=236&amp;col=6&amp;number==&amp;sourceID=15","=")</f>
        <v>=</v>
      </c>
      <c r="G236" s="4" t="str">
        <f>HYPERLINK("http://141.218.60.56/~jnz1568/getInfo.php?workbook=02_02.xlsx&amp;sheet=A1&amp;row=236&amp;col=7&amp;number=&amp;sourceID=15","")</f>
        <v/>
      </c>
      <c r="H236" s="4" t="str">
        <f>HYPERLINK("http://141.218.60.56/~jnz1568/getInfo.php?workbook=02_02.xlsx&amp;sheet=A1&amp;row=236&amp;col=8&amp;number=1.423&amp;sourceID=15","1.423")</f>
        <v>1.423</v>
      </c>
      <c r="I236" s="4" t="str">
        <f>HYPERLINK("http://141.218.60.56/~jnz1568/getInfo.php?workbook=02_02.xlsx&amp;sheet=A1&amp;row=236&amp;col=9&amp;number=&amp;sourceID=15","")</f>
        <v/>
      </c>
      <c r="J236" s="4" t="str">
        <f>HYPERLINK("http://141.218.60.56/~jnz1568/getInfo.php?workbook=02_02.xlsx&amp;sheet=A1&amp;row=236&amp;col=10&amp;number=&amp;sourceID=15","")</f>
        <v/>
      </c>
      <c r="K236" s="4" t="str">
        <f>HYPERLINK("http://141.218.60.56/~jnz1568/getInfo.php?workbook=02_02.xlsx&amp;sheet=A1&amp;row=236&amp;col=11&amp;number=&amp;sourceID=24","")</f>
        <v/>
      </c>
      <c r="L236" s="4" t="str">
        <f>HYPERLINK("http://141.218.60.56/~jnz1568/getInfo.php?workbook=02_02.xlsx&amp;sheet=A1&amp;row=236&amp;col=12&amp;number=&amp;sourceID=25","")</f>
        <v/>
      </c>
    </row>
    <row r="237" spans="1:12">
      <c r="A237" s="3">
        <v>2</v>
      </c>
      <c r="B237" s="3">
        <v>2</v>
      </c>
      <c r="C237" s="3">
        <v>29</v>
      </c>
      <c r="D237" s="3">
        <v>13</v>
      </c>
      <c r="E237" s="3">
        <f>((1/(INDEX('E1'!I$4:I$32,C237,1)-INDEX('E1'!I$4:I$32,D237,1))))*100000000</f>
        <v>0</v>
      </c>
      <c r="F237" s="4" t="str">
        <f>HYPERLINK("http://141.218.60.56/~jnz1568/getInfo.php?workbook=02_02.xlsx&amp;sheet=A1&amp;row=237&amp;col=6&amp;number==&amp;sourceID=15","=")</f>
        <v>=</v>
      </c>
      <c r="G237" s="4" t="str">
        <f>HYPERLINK("http://141.218.60.56/~jnz1568/getInfo.php?workbook=02_02.xlsx&amp;sheet=A1&amp;row=237&amp;col=7&amp;number=293230&amp;sourceID=15","293230")</f>
        <v>293230</v>
      </c>
      <c r="H237" s="4" t="str">
        <f>HYPERLINK("http://141.218.60.56/~jnz1568/getInfo.php?workbook=02_02.xlsx&amp;sheet=A1&amp;row=237&amp;col=8&amp;number=&amp;sourceID=15","")</f>
        <v/>
      </c>
      <c r="I237" s="4" t="str">
        <f>HYPERLINK("http://141.218.60.56/~jnz1568/getInfo.php?workbook=02_02.xlsx&amp;sheet=A1&amp;row=237&amp;col=9&amp;number=&amp;sourceID=15","")</f>
        <v/>
      </c>
      <c r="J237" s="4" t="str">
        <f>HYPERLINK("http://141.218.60.56/~jnz1568/getInfo.php?workbook=02_02.xlsx&amp;sheet=A1&amp;row=237&amp;col=10&amp;number=&amp;sourceID=15","")</f>
        <v/>
      </c>
      <c r="K237" s="4" t="str">
        <f>HYPERLINK("http://141.218.60.56/~jnz1568/getInfo.php?workbook=02_02.xlsx&amp;sheet=A1&amp;row=237&amp;col=11&amp;number=319600&amp;sourceID=24","319600")</f>
        <v>319600</v>
      </c>
      <c r="L237" s="4" t="str">
        <f>HYPERLINK("http://141.218.60.56/~jnz1568/getInfo.php?workbook=02_02.xlsx&amp;sheet=A1&amp;row=237&amp;col=12&amp;number=311000&amp;sourceID=25","311000")</f>
        <v>311000</v>
      </c>
    </row>
    <row r="238" spans="1:12">
      <c r="A238" s="3">
        <v>2</v>
      </c>
      <c r="B238" s="3">
        <v>2</v>
      </c>
      <c r="C238" s="3">
        <v>29</v>
      </c>
      <c r="D238" s="3">
        <v>15</v>
      </c>
      <c r="E238" s="3">
        <f>((1/(INDEX('E1'!I$4:I$32,C238,1)-INDEX('E1'!I$4:I$32,D238,1))))*100000000</f>
        <v>0</v>
      </c>
      <c r="F238" s="4" t="str">
        <f>HYPERLINK("http://141.218.60.56/~jnz1568/getInfo.php?workbook=02_02.xlsx&amp;sheet=A1&amp;row=238&amp;col=6&amp;number==SUM(G238:J238)&amp;sourceID=15","=SUM(G238:J238)")</f>
        <v>=SUM(G238:J238)</v>
      </c>
      <c r="G238" s="4" t="str">
        <f>HYPERLINK("http://141.218.60.56/~jnz1568/getInfo.php?workbook=02_02.xlsx&amp;sheet=A1&amp;row=238&amp;col=7&amp;number=20.05&amp;sourceID=15","20.05")</f>
        <v>20.05</v>
      </c>
      <c r="H238" s="4" t="str">
        <f>HYPERLINK("http://141.218.60.56/~jnz1568/getInfo.php?workbook=02_02.xlsx&amp;sheet=A1&amp;row=238&amp;col=8&amp;number=&amp;sourceID=15","")</f>
        <v/>
      </c>
      <c r="I238" s="4" t="str">
        <f>HYPERLINK("http://141.218.60.56/~jnz1568/getInfo.php?workbook=02_02.xlsx&amp;sheet=A1&amp;row=238&amp;col=9&amp;number=&amp;sourceID=15","")</f>
        <v/>
      </c>
      <c r="J238" s="4" t="str">
        <f>HYPERLINK("http://141.218.60.56/~jnz1568/getInfo.php?workbook=02_02.xlsx&amp;sheet=A1&amp;row=238&amp;col=10&amp;number=&amp;sourceID=15","")</f>
        <v/>
      </c>
      <c r="K238" s="4" t="str">
        <f>HYPERLINK("http://141.218.60.56/~jnz1568/getInfo.php?workbook=02_02.xlsx&amp;sheet=A1&amp;row=238&amp;col=11&amp;number=&amp;sourceID=24","")</f>
        <v/>
      </c>
      <c r="L238" s="4" t="str">
        <f>HYPERLINK("http://141.218.60.56/~jnz1568/getInfo.php?workbook=02_02.xlsx&amp;sheet=A1&amp;row=238&amp;col=12&amp;number=&amp;sourceID=25","")</f>
        <v/>
      </c>
    </row>
    <row r="239" spans="1:12">
      <c r="A239" s="3">
        <v>2</v>
      </c>
      <c r="B239" s="3">
        <v>2</v>
      </c>
      <c r="C239" s="3">
        <v>29</v>
      </c>
      <c r="D239" s="3">
        <v>16</v>
      </c>
      <c r="E239" s="3">
        <f>((1/(INDEX('E1'!I$4:I$32,C239,1)-INDEX('E1'!I$4:I$32,D239,1))))*100000000</f>
        <v>0</v>
      </c>
      <c r="F239" s="4" t="str">
        <f>HYPERLINK("http://141.218.60.56/~jnz1568/getInfo.php?workbook=02_02.xlsx&amp;sheet=A1&amp;row=239&amp;col=6&amp;number==&amp;sourceID=15","=")</f>
        <v>=</v>
      </c>
      <c r="G239" s="4" t="str">
        <f>HYPERLINK("http://141.218.60.56/~jnz1568/getInfo.php?workbook=02_02.xlsx&amp;sheet=A1&amp;row=239&amp;col=7&amp;number=163300&amp;sourceID=15","163300")</f>
        <v>163300</v>
      </c>
      <c r="H239" s="4" t="str">
        <f>HYPERLINK("http://141.218.60.56/~jnz1568/getInfo.php?workbook=02_02.xlsx&amp;sheet=A1&amp;row=239&amp;col=8&amp;number=&amp;sourceID=15","")</f>
        <v/>
      </c>
      <c r="I239" s="4" t="str">
        <f>HYPERLINK("http://141.218.60.56/~jnz1568/getInfo.php?workbook=02_02.xlsx&amp;sheet=A1&amp;row=239&amp;col=9&amp;number=&amp;sourceID=15","")</f>
        <v/>
      </c>
      <c r="J239" s="4" t="str">
        <f>HYPERLINK("http://141.218.60.56/~jnz1568/getInfo.php?workbook=02_02.xlsx&amp;sheet=A1&amp;row=239&amp;col=10&amp;number=&amp;sourceID=15","")</f>
        <v/>
      </c>
      <c r="K239" s="4" t="str">
        <f>HYPERLINK("http://141.218.60.56/~jnz1568/getInfo.php?workbook=02_02.xlsx&amp;sheet=A1&amp;row=239&amp;col=11&amp;number=155600&amp;sourceID=24","155600")</f>
        <v>155600</v>
      </c>
      <c r="L239" s="4" t="str">
        <f>HYPERLINK("http://141.218.60.56/~jnz1568/getInfo.php?workbook=02_02.xlsx&amp;sheet=A1&amp;row=239&amp;col=12&amp;number=162333.333333&amp;sourceID=25","162333.333333")</f>
        <v>162333.333333</v>
      </c>
    </row>
    <row r="240" spans="1:12">
      <c r="A240" s="3">
        <v>2</v>
      </c>
      <c r="B240" s="3">
        <v>2</v>
      </c>
      <c r="C240" s="3">
        <v>29</v>
      </c>
      <c r="D240" s="3">
        <v>19</v>
      </c>
      <c r="E240" s="3">
        <f>((1/(INDEX('E1'!I$4:I$32,C240,1)-INDEX('E1'!I$4:I$32,D240,1))))*100000000</f>
        <v>0</v>
      </c>
      <c r="F240" s="4" t="str">
        <f>HYPERLINK("http://141.218.60.56/~jnz1568/getInfo.php?workbook=02_02.xlsx&amp;sheet=A1&amp;row=240&amp;col=6&amp;number==&amp;sourceID=15","=")</f>
        <v>=</v>
      </c>
      <c r="G240" s="4" t="str">
        <f>HYPERLINK("http://141.218.60.56/~jnz1568/getInfo.php?workbook=02_02.xlsx&amp;sheet=A1&amp;row=240&amp;col=7&amp;number=&amp;sourceID=15","")</f>
        <v/>
      </c>
      <c r="H240" s="4" t="str">
        <f>HYPERLINK("http://141.218.60.56/~jnz1568/getInfo.php?workbook=02_02.xlsx&amp;sheet=A1&amp;row=240&amp;col=8&amp;number=0.4519&amp;sourceID=15","0.4519")</f>
        <v>0.4519</v>
      </c>
      <c r="I240" s="4" t="str">
        <f>HYPERLINK("http://141.218.60.56/~jnz1568/getInfo.php?workbook=02_02.xlsx&amp;sheet=A1&amp;row=240&amp;col=9&amp;number=&amp;sourceID=15","")</f>
        <v/>
      </c>
      <c r="J240" s="4" t="str">
        <f>HYPERLINK("http://141.218.60.56/~jnz1568/getInfo.php?workbook=02_02.xlsx&amp;sheet=A1&amp;row=240&amp;col=10&amp;number=&amp;sourceID=15","")</f>
        <v/>
      </c>
      <c r="K240" s="4" t="str">
        <f>HYPERLINK("http://141.218.60.56/~jnz1568/getInfo.php?workbook=02_02.xlsx&amp;sheet=A1&amp;row=240&amp;col=11&amp;number=&amp;sourceID=24","")</f>
        <v/>
      </c>
      <c r="L240" s="4" t="str">
        <f>HYPERLINK("http://141.218.60.56/~jnz1568/getInfo.php?workbook=02_02.xlsx&amp;sheet=A1&amp;row=240&amp;col=12&amp;number=&amp;sourceID=25","")</f>
        <v/>
      </c>
    </row>
    <row r="241" spans="1:12">
      <c r="A241" s="3">
        <v>2</v>
      </c>
      <c r="B241" s="3">
        <v>2</v>
      </c>
      <c r="C241" s="3">
        <v>29</v>
      </c>
      <c r="D241" s="3">
        <v>21</v>
      </c>
      <c r="E241" s="3">
        <f>((1/(INDEX('E1'!I$4:I$32,C241,1)-INDEX('E1'!I$4:I$32,D241,1))))*100000000</f>
        <v>0</v>
      </c>
      <c r="F241" s="4" t="str">
        <f>HYPERLINK("http://141.218.60.56/~jnz1568/getInfo.php?workbook=02_02.xlsx&amp;sheet=A1&amp;row=241&amp;col=6&amp;number==&amp;sourceID=15","=")</f>
        <v>=</v>
      </c>
      <c r="G241" s="4" t="str">
        <f>HYPERLINK("http://141.218.60.56/~jnz1568/getInfo.php?workbook=02_02.xlsx&amp;sheet=A1&amp;row=241&amp;col=7&amp;number=18738&amp;sourceID=15","18738")</f>
        <v>18738</v>
      </c>
      <c r="H241" s="4" t="str">
        <f>HYPERLINK("http://141.218.60.56/~jnz1568/getInfo.php?workbook=02_02.xlsx&amp;sheet=A1&amp;row=241&amp;col=8&amp;number=&amp;sourceID=15","")</f>
        <v/>
      </c>
      <c r="I241" s="4" t="str">
        <f>HYPERLINK("http://141.218.60.56/~jnz1568/getInfo.php?workbook=02_02.xlsx&amp;sheet=A1&amp;row=241&amp;col=9&amp;number=&amp;sourceID=15","")</f>
        <v/>
      </c>
      <c r="J241" s="4" t="str">
        <f>HYPERLINK("http://141.218.60.56/~jnz1568/getInfo.php?workbook=02_02.xlsx&amp;sheet=A1&amp;row=241&amp;col=10&amp;number=&amp;sourceID=15","")</f>
        <v/>
      </c>
      <c r="K241" s="4" t="str">
        <f>HYPERLINK("http://141.218.60.56/~jnz1568/getInfo.php?workbook=02_02.xlsx&amp;sheet=A1&amp;row=241&amp;col=11&amp;number=18900&amp;sourceID=24","18900")</f>
        <v>18900</v>
      </c>
      <c r="L241" s="4" t="str">
        <f>HYPERLINK("http://141.218.60.56/~jnz1568/getInfo.php?workbook=02_02.xlsx&amp;sheet=A1&amp;row=241&amp;col=12&amp;number=16466.6666667&amp;sourceID=25","16466.6666667")</f>
        <v>16466.6666667</v>
      </c>
    </row>
    <row r="242" spans="1:12">
      <c r="A242" s="3">
        <v>2</v>
      </c>
      <c r="B242" s="3">
        <v>2</v>
      </c>
      <c r="C242" s="3">
        <v>29</v>
      </c>
      <c r="D242" s="3">
        <v>23</v>
      </c>
      <c r="E242" s="3">
        <f>((1/(INDEX('E1'!I$4:I$32,C242,1)-INDEX('E1'!I$4:I$32,D242,1))))*100000000</f>
        <v>0</v>
      </c>
      <c r="F242" s="4" t="str">
        <f>HYPERLINK("http://141.218.60.56/~jnz1568/getInfo.php?workbook=02_02.xlsx&amp;sheet=A1&amp;row=242&amp;col=6&amp;number==&amp;sourceID=15","=")</f>
        <v>=</v>
      </c>
      <c r="G242" s="4" t="str">
        <f>HYPERLINK("http://141.218.60.56/~jnz1568/getInfo.php?workbook=02_02.xlsx&amp;sheet=A1&amp;row=242&amp;col=7&amp;number=0.002501&amp;sourceID=15","0.002501")</f>
        <v>0.002501</v>
      </c>
      <c r="H242" s="4" t="str">
        <f>HYPERLINK("http://141.218.60.56/~jnz1568/getInfo.php?workbook=02_02.xlsx&amp;sheet=A1&amp;row=242&amp;col=8&amp;number=&amp;sourceID=15","")</f>
        <v/>
      </c>
      <c r="I242" s="4" t="str">
        <f>HYPERLINK("http://141.218.60.56/~jnz1568/getInfo.php?workbook=02_02.xlsx&amp;sheet=A1&amp;row=242&amp;col=9&amp;number=&amp;sourceID=15","")</f>
        <v/>
      </c>
      <c r="J242" s="4" t="str">
        <f>HYPERLINK("http://141.218.60.56/~jnz1568/getInfo.php?workbook=02_02.xlsx&amp;sheet=A1&amp;row=242&amp;col=10&amp;number=&amp;sourceID=15","")</f>
        <v/>
      </c>
      <c r="K242" s="4" t="str">
        <f>HYPERLINK("http://141.218.60.56/~jnz1568/getInfo.php?workbook=02_02.xlsx&amp;sheet=A1&amp;row=242&amp;col=11&amp;number=&amp;sourceID=24","")</f>
        <v/>
      </c>
      <c r="L242" s="4" t="str">
        <f>HYPERLINK("http://141.218.60.56/~jnz1568/getInfo.php?workbook=02_02.xlsx&amp;sheet=A1&amp;row=242&amp;col=12&amp;number=&amp;sourceID=25","")</f>
        <v/>
      </c>
    </row>
    <row r="243" spans="1:12">
      <c r="A243" s="3">
        <v>2</v>
      </c>
      <c r="B243" s="3">
        <v>2</v>
      </c>
      <c r="C243" s="3">
        <v>29</v>
      </c>
      <c r="D243" s="3">
        <v>24</v>
      </c>
      <c r="E243" s="3">
        <f>((1/(INDEX('E1'!I$4:I$32,C243,1)-INDEX('E1'!I$4:I$32,D243,1))))*100000000</f>
        <v>0</v>
      </c>
      <c r="F243" s="4" t="str">
        <f>HYPERLINK("http://141.218.60.56/~jnz1568/getInfo.php?workbook=02_02.xlsx&amp;sheet=A1&amp;row=243&amp;col=6&amp;number==&amp;sourceID=15","=")</f>
        <v>=</v>
      </c>
      <c r="G243" s="4" t="str">
        <f>HYPERLINK("http://141.218.60.56/~jnz1568/getInfo.php?workbook=02_02.xlsx&amp;sheet=A1&amp;row=243&amp;col=7&amp;number=22.222&amp;sourceID=15","22.222")</f>
        <v>22.222</v>
      </c>
      <c r="H243" s="4" t="str">
        <f>HYPERLINK("http://141.218.60.56/~jnz1568/getInfo.php?workbook=02_02.xlsx&amp;sheet=A1&amp;row=243&amp;col=8&amp;number=&amp;sourceID=15","")</f>
        <v/>
      </c>
      <c r="I243" s="4" t="str">
        <f>HYPERLINK("http://141.218.60.56/~jnz1568/getInfo.php?workbook=02_02.xlsx&amp;sheet=A1&amp;row=243&amp;col=9&amp;number=&amp;sourceID=15","")</f>
        <v/>
      </c>
      <c r="J243" s="4" t="str">
        <f>HYPERLINK("http://141.218.60.56/~jnz1568/getInfo.php?workbook=02_02.xlsx&amp;sheet=A1&amp;row=243&amp;col=10&amp;number=&amp;sourceID=15","")</f>
        <v/>
      </c>
      <c r="K243" s="4" t="str">
        <f>HYPERLINK("http://141.218.60.56/~jnz1568/getInfo.php?workbook=02_02.xlsx&amp;sheet=A1&amp;row=243&amp;col=11&amp;number=22.3&amp;sourceID=24","22.3")</f>
        <v>22.3</v>
      </c>
      <c r="L243" s="4" t="str">
        <f>HYPERLINK("http://141.218.60.56/~jnz1568/getInfo.php?workbook=02_02.xlsx&amp;sheet=A1&amp;row=243&amp;col=12&amp;number=27.0666666667&amp;sourceID=25","27.0666666667")</f>
        <v>27.0666666667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40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10.7109375" customWidth="1"/>
    <col min="8" max="8" width="9.7109375" customWidth="1"/>
    <col min="9" max="9" width="10.7109375" customWidth="1"/>
  </cols>
  <sheetData>
    <row r="1" spans="1:9">
      <c r="A1" s="1" t="s">
        <v>55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 t="s">
        <v>56</v>
      </c>
      <c r="G2" s="2"/>
      <c r="H2" s="2" t="s">
        <v>57</v>
      </c>
      <c r="I2" s="2"/>
    </row>
    <row r="3" spans="1:9">
      <c r="A3" s="2" t="s">
        <v>3</v>
      </c>
      <c r="B3" s="2" t="s">
        <v>4</v>
      </c>
      <c r="C3" s="2" t="s">
        <v>46</v>
      </c>
      <c r="D3" s="2" t="s">
        <v>5</v>
      </c>
      <c r="E3" s="2" t="s">
        <v>58</v>
      </c>
      <c r="F3" s="2" t="s">
        <v>59</v>
      </c>
      <c r="G3" s="2" t="s">
        <v>60</v>
      </c>
      <c r="H3" s="2" t="s">
        <v>59</v>
      </c>
      <c r="I3" s="2" t="s">
        <v>60</v>
      </c>
    </row>
    <row r="4" spans="1:9">
      <c r="A4" s="3">
        <v>2</v>
      </c>
      <c r="B4" s="3">
        <v>2</v>
      </c>
      <c r="C4" s="3">
        <v>2</v>
      </c>
      <c r="D4" s="3">
        <v>1</v>
      </c>
      <c r="E4" s="3">
        <v>1</v>
      </c>
      <c r="F4" s="4" t="str">
        <f>HYPERLINK("http://141.218.60.56/~jnz1568/getInfo.php?workbook=02_02.xlsx&amp;sheet=U0&amp;row=4&amp;col=6&amp;number=3.75&amp;sourceID=28","3.75")</f>
        <v>3.75</v>
      </c>
      <c r="G4" s="4" t="str">
        <f>HYPERLINK("http://141.218.60.56/~jnz1568/getInfo.php?workbook=02_02.xlsx&amp;sheet=U0&amp;row=4&amp;col=7&amp;number=0.06198&amp;sourceID=1","0.06198")</f>
        <v>0.06198</v>
      </c>
      <c r="H4" s="4" t="str">
        <f>HYPERLINK("http://141.218.60.56/~jnz1568/getInfo.php?workbook=02_02.xlsx&amp;sheet=U0&amp;row=4&amp;col=8&amp;number=3.301&amp;sourceID=29","3.301")</f>
        <v>3.301</v>
      </c>
      <c r="I4" s="4" t="str">
        <f>HYPERLINK("http://141.218.60.56/~jnz1568/getInfo.php?workbook=02_02.xlsx&amp;sheet=U0&amp;row=4&amp;col=9&amp;number=0.04774&amp;sourceID=1","0.04774")</f>
        <v>0.04774</v>
      </c>
    </row>
    <row r="5" spans="1:9">
      <c r="A5" s="3"/>
      <c r="B5" s="3"/>
      <c r="C5" s="3"/>
      <c r="D5" s="3"/>
      <c r="E5" s="3">
        <v>2</v>
      </c>
      <c r="F5" s="4" t="str">
        <f>HYPERLINK("http://141.218.60.56/~jnz1568/getInfo.php?workbook=02_02.xlsx&amp;sheet=U0&amp;row=5&amp;col=6&amp;number=4&amp;sourceID=28","4")</f>
        <v>4</v>
      </c>
      <c r="G5" s="4" t="str">
        <f>HYPERLINK("http://141.218.60.56/~jnz1568/getInfo.php?workbook=02_02.xlsx&amp;sheet=U0&amp;row=5&amp;col=7&amp;number=0.06458&amp;sourceID=1","0.06458")</f>
        <v>0.06458</v>
      </c>
      <c r="H5" s="4" t="str">
        <f>HYPERLINK("http://141.218.60.56/~jnz1568/getInfo.php?workbook=02_02.xlsx&amp;sheet=U0&amp;row=5&amp;col=8&amp;number=3.699&amp;sourceID=29","3.699")</f>
        <v>3.699</v>
      </c>
      <c r="I5" s="4" t="str">
        <f>HYPERLINK("http://141.218.60.56/~jnz1568/getInfo.php?workbook=02_02.xlsx&amp;sheet=U0&amp;row=5&amp;col=9&amp;number=0.06498&amp;sourceID=1","0.06498")</f>
        <v>0.06498</v>
      </c>
    </row>
    <row r="6" spans="1:9">
      <c r="A6" s="3"/>
      <c r="B6" s="3"/>
      <c r="C6" s="3"/>
      <c r="D6" s="3"/>
      <c r="E6" s="3">
        <v>3</v>
      </c>
      <c r="F6" s="4" t="str">
        <f>HYPERLINK("http://141.218.60.56/~jnz1568/getInfo.php?workbook=02_02.xlsx&amp;sheet=U0&amp;row=6&amp;col=6&amp;number=4.25&amp;sourceID=28","4.25")</f>
        <v>4.25</v>
      </c>
      <c r="G6" s="4" t="str">
        <f>HYPERLINK("http://141.218.60.56/~jnz1568/getInfo.php?workbook=02_02.xlsx&amp;sheet=U0&amp;row=6&amp;col=7&amp;number=0.06387&amp;sourceID=1","0.06387")</f>
        <v>0.06387</v>
      </c>
      <c r="H6" s="4" t="str">
        <f>HYPERLINK("http://141.218.60.56/~jnz1568/getInfo.php?workbook=02_02.xlsx&amp;sheet=U0&amp;row=6&amp;col=8&amp;number=4&amp;sourceID=29","4")</f>
        <v>4</v>
      </c>
      <c r="I6" s="4" t="str">
        <f>HYPERLINK("http://141.218.60.56/~jnz1568/getInfo.php?workbook=02_02.xlsx&amp;sheet=U0&amp;row=6&amp;col=9&amp;number=0.06865&amp;sourceID=1","0.06865")</f>
        <v>0.06865</v>
      </c>
    </row>
    <row r="7" spans="1:9">
      <c r="A7" s="3"/>
      <c r="B7" s="3"/>
      <c r="C7" s="3"/>
      <c r="D7" s="3"/>
      <c r="E7" s="3">
        <v>4</v>
      </c>
      <c r="F7" s="4" t="str">
        <f>HYPERLINK("http://141.218.60.56/~jnz1568/getInfo.php?workbook=02_02.xlsx&amp;sheet=U0&amp;row=7&amp;col=6&amp;number=4.5&amp;sourceID=28","4.5")</f>
        <v>4.5</v>
      </c>
      <c r="G7" s="4" t="str">
        <f>HYPERLINK("http://141.218.60.56/~jnz1568/getInfo.php?workbook=02_02.xlsx&amp;sheet=U0&amp;row=7&amp;col=7&amp;number=0.06157&amp;sourceID=1","0.06157")</f>
        <v>0.06157</v>
      </c>
      <c r="H7" s="4" t="str">
        <f>HYPERLINK("http://141.218.60.56/~jnz1568/getInfo.php?workbook=02_02.xlsx&amp;sheet=U0&amp;row=7&amp;col=8&amp;number=4.176&amp;sourceID=29","4.176")</f>
        <v>4.176</v>
      </c>
      <c r="I7" s="4" t="str">
        <f>HYPERLINK("http://141.218.60.56/~jnz1568/getInfo.php?workbook=02_02.xlsx&amp;sheet=U0&amp;row=7&amp;col=9&amp;number=0.0681&amp;sourceID=1","0.0681")</f>
        <v>0.0681</v>
      </c>
    </row>
    <row r="8" spans="1:9">
      <c r="A8" s="3"/>
      <c r="B8" s="3"/>
      <c r="C8" s="3"/>
      <c r="D8" s="3"/>
      <c r="E8" s="3">
        <v>5</v>
      </c>
      <c r="F8" s="4" t="str">
        <f>HYPERLINK("http://141.218.60.56/~jnz1568/getInfo.php?workbook=02_02.xlsx&amp;sheet=U0&amp;row=8&amp;col=6&amp;number=4.75&amp;sourceID=28","4.75")</f>
        <v>4.75</v>
      </c>
      <c r="G8" s="4" t="str">
        <f>HYPERLINK("http://141.218.60.56/~jnz1568/getInfo.php?workbook=02_02.xlsx&amp;sheet=U0&amp;row=8&amp;col=7&amp;number=0.05832&amp;sourceID=1","0.05832")</f>
        <v>0.05832</v>
      </c>
      <c r="H8" s="4" t="str">
        <f>HYPERLINK("http://141.218.60.56/~jnz1568/getInfo.php?workbook=02_02.xlsx&amp;sheet=U0&amp;row=8&amp;col=8&amp;number=4.301&amp;sourceID=29","4.301")</f>
        <v>4.301</v>
      </c>
      <c r="I8" s="4" t="str">
        <f>HYPERLINK("http://141.218.60.56/~jnz1568/getInfo.php?workbook=02_02.xlsx&amp;sheet=U0&amp;row=8&amp;col=9&amp;number=0.0672&amp;sourceID=1","0.0672")</f>
        <v>0.0672</v>
      </c>
    </row>
    <row r="9" spans="1:9">
      <c r="A9" s="3"/>
      <c r="B9" s="3"/>
      <c r="C9" s="3"/>
      <c r="D9" s="3"/>
      <c r="E9" s="3">
        <v>6</v>
      </c>
      <c r="F9" s="4" t="str">
        <f>HYPERLINK("http://141.218.60.56/~jnz1568/getInfo.php?workbook=02_02.xlsx&amp;sheet=U0&amp;row=9&amp;col=6&amp;number=5&amp;sourceID=28","5")</f>
        <v>5</v>
      </c>
      <c r="G9" s="4" t="str">
        <f>HYPERLINK("http://141.218.60.56/~jnz1568/getInfo.php?workbook=02_02.xlsx&amp;sheet=U0&amp;row=9&amp;col=7&amp;number=0.0532&amp;sourceID=1","0.0532")</f>
        <v>0.0532</v>
      </c>
      <c r="H9" s="4" t="str">
        <f>HYPERLINK("http://141.218.60.56/~jnz1568/getInfo.php?workbook=02_02.xlsx&amp;sheet=U0&amp;row=9&amp;col=8&amp;number=4.398&amp;sourceID=29","4.398")</f>
        <v>4.398</v>
      </c>
      <c r="I9" s="4" t="str">
        <f>HYPERLINK("http://141.218.60.56/~jnz1568/getInfo.php?workbook=02_02.xlsx&amp;sheet=U0&amp;row=9&amp;col=9&amp;number=0.06644&amp;sourceID=1","0.06644")</f>
        <v>0.06644</v>
      </c>
    </row>
    <row r="10" spans="1:9">
      <c r="A10" s="3"/>
      <c r="B10" s="3"/>
      <c r="C10" s="3"/>
      <c r="D10" s="3"/>
      <c r="E10" s="3">
        <v>7</v>
      </c>
      <c r="F10" s="4" t="str">
        <f>HYPERLINK("http://141.218.60.56/~jnz1568/getInfo.php?workbook=02_02.xlsx&amp;sheet=U0&amp;row=10&amp;col=6&amp;number=5.25&amp;sourceID=28","5.25")</f>
        <v>5.25</v>
      </c>
      <c r="G10" s="4" t="str">
        <f>HYPERLINK("http://141.218.60.56/~jnz1568/getInfo.php?workbook=02_02.xlsx&amp;sheet=U0&amp;row=10&amp;col=7&amp;number=0.04787&amp;sourceID=1","0.04787")</f>
        <v>0.04787</v>
      </c>
      <c r="H10" s="4" t="str">
        <f>HYPERLINK("http://141.218.60.56/~jnz1568/getInfo.php?workbook=02_02.xlsx&amp;sheet=U0&amp;row=10&amp;col=8&amp;number=4.477&amp;sourceID=29","4.477")</f>
        <v>4.477</v>
      </c>
      <c r="I10" s="4" t="str">
        <f>HYPERLINK("http://141.218.60.56/~jnz1568/getInfo.php?workbook=02_02.xlsx&amp;sheet=U0&amp;row=10&amp;col=9&amp;number=0.06579&amp;sourceID=1","0.06579")</f>
        <v>0.06579</v>
      </c>
    </row>
    <row r="11" spans="1:9">
      <c r="A11" s="3"/>
      <c r="B11" s="3"/>
      <c r="C11" s="3"/>
      <c r="D11" s="3"/>
      <c r="E11" s="3">
        <v>8</v>
      </c>
      <c r="F11" s="4" t="str">
        <f>HYPERLINK("http://141.218.60.56/~jnz1568/getInfo.php?workbook=02_02.xlsx&amp;sheet=U0&amp;row=11&amp;col=6&amp;number=5.5&amp;sourceID=28","5.5")</f>
        <v>5.5</v>
      </c>
      <c r="G11" s="4" t="str">
        <f>HYPERLINK("http://141.218.60.56/~jnz1568/getInfo.php?workbook=02_02.xlsx&amp;sheet=U0&amp;row=11&amp;col=7&amp;number=0.04018&amp;sourceID=1","0.04018")</f>
        <v>0.04018</v>
      </c>
      <c r="H11" s="4" t="str">
        <f>HYPERLINK("http://141.218.60.56/~jnz1568/getInfo.php?workbook=02_02.xlsx&amp;sheet=U0&amp;row=11&amp;col=8&amp;number=&amp;sourceID=29","")</f>
        <v/>
      </c>
      <c r="I11" s="4" t="str">
        <f>HYPERLINK("http://141.218.60.56/~jnz1568/getInfo.php?workbook=02_02.xlsx&amp;sheet=U0&amp;row=11&amp;col=9&amp;number=&amp;sourceID=1","")</f>
        <v/>
      </c>
    </row>
    <row r="12" spans="1:9">
      <c r="A12" s="3"/>
      <c r="B12" s="3"/>
      <c r="C12" s="3"/>
      <c r="D12" s="3"/>
      <c r="E12" s="3">
        <v>9</v>
      </c>
      <c r="F12" s="4" t="str">
        <f>HYPERLINK("http://141.218.60.56/~jnz1568/getInfo.php?workbook=02_02.xlsx&amp;sheet=U0&amp;row=12&amp;col=6&amp;number=5.75&amp;sourceID=28","5.75")</f>
        <v>5.75</v>
      </c>
      <c r="G12" s="4" t="str">
        <f>HYPERLINK("http://141.218.60.56/~jnz1568/getInfo.php?workbook=02_02.xlsx&amp;sheet=U0&amp;row=12&amp;col=7&amp;number=0.03167&amp;sourceID=1","0.03167")</f>
        <v>0.03167</v>
      </c>
      <c r="H12" s="4" t="str">
        <f>HYPERLINK("http://141.218.60.56/~jnz1568/getInfo.php?workbook=02_02.xlsx&amp;sheet=U0&amp;row=12&amp;col=8&amp;number=&amp;sourceID=29","")</f>
        <v/>
      </c>
      <c r="I12" s="4" t="str">
        <f>HYPERLINK("http://141.218.60.56/~jnz1568/getInfo.php?workbook=02_02.xlsx&amp;sheet=U0&amp;row=12&amp;col=9&amp;number=&amp;sourceID=1","")</f>
        <v/>
      </c>
    </row>
    <row r="13" spans="1:9">
      <c r="A13" s="3">
        <v>2</v>
      </c>
      <c r="B13" s="3">
        <v>2</v>
      </c>
      <c r="C13" s="3">
        <v>3</v>
      </c>
      <c r="D13" s="3">
        <v>1</v>
      </c>
      <c r="E13" s="3">
        <v>1</v>
      </c>
      <c r="F13" s="4" t="str">
        <f>HYPERLINK("http://141.218.60.56/~jnz1568/getInfo.php?workbook=02_02.xlsx&amp;sheet=U0&amp;row=13&amp;col=6&amp;number=3.75&amp;sourceID=28","3.75")</f>
        <v>3.75</v>
      </c>
      <c r="G13" s="4" t="str">
        <f>HYPERLINK("http://141.218.60.56/~jnz1568/getInfo.php?workbook=02_02.xlsx&amp;sheet=U0&amp;row=13&amp;col=7&amp;number=0.03075&amp;sourceID=1","0.03075")</f>
        <v>0.03075</v>
      </c>
      <c r="H13" s="4" t="str">
        <f>HYPERLINK("http://141.218.60.56/~jnz1568/getInfo.php?workbook=02_02.xlsx&amp;sheet=U0&amp;row=13&amp;col=8&amp;number=3.301&amp;sourceID=29","3.301")</f>
        <v>3.301</v>
      </c>
      <c r="I13" s="4" t="str">
        <f>HYPERLINK("http://141.218.60.56/~jnz1568/getInfo.php?workbook=02_02.xlsx&amp;sheet=U0&amp;row=13&amp;col=9&amp;number=0.02177&amp;sourceID=1","0.02177")</f>
        <v>0.02177</v>
      </c>
    </row>
    <row r="14" spans="1:9">
      <c r="A14" s="3"/>
      <c r="B14" s="3"/>
      <c r="C14" s="3"/>
      <c r="D14" s="3"/>
      <c r="E14" s="3">
        <v>2</v>
      </c>
      <c r="F14" s="4" t="str">
        <f>HYPERLINK("http://141.218.60.56/~jnz1568/getInfo.php?workbook=02_02.xlsx&amp;sheet=U0&amp;row=14&amp;col=6&amp;number=4&amp;sourceID=28","4")</f>
        <v>4</v>
      </c>
      <c r="G14" s="4" t="str">
        <f>HYPERLINK("http://141.218.60.56/~jnz1568/getInfo.php?workbook=02_02.xlsx&amp;sheet=U0&amp;row=14&amp;col=7&amp;number=0.03492&amp;sourceID=1","0.03492")</f>
        <v>0.03492</v>
      </c>
      <c r="H14" s="4" t="str">
        <f>HYPERLINK("http://141.218.60.56/~jnz1568/getInfo.php?workbook=02_02.xlsx&amp;sheet=U0&amp;row=14&amp;col=8&amp;number=3.699&amp;sourceID=29","3.699")</f>
        <v>3.699</v>
      </c>
      <c r="I14" s="4" t="str">
        <f>HYPERLINK("http://141.218.60.56/~jnz1568/getInfo.php?workbook=02_02.xlsx&amp;sheet=U0&amp;row=14&amp;col=9&amp;number=0.03111&amp;sourceID=1","0.03111")</f>
        <v>0.03111</v>
      </c>
    </row>
    <row r="15" spans="1:9">
      <c r="A15" s="3"/>
      <c r="B15" s="3"/>
      <c r="C15" s="3"/>
      <c r="D15" s="3"/>
      <c r="E15" s="3">
        <v>3</v>
      </c>
      <c r="F15" s="4" t="str">
        <f>HYPERLINK("http://141.218.60.56/~jnz1568/getInfo.php?workbook=02_02.xlsx&amp;sheet=U0&amp;row=15&amp;col=6&amp;number=4.25&amp;sourceID=28","4.25")</f>
        <v>4.25</v>
      </c>
      <c r="G15" s="4" t="str">
        <f>HYPERLINK("http://141.218.60.56/~jnz1568/getInfo.php?workbook=02_02.xlsx&amp;sheet=U0&amp;row=15&amp;col=7&amp;number=0.0384&amp;sourceID=1","0.0384")</f>
        <v>0.0384</v>
      </c>
      <c r="H15" s="4" t="str">
        <f>HYPERLINK("http://141.218.60.56/~jnz1568/getInfo.php?workbook=02_02.xlsx&amp;sheet=U0&amp;row=15&amp;col=8&amp;number=4&amp;sourceID=29","4")</f>
        <v>4</v>
      </c>
      <c r="I15" s="4" t="str">
        <f>HYPERLINK("http://141.218.60.56/~jnz1568/getInfo.php?workbook=02_02.xlsx&amp;sheet=U0&amp;row=15&amp;col=9&amp;number=0.03605&amp;sourceID=1","0.03605")</f>
        <v>0.03605</v>
      </c>
    </row>
    <row r="16" spans="1:9">
      <c r="A16" s="3"/>
      <c r="B16" s="3"/>
      <c r="C16" s="3"/>
      <c r="D16" s="3"/>
      <c r="E16" s="3">
        <v>4</v>
      </c>
      <c r="F16" s="4" t="str">
        <f>HYPERLINK("http://141.218.60.56/~jnz1568/getInfo.php?workbook=02_02.xlsx&amp;sheet=U0&amp;row=16&amp;col=6&amp;number=4.5&amp;sourceID=28","4.5")</f>
        <v>4.5</v>
      </c>
      <c r="G16" s="4" t="str">
        <f>HYPERLINK("http://141.218.60.56/~jnz1568/getInfo.php?workbook=02_02.xlsx&amp;sheet=U0&amp;row=16&amp;col=7&amp;number=0.04183&amp;sourceID=1","0.04183")</f>
        <v>0.04183</v>
      </c>
      <c r="H16" s="4" t="str">
        <f>HYPERLINK("http://141.218.60.56/~jnz1568/getInfo.php?workbook=02_02.xlsx&amp;sheet=U0&amp;row=16&amp;col=8&amp;number=4.176&amp;sourceID=29","4.176")</f>
        <v>4.176</v>
      </c>
      <c r="I16" s="4" t="str">
        <f>HYPERLINK("http://141.218.60.56/~jnz1568/getInfo.php?workbook=02_02.xlsx&amp;sheet=U0&amp;row=16&amp;col=9&amp;number=0.03838&amp;sourceID=1","0.03838")</f>
        <v>0.03838</v>
      </c>
    </row>
    <row r="17" spans="1:9">
      <c r="A17" s="3"/>
      <c r="B17" s="3"/>
      <c r="C17" s="3"/>
      <c r="D17" s="3"/>
      <c r="E17" s="3">
        <v>5</v>
      </c>
      <c r="F17" s="4" t="str">
        <f>HYPERLINK("http://141.218.60.56/~jnz1568/getInfo.php?workbook=02_02.xlsx&amp;sheet=U0&amp;row=17&amp;col=6&amp;number=4.75&amp;sourceID=28","4.75")</f>
        <v>4.75</v>
      </c>
      <c r="G17" s="4" t="str">
        <f>HYPERLINK("http://141.218.60.56/~jnz1568/getInfo.php?workbook=02_02.xlsx&amp;sheet=U0&amp;row=17&amp;col=7&amp;number=0.04573&amp;sourceID=1","0.04573")</f>
        <v>0.04573</v>
      </c>
      <c r="H17" s="4" t="str">
        <f>HYPERLINK("http://141.218.60.56/~jnz1568/getInfo.php?workbook=02_02.xlsx&amp;sheet=U0&amp;row=17&amp;col=8&amp;number=4.301&amp;sourceID=29","4.301")</f>
        <v>4.301</v>
      </c>
      <c r="I17" s="4" t="str">
        <f>HYPERLINK("http://141.218.60.56/~jnz1568/getInfo.php?workbook=02_02.xlsx&amp;sheet=U0&amp;row=17&amp;col=9&amp;number=0.04011&amp;sourceID=1","0.04011")</f>
        <v>0.04011</v>
      </c>
    </row>
    <row r="18" spans="1:9">
      <c r="A18" s="3"/>
      <c r="B18" s="3"/>
      <c r="C18" s="3"/>
      <c r="D18" s="3"/>
      <c r="E18" s="3">
        <v>6</v>
      </c>
      <c r="F18" s="4" t="str">
        <f>HYPERLINK("http://141.218.60.56/~jnz1568/getInfo.php?workbook=02_02.xlsx&amp;sheet=U0&amp;row=18&amp;col=6&amp;number=5&amp;sourceID=28","5")</f>
        <v>5</v>
      </c>
      <c r="G18" s="4" t="str">
        <f>HYPERLINK("http://141.218.60.56/~jnz1568/getInfo.php?workbook=02_02.xlsx&amp;sheet=U0&amp;row=18&amp;col=7&amp;number=0.05048&amp;sourceID=1","0.05048")</f>
        <v>0.05048</v>
      </c>
      <c r="H18" s="4" t="str">
        <f>HYPERLINK("http://141.218.60.56/~jnz1568/getInfo.php?workbook=02_02.xlsx&amp;sheet=U0&amp;row=18&amp;col=8&amp;number=4.398&amp;sourceID=29","4.398")</f>
        <v>4.398</v>
      </c>
      <c r="I18" s="4" t="str">
        <f>HYPERLINK("http://141.218.60.56/~jnz1568/getInfo.php?workbook=02_02.xlsx&amp;sheet=U0&amp;row=18&amp;col=9&amp;number=0.0416&amp;sourceID=1","0.0416")</f>
        <v>0.0416</v>
      </c>
    </row>
    <row r="19" spans="1:9">
      <c r="A19" s="3"/>
      <c r="B19" s="3"/>
      <c r="C19" s="3"/>
      <c r="D19" s="3"/>
      <c r="E19" s="3">
        <v>7</v>
      </c>
      <c r="F19" s="4" t="str">
        <f>HYPERLINK("http://141.218.60.56/~jnz1568/getInfo.php?workbook=02_02.xlsx&amp;sheet=U0&amp;row=19&amp;col=6&amp;number=5.25&amp;sourceID=28","5.25")</f>
        <v>5.25</v>
      </c>
      <c r="G19" s="4" t="str">
        <f>HYPERLINK("http://141.218.60.56/~jnz1568/getInfo.php?workbook=02_02.xlsx&amp;sheet=U0&amp;row=19&amp;col=7&amp;number=0.05649&amp;sourceID=1","0.05649")</f>
        <v>0.05649</v>
      </c>
      <c r="H19" s="4" t="str">
        <f>HYPERLINK("http://141.218.60.56/~jnz1568/getInfo.php?workbook=02_02.xlsx&amp;sheet=U0&amp;row=19&amp;col=8&amp;number=4.477&amp;sourceID=29","4.477")</f>
        <v>4.477</v>
      </c>
      <c r="I19" s="4" t="str">
        <f>HYPERLINK("http://141.218.60.56/~jnz1568/getInfo.php?workbook=02_02.xlsx&amp;sheet=U0&amp;row=19&amp;col=9&amp;number=0.04285&amp;sourceID=1","0.04285")</f>
        <v>0.04285</v>
      </c>
    </row>
    <row r="20" spans="1:9">
      <c r="A20" s="3"/>
      <c r="B20" s="3"/>
      <c r="C20" s="3"/>
      <c r="D20" s="3"/>
      <c r="E20" s="3">
        <v>8</v>
      </c>
      <c r="F20" s="4" t="str">
        <f>HYPERLINK("http://141.218.60.56/~jnz1568/getInfo.php?workbook=02_02.xlsx&amp;sheet=U0&amp;row=20&amp;col=6&amp;number=5.5&amp;sourceID=28","5.5")</f>
        <v>5.5</v>
      </c>
      <c r="G20" s="4" t="str">
        <f>HYPERLINK("http://141.218.60.56/~jnz1568/getInfo.php?workbook=02_02.xlsx&amp;sheet=U0&amp;row=20&amp;col=7&amp;number=0.06436&amp;sourceID=1","0.06436")</f>
        <v>0.06436</v>
      </c>
      <c r="H20" s="4" t="str">
        <f>HYPERLINK("http://141.218.60.56/~jnz1568/getInfo.php?workbook=02_02.xlsx&amp;sheet=U0&amp;row=20&amp;col=8&amp;number=&amp;sourceID=29","")</f>
        <v/>
      </c>
      <c r="I20" s="4" t="str">
        <f>HYPERLINK("http://141.218.60.56/~jnz1568/getInfo.php?workbook=02_02.xlsx&amp;sheet=U0&amp;row=20&amp;col=9&amp;number=&amp;sourceID=1","")</f>
        <v/>
      </c>
    </row>
    <row r="21" spans="1:9">
      <c r="A21" s="3"/>
      <c r="B21" s="3"/>
      <c r="C21" s="3"/>
      <c r="D21" s="3"/>
      <c r="E21" s="3">
        <v>9</v>
      </c>
      <c r="F21" s="4" t="str">
        <f>HYPERLINK("http://141.218.60.56/~jnz1568/getInfo.php?workbook=02_02.xlsx&amp;sheet=U0&amp;row=21&amp;col=6&amp;number=5.75&amp;sourceID=28","5.75")</f>
        <v>5.75</v>
      </c>
      <c r="G21" s="4" t="str">
        <f>HYPERLINK("http://141.218.60.56/~jnz1568/getInfo.php?workbook=02_02.xlsx&amp;sheet=U0&amp;row=21&amp;col=7&amp;number=0.07481&amp;sourceID=1","0.07481")</f>
        <v>0.07481</v>
      </c>
      <c r="H21" s="4" t="str">
        <f>HYPERLINK("http://141.218.60.56/~jnz1568/getInfo.php?workbook=02_02.xlsx&amp;sheet=U0&amp;row=21&amp;col=8&amp;number=&amp;sourceID=29","")</f>
        <v/>
      </c>
      <c r="I21" s="4" t="str">
        <f>HYPERLINK("http://141.218.60.56/~jnz1568/getInfo.php?workbook=02_02.xlsx&amp;sheet=U0&amp;row=21&amp;col=9&amp;number=&amp;sourceID=1","")</f>
        <v/>
      </c>
    </row>
    <row r="22" spans="1:9">
      <c r="A22" s="3">
        <v>2</v>
      </c>
      <c r="B22" s="3">
        <v>2</v>
      </c>
      <c r="C22" s="3">
        <v>3</v>
      </c>
      <c r="D22" s="3">
        <v>2</v>
      </c>
      <c r="E22" s="3">
        <v>1</v>
      </c>
      <c r="F22" s="4" t="str">
        <f>HYPERLINK("http://141.218.60.56/~jnz1568/getInfo.php?workbook=02_02.xlsx&amp;sheet=U0&amp;row=22&amp;col=6&amp;number=3.75&amp;sourceID=28","3.75")</f>
        <v>3.75</v>
      </c>
      <c r="G22" s="4" t="str">
        <f>HYPERLINK("http://141.218.60.56/~jnz1568/getInfo.php?workbook=02_02.xlsx&amp;sheet=U0&amp;row=22&amp;col=7&amp;number=2.389&amp;sourceID=1","2.389")</f>
        <v>2.389</v>
      </c>
      <c r="H22" s="4" t="str">
        <f>HYPERLINK("http://141.218.60.56/~jnz1568/getInfo.php?workbook=02_02.xlsx&amp;sheet=U0&amp;row=22&amp;col=8&amp;number=3.301&amp;sourceID=29","3.301")</f>
        <v>3.301</v>
      </c>
      <c r="I22" s="4" t="str">
        <f>HYPERLINK("http://141.218.60.56/~jnz1568/getInfo.php?workbook=02_02.xlsx&amp;sheet=U0&amp;row=22&amp;col=9&amp;number=1.587&amp;sourceID=1","1.587")</f>
        <v>1.587</v>
      </c>
    </row>
    <row r="23" spans="1:9">
      <c r="A23" s="3"/>
      <c r="B23" s="3"/>
      <c r="C23" s="3"/>
      <c r="D23" s="3"/>
      <c r="E23" s="3">
        <v>2</v>
      </c>
      <c r="F23" s="4" t="str">
        <f>HYPERLINK("http://141.218.60.56/~jnz1568/getInfo.php?workbook=02_02.xlsx&amp;sheet=U0&amp;row=23&amp;col=6&amp;number=4&amp;sourceID=28","4")</f>
        <v>4</v>
      </c>
      <c r="G23" s="4" t="str">
        <f>HYPERLINK("http://141.218.60.56/~jnz1568/getInfo.php?workbook=02_02.xlsx&amp;sheet=U0&amp;row=23&amp;col=7&amp;number=2.456&amp;sourceID=1","2.456")</f>
        <v>2.456</v>
      </c>
      <c r="H23" s="4" t="str">
        <f>HYPERLINK("http://141.218.60.56/~jnz1568/getInfo.php?workbook=02_02.xlsx&amp;sheet=U0&amp;row=23&amp;col=8&amp;number=3.699&amp;sourceID=29","3.699")</f>
        <v>3.699</v>
      </c>
      <c r="I23" s="4" t="str">
        <f>HYPERLINK("http://141.218.60.56/~jnz1568/getInfo.php?workbook=02_02.xlsx&amp;sheet=U0&amp;row=23&amp;col=9&amp;number=2.237&amp;sourceID=1","2.237")</f>
        <v>2.237</v>
      </c>
    </row>
    <row r="24" spans="1:9">
      <c r="A24" s="3"/>
      <c r="B24" s="3"/>
      <c r="C24" s="3"/>
      <c r="D24" s="3"/>
      <c r="E24" s="3">
        <v>3</v>
      </c>
      <c r="F24" s="4" t="str">
        <f>HYPERLINK("http://141.218.60.56/~jnz1568/getInfo.php?workbook=02_02.xlsx&amp;sheet=U0&amp;row=24&amp;col=6&amp;number=4.25&amp;sourceID=28","4.25")</f>
        <v>4.25</v>
      </c>
      <c r="G24" s="4" t="str">
        <f>HYPERLINK("http://141.218.60.56/~jnz1568/getInfo.php?workbook=02_02.xlsx&amp;sheet=U0&amp;row=24&amp;col=7&amp;number=2.275&amp;sourceID=1","2.275")</f>
        <v>2.275</v>
      </c>
      <c r="H24" s="4" t="str">
        <f>HYPERLINK("http://141.218.60.56/~jnz1568/getInfo.php?workbook=02_02.xlsx&amp;sheet=U0&amp;row=24&amp;col=8&amp;number=4&amp;sourceID=29","4")</f>
        <v>4</v>
      </c>
      <c r="I24" s="4" t="str">
        <f>HYPERLINK("http://141.218.60.56/~jnz1568/getInfo.php?workbook=02_02.xlsx&amp;sheet=U0&amp;row=24&amp;col=9&amp;number=2.397&amp;sourceID=1","2.397")</f>
        <v>2.397</v>
      </c>
    </row>
    <row r="25" spans="1:9">
      <c r="A25" s="3"/>
      <c r="B25" s="3"/>
      <c r="C25" s="3"/>
      <c r="D25" s="3"/>
      <c r="E25" s="3">
        <v>4</v>
      </c>
      <c r="F25" s="4" t="str">
        <f>HYPERLINK("http://141.218.60.56/~jnz1568/getInfo.php?workbook=02_02.xlsx&amp;sheet=U0&amp;row=25&amp;col=6&amp;number=4.5&amp;sourceID=28","4.5")</f>
        <v>4.5</v>
      </c>
      <c r="G25" s="4" t="str">
        <f>HYPERLINK("http://141.218.60.56/~jnz1568/getInfo.php?workbook=02_02.xlsx&amp;sheet=U0&amp;row=25&amp;col=7&amp;number=1.916&amp;sourceID=1","1.916")</f>
        <v>1.916</v>
      </c>
      <c r="H25" s="4" t="str">
        <f>HYPERLINK("http://141.218.60.56/~jnz1568/getInfo.php?workbook=02_02.xlsx&amp;sheet=U0&amp;row=25&amp;col=8&amp;number=4.176&amp;sourceID=29","4.176")</f>
        <v>4.176</v>
      </c>
      <c r="I25" s="4" t="str">
        <f>HYPERLINK("http://141.218.60.56/~jnz1568/getInfo.php?workbook=02_02.xlsx&amp;sheet=U0&amp;row=25&amp;col=9&amp;number=2.318&amp;sourceID=1","2.318")</f>
        <v>2.318</v>
      </c>
    </row>
    <row r="26" spans="1:9">
      <c r="A26" s="3"/>
      <c r="B26" s="3"/>
      <c r="C26" s="3"/>
      <c r="D26" s="3"/>
      <c r="E26" s="3">
        <v>5</v>
      </c>
      <c r="F26" s="4" t="str">
        <f>HYPERLINK("http://141.218.60.56/~jnz1568/getInfo.php?workbook=02_02.xlsx&amp;sheet=U0&amp;row=26&amp;col=6&amp;number=4.75&amp;sourceID=28","4.75")</f>
        <v>4.75</v>
      </c>
      <c r="G26" s="4" t="str">
        <f>HYPERLINK("http://141.218.60.56/~jnz1568/getInfo.php?workbook=02_02.xlsx&amp;sheet=U0&amp;row=26&amp;col=7&amp;number=1.496&amp;sourceID=1","1.496")</f>
        <v>1.496</v>
      </c>
      <c r="H26" s="4" t="str">
        <f>HYPERLINK("http://141.218.60.56/~jnz1568/getInfo.php?workbook=02_02.xlsx&amp;sheet=U0&amp;row=26&amp;col=8&amp;number=4.301&amp;sourceID=29","4.301")</f>
        <v>4.301</v>
      </c>
      <c r="I26" s="4" t="str">
        <f>HYPERLINK("http://141.218.60.56/~jnz1568/getInfo.php?workbook=02_02.xlsx&amp;sheet=U0&amp;row=26&amp;col=9&amp;number=2.197&amp;sourceID=1","2.197")</f>
        <v>2.197</v>
      </c>
    </row>
    <row r="27" spans="1:9">
      <c r="A27" s="3"/>
      <c r="B27" s="3"/>
      <c r="C27" s="3"/>
      <c r="D27" s="3"/>
      <c r="E27" s="3">
        <v>6</v>
      </c>
      <c r="F27" s="4" t="str">
        <f>HYPERLINK("http://141.218.60.56/~jnz1568/getInfo.php?workbook=02_02.xlsx&amp;sheet=U0&amp;row=27&amp;col=6&amp;number=5&amp;sourceID=28","5")</f>
        <v>5</v>
      </c>
      <c r="G27" s="4" t="str">
        <f>HYPERLINK("http://141.218.60.56/~jnz1568/getInfo.php?workbook=02_02.xlsx&amp;sheet=U0&amp;row=27&amp;col=7&amp;number=1.111&amp;sourceID=1","1.111")</f>
        <v>1.111</v>
      </c>
      <c r="H27" s="4" t="str">
        <f>HYPERLINK("http://141.218.60.56/~jnz1568/getInfo.php?workbook=02_02.xlsx&amp;sheet=U0&amp;row=27&amp;col=8&amp;number=4.398&amp;sourceID=29","4.398")</f>
        <v>4.398</v>
      </c>
      <c r="I27" s="4" t="str">
        <f>HYPERLINK("http://141.218.60.56/~jnz1568/getInfo.php?workbook=02_02.xlsx&amp;sheet=U0&amp;row=27&amp;col=9&amp;number=2.076&amp;sourceID=1","2.076")</f>
        <v>2.076</v>
      </c>
    </row>
    <row r="28" spans="1:9">
      <c r="A28" s="3"/>
      <c r="B28" s="3"/>
      <c r="C28" s="3"/>
      <c r="D28" s="3"/>
      <c r="E28" s="3">
        <v>7</v>
      </c>
      <c r="F28" s="4" t="str">
        <f>HYPERLINK("http://141.218.60.56/~jnz1568/getInfo.php?workbook=02_02.xlsx&amp;sheet=U0&amp;row=28&amp;col=6&amp;number=5.25&amp;sourceID=28","5.25")</f>
        <v>5.25</v>
      </c>
      <c r="G28" s="4" t="str">
        <f>HYPERLINK("http://141.218.60.56/~jnz1568/getInfo.php?workbook=02_02.xlsx&amp;sheet=U0&amp;row=28&amp;col=7&amp;number=0.8003&amp;sourceID=1","0.8003")</f>
        <v>0.8003</v>
      </c>
      <c r="H28" s="4" t="str">
        <f>HYPERLINK("http://141.218.60.56/~jnz1568/getInfo.php?workbook=02_02.xlsx&amp;sheet=U0&amp;row=28&amp;col=8&amp;number=4.477&amp;sourceID=29","4.477")</f>
        <v>4.477</v>
      </c>
      <c r="I28" s="4" t="str">
        <f>HYPERLINK("http://141.218.60.56/~jnz1568/getInfo.php?workbook=02_02.xlsx&amp;sheet=U0&amp;row=28&amp;col=9&amp;number=1.965&amp;sourceID=1","1.965")</f>
        <v>1.965</v>
      </c>
    </row>
    <row r="29" spans="1:9">
      <c r="A29" s="3"/>
      <c r="B29" s="3"/>
      <c r="C29" s="3"/>
      <c r="D29" s="3"/>
      <c r="E29" s="3">
        <v>8</v>
      </c>
      <c r="F29" s="4" t="str">
        <f>HYPERLINK("http://141.218.60.56/~jnz1568/getInfo.php?workbook=02_02.xlsx&amp;sheet=U0&amp;row=29&amp;col=6&amp;number=5.5&amp;sourceID=28","5.5")</f>
        <v>5.5</v>
      </c>
      <c r="G29" s="4" t="str">
        <f>HYPERLINK("http://141.218.60.56/~jnz1568/getInfo.php?workbook=02_02.xlsx&amp;sheet=U0&amp;row=29&amp;col=7&amp;number=0.566&amp;sourceID=1","0.566")</f>
        <v>0.566</v>
      </c>
      <c r="H29" s="4" t="str">
        <f>HYPERLINK("http://141.218.60.56/~jnz1568/getInfo.php?workbook=02_02.xlsx&amp;sheet=U0&amp;row=29&amp;col=8&amp;number=&amp;sourceID=29","")</f>
        <v/>
      </c>
      <c r="I29" s="4" t="str">
        <f>HYPERLINK("http://141.218.60.56/~jnz1568/getInfo.php?workbook=02_02.xlsx&amp;sheet=U0&amp;row=29&amp;col=9&amp;number=&amp;sourceID=1","")</f>
        <v/>
      </c>
    </row>
    <row r="30" spans="1:9">
      <c r="A30" s="3"/>
      <c r="B30" s="3"/>
      <c r="C30" s="3"/>
      <c r="D30" s="3"/>
      <c r="E30" s="3">
        <v>9</v>
      </c>
      <c r="F30" s="4" t="str">
        <f>HYPERLINK("http://141.218.60.56/~jnz1568/getInfo.php?workbook=02_02.xlsx&amp;sheet=U0&amp;row=30&amp;col=6&amp;number=5.75&amp;sourceID=28","5.75")</f>
        <v>5.75</v>
      </c>
      <c r="G30" s="4" t="str">
        <f>HYPERLINK("http://141.218.60.56/~jnz1568/getInfo.php?workbook=02_02.xlsx&amp;sheet=U0&amp;row=30&amp;col=7&amp;number=0.3944&amp;sourceID=1","0.3944")</f>
        <v>0.3944</v>
      </c>
      <c r="H30" s="4" t="str">
        <f>HYPERLINK("http://141.218.60.56/~jnz1568/getInfo.php?workbook=02_02.xlsx&amp;sheet=U0&amp;row=30&amp;col=8&amp;number=&amp;sourceID=29","")</f>
        <v/>
      </c>
      <c r="I30" s="4" t="str">
        <f>HYPERLINK("http://141.218.60.56/~jnz1568/getInfo.php?workbook=02_02.xlsx&amp;sheet=U0&amp;row=30&amp;col=9&amp;number=&amp;sourceID=1","")</f>
        <v/>
      </c>
    </row>
    <row r="31" spans="1:9">
      <c r="A31" s="3">
        <v>2</v>
      </c>
      <c r="B31" s="3">
        <v>2</v>
      </c>
      <c r="C31" s="3">
        <v>4</v>
      </c>
      <c r="D31" s="3">
        <v>1</v>
      </c>
      <c r="E31" s="3">
        <v>1</v>
      </c>
      <c r="F31" s="4" t="str">
        <f>HYPERLINK("http://141.218.60.56/~jnz1568/getInfo.php?workbook=02_02.xlsx&amp;sheet=U0&amp;row=31&amp;col=6&amp;number=3.75&amp;sourceID=28","3.75")</f>
        <v>3.75</v>
      </c>
      <c r="G31" s="4" t="str">
        <f>HYPERLINK("http://141.218.60.56/~jnz1568/getInfo.php?workbook=02_02.xlsx&amp;sheet=U0&amp;row=31&amp;col=7&amp;number=0.01716&amp;sourceID=1","0.01716")</f>
        <v>0.01716</v>
      </c>
      <c r="H31" s="4" t="str">
        <f>HYPERLINK("http://141.218.60.56/~jnz1568/getInfo.php?workbook=02_02.xlsx&amp;sheet=U0&amp;row=31&amp;col=8&amp;number=3.301&amp;sourceID=29","3.301")</f>
        <v>3.301</v>
      </c>
      <c r="I31" s="4" t="str">
        <f>HYPERLINK("http://141.218.60.56/~jnz1568/getInfo.php?workbook=02_02.xlsx&amp;sheet=U0&amp;row=31&amp;col=9&amp;number=0.009368&amp;sourceID=1","0.009368")</f>
        <v>0.009368</v>
      </c>
    </row>
    <row r="32" spans="1:9">
      <c r="A32" s="3"/>
      <c r="B32" s="3"/>
      <c r="C32" s="3"/>
      <c r="D32" s="3"/>
      <c r="E32" s="3">
        <v>2</v>
      </c>
      <c r="F32" s="4" t="str">
        <f>HYPERLINK("http://141.218.60.56/~jnz1568/getInfo.php?workbook=02_02.xlsx&amp;sheet=U0&amp;row=32&amp;col=6&amp;number=4&amp;sourceID=28","4")</f>
        <v>4</v>
      </c>
      <c r="G32" s="4" t="str">
        <f>HYPERLINK("http://141.218.60.56/~jnz1568/getInfo.php?workbook=02_02.xlsx&amp;sheet=U0&amp;row=32&amp;col=7&amp;number=0.02233&amp;sourceID=1","0.02233")</f>
        <v>0.02233</v>
      </c>
      <c r="H32" s="4" t="str">
        <f>HYPERLINK("http://141.218.60.56/~jnz1568/getInfo.php?workbook=02_02.xlsx&amp;sheet=U0&amp;row=32&amp;col=8&amp;number=3.699&amp;sourceID=29","3.699")</f>
        <v>3.699</v>
      </c>
      <c r="I32" s="4" t="str">
        <f>HYPERLINK("http://141.218.60.56/~jnz1568/getInfo.php?workbook=02_02.xlsx&amp;sheet=U0&amp;row=32&amp;col=9&amp;number=0.01603&amp;sourceID=1","0.01603")</f>
        <v>0.01603</v>
      </c>
    </row>
    <row r="33" spans="1:9">
      <c r="A33" s="3"/>
      <c r="B33" s="3"/>
      <c r="C33" s="3"/>
      <c r="D33" s="3"/>
      <c r="E33" s="3">
        <v>3</v>
      </c>
      <c r="F33" s="4" t="str">
        <f>HYPERLINK("http://141.218.60.56/~jnz1568/getInfo.php?workbook=02_02.xlsx&amp;sheet=U0&amp;row=33&amp;col=6&amp;number=4.25&amp;sourceID=28","4.25")</f>
        <v>4.25</v>
      </c>
      <c r="G33" s="4" t="str">
        <f>HYPERLINK("http://141.218.60.56/~jnz1568/getInfo.php?workbook=02_02.xlsx&amp;sheet=U0&amp;row=33&amp;col=7&amp;number=0.02826&amp;sourceID=1","0.02826")</f>
        <v>0.02826</v>
      </c>
      <c r="H33" s="4" t="str">
        <f>HYPERLINK("http://141.218.60.56/~jnz1568/getInfo.php?workbook=02_02.xlsx&amp;sheet=U0&amp;row=33&amp;col=8&amp;number=4&amp;sourceID=29","4")</f>
        <v>4</v>
      </c>
      <c r="I33" s="4" t="str">
        <f>HYPERLINK("http://141.218.60.56/~jnz1568/getInfo.php?workbook=02_02.xlsx&amp;sheet=U0&amp;row=33&amp;col=9&amp;number=0.02268&amp;sourceID=1","0.02268")</f>
        <v>0.02268</v>
      </c>
    </row>
    <row r="34" spans="1:9">
      <c r="A34" s="3"/>
      <c r="B34" s="3"/>
      <c r="C34" s="3"/>
      <c r="D34" s="3"/>
      <c r="E34" s="3">
        <v>4</v>
      </c>
      <c r="F34" s="4" t="str">
        <f>HYPERLINK("http://141.218.60.56/~jnz1568/getInfo.php?workbook=02_02.xlsx&amp;sheet=U0&amp;row=34&amp;col=6&amp;number=4.5&amp;sourceID=28","4.5")</f>
        <v>4.5</v>
      </c>
      <c r="G34" s="4" t="str">
        <f>HYPERLINK("http://141.218.60.56/~jnz1568/getInfo.php?workbook=02_02.xlsx&amp;sheet=U0&amp;row=34&amp;col=7&amp;number=0.03477&amp;sourceID=1","0.03477")</f>
        <v>0.03477</v>
      </c>
      <c r="H34" s="4" t="str">
        <f>HYPERLINK("http://141.218.60.56/~jnz1568/getInfo.php?workbook=02_02.xlsx&amp;sheet=U0&amp;row=34&amp;col=8&amp;number=4.176&amp;sourceID=29","4.176")</f>
        <v>4.176</v>
      </c>
      <c r="I34" s="4" t="str">
        <f>HYPERLINK("http://141.218.60.56/~jnz1568/getInfo.php?workbook=02_02.xlsx&amp;sheet=U0&amp;row=34&amp;col=9&amp;number=0.02713&amp;sourceID=1","0.02713")</f>
        <v>0.02713</v>
      </c>
    </row>
    <row r="35" spans="1:9">
      <c r="A35" s="3"/>
      <c r="B35" s="3"/>
      <c r="C35" s="3"/>
      <c r="D35" s="3"/>
      <c r="E35" s="3">
        <v>5</v>
      </c>
      <c r="F35" s="4" t="str">
        <f>HYPERLINK("http://141.218.60.56/~jnz1568/getInfo.php?workbook=02_02.xlsx&amp;sheet=U0&amp;row=35&amp;col=6&amp;number=4.75&amp;sourceID=28","4.75")</f>
        <v>4.75</v>
      </c>
      <c r="G35" s="4" t="str">
        <f>HYPERLINK("http://141.218.60.56/~jnz1568/getInfo.php?workbook=02_02.xlsx&amp;sheet=U0&amp;row=35&amp;col=7&amp;number=0.04128&amp;sourceID=1","0.04128")</f>
        <v>0.04128</v>
      </c>
      <c r="H35" s="4" t="str">
        <f>HYPERLINK("http://141.218.60.56/~jnz1568/getInfo.php?workbook=02_02.xlsx&amp;sheet=U0&amp;row=35&amp;col=8&amp;number=4.301&amp;sourceID=29","4.301")</f>
        <v>4.301</v>
      </c>
      <c r="I35" s="4" t="str">
        <f>HYPERLINK("http://141.218.60.56/~jnz1568/getInfo.php?workbook=02_02.xlsx&amp;sheet=U0&amp;row=35&amp;col=9&amp;number=0.03066&amp;sourceID=1","0.03066")</f>
        <v>0.03066</v>
      </c>
    </row>
    <row r="36" spans="1:9">
      <c r="A36" s="3"/>
      <c r="B36" s="3"/>
      <c r="C36" s="3"/>
      <c r="D36" s="3"/>
      <c r="E36" s="3">
        <v>6</v>
      </c>
      <c r="F36" s="4" t="str">
        <f>HYPERLINK("http://141.218.60.56/~jnz1568/getInfo.php?workbook=02_02.xlsx&amp;sheet=U0&amp;row=36&amp;col=6&amp;number=5&amp;sourceID=28","5")</f>
        <v>5</v>
      </c>
      <c r="G36" s="4" t="str">
        <f>HYPERLINK("http://141.218.60.56/~jnz1568/getInfo.php?workbook=02_02.xlsx&amp;sheet=U0&amp;row=36&amp;col=7&amp;number=0.04635&amp;sourceID=1","0.04635")</f>
        <v>0.04635</v>
      </c>
      <c r="H36" s="4" t="str">
        <f>HYPERLINK("http://141.218.60.56/~jnz1568/getInfo.php?workbook=02_02.xlsx&amp;sheet=U0&amp;row=36&amp;col=8&amp;number=4.398&amp;sourceID=29","4.398")</f>
        <v>4.398</v>
      </c>
      <c r="I36" s="4" t="str">
        <f>HYPERLINK("http://141.218.60.56/~jnz1568/getInfo.php?workbook=02_02.xlsx&amp;sheet=U0&amp;row=36&amp;col=9&amp;number=0.03365&amp;sourceID=1","0.03365")</f>
        <v>0.03365</v>
      </c>
    </row>
    <row r="37" spans="1:9">
      <c r="A37" s="3"/>
      <c r="B37" s="3"/>
      <c r="C37" s="3"/>
      <c r="D37" s="3"/>
      <c r="E37" s="3">
        <v>7</v>
      </c>
      <c r="F37" s="4" t="str">
        <f>HYPERLINK("http://141.218.60.56/~jnz1568/getInfo.php?workbook=02_02.xlsx&amp;sheet=U0&amp;row=37&amp;col=6&amp;number=5.25&amp;sourceID=28","5.25")</f>
        <v>5.25</v>
      </c>
      <c r="G37" s="4" t="str">
        <f>HYPERLINK("http://141.218.60.56/~jnz1568/getInfo.php?workbook=02_02.xlsx&amp;sheet=U0&amp;row=37&amp;col=7&amp;number=0.048&amp;sourceID=1","0.048")</f>
        <v>0.048</v>
      </c>
      <c r="H37" s="4" t="str">
        <f>HYPERLINK("http://141.218.60.56/~jnz1568/getInfo.php?workbook=02_02.xlsx&amp;sheet=U0&amp;row=37&amp;col=8&amp;number=4.477&amp;sourceID=29","4.477")</f>
        <v>4.477</v>
      </c>
      <c r="I37" s="4" t="str">
        <f>HYPERLINK("http://141.218.60.56/~jnz1568/getInfo.php?workbook=02_02.xlsx&amp;sheet=U0&amp;row=37&amp;col=9&amp;number=0.03617&amp;sourceID=1","0.03617")</f>
        <v>0.03617</v>
      </c>
    </row>
    <row r="38" spans="1:9">
      <c r="A38" s="3"/>
      <c r="B38" s="3"/>
      <c r="C38" s="3"/>
      <c r="D38" s="3"/>
      <c r="E38" s="3">
        <v>8</v>
      </c>
      <c r="F38" s="4" t="str">
        <f>HYPERLINK("http://141.218.60.56/~jnz1568/getInfo.php?workbook=02_02.xlsx&amp;sheet=U0&amp;row=38&amp;col=6&amp;number=5.5&amp;sourceID=28","5.5")</f>
        <v>5.5</v>
      </c>
      <c r="G38" s="4" t="str">
        <f>HYPERLINK("http://141.218.60.56/~jnz1568/getInfo.php?workbook=02_02.xlsx&amp;sheet=U0&amp;row=38&amp;col=7&amp;number=0.04503&amp;sourceID=1","0.04503")</f>
        <v>0.04503</v>
      </c>
      <c r="H38" s="4" t="str">
        <f>HYPERLINK("http://141.218.60.56/~jnz1568/getInfo.php?workbook=02_02.xlsx&amp;sheet=U0&amp;row=38&amp;col=8&amp;number=&amp;sourceID=29","")</f>
        <v/>
      </c>
      <c r="I38" s="4" t="str">
        <f>HYPERLINK("http://141.218.60.56/~jnz1568/getInfo.php?workbook=02_02.xlsx&amp;sheet=U0&amp;row=38&amp;col=9&amp;number=&amp;sourceID=1","")</f>
        <v/>
      </c>
    </row>
    <row r="39" spans="1:9">
      <c r="A39" s="3"/>
      <c r="B39" s="3"/>
      <c r="C39" s="3"/>
      <c r="D39" s="3"/>
      <c r="E39" s="3">
        <v>9</v>
      </c>
      <c r="F39" s="4" t="str">
        <f>HYPERLINK("http://141.218.60.56/~jnz1568/getInfo.php?workbook=02_02.xlsx&amp;sheet=U0&amp;row=39&amp;col=6&amp;number=5.75&amp;sourceID=28","5.75")</f>
        <v>5.75</v>
      </c>
      <c r="G39" s="4" t="str">
        <f>HYPERLINK("http://141.218.60.56/~jnz1568/getInfo.php?workbook=02_02.xlsx&amp;sheet=U0&amp;row=39&amp;col=7&amp;number=0.03808&amp;sourceID=1","0.03808")</f>
        <v>0.03808</v>
      </c>
      <c r="H39" s="4" t="str">
        <f>HYPERLINK("http://141.218.60.56/~jnz1568/getInfo.php?workbook=02_02.xlsx&amp;sheet=U0&amp;row=39&amp;col=8&amp;number=&amp;sourceID=29","")</f>
        <v/>
      </c>
      <c r="I39" s="4" t="str">
        <f>HYPERLINK("http://141.218.60.56/~jnz1568/getInfo.php?workbook=02_02.xlsx&amp;sheet=U0&amp;row=39&amp;col=9&amp;number=&amp;sourceID=1","")</f>
        <v/>
      </c>
    </row>
    <row r="40" spans="1:9">
      <c r="A40" s="3">
        <v>2</v>
      </c>
      <c r="B40" s="3">
        <v>2</v>
      </c>
      <c r="C40" s="3">
        <v>4</v>
      </c>
      <c r="D40" s="3">
        <v>2</v>
      </c>
      <c r="E40" s="3">
        <v>1</v>
      </c>
      <c r="F40" s="4" t="str">
        <f>HYPERLINK("http://141.218.60.56/~jnz1568/getInfo.php?workbook=02_02.xlsx&amp;sheet=U0&amp;row=40&amp;col=6&amp;number=3.75&amp;sourceID=28","3.75")</f>
        <v>3.75</v>
      </c>
      <c r="G40" s="4" t="str">
        <f>HYPERLINK("http://141.218.60.56/~jnz1568/getInfo.php?workbook=02_02.xlsx&amp;sheet=U0&amp;row=40&amp;col=7&amp;number=15.08&amp;sourceID=1","15.08")</f>
        <v>15.08</v>
      </c>
      <c r="H40" s="4" t="str">
        <f>HYPERLINK("http://141.218.60.56/~jnz1568/getInfo.php?workbook=02_02.xlsx&amp;sheet=U0&amp;row=40&amp;col=8&amp;number=3.301&amp;sourceID=29","3.301")</f>
        <v>3.301</v>
      </c>
      <c r="I40" s="4" t="str">
        <f>HYPERLINK("http://141.218.60.56/~jnz1568/getInfo.php?workbook=02_02.xlsx&amp;sheet=U0&amp;row=40&amp;col=9&amp;number=7.995&amp;sourceID=1","7.995")</f>
        <v>7.995</v>
      </c>
    </row>
    <row r="41" spans="1:9">
      <c r="A41" s="3"/>
      <c r="B41" s="3"/>
      <c r="C41" s="3"/>
      <c r="D41" s="3"/>
      <c r="E41" s="3">
        <v>2</v>
      </c>
      <c r="F41" s="4" t="str">
        <f>HYPERLINK("http://141.218.60.56/~jnz1568/getInfo.php?workbook=02_02.xlsx&amp;sheet=U0&amp;row=41&amp;col=6&amp;number=4&amp;sourceID=28","4")</f>
        <v>4</v>
      </c>
      <c r="G41" s="4" t="str">
        <f>HYPERLINK("http://141.218.60.56/~jnz1568/getInfo.php?workbook=02_02.xlsx&amp;sheet=U0&amp;row=41&amp;col=7&amp;number=25.8&amp;sourceID=1","25.8")</f>
        <v>25.8</v>
      </c>
      <c r="H41" s="4" t="str">
        <f>HYPERLINK("http://141.218.60.56/~jnz1568/getInfo.php?workbook=02_02.xlsx&amp;sheet=U0&amp;row=41&amp;col=8&amp;number=3.699&amp;sourceID=29","3.699")</f>
        <v>3.699</v>
      </c>
      <c r="I41" s="4" t="str">
        <f>HYPERLINK("http://141.218.60.56/~jnz1568/getInfo.php?workbook=02_02.xlsx&amp;sheet=U0&amp;row=41&amp;col=9&amp;number=14.97&amp;sourceID=1","14.97")</f>
        <v>14.97</v>
      </c>
    </row>
    <row r="42" spans="1:9">
      <c r="A42" s="3"/>
      <c r="B42" s="3"/>
      <c r="C42" s="3"/>
      <c r="D42" s="3"/>
      <c r="E42" s="3">
        <v>3</v>
      </c>
      <c r="F42" s="4" t="str">
        <f>HYPERLINK("http://141.218.60.56/~jnz1568/getInfo.php?workbook=02_02.xlsx&amp;sheet=U0&amp;row=42&amp;col=6&amp;number=4.25&amp;sourceID=28","4.25")</f>
        <v>4.25</v>
      </c>
      <c r="G42" s="4" t="str">
        <f>HYPERLINK("http://141.218.60.56/~jnz1568/getInfo.php?workbook=02_02.xlsx&amp;sheet=U0&amp;row=42&amp;col=7&amp;number=41.85&amp;sourceID=1","41.85")</f>
        <v>41.85</v>
      </c>
      <c r="H42" s="4" t="str">
        <f>HYPERLINK("http://141.218.60.56/~jnz1568/getInfo.php?workbook=02_02.xlsx&amp;sheet=U0&amp;row=42&amp;col=8&amp;number=4&amp;sourceID=29","4")</f>
        <v>4</v>
      </c>
      <c r="I42" s="4" t="str">
        <f>HYPERLINK("http://141.218.60.56/~jnz1568/getInfo.php?workbook=02_02.xlsx&amp;sheet=U0&amp;row=42&amp;col=9&amp;number=26.89&amp;sourceID=1","26.89")</f>
        <v>26.89</v>
      </c>
    </row>
    <row r="43" spans="1:9">
      <c r="A43" s="3"/>
      <c r="B43" s="3"/>
      <c r="C43" s="3"/>
      <c r="D43" s="3"/>
      <c r="E43" s="3">
        <v>4</v>
      </c>
      <c r="F43" s="4" t="str">
        <f>HYPERLINK("http://141.218.60.56/~jnz1568/getInfo.php?workbook=02_02.xlsx&amp;sheet=U0&amp;row=43&amp;col=6&amp;number=4.5&amp;sourceID=28","4.5")</f>
        <v>4.5</v>
      </c>
      <c r="G43" s="4" t="str">
        <f>HYPERLINK("http://141.218.60.56/~jnz1568/getInfo.php?workbook=02_02.xlsx&amp;sheet=U0&amp;row=43&amp;col=7&amp;number=64.55&amp;sourceID=1","64.55")</f>
        <v>64.55</v>
      </c>
      <c r="H43" s="4" t="str">
        <f>HYPERLINK("http://141.218.60.56/~jnz1568/getInfo.php?workbook=02_02.xlsx&amp;sheet=U0&amp;row=43&amp;col=8&amp;number=4.176&amp;sourceID=29","4.176")</f>
        <v>4.176</v>
      </c>
      <c r="I43" s="4" t="str">
        <f>HYPERLINK("http://141.218.60.56/~jnz1568/getInfo.php?workbook=02_02.xlsx&amp;sheet=U0&amp;row=43&amp;col=9&amp;number=37.39&amp;sourceID=1","37.39")</f>
        <v>37.39</v>
      </c>
    </row>
    <row r="44" spans="1:9">
      <c r="A44" s="3"/>
      <c r="B44" s="3"/>
      <c r="C44" s="3"/>
      <c r="D44" s="3"/>
      <c r="E44" s="3">
        <v>5</v>
      </c>
      <c r="F44" s="4" t="str">
        <f>HYPERLINK("http://141.218.60.56/~jnz1568/getInfo.php?workbook=02_02.xlsx&amp;sheet=U0&amp;row=44&amp;col=6&amp;number=4.75&amp;sourceID=28","4.75")</f>
        <v>4.75</v>
      </c>
      <c r="G44" s="4" t="str">
        <f>HYPERLINK("http://141.218.60.56/~jnz1568/getInfo.php?workbook=02_02.xlsx&amp;sheet=U0&amp;row=44&amp;col=7&amp;number=95.26&amp;sourceID=1","95.26")</f>
        <v>95.26</v>
      </c>
      <c r="H44" s="4" t="str">
        <f>HYPERLINK("http://141.218.60.56/~jnz1568/getInfo.php?workbook=02_02.xlsx&amp;sheet=U0&amp;row=44&amp;col=8&amp;number=4.301&amp;sourceID=29","4.301")</f>
        <v>4.301</v>
      </c>
      <c r="I44" s="4" t="str">
        <f>HYPERLINK("http://141.218.60.56/~jnz1568/getInfo.php?workbook=02_02.xlsx&amp;sheet=U0&amp;row=44&amp;col=9&amp;number=46.57&amp;sourceID=1","46.57")</f>
        <v>46.57</v>
      </c>
    </row>
    <row r="45" spans="1:9">
      <c r="A45" s="3"/>
      <c r="B45" s="3"/>
      <c r="C45" s="3"/>
      <c r="D45" s="3"/>
      <c r="E45" s="3">
        <v>6</v>
      </c>
      <c r="F45" s="4" t="str">
        <f>HYPERLINK("http://141.218.60.56/~jnz1568/getInfo.php?workbook=02_02.xlsx&amp;sheet=U0&amp;row=45&amp;col=6&amp;number=5&amp;sourceID=28","5")</f>
        <v>5</v>
      </c>
      <c r="G45" s="4" t="str">
        <f>HYPERLINK("http://141.218.60.56/~jnz1568/getInfo.php?workbook=02_02.xlsx&amp;sheet=U0&amp;row=45&amp;col=7&amp;number=135.1&amp;sourceID=1","135.1")</f>
        <v>135.1</v>
      </c>
      <c r="H45" s="4" t="str">
        <f>HYPERLINK("http://141.218.60.56/~jnz1568/getInfo.php?workbook=02_02.xlsx&amp;sheet=U0&amp;row=45&amp;col=8&amp;number=4.398&amp;sourceID=29","4.398")</f>
        <v>4.398</v>
      </c>
      <c r="I45" s="4" t="str">
        <f>HYPERLINK("http://141.218.60.56/~jnz1568/getInfo.php?workbook=02_02.xlsx&amp;sheet=U0&amp;row=45&amp;col=9&amp;number=54.52&amp;sourceID=1","54.52")</f>
        <v>54.52</v>
      </c>
    </row>
    <row r="46" spans="1:9">
      <c r="A46" s="3"/>
      <c r="B46" s="3"/>
      <c r="C46" s="3"/>
      <c r="D46" s="3"/>
      <c r="E46" s="3">
        <v>7</v>
      </c>
      <c r="F46" s="4" t="str">
        <f>HYPERLINK("http://141.218.60.56/~jnz1568/getInfo.php?workbook=02_02.xlsx&amp;sheet=U0&amp;row=46&amp;col=6&amp;number=5.25&amp;sourceID=28","5.25")</f>
        <v>5.25</v>
      </c>
      <c r="G46" s="4" t="str">
        <f>HYPERLINK("http://141.218.60.56/~jnz1568/getInfo.php?workbook=02_02.xlsx&amp;sheet=U0&amp;row=46&amp;col=7&amp;number=184.2&amp;sourceID=1","184.2")</f>
        <v>184.2</v>
      </c>
      <c r="H46" s="4" t="str">
        <f>HYPERLINK("http://141.218.60.56/~jnz1568/getInfo.php?workbook=02_02.xlsx&amp;sheet=U0&amp;row=46&amp;col=8&amp;number=4.477&amp;sourceID=29","4.477")</f>
        <v>4.477</v>
      </c>
      <c r="I46" s="4" t="str">
        <f>HYPERLINK("http://141.218.60.56/~jnz1568/getInfo.php?workbook=02_02.xlsx&amp;sheet=U0&amp;row=46&amp;col=9&amp;number=61.26&amp;sourceID=1","61.26")</f>
        <v>61.26</v>
      </c>
    </row>
    <row r="47" spans="1:9">
      <c r="A47" s="3"/>
      <c r="B47" s="3"/>
      <c r="C47" s="3"/>
      <c r="D47" s="3"/>
      <c r="E47" s="3">
        <v>8</v>
      </c>
      <c r="F47" s="4" t="str">
        <f>HYPERLINK("http://141.218.60.56/~jnz1568/getInfo.php?workbook=02_02.xlsx&amp;sheet=U0&amp;row=47&amp;col=6&amp;number=5.5&amp;sourceID=28","5.5")</f>
        <v>5.5</v>
      </c>
      <c r="G47" s="4" t="str">
        <f>HYPERLINK("http://141.218.60.56/~jnz1568/getInfo.php?workbook=02_02.xlsx&amp;sheet=U0&amp;row=47&amp;col=7&amp;number=240.1&amp;sourceID=1","240.1")</f>
        <v>240.1</v>
      </c>
      <c r="H47" s="4" t="str">
        <f>HYPERLINK("http://141.218.60.56/~jnz1568/getInfo.php?workbook=02_02.xlsx&amp;sheet=U0&amp;row=47&amp;col=8&amp;number=&amp;sourceID=29","")</f>
        <v/>
      </c>
      <c r="I47" s="4" t="str">
        <f>HYPERLINK("http://141.218.60.56/~jnz1568/getInfo.php?workbook=02_02.xlsx&amp;sheet=U0&amp;row=47&amp;col=9&amp;number=&amp;sourceID=1","")</f>
        <v/>
      </c>
    </row>
    <row r="48" spans="1:9">
      <c r="A48" s="3"/>
      <c r="B48" s="3"/>
      <c r="C48" s="3"/>
      <c r="D48" s="3"/>
      <c r="E48" s="3">
        <v>9</v>
      </c>
      <c r="F48" s="4" t="str">
        <f>HYPERLINK("http://141.218.60.56/~jnz1568/getInfo.php?workbook=02_02.xlsx&amp;sheet=U0&amp;row=48&amp;col=6&amp;number=5.75&amp;sourceID=28","5.75")</f>
        <v>5.75</v>
      </c>
      <c r="G48" s="4" t="str">
        <f>HYPERLINK("http://141.218.60.56/~jnz1568/getInfo.php?workbook=02_02.xlsx&amp;sheet=U0&amp;row=48&amp;col=7&amp;number=297.6&amp;sourceID=1","297.6")</f>
        <v>297.6</v>
      </c>
      <c r="H48" s="4" t="str">
        <f>HYPERLINK("http://141.218.60.56/~jnz1568/getInfo.php?workbook=02_02.xlsx&amp;sheet=U0&amp;row=48&amp;col=8&amp;number=&amp;sourceID=29","")</f>
        <v/>
      </c>
      <c r="I48" s="4" t="str">
        <f>HYPERLINK("http://141.218.60.56/~jnz1568/getInfo.php?workbook=02_02.xlsx&amp;sheet=U0&amp;row=48&amp;col=9&amp;number=&amp;sourceID=1","")</f>
        <v/>
      </c>
    </row>
    <row r="49" spans="1:9">
      <c r="A49" s="3">
        <v>2</v>
      </c>
      <c r="B49" s="3">
        <v>2</v>
      </c>
      <c r="C49" s="3">
        <v>4</v>
      </c>
      <c r="D49" s="3">
        <v>3</v>
      </c>
      <c r="E49" s="3">
        <v>1</v>
      </c>
      <c r="F49" s="4" t="str">
        <f>HYPERLINK("http://141.218.60.56/~jnz1568/getInfo.php?workbook=02_02.xlsx&amp;sheet=U0&amp;row=49&amp;col=6&amp;number=3.75&amp;sourceID=28","3.75")</f>
        <v>3.75</v>
      </c>
      <c r="G49" s="4" t="str">
        <f>HYPERLINK("http://141.218.60.56/~jnz1568/getInfo.php?workbook=02_02.xlsx&amp;sheet=U0&amp;row=49&amp;col=7&amp;number=1.591&amp;sourceID=1","1.591")</f>
        <v>1.591</v>
      </c>
      <c r="H49" s="4" t="str">
        <f>HYPERLINK("http://141.218.60.56/~jnz1568/getInfo.php?workbook=02_02.xlsx&amp;sheet=U0&amp;row=49&amp;col=8&amp;number=3.301&amp;sourceID=29","3.301")</f>
        <v>3.301</v>
      </c>
      <c r="I49" s="4" t="str">
        <f>HYPERLINK("http://141.218.60.56/~jnz1568/getInfo.php?workbook=02_02.xlsx&amp;sheet=U0&amp;row=49&amp;col=9&amp;number=1.177&amp;sourceID=1","1.177")</f>
        <v>1.177</v>
      </c>
    </row>
    <row r="50" spans="1:9">
      <c r="A50" s="3"/>
      <c r="B50" s="3"/>
      <c r="C50" s="3"/>
      <c r="D50" s="3"/>
      <c r="E50" s="3">
        <v>2</v>
      </c>
      <c r="F50" s="4" t="str">
        <f>HYPERLINK("http://141.218.60.56/~jnz1568/getInfo.php?workbook=02_02.xlsx&amp;sheet=U0&amp;row=50&amp;col=6&amp;number=4&amp;sourceID=28","4")</f>
        <v>4</v>
      </c>
      <c r="G50" s="4" t="str">
        <f>HYPERLINK("http://141.218.60.56/~jnz1568/getInfo.php?workbook=02_02.xlsx&amp;sheet=U0&amp;row=50&amp;col=7&amp;number=1.728&amp;sourceID=1","1.728")</f>
        <v>1.728</v>
      </c>
      <c r="H50" s="4" t="str">
        <f>HYPERLINK("http://141.218.60.56/~jnz1568/getInfo.php?workbook=02_02.xlsx&amp;sheet=U0&amp;row=50&amp;col=8&amp;number=3.699&amp;sourceID=29","3.699")</f>
        <v>3.699</v>
      </c>
      <c r="I50" s="4" t="str">
        <f>HYPERLINK("http://141.218.60.56/~jnz1568/getInfo.php?workbook=02_02.xlsx&amp;sheet=U0&amp;row=50&amp;col=9&amp;number=1.503&amp;sourceID=1","1.503")</f>
        <v>1.503</v>
      </c>
    </row>
    <row r="51" spans="1:9">
      <c r="A51" s="3"/>
      <c r="B51" s="3"/>
      <c r="C51" s="3"/>
      <c r="D51" s="3"/>
      <c r="E51" s="3">
        <v>3</v>
      </c>
      <c r="F51" s="4" t="str">
        <f>HYPERLINK("http://141.218.60.56/~jnz1568/getInfo.php?workbook=02_02.xlsx&amp;sheet=U0&amp;row=51&amp;col=6&amp;number=4.25&amp;sourceID=28","4.25")</f>
        <v>4.25</v>
      </c>
      <c r="G51" s="4" t="str">
        <f>HYPERLINK("http://141.218.60.56/~jnz1568/getInfo.php?workbook=02_02.xlsx&amp;sheet=U0&amp;row=51&amp;col=7&amp;number=1.735&amp;sourceID=1","1.735")</f>
        <v>1.735</v>
      </c>
      <c r="H51" s="4" t="str">
        <f>HYPERLINK("http://141.218.60.56/~jnz1568/getInfo.php?workbook=02_02.xlsx&amp;sheet=U0&amp;row=51&amp;col=8&amp;number=4&amp;sourceID=29","4")</f>
        <v>4</v>
      </c>
      <c r="I51" s="4" t="str">
        <f>HYPERLINK("http://141.218.60.56/~jnz1568/getInfo.php?workbook=02_02.xlsx&amp;sheet=U0&amp;row=51&amp;col=9&amp;number=1.698&amp;sourceID=1","1.698")</f>
        <v>1.698</v>
      </c>
    </row>
    <row r="52" spans="1:9">
      <c r="A52" s="3"/>
      <c r="B52" s="3"/>
      <c r="C52" s="3"/>
      <c r="D52" s="3"/>
      <c r="E52" s="3">
        <v>4</v>
      </c>
      <c r="F52" s="4" t="str">
        <f>HYPERLINK("http://141.218.60.56/~jnz1568/getInfo.php?workbook=02_02.xlsx&amp;sheet=U0&amp;row=52&amp;col=6&amp;number=4.5&amp;sourceID=28","4.5")</f>
        <v>4.5</v>
      </c>
      <c r="G52" s="4" t="str">
        <f>HYPERLINK("http://141.218.60.56/~jnz1568/getInfo.php?workbook=02_02.xlsx&amp;sheet=U0&amp;row=52&amp;col=7&amp;number=1.579&amp;sourceID=1","1.579")</f>
        <v>1.579</v>
      </c>
      <c r="H52" s="4" t="str">
        <f>HYPERLINK("http://141.218.60.56/~jnz1568/getInfo.php?workbook=02_02.xlsx&amp;sheet=U0&amp;row=52&amp;col=8&amp;number=4.176&amp;sourceID=29","4.176")</f>
        <v>4.176</v>
      </c>
      <c r="I52" s="4" t="str">
        <f>HYPERLINK("http://141.218.60.56/~jnz1568/getInfo.php?workbook=02_02.xlsx&amp;sheet=U0&amp;row=52&amp;col=9&amp;number=1.736&amp;sourceID=1","1.736")</f>
        <v>1.736</v>
      </c>
    </row>
    <row r="53" spans="1:9">
      <c r="A53" s="3"/>
      <c r="B53" s="3"/>
      <c r="C53" s="3"/>
      <c r="D53" s="3"/>
      <c r="E53" s="3">
        <v>5</v>
      </c>
      <c r="F53" s="4" t="str">
        <f>HYPERLINK("http://141.218.60.56/~jnz1568/getInfo.php?workbook=02_02.xlsx&amp;sheet=U0&amp;row=53&amp;col=6&amp;number=4.75&amp;sourceID=28","4.75")</f>
        <v>4.75</v>
      </c>
      <c r="G53" s="4" t="str">
        <f>HYPERLINK("http://141.218.60.56/~jnz1568/getInfo.php?workbook=02_02.xlsx&amp;sheet=U0&amp;row=53&amp;col=7&amp;number=1.31&amp;sourceID=1","1.31")</f>
        <v>1.31</v>
      </c>
      <c r="H53" s="4" t="str">
        <f>HYPERLINK("http://141.218.60.56/~jnz1568/getInfo.php?workbook=02_02.xlsx&amp;sheet=U0&amp;row=53&amp;col=8&amp;number=4.301&amp;sourceID=29","4.301")</f>
        <v>4.301</v>
      </c>
      <c r="I53" s="4" t="str">
        <f>HYPERLINK("http://141.218.60.56/~jnz1568/getInfo.php?workbook=02_02.xlsx&amp;sheet=U0&amp;row=53&amp;col=9&amp;number=1.72&amp;sourceID=1","1.72")</f>
        <v>1.72</v>
      </c>
    </row>
    <row r="54" spans="1:9">
      <c r="A54" s="3"/>
      <c r="B54" s="3"/>
      <c r="C54" s="3"/>
      <c r="D54" s="3"/>
      <c r="E54" s="3">
        <v>6</v>
      </c>
      <c r="F54" s="4" t="str">
        <f>HYPERLINK("http://141.218.60.56/~jnz1568/getInfo.php?workbook=02_02.xlsx&amp;sheet=U0&amp;row=54&amp;col=6&amp;number=5&amp;sourceID=28","5")</f>
        <v>5</v>
      </c>
      <c r="G54" s="4" t="str">
        <f>HYPERLINK("http://141.218.60.56/~jnz1568/getInfo.php?workbook=02_02.xlsx&amp;sheet=U0&amp;row=54&amp;col=7&amp;number=1.008&amp;sourceID=1","1.008")</f>
        <v>1.008</v>
      </c>
      <c r="H54" s="4" t="str">
        <f>HYPERLINK("http://141.218.60.56/~jnz1568/getInfo.php?workbook=02_02.xlsx&amp;sheet=U0&amp;row=54&amp;col=8&amp;number=4.398&amp;sourceID=29","4.398")</f>
        <v>4.398</v>
      </c>
      <c r="I54" s="4" t="str">
        <f>HYPERLINK("http://141.218.60.56/~jnz1568/getInfo.php?workbook=02_02.xlsx&amp;sheet=U0&amp;row=54&amp;col=9&amp;number=1.684&amp;sourceID=1","1.684")</f>
        <v>1.684</v>
      </c>
    </row>
    <row r="55" spans="1:9">
      <c r="A55" s="3"/>
      <c r="B55" s="3"/>
      <c r="C55" s="3"/>
      <c r="D55" s="3"/>
      <c r="E55" s="3">
        <v>7</v>
      </c>
      <c r="F55" s="4" t="str">
        <f>HYPERLINK("http://141.218.60.56/~jnz1568/getInfo.php?workbook=02_02.xlsx&amp;sheet=U0&amp;row=55&amp;col=6&amp;number=5.25&amp;sourceID=28","5.25")</f>
        <v>5.25</v>
      </c>
      <c r="G55" s="4" t="str">
        <f>HYPERLINK("http://141.218.60.56/~jnz1568/getInfo.php?workbook=02_02.xlsx&amp;sheet=U0&amp;row=55&amp;col=7&amp;number=0.7297&amp;sourceID=1","0.7297")</f>
        <v>0.7297</v>
      </c>
      <c r="H55" s="4" t="str">
        <f>HYPERLINK("http://141.218.60.56/~jnz1568/getInfo.php?workbook=02_02.xlsx&amp;sheet=U0&amp;row=55&amp;col=8&amp;number=4.477&amp;sourceID=29","4.477")</f>
        <v>4.477</v>
      </c>
      <c r="I55" s="4" t="str">
        <f>HYPERLINK("http://141.218.60.56/~jnz1568/getInfo.php?workbook=02_02.xlsx&amp;sheet=U0&amp;row=55&amp;col=9&amp;number=1.641&amp;sourceID=1","1.641")</f>
        <v>1.641</v>
      </c>
    </row>
    <row r="56" spans="1:9">
      <c r="A56" s="3"/>
      <c r="B56" s="3"/>
      <c r="C56" s="3"/>
      <c r="D56" s="3"/>
      <c r="E56" s="3">
        <v>8</v>
      </c>
      <c r="F56" s="4" t="str">
        <f>HYPERLINK("http://141.218.60.56/~jnz1568/getInfo.php?workbook=02_02.xlsx&amp;sheet=U0&amp;row=56&amp;col=6&amp;number=5.5&amp;sourceID=28","5.5")</f>
        <v>5.5</v>
      </c>
      <c r="G56" s="4" t="str">
        <f>HYPERLINK("http://141.218.60.56/~jnz1568/getInfo.php?workbook=02_02.xlsx&amp;sheet=U0&amp;row=56&amp;col=7&amp;number=0.5015&amp;sourceID=1","0.5015")</f>
        <v>0.5015</v>
      </c>
      <c r="H56" s="4" t="str">
        <f>HYPERLINK("http://141.218.60.56/~jnz1568/getInfo.php?workbook=02_02.xlsx&amp;sheet=U0&amp;row=56&amp;col=8&amp;number=&amp;sourceID=29","")</f>
        <v/>
      </c>
      <c r="I56" s="4" t="str">
        <f>HYPERLINK("http://141.218.60.56/~jnz1568/getInfo.php?workbook=02_02.xlsx&amp;sheet=U0&amp;row=56&amp;col=9&amp;number=&amp;sourceID=1","")</f>
        <v/>
      </c>
    </row>
    <row r="57" spans="1:9">
      <c r="A57" s="3"/>
      <c r="B57" s="3"/>
      <c r="C57" s="3"/>
      <c r="D57" s="3"/>
      <c r="E57" s="3">
        <v>9</v>
      </c>
      <c r="F57" s="4" t="str">
        <f>HYPERLINK("http://141.218.60.56/~jnz1568/getInfo.php?workbook=02_02.xlsx&amp;sheet=U0&amp;row=57&amp;col=6&amp;number=5.75&amp;sourceID=28","5.75")</f>
        <v>5.75</v>
      </c>
      <c r="G57" s="4" t="str">
        <f>HYPERLINK("http://141.218.60.56/~jnz1568/getInfo.php?workbook=02_02.xlsx&amp;sheet=U0&amp;row=57&amp;col=7&amp;number=0.3292&amp;sourceID=1","0.3292")</f>
        <v>0.3292</v>
      </c>
      <c r="H57" s="4" t="str">
        <f>HYPERLINK("http://141.218.60.56/~jnz1568/getInfo.php?workbook=02_02.xlsx&amp;sheet=U0&amp;row=57&amp;col=8&amp;number=&amp;sourceID=29","")</f>
        <v/>
      </c>
      <c r="I57" s="4" t="str">
        <f>HYPERLINK("http://141.218.60.56/~jnz1568/getInfo.php?workbook=02_02.xlsx&amp;sheet=U0&amp;row=57&amp;col=9&amp;number=&amp;sourceID=1","")</f>
        <v/>
      </c>
    </row>
    <row r="58" spans="1:9">
      <c r="A58" s="3">
        <v>2</v>
      </c>
      <c r="B58" s="3">
        <v>2</v>
      </c>
      <c r="C58" s="3">
        <v>5</v>
      </c>
      <c r="D58" s="3">
        <v>1</v>
      </c>
      <c r="E58" s="3">
        <v>1</v>
      </c>
      <c r="F58" s="4" t="str">
        <f>HYPERLINK("http://141.218.60.56/~jnz1568/getInfo.php?workbook=02_02.xlsx&amp;sheet=U0&amp;row=58&amp;col=6&amp;number=3.75&amp;sourceID=28","3.75")</f>
        <v>3.75</v>
      </c>
      <c r="G58" s="4" t="str">
        <f>HYPERLINK("http://141.218.60.56/~jnz1568/getInfo.php?workbook=02_02.xlsx&amp;sheet=U0&amp;row=58&amp;col=7&amp;number=0.008886&amp;sourceID=1","0.008886")</f>
        <v>0.008886</v>
      </c>
      <c r="H58" s="4" t="str">
        <f>HYPERLINK("http://141.218.60.56/~jnz1568/getInfo.php?workbook=02_02.xlsx&amp;sheet=U0&amp;row=58&amp;col=8&amp;number=3.301&amp;sourceID=29","3.301")</f>
        <v>3.301</v>
      </c>
      <c r="I58" s="4" t="str">
        <f>HYPERLINK("http://141.218.60.56/~jnz1568/getInfo.php?workbook=02_02.xlsx&amp;sheet=U0&amp;row=58&amp;col=9&amp;number=0.005069&amp;sourceID=1","0.005069")</f>
        <v>0.005069</v>
      </c>
    </row>
    <row r="59" spans="1:9">
      <c r="A59" s="3"/>
      <c r="B59" s="3"/>
      <c r="C59" s="3"/>
      <c r="D59" s="3"/>
      <c r="E59" s="3">
        <v>2</v>
      </c>
      <c r="F59" s="4" t="str">
        <f>HYPERLINK("http://141.218.60.56/~jnz1568/getInfo.php?workbook=02_02.xlsx&amp;sheet=U0&amp;row=59&amp;col=6&amp;number=4&amp;sourceID=28","4")</f>
        <v>4</v>
      </c>
      <c r="G59" s="4" t="str">
        <f>HYPERLINK("http://141.218.60.56/~jnz1568/getInfo.php?workbook=02_02.xlsx&amp;sheet=U0&amp;row=59&amp;col=7&amp;number=0.01299&amp;sourceID=1","0.01299")</f>
        <v>0.01299</v>
      </c>
      <c r="H59" s="4" t="str">
        <f>HYPERLINK("http://141.218.60.56/~jnz1568/getInfo.php?workbook=02_02.xlsx&amp;sheet=U0&amp;row=59&amp;col=8&amp;number=3.699&amp;sourceID=29","3.699")</f>
        <v>3.699</v>
      </c>
      <c r="I59" s="4" t="str">
        <f>HYPERLINK("http://141.218.60.56/~jnz1568/getInfo.php?workbook=02_02.xlsx&amp;sheet=U0&amp;row=59&amp;col=9&amp;number=0.009917&amp;sourceID=1","0.009917")</f>
        <v>0.009917</v>
      </c>
    </row>
    <row r="60" spans="1:9">
      <c r="A60" s="3"/>
      <c r="B60" s="3"/>
      <c r="C60" s="3"/>
      <c r="D60" s="3"/>
      <c r="E60" s="3">
        <v>3</v>
      </c>
      <c r="F60" s="4" t="str">
        <f>HYPERLINK("http://141.218.60.56/~jnz1568/getInfo.php?workbook=02_02.xlsx&amp;sheet=U0&amp;row=60&amp;col=6&amp;number=4.25&amp;sourceID=28","4.25")</f>
        <v>4.25</v>
      </c>
      <c r="G60" s="4" t="str">
        <f>HYPERLINK("http://141.218.60.56/~jnz1568/getInfo.php?workbook=02_02.xlsx&amp;sheet=U0&amp;row=60&amp;col=7&amp;number=0.0191&amp;sourceID=1","0.0191")</f>
        <v>0.0191</v>
      </c>
      <c r="H60" s="4" t="str">
        <f>HYPERLINK("http://141.218.60.56/~jnz1568/getInfo.php?workbook=02_02.xlsx&amp;sheet=U0&amp;row=60&amp;col=8&amp;number=4&amp;sourceID=29","4")</f>
        <v>4</v>
      </c>
      <c r="I60" s="4" t="str">
        <f>HYPERLINK("http://141.218.60.56/~jnz1568/getInfo.php?workbook=02_02.xlsx&amp;sheet=U0&amp;row=60&amp;col=9&amp;number=0.0154&amp;sourceID=1","0.0154")</f>
        <v>0.0154</v>
      </c>
    </row>
    <row r="61" spans="1:9">
      <c r="A61" s="3"/>
      <c r="B61" s="3"/>
      <c r="C61" s="3"/>
      <c r="D61" s="3"/>
      <c r="E61" s="3">
        <v>4</v>
      </c>
      <c r="F61" s="4" t="str">
        <f>HYPERLINK("http://141.218.60.56/~jnz1568/getInfo.php?workbook=02_02.xlsx&amp;sheet=U0&amp;row=61&amp;col=6&amp;number=4.5&amp;sourceID=28","4.5")</f>
        <v>4.5</v>
      </c>
      <c r="G61" s="4" t="str">
        <f>HYPERLINK("http://141.218.60.56/~jnz1568/getInfo.php?workbook=02_02.xlsx&amp;sheet=U0&amp;row=61&amp;col=7&amp;number=0.03006&amp;sourceID=1","0.03006")</f>
        <v>0.03006</v>
      </c>
      <c r="H61" s="4" t="str">
        <f>HYPERLINK("http://141.218.60.56/~jnz1568/getInfo.php?workbook=02_02.xlsx&amp;sheet=U0&amp;row=61&amp;col=8&amp;number=4.176&amp;sourceID=29","4.176")</f>
        <v>4.176</v>
      </c>
      <c r="I61" s="4" t="str">
        <f>HYPERLINK("http://141.218.60.56/~jnz1568/getInfo.php?workbook=02_02.xlsx&amp;sheet=U0&amp;row=61&amp;col=9&amp;number=0.01976&amp;sourceID=1","0.01976")</f>
        <v>0.01976</v>
      </c>
    </row>
    <row r="62" spans="1:9">
      <c r="A62" s="3"/>
      <c r="B62" s="3"/>
      <c r="C62" s="3"/>
      <c r="D62" s="3"/>
      <c r="E62" s="3">
        <v>5</v>
      </c>
      <c r="F62" s="4" t="str">
        <f>HYPERLINK("http://141.218.60.56/~jnz1568/getInfo.php?workbook=02_02.xlsx&amp;sheet=U0&amp;row=62&amp;col=6&amp;number=4.75&amp;sourceID=28","4.75")</f>
        <v>4.75</v>
      </c>
      <c r="G62" s="4" t="str">
        <f>HYPERLINK("http://141.218.60.56/~jnz1568/getInfo.php?workbook=02_02.xlsx&amp;sheet=U0&amp;row=62&amp;col=7&amp;number=0.05178&amp;sourceID=1","0.05178")</f>
        <v>0.05178</v>
      </c>
      <c r="H62" s="4" t="str">
        <f>HYPERLINK("http://141.218.60.56/~jnz1568/getInfo.php?workbook=02_02.xlsx&amp;sheet=U0&amp;row=62&amp;col=8&amp;number=4.301&amp;sourceID=29","4.301")</f>
        <v>4.301</v>
      </c>
      <c r="I62" s="4" t="str">
        <f>HYPERLINK("http://141.218.60.56/~jnz1568/getInfo.php?workbook=02_02.xlsx&amp;sheet=U0&amp;row=62&amp;col=9&amp;number=0.02402&amp;sourceID=1","0.02402")</f>
        <v>0.02402</v>
      </c>
    </row>
    <row r="63" spans="1:9">
      <c r="A63" s="3"/>
      <c r="B63" s="3"/>
      <c r="C63" s="3"/>
      <c r="D63" s="3"/>
      <c r="E63" s="3">
        <v>6</v>
      </c>
      <c r="F63" s="4" t="str">
        <f>HYPERLINK("http://141.218.60.56/~jnz1568/getInfo.php?workbook=02_02.xlsx&amp;sheet=U0&amp;row=63&amp;col=6&amp;number=5&amp;sourceID=28","5")</f>
        <v>5</v>
      </c>
      <c r="G63" s="4" t="str">
        <f>HYPERLINK("http://141.218.60.56/~jnz1568/getInfo.php?workbook=02_02.xlsx&amp;sheet=U0&amp;row=63&amp;col=7&amp;number=0.09534&amp;sourceID=1","0.09534")</f>
        <v>0.09534</v>
      </c>
      <c r="H63" s="4" t="str">
        <f>HYPERLINK("http://141.218.60.56/~jnz1568/getInfo.php?workbook=02_02.xlsx&amp;sheet=U0&amp;row=63&amp;col=8&amp;number=4.398&amp;sourceID=29","4.398")</f>
        <v>4.398</v>
      </c>
      <c r="I63" s="4" t="str">
        <f>HYPERLINK("http://141.218.60.56/~jnz1568/getInfo.php?workbook=02_02.xlsx&amp;sheet=U0&amp;row=63&amp;col=9&amp;number=0.02825&amp;sourceID=1","0.02825")</f>
        <v>0.02825</v>
      </c>
    </row>
    <row r="64" spans="1:9">
      <c r="A64" s="3"/>
      <c r="B64" s="3"/>
      <c r="C64" s="3"/>
      <c r="D64" s="3"/>
      <c r="E64" s="3">
        <v>7</v>
      </c>
      <c r="F64" s="4" t="str">
        <f>HYPERLINK("http://141.218.60.56/~jnz1568/getInfo.php?workbook=02_02.xlsx&amp;sheet=U0&amp;row=64&amp;col=6&amp;number=5.25&amp;sourceID=28","5.25")</f>
        <v>5.25</v>
      </c>
      <c r="G64" s="4" t="str">
        <f>HYPERLINK("http://141.218.60.56/~jnz1568/getInfo.php?workbook=02_02.xlsx&amp;sheet=U0&amp;row=64&amp;col=7&amp;number=0.1778&amp;sourceID=1","0.1778")</f>
        <v>0.1778</v>
      </c>
      <c r="H64" s="4" t="str">
        <f>HYPERLINK("http://141.218.60.56/~jnz1568/getInfo.php?workbook=02_02.xlsx&amp;sheet=U0&amp;row=64&amp;col=8&amp;number=4.477&amp;sourceID=29","4.477")</f>
        <v>4.477</v>
      </c>
      <c r="I64" s="4" t="str">
        <f>HYPERLINK("http://141.218.60.56/~jnz1568/getInfo.php?workbook=02_02.xlsx&amp;sheet=U0&amp;row=64&amp;col=9&amp;number=0.03228&amp;sourceID=1","0.03228")</f>
        <v>0.03228</v>
      </c>
    </row>
    <row r="65" spans="1:9">
      <c r="A65" s="3"/>
      <c r="B65" s="3"/>
      <c r="C65" s="3"/>
      <c r="D65" s="3"/>
      <c r="E65" s="3">
        <v>8</v>
      </c>
      <c r="F65" s="4" t="str">
        <f>HYPERLINK("http://141.218.60.56/~jnz1568/getInfo.php?workbook=02_02.xlsx&amp;sheet=U0&amp;row=65&amp;col=6&amp;number=5.5&amp;sourceID=28","5.5")</f>
        <v>5.5</v>
      </c>
      <c r="G65" s="4" t="str">
        <f>HYPERLINK("http://141.218.60.56/~jnz1568/getInfo.php?workbook=02_02.xlsx&amp;sheet=U0&amp;row=65&amp;col=7&amp;number=0.3167&amp;sourceID=1","0.3167")</f>
        <v>0.3167</v>
      </c>
      <c r="H65" s="4" t="str">
        <f>HYPERLINK("http://141.218.60.56/~jnz1568/getInfo.php?workbook=02_02.xlsx&amp;sheet=U0&amp;row=65&amp;col=8&amp;number=&amp;sourceID=29","")</f>
        <v/>
      </c>
      <c r="I65" s="4" t="str">
        <f>HYPERLINK("http://141.218.60.56/~jnz1568/getInfo.php?workbook=02_02.xlsx&amp;sheet=U0&amp;row=65&amp;col=9&amp;number=&amp;sourceID=1","")</f>
        <v/>
      </c>
    </row>
    <row r="66" spans="1:9">
      <c r="A66" s="3"/>
      <c r="B66" s="3"/>
      <c r="C66" s="3"/>
      <c r="D66" s="3"/>
      <c r="E66" s="3">
        <v>9</v>
      </c>
      <c r="F66" s="4" t="str">
        <f>HYPERLINK("http://141.218.60.56/~jnz1568/getInfo.php?workbook=02_02.xlsx&amp;sheet=U0&amp;row=66&amp;col=6&amp;number=5.75&amp;sourceID=28","5.75")</f>
        <v>5.75</v>
      </c>
      <c r="G66" s="4" t="str">
        <f>HYPERLINK("http://141.218.60.56/~jnz1568/getInfo.php?workbook=02_02.xlsx&amp;sheet=U0&amp;row=66&amp;col=7&amp;number=0.5217&amp;sourceID=1","0.5217")</f>
        <v>0.5217</v>
      </c>
      <c r="H66" s="4" t="str">
        <f>HYPERLINK("http://141.218.60.56/~jnz1568/getInfo.php?workbook=02_02.xlsx&amp;sheet=U0&amp;row=66&amp;col=8&amp;number=&amp;sourceID=29","")</f>
        <v/>
      </c>
      <c r="I66" s="4" t="str">
        <f>HYPERLINK("http://141.218.60.56/~jnz1568/getInfo.php?workbook=02_02.xlsx&amp;sheet=U0&amp;row=66&amp;col=9&amp;number=&amp;sourceID=1","")</f>
        <v/>
      </c>
    </row>
    <row r="67" spans="1:9">
      <c r="A67" s="3">
        <v>2</v>
      </c>
      <c r="B67" s="3">
        <v>2</v>
      </c>
      <c r="C67" s="3">
        <v>5</v>
      </c>
      <c r="D67" s="3">
        <v>2</v>
      </c>
      <c r="E67" s="3">
        <v>1</v>
      </c>
      <c r="F67" s="4" t="str">
        <f>HYPERLINK("http://141.218.60.56/~jnz1568/getInfo.php?workbook=02_02.xlsx&amp;sheet=U0&amp;row=67&amp;col=6&amp;number=3.75&amp;sourceID=28","3.75")</f>
        <v>3.75</v>
      </c>
      <c r="G67" s="4" t="str">
        <f>HYPERLINK("http://141.218.60.56/~jnz1568/getInfo.php?workbook=02_02.xlsx&amp;sheet=U0&amp;row=67&amp;col=7&amp;number=0.7965&amp;sourceID=1","0.7965")</f>
        <v>0.7965</v>
      </c>
      <c r="H67" s="4" t="str">
        <f>HYPERLINK("http://141.218.60.56/~jnz1568/getInfo.php?workbook=02_02.xlsx&amp;sheet=U0&amp;row=67&amp;col=8&amp;number=3.301&amp;sourceID=29","3.301")</f>
        <v>3.301</v>
      </c>
      <c r="I67" s="4" t="str">
        <f>HYPERLINK("http://141.218.60.56/~jnz1568/getInfo.php?workbook=02_02.xlsx&amp;sheet=U0&amp;row=67&amp;col=9&amp;number=0.4983&amp;sourceID=1","0.4983")</f>
        <v>0.4983</v>
      </c>
    </row>
    <row r="68" spans="1:9">
      <c r="A68" s="3"/>
      <c r="B68" s="3"/>
      <c r="C68" s="3"/>
      <c r="D68" s="3"/>
      <c r="E68" s="3">
        <v>2</v>
      </c>
      <c r="F68" s="4" t="str">
        <f>HYPERLINK("http://141.218.60.56/~jnz1568/getInfo.php?workbook=02_02.xlsx&amp;sheet=U0&amp;row=68&amp;col=6&amp;number=4&amp;sourceID=28","4")</f>
        <v>4</v>
      </c>
      <c r="G68" s="4" t="str">
        <f>HYPERLINK("http://141.218.60.56/~jnz1568/getInfo.php?workbook=02_02.xlsx&amp;sheet=U0&amp;row=68&amp;col=7&amp;number=0.9579&amp;sourceID=1","0.9579")</f>
        <v>0.9579</v>
      </c>
      <c r="H68" s="4" t="str">
        <f>HYPERLINK("http://141.218.60.56/~jnz1568/getInfo.php?workbook=02_02.xlsx&amp;sheet=U0&amp;row=68&amp;col=8&amp;number=3.699&amp;sourceID=29","3.699")</f>
        <v>3.699</v>
      </c>
      <c r="I68" s="4" t="str">
        <f>HYPERLINK("http://141.218.60.56/~jnz1568/getInfo.php?workbook=02_02.xlsx&amp;sheet=U0&amp;row=68&amp;col=9&amp;number=0.7701&amp;sourceID=1","0.7701")</f>
        <v>0.7701</v>
      </c>
    </row>
    <row r="69" spans="1:9">
      <c r="A69" s="3"/>
      <c r="B69" s="3"/>
      <c r="C69" s="3"/>
      <c r="D69" s="3"/>
      <c r="E69" s="3">
        <v>3</v>
      </c>
      <c r="F69" s="4" t="str">
        <f>HYPERLINK("http://141.218.60.56/~jnz1568/getInfo.php?workbook=02_02.xlsx&amp;sheet=U0&amp;row=69&amp;col=6&amp;number=4.25&amp;sourceID=28","4.25")</f>
        <v>4.25</v>
      </c>
      <c r="G69" s="4" t="str">
        <f>HYPERLINK("http://141.218.60.56/~jnz1568/getInfo.php?workbook=02_02.xlsx&amp;sheet=U0&amp;row=69&amp;col=7&amp;number=1.042&amp;sourceID=1","1.042")</f>
        <v>1.042</v>
      </c>
      <c r="H69" s="4" t="str">
        <f>HYPERLINK("http://141.218.60.56/~jnz1568/getInfo.php?workbook=02_02.xlsx&amp;sheet=U0&amp;row=69&amp;col=8&amp;number=4&amp;sourceID=29","4")</f>
        <v>4</v>
      </c>
      <c r="I69" s="4" t="str">
        <f>HYPERLINK("http://141.218.60.56/~jnz1568/getInfo.php?workbook=02_02.xlsx&amp;sheet=U0&amp;row=69&amp;col=9&amp;number=0.9754&amp;sourceID=1","0.9754")</f>
        <v>0.9754</v>
      </c>
    </row>
    <row r="70" spans="1:9">
      <c r="A70" s="3"/>
      <c r="B70" s="3"/>
      <c r="C70" s="3"/>
      <c r="D70" s="3"/>
      <c r="E70" s="3">
        <v>4</v>
      </c>
      <c r="F70" s="4" t="str">
        <f>HYPERLINK("http://141.218.60.56/~jnz1568/getInfo.php?workbook=02_02.xlsx&amp;sheet=U0&amp;row=70&amp;col=6&amp;number=4.5&amp;sourceID=28","4.5")</f>
        <v>4.5</v>
      </c>
      <c r="G70" s="4" t="str">
        <f>HYPERLINK("http://141.218.60.56/~jnz1568/getInfo.php?workbook=02_02.xlsx&amp;sheet=U0&amp;row=70&amp;col=7&amp;number=1.015&amp;sourceID=1","1.015")</f>
        <v>1.015</v>
      </c>
      <c r="H70" s="4" t="str">
        <f>HYPERLINK("http://141.218.60.56/~jnz1568/getInfo.php?workbook=02_02.xlsx&amp;sheet=U0&amp;row=70&amp;col=8&amp;number=4.176&amp;sourceID=29","4.176")</f>
        <v>4.176</v>
      </c>
      <c r="I70" s="4" t="str">
        <f>HYPERLINK("http://141.218.60.56/~jnz1568/getInfo.php?workbook=02_02.xlsx&amp;sheet=U0&amp;row=70&amp;col=9&amp;number=1.053&amp;sourceID=1","1.053")</f>
        <v>1.053</v>
      </c>
    </row>
    <row r="71" spans="1:9">
      <c r="A71" s="3"/>
      <c r="B71" s="3"/>
      <c r="C71" s="3"/>
      <c r="D71" s="3"/>
      <c r="E71" s="3">
        <v>5</v>
      </c>
      <c r="F71" s="4" t="str">
        <f>HYPERLINK("http://141.218.60.56/~jnz1568/getInfo.php?workbook=02_02.xlsx&amp;sheet=U0&amp;row=71&amp;col=6&amp;number=4.75&amp;sourceID=28","4.75")</f>
        <v>4.75</v>
      </c>
      <c r="G71" s="4" t="str">
        <f>HYPERLINK("http://141.218.60.56/~jnz1568/getInfo.php?workbook=02_02.xlsx&amp;sheet=U0&amp;row=71&amp;col=7&amp;number=0.895&amp;sourceID=1","0.895")</f>
        <v>0.895</v>
      </c>
      <c r="H71" s="4" t="str">
        <f>HYPERLINK("http://141.218.60.56/~jnz1568/getInfo.php?workbook=02_02.xlsx&amp;sheet=U0&amp;row=71&amp;col=8&amp;number=4.301&amp;sourceID=29","4.301")</f>
        <v>4.301</v>
      </c>
      <c r="I71" s="4" t="str">
        <f>HYPERLINK("http://141.218.60.56/~jnz1568/getInfo.php?workbook=02_02.xlsx&amp;sheet=U0&amp;row=71&amp;col=9&amp;number=1.083&amp;sourceID=1","1.083")</f>
        <v>1.083</v>
      </c>
    </row>
    <row r="72" spans="1:9">
      <c r="A72" s="3"/>
      <c r="B72" s="3"/>
      <c r="C72" s="3"/>
      <c r="D72" s="3"/>
      <c r="E72" s="3">
        <v>6</v>
      </c>
      <c r="F72" s="4" t="str">
        <f>HYPERLINK("http://141.218.60.56/~jnz1568/getInfo.php?workbook=02_02.xlsx&amp;sheet=U0&amp;row=72&amp;col=6&amp;number=5&amp;sourceID=28","5")</f>
        <v>5</v>
      </c>
      <c r="G72" s="4" t="str">
        <f>HYPERLINK("http://141.218.60.56/~jnz1568/getInfo.php?workbook=02_02.xlsx&amp;sheet=U0&amp;row=72&amp;col=7&amp;number=0.7265&amp;sourceID=1","0.7265")</f>
        <v>0.7265</v>
      </c>
      <c r="H72" s="4" t="str">
        <f>HYPERLINK("http://141.218.60.56/~jnz1568/getInfo.php?workbook=02_02.xlsx&amp;sheet=U0&amp;row=72&amp;col=8&amp;number=4.398&amp;sourceID=29","4.398")</f>
        <v>4.398</v>
      </c>
      <c r="I72" s="4" t="str">
        <f>HYPERLINK("http://141.218.60.56/~jnz1568/getInfo.php?workbook=02_02.xlsx&amp;sheet=U0&amp;row=72&amp;col=9&amp;number=1.09&amp;sourceID=1","1.09")</f>
        <v>1.09</v>
      </c>
    </row>
    <row r="73" spans="1:9">
      <c r="A73" s="3"/>
      <c r="B73" s="3"/>
      <c r="C73" s="3"/>
      <c r="D73" s="3"/>
      <c r="E73" s="3">
        <v>7</v>
      </c>
      <c r="F73" s="4" t="str">
        <f>HYPERLINK("http://141.218.60.56/~jnz1568/getInfo.php?workbook=02_02.xlsx&amp;sheet=U0&amp;row=73&amp;col=6&amp;number=5.25&amp;sourceID=28","5.25")</f>
        <v>5.25</v>
      </c>
      <c r="G73" s="4" t="str">
        <f>HYPERLINK("http://141.218.60.56/~jnz1568/getInfo.php?workbook=02_02.xlsx&amp;sheet=U0&amp;row=73&amp;col=7&amp;number=0.5516&amp;sourceID=1","0.5516")</f>
        <v>0.5516</v>
      </c>
      <c r="H73" s="4" t="str">
        <f>HYPERLINK("http://141.218.60.56/~jnz1568/getInfo.php?workbook=02_02.xlsx&amp;sheet=U0&amp;row=73&amp;col=8&amp;number=4.477&amp;sourceID=29","4.477")</f>
        <v>4.477</v>
      </c>
      <c r="I73" s="4" t="str">
        <f>HYPERLINK("http://141.218.60.56/~jnz1568/getInfo.php?workbook=02_02.xlsx&amp;sheet=U0&amp;row=73&amp;col=9&amp;number=1.086&amp;sourceID=1","1.086")</f>
        <v>1.086</v>
      </c>
    </row>
    <row r="74" spans="1:9">
      <c r="A74" s="3"/>
      <c r="B74" s="3"/>
      <c r="C74" s="3"/>
      <c r="D74" s="3"/>
      <c r="E74" s="3">
        <v>8</v>
      </c>
      <c r="F74" s="4" t="str">
        <f>HYPERLINK("http://141.218.60.56/~jnz1568/getInfo.php?workbook=02_02.xlsx&amp;sheet=U0&amp;row=74&amp;col=6&amp;number=5.5&amp;sourceID=28","5.5")</f>
        <v>5.5</v>
      </c>
      <c r="G74" s="4" t="str">
        <f>HYPERLINK("http://141.218.60.56/~jnz1568/getInfo.php?workbook=02_02.xlsx&amp;sheet=U0&amp;row=74&amp;col=7&amp;number=0.3948&amp;sourceID=1","0.3948")</f>
        <v>0.3948</v>
      </c>
      <c r="H74" s="4" t="str">
        <f>HYPERLINK("http://141.218.60.56/~jnz1568/getInfo.php?workbook=02_02.xlsx&amp;sheet=U0&amp;row=74&amp;col=8&amp;number=&amp;sourceID=29","")</f>
        <v/>
      </c>
      <c r="I74" s="4" t="str">
        <f>HYPERLINK("http://141.218.60.56/~jnz1568/getInfo.php?workbook=02_02.xlsx&amp;sheet=U0&amp;row=74&amp;col=9&amp;number=&amp;sourceID=1","")</f>
        <v/>
      </c>
    </row>
    <row r="75" spans="1:9">
      <c r="A75" s="3"/>
      <c r="B75" s="3"/>
      <c r="C75" s="3"/>
      <c r="D75" s="3"/>
      <c r="E75" s="3">
        <v>9</v>
      </c>
      <c r="F75" s="4" t="str">
        <f>HYPERLINK("http://141.218.60.56/~jnz1568/getInfo.php?workbook=02_02.xlsx&amp;sheet=U0&amp;row=75&amp;col=6&amp;number=5.75&amp;sourceID=28","5.75")</f>
        <v>5.75</v>
      </c>
      <c r="G75" s="4" t="str">
        <f>HYPERLINK("http://141.218.60.56/~jnz1568/getInfo.php?workbook=02_02.xlsx&amp;sheet=U0&amp;row=75&amp;col=7&amp;number=0.2677&amp;sourceID=1","0.2677")</f>
        <v>0.2677</v>
      </c>
      <c r="H75" s="4" t="str">
        <f>HYPERLINK("http://141.218.60.56/~jnz1568/getInfo.php?workbook=02_02.xlsx&amp;sheet=U0&amp;row=75&amp;col=8&amp;number=&amp;sourceID=29","")</f>
        <v/>
      </c>
      <c r="I75" s="4" t="str">
        <f>HYPERLINK("http://141.218.60.56/~jnz1568/getInfo.php?workbook=02_02.xlsx&amp;sheet=U0&amp;row=75&amp;col=9&amp;number=&amp;sourceID=1","")</f>
        <v/>
      </c>
    </row>
    <row r="76" spans="1:9">
      <c r="A76" s="3">
        <v>2</v>
      </c>
      <c r="B76" s="3">
        <v>2</v>
      </c>
      <c r="C76" s="3">
        <v>5</v>
      </c>
      <c r="D76" s="3">
        <v>3</v>
      </c>
      <c r="E76" s="3">
        <v>1</v>
      </c>
      <c r="F76" s="4" t="str">
        <f>HYPERLINK("http://141.218.60.56/~jnz1568/getInfo.php?workbook=02_02.xlsx&amp;sheet=U0&amp;row=76&amp;col=6&amp;number=3.75&amp;sourceID=28","3.75")</f>
        <v>3.75</v>
      </c>
      <c r="G76" s="4" t="str">
        <f>HYPERLINK("http://141.218.60.56/~jnz1568/getInfo.php?workbook=02_02.xlsx&amp;sheet=U0&amp;row=76&amp;col=7&amp;number=10.99&amp;sourceID=1","10.99")</f>
        <v>10.99</v>
      </c>
      <c r="H76" s="4" t="str">
        <f>HYPERLINK("http://141.218.60.56/~jnz1568/getInfo.php?workbook=02_02.xlsx&amp;sheet=U0&amp;row=76&amp;col=8&amp;number=3.301&amp;sourceID=29","3.301")</f>
        <v>3.301</v>
      </c>
      <c r="I76" s="4" t="str">
        <f>HYPERLINK("http://141.218.60.56/~jnz1568/getInfo.php?workbook=02_02.xlsx&amp;sheet=U0&amp;row=76&amp;col=9&amp;number=3.71&amp;sourceID=1","3.71")</f>
        <v>3.71</v>
      </c>
    </row>
    <row r="77" spans="1:9">
      <c r="A77" s="3"/>
      <c r="B77" s="3"/>
      <c r="C77" s="3"/>
      <c r="D77" s="3"/>
      <c r="E77" s="3">
        <v>2</v>
      </c>
      <c r="F77" s="4" t="str">
        <f>HYPERLINK("http://141.218.60.56/~jnz1568/getInfo.php?workbook=02_02.xlsx&amp;sheet=U0&amp;row=77&amp;col=6&amp;number=4&amp;sourceID=28","4")</f>
        <v>4</v>
      </c>
      <c r="G77" s="4" t="str">
        <f>HYPERLINK("http://141.218.60.56/~jnz1568/getInfo.php?workbook=02_02.xlsx&amp;sheet=U0&amp;row=77&amp;col=7&amp;number=19.29&amp;sourceID=1","19.29")</f>
        <v>19.29</v>
      </c>
      <c r="H77" s="4" t="str">
        <f>HYPERLINK("http://141.218.60.56/~jnz1568/getInfo.php?workbook=02_02.xlsx&amp;sheet=U0&amp;row=77&amp;col=8&amp;number=3.699&amp;sourceID=29","3.699")</f>
        <v>3.699</v>
      </c>
      <c r="I77" s="4" t="str">
        <f>HYPERLINK("http://141.218.60.56/~jnz1568/getInfo.php?workbook=02_02.xlsx&amp;sheet=U0&amp;row=77&amp;col=9&amp;number=9.729&amp;sourceID=1","9.729")</f>
        <v>9.729</v>
      </c>
    </row>
    <row r="78" spans="1:9">
      <c r="A78" s="3"/>
      <c r="B78" s="3"/>
      <c r="C78" s="3"/>
      <c r="D78" s="3"/>
      <c r="E78" s="3">
        <v>3</v>
      </c>
      <c r="F78" s="4" t="str">
        <f>HYPERLINK("http://141.218.60.56/~jnz1568/getInfo.php?workbook=02_02.xlsx&amp;sheet=U0&amp;row=78&amp;col=6&amp;number=4.25&amp;sourceID=28","4.25")</f>
        <v>4.25</v>
      </c>
      <c r="G78" s="4" t="str">
        <f>HYPERLINK("http://141.218.60.56/~jnz1568/getInfo.php?workbook=02_02.xlsx&amp;sheet=U0&amp;row=78&amp;col=7&amp;number=30.97&amp;sourceID=1","30.97")</f>
        <v>30.97</v>
      </c>
      <c r="H78" s="4" t="str">
        <f>HYPERLINK("http://141.218.60.56/~jnz1568/getInfo.php?workbook=02_02.xlsx&amp;sheet=U0&amp;row=78&amp;col=8&amp;number=4&amp;sourceID=29","4")</f>
        <v>4</v>
      </c>
      <c r="I78" s="4" t="str">
        <f>HYPERLINK("http://141.218.60.56/~jnz1568/getInfo.php?workbook=02_02.xlsx&amp;sheet=U0&amp;row=78&amp;col=9&amp;number=18.56&amp;sourceID=1","18.56")</f>
        <v>18.56</v>
      </c>
    </row>
    <row r="79" spans="1:9">
      <c r="A79" s="3"/>
      <c r="B79" s="3"/>
      <c r="C79" s="3"/>
      <c r="D79" s="3"/>
      <c r="E79" s="3">
        <v>4</v>
      </c>
      <c r="F79" s="4" t="str">
        <f>HYPERLINK("http://141.218.60.56/~jnz1568/getInfo.php?workbook=02_02.xlsx&amp;sheet=U0&amp;row=79&amp;col=6&amp;number=4.5&amp;sourceID=28","4.5")</f>
        <v>4.5</v>
      </c>
      <c r="G79" s="4" t="str">
        <f>HYPERLINK("http://141.218.60.56/~jnz1568/getInfo.php?workbook=02_02.xlsx&amp;sheet=U0&amp;row=79&amp;col=7&amp;number=46.28&amp;sourceID=1","46.28")</f>
        <v>46.28</v>
      </c>
      <c r="H79" s="4" t="str">
        <f>HYPERLINK("http://141.218.60.56/~jnz1568/getInfo.php?workbook=02_02.xlsx&amp;sheet=U0&amp;row=79&amp;col=8&amp;number=4.176&amp;sourceID=29","4.176")</f>
        <v>4.176</v>
      </c>
      <c r="I79" s="4" t="str">
        <f>HYPERLINK("http://141.218.60.56/~jnz1568/getInfo.php?workbook=02_02.xlsx&amp;sheet=U0&amp;row=79&amp;col=9&amp;number=25.74&amp;sourceID=1","25.74")</f>
        <v>25.74</v>
      </c>
    </row>
    <row r="80" spans="1:9">
      <c r="A80" s="3"/>
      <c r="B80" s="3"/>
      <c r="C80" s="3"/>
      <c r="D80" s="3"/>
      <c r="E80" s="3">
        <v>5</v>
      </c>
      <c r="F80" s="4" t="str">
        <f>HYPERLINK("http://141.218.60.56/~jnz1568/getInfo.php?workbook=02_02.xlsx&amp;sheet=U0&amp;row=80&amp;col=6&amp;number=4.75&amp;sourceID=28","4.75")</f>
        <v>4.75</v>
      </c>
      <c r="G80" s="4" t="str">
        <f>HYPERLINK("http://141.218.60.56/~jnz1568/getInfo.php?workbook=02_02.xlsx&amp;sheet=U0&amp;row=80&amp;col=7&amp;number=65.36&amp;sourceID=1","65.36")</f>
        <v>65.36</v>
      </c>
      <c r="H80" s="4" t="str">
        <f>HYPERLINK("http://141.218.60.56/~jnz1568/getInfo.php?workbook=02_02.xlsx&amp;sheet=U0&amp;row=80&amp;col=8&amp;number=&amp;sourceID=29","")</f>
        <v/>
      </c>
      <c r="I80" s="4" t="str">
        <f>HYPERLINK("http://141.218.60.56/~jnz1568/getInfo.php?workbook=02_02.xlsx&amp;sheet=U0&amp;row=80&amp;col=9&amp;number=&amp;sourceID=1","")</f>
        <v/>
      </c>
    </row>
    <row r="81" spans="1:9">
      <c r="A81" s="3"/>
      <c r="B81" s="3"/>
      <c r="C81" s="3"/>
      <c r="D81" s="3"/>
      <c r="E81" s="3">
        <v>6</v>
      </c>
      <c r="F81" s="4" t="str">
        <f>HYPERLINK("http://141.218.60.56/~jnz1568/getInfo.php?workbook=02_02.xlsx&amp;sheet=U0&amp;row=81&amp;col=6&amp;number=5&amp;sourceID=28","5")</f>
        <v>5</v>
      </c>
      <c r="G81" s="4" t="str">
        <f>HYPERLINK("http://141.218.60.56/~jnz1568/getInfo.php?workbook=02_02.xlsx&amp;sheet=U0&amp;row=81&amp;col=7&amp;number=88.28&amp;sourceID=1","88.28")</f>
        <v>88.28</v>
      </c>
      <c r="H81" s="4" t="str">
        <f>HYPERLINK("http://141.218.60.56/~jnz1568/getInfo.php?workbook=02_02.xlsx&amp;sheet=U0&amp;row=81&amp;col=8&amp;number=&amp;sourceID=29","")</f>
        <v/>
      </c>
      <c r="I81" s="4" t="str">
        <f>HYPERLINK("http://141.218.60.56/~jnz1568/getInfo.php?workbook=02_02.xlsx&amp;sheet=U0&amp;row=81&amp;col=9&amp;number=&amp;sourceID=1","")</f>
        <v/>
      </c>
    </row>
    <row r="82" spans="1:9">
      <c r="A82" s="3"/>
      <c r="B82" s="3"/>
      <c r="C82" s="3"/>
      <c r="D82" s="3"/>
      <c r="E82" s="3">
        <v>7</v>
      </c>
      <c r="F82" s="4" t="str">
        <f>HYPERLINK("http://141.218.60.56/~jnz1568/getInfo.php?workbook=02_02.xlsx&amp;sheet=U0&amp;row=82&amp;col=6&amp;number=5.25&amp;sourceID=28","5.25")</f>
        <v>5.25</v>
      </c>
      <c r="G82" s="4" t="str">
        <f>HYPERLINK("http://141.218.60.56/~jnz1568/getInfo.php?workbook=02_02.xlsx&amp;sheet=U0&amp;row=82&amp;col=7&amp;number=114.6&amp;sourceID=1","114.6")</f>
        <v>114.6</v>
      </c>
      <c r="H82" s="4" t="str">
        <f>HYPERLINK("http://141.218.60.56/~jnz1568/getInfo.php?workbook=02_02.xlsx&amp;sheet=U0&amp;row=82&amp;col=8&amp;number=&amp;sourceID=29","")</f>
        <v/>
      </c>
      <c r="I82" s="4" t="str">
        <f>HYPERLINK("http://141.218.60.56/~jnz1568/getInfo.php?workbook=02_02.xlsx&amp;sheet=U0&amp;row=82&amp;col=9&amp;number=&amp;sourceID=1","")</f>
        <v/>
      </c>
    </row>
    <row r="83" spans="1:9">
      <c r="A83" s="3"/>
      <c r="B83" s="3"/>
      <c r="C83" s="3"/>
      <c r="D83" s="3"/>
      <c r="E83" s="3">
        <v>8</v>
      </c>
      <c r="F83" s="4" t="str">
        <f>HYPERLINK("http://141.218.60.56/~jnz1568/getInfo.php?workbook=02_02.xlsx&amp;sheet=U0&amp;row=83&amp;col=6&amp;number=5.5&amp;sourceID=28","5.5")</f>
        <v>5.5</v>
      </c>
      <c r="G83" s="4" t="str">
        <f>HYPERLINK("http://141.218.60.56/~jnz1568/getInfo.php?workbook=02_02.xlsx&amp;sheet=U0&amp;row=83&amp;col=7&amp;number=143&amp;sourceID=1","143")</f>
        <v>143</v>
      </c>
      <c r="H83" s="4" t="str">
        <f>HYPERLINK("http://141.218.60.56/~jnz1568/getInfo.php?workbook=02_02.xlsx&amp;sheet=U0&amp;row=83&amp;col=8&amp;number=&amp;sourceID=29","")</f>
        <v/>
      </c>
      <c r="I83" s="4" t="str">
        <f>HYPERLINK("http://141.218.60.56/~jnz1568/getInfo.php?workbook=02_02.xlsx&amp;sheet=U0&amp;row=83&amp;col=9&amp;number=&amp;sourceID=1","")</f>
        <v/>
      </c>
    </row>
    <row r="84" spans="1:9">
      <c r="A84" s="3"/>
      <c r="B84" s="3"/>
      <c r="C84" s="3"/>
      <c r="D84" s="3"/>
      <c r="E84" s="3">
        <v>9</v>
      </c>
      <c r="F84" s="4" t="str">
        <f>HYPERLINK("http://141.218.60.56/~jnz1568/getInfo.php?workbook=02_02.xlsx&amp;sheet=U0&amp;row=84&amp;col=6&amp;number=5.75&amp;sourceID=28","5.75")</f>
        <v>5.75</v>
      </c>
      <c r="G84" s="4" t="str">
        <f>HYPERLINK("http://141.218.60.56/~jnz1568/getInfo.php?workbook=02_02.xlsx&amp;sheet=U0&amp;row=84&amp;col=7&amp;number=171.9&amp;sourceID=1","171.9")</f>
        <v>171.9</v>
      </c>
      <c r="H84" s="4" t="str">
        <f>HYPERLINK("http://141.218.60.56/~jnz1568/getInfo.php?workbook=02_02.xlsx&amp;sheet=U0&amp;row=84&amp;col=8&amp;number=&amp;sourceID=29","")</f>
        <v/>
      </c>
      <c r="I84" s="4" t="str">
        <f>HYPERLINK("http://141.218.60.56/~jnz1568/getInfo.php?workbook=02_02.xlsx&amp;sheet=U0&amp;row=84&amp;col=9&amp;number=&amp;sourceID=1","")</f>
        <v/>
      </c>
    </row>
    <row r="85" spans="1:9">
      <c r="A85" s="3">
        <v>2</v>
      </c>
      <c r="B85" s="3">
        <v>2</v>
      </c>
      <c r="C85" s="3">
        <v>5</v>
      </c>
      <c r="D85" s="3">
        <v>4</v>
      </c>
      <c r="E85" s="3">
        <v>1</v>
      </c>
      <c r="F85" s="4" t="str">
        <f>HYPERLINK("http://141.218.60.56/~jnz1568/getInfo.php?workbook=02_02.xlsx&amp;sheet=U0&amp;row=85&amp;col=6&amp;number=3.75&amp;sourceID=28","3.75")</f>
        <v>3.75</v>
      </c>
      <c r="G85" s="4" t="str">
        <f>HYPERLINK("http://141.218.60.56/~jnz1568/getInfo.php?workbook=02_02.xlsx&amp;sheet=U0&amp;row=85&amp;col=7&amp;number=3.689&amp;sourceID=1","3.689")</f>
        <v>3.689</v>
      </c>
      <c r="H85" s="4" t="str">
        <f>HYPERLINK("http://141.218.60.56/~jnz1568/getInfo.php?workbook=02_02.xlsx&amp;sheet=U0&amp;row=85&amp;col=8&amp;number=3.301&amp;sourceID=29","3.301")</f>
        <v>3.301</v>
      </c>
      <c r="I85" s="4" t="str">
        <f>HYPERLINK("http://141.218.60.56/~jnz1568/getInfo.php?workbook=02_02.xlsx&amp;sheet=U0&amp;row=85&amp;col=9&amp;number=0.8428&amp;sourceID=1","0.8428")</f>
        <v>0.8428</v>
      </c>
    </row>
    <row r="86" spans="1:9">
      <c r="A86" s="3"/>
      <c r="B86" s="3"/>
      <c r="C86" s="3"/>
      <c r="D86" s="3"/>
      <c r="E86" s="3">
        <v>2</v>
      </c>
      <c r="F86" s="4" t="str">
        <f>HYPERLINK("http://141.218.60.56/~jnz1568/getInfo.php?workbook=02_02.xlsx&amp;sheet=U0&amp;row=86&amp;col=6&amp;number=4&amp;sourceID=28","4")</f>
        <v>4</v>
      </c>
      <c r="G86" s="4" t="str">
        <f>HYPERLINK("http://141.218.60.56/~jnz1568/getInfo.php?workbook=02_02.xlsx&amp;sheet=U0&amp;row=86&amp;col=7&amp;number=4.259&amp;sourceID=1","4.259")</f>
        <v>4.259</v>
      </c>
      <c r="H86" s="4" t="str">
        <f>HYPERLINK("http://141.218.60.56/~jnz1568/getInfo.php?workbook=02_02.xlsx&amp;sheet=U0&amp;row=86&amp;col=8&amp;number=3.699&amp;sourceID=29","3.699")</f>
        <v>3.699</v>
      </c>
      <c r="I86" s="4" t="str">
        <f>HYPERLINK("http://141.218.60.56/~jnz1568/getInfo.php?workbook=02_02.xlsx&amp;sheet=U0&amp;row=86&amp;col=9&amp;number=1.454&amp;sourceID=1","1.454")</f>
        <v>1.454</v>
      </c>
    </row>
    <row r="87" spans="1:9">
      <c r="A87" s="3"/>
      <c r="B87" s="3"/>
      <c r="C87" s="3"/>
      <c r="D87" s="3"/>
      <c r="E87" s="3">
        <v>3</v>
      </c>
      <c r="F87" s="4" t="str">
        <f>HYPERLINK("http://141.218.60.56/~jnz1568/getInfo.php?workbook=02_02.xlsx&amp;sheet=U0&amp;row=87&amp;col=6&amp;number=4.25&amp;sourceID=28","4.25")</f>
        <v>4.25</v>
      </c>
      <c r="G87" s="4" t="str">
        <f>HYPERLINK("http://141.218.60.56/~jnz1568/getInfo.php?workbook=02_02.xlsx&amp;sheet=U0&amp;row=87&amp;col=7&amp;number=4.507&amp;sourceID=1","4.507")</f>
        <v>4.507</v>
      </c>
      <c r="H87" s="4" t="str">
        <f>HYPERLINK("http://141.218.60.56/~jnz1568/getInfo.php?workbook=02_02.xlsx&amp;sheet=U0&amp;row=87&amp;col=8&amp;number=4&amp;sourceID=29","4")</f>
        <v>4</v>
      </c>
      <c r="I87" s="4" t="str">
        <f>HYPERLINK("http://141.218.60.56/~jnz1568/getInfo.php?workbook=02_02.xlsx&amp;sheet=U0&amp;row=87&amp;col=9&amp;number=2.068&amp;sourceID=1","2.068")</f>
        <v>2.068</v>
      </c>
    </row>
    <row r="88" spans="1:9">
      <c r="A88" s="3"/>
      <c r="B88" s="3"/>
      <c r="C88" s="3"/>
      <c r="D88" s="3"/>
      <c r="E88" s="3">
        <v>4</v>
      </c>
      <c r="F88" s="4" t="str">
        <f>HYPERLINK("http://141.218.60.56/~jnz1568/getInfo.php?workbook=02_02.xlsx&amp;sheet=U0&amp;row=88&amp;col=6&amp;number=4.5&amp;sourceID=28","4.5")</f>
        <v>4.5</v>
      </c>
      <c r="G88" s="4" t="str">
        <f>HYPERLINK("http://141.218.60.56/~jnz1568/getInfo.php?workbook=02_02.xlsx&amp;sheet=U0&amp;row=88&amp;col=7&amp;number=4.321&amp;sourceID=1","4.321")</f>
        <v>4.321</v>
      </c>
      <c r="H88" s="4" t="str">
        <f>HYPERLINK("http://141.218.60.56/~jnz1568/getInfo.php?workbook=02_02.xlsx&amp;sheet=U0&amp;row=88&amp;col=8&amp;number=4.176&amp;sourceID=29","4.176")</f>
        <v>4.176</v>
      </c>
      <c r="I88" s="4" t="str">
        <f>HYPERLINK("http://141.218.60.56/~jnz1568/getInfo.php?workbook=02_02.xlsx&amp;sheet=U0&amp;row=88&amp;col=9&amp;number=2.396&amp;sourceID=1","2.396")</f>
        <v>2.396</v>
      </c>
    </row>
    <row r="89" spans="1:9">
      <c r="A89" s="3"/>
      <c r="B89" s="3"/>
      <c r="C89" s="3"/>
      <c r="D89" s="3"/>
      <c r="E89" s="3">
        <v>5</v>
      </c>
      <c r="F89" s="4" t="str">
        <f>HYPERLINK("http://141.218.60.56/~jnz1568/getInfo.php?workbook=02_02.xlsx&amp;sheet=U0&amp;row=89&amp;col=6&amp;number=4.75&amp;sourceID=28","4.75")</f>
        <v>4.75</v>
      </c>
      <c r="G89" s="4" t="str">
        <f>HYPERLINK("http://141.218.60.56/~jnz1568/getInfo.php?workbook=02_02.xlsx&amp;sheet=U0&amp;row=89&amp;col=7&amp;number=3.8&amp;sourceID=1","3.8")</f>
        <v>3.8</v>
      </c>
      <c r="H89" s="4" t="str">
        <f>HYPERLINK("http://141.218.60.56/~jnz1568/getInfo.php?workbook=02_02.xlsx&amp;sheet=U0&amp;row=89&amp;col=8&amp;number=4.301&amp;sourceID=29","4.301")</f>
        <v>4.301</v>
      </c>
      <c r="I89" s="4" t="str">
        <f>HYPERLINK("http://141.218.60.56/~jnz1568/getInfo.php?workbook=02_02.xlsx&amp;sheet=U0&amp;row=89&amp;col=9&amp;number=2.593&amp;sourceID=1","2.593")</f>
        <v>2.593</v>
      </c>
    </row>
    <row r="90" spans="1:9">
      <c r="A90" s="3"/>
      <c r="B90" s="3"/>
      <c r="C90" s="3"/>
      <c r="D90" s="3"/>
      <c r="E90" s="3">
        <v>6</v>
      </c>
      <c r="F90" s="4" t="str">
        <f>HYPERLINK("http://141.218.60.56/~jnz1568/getInfo.php?workbook=02_02.xlsx&amp;sheet=U0&amp;row=90&amp;col=6&amp;number=5&amp;sourceID=28","5")</f>
        <v>5</v>
      </c>
      <c r="G90" s="4" t="str">
        <f>HYPERLINK("http://141.218.60.56/~jnz1568/getInfo.php?workbook=02_02.xlsx&amp;sheet=U0&amp;row=90&amp;col=7&amp;number=3.135&amp;sourceID=1","3.135")</f>
        <v>3.135</v>
      </c>
      <c r="H90" s="4" t="str">
        <f>HYPERLINK("http://141.218.60.56/~jnz1568/getInfo.php?workbook=02_02.xlsx&amp;sheet=U0&amp;row=90&amp;col=8&amp;number=4.398&amp;sourceID=29","4.398")</f>
        <v>4.398</v>
      </c>
      <c r="I90" s="4" t="str">
        <f>HYPERLINK("http://141.218.60.56/~jnz1568/getInfo.php?workbook=02_02.xlsx&amp;sheet=U0&amp;row=90&amp;col=9&amp;number=2.719&amp;sourceID=1","2.719")</f>
        <v>2.719</v>
      </c>
    </row>
    <row r="91" spans="1:9">
      <c r="A91" s="3"/>
      <c r="B91" s="3"/>
      <c r="C91" s="3"/>
      <c r="D91" s="3"/>
      <c r="E91" s="3">
        <v>7</v>
      </c>
      <c r="F91" s="4" t="str">
        <f>HYPERLINK("http://141.218.60.56/~jnz1568/getInfo.php?workbook=02_02.xlsx&amp;sheet=U0&amp;row=91&amp;col=6&amp;number=5.25&amp;sourceID=28","5.25")</f>
        <v>5.25</v>
      </c>
      <c r="G91" s="4" t="str">
        <f>HYPERLINK("http://141.218.60.56/~jnz1568/getInfo.php?workbook=02_02.xlsx&amp;sheet=U0&amp;row=91&amp;col=7&amp;number=2.464&amp;sourceID=1","2.464")</f>
        <v>2.464</v>
      </c>
      <c r="H91" s="4" t="str">
        <f>HYPERLINK("http://141.218.60.56/~jnz1568/getInfo.php?workbook=02_02.xlsx&amp;sheet=U0&amp;row=91&amp;col=8&amp;number=4.477&amp;sourceID=29","4.477")</f>
        <v>4.477</v>
      </c>
      <c r="I91" s="4" t="str">
        <f>HYPERLINK("http://141.218.60.56/~jnz1568/getInfo.php?workbook=02_02.xlsx&amp;sheet=U0&amp;row=91&amp;col=9&amp;number=2.797&amp;sourceID=1","2.797")</f>
        <v>2.797</v>
      </c>
    </row>
    <row r="92" spans="1:9">
      <c r="A92" s="3"/>
      <c r="B92" s="3"/>
      <c r="C92" s="3"/>
      <c r="D92" s="3"/>
      <c r="E92" s="3">
        <v>8</v>
      </c>
      <c r="F92" s="4" t="str">
        <f>HYPERLINK("http://141.218.60.56/~jnz1568/getInfo.php?workbook=02_02.xlsx&amp;sheet=U0&amp;row=92&amp;col=6&amp;number=5.5&amp;sourceID=28","5.5")</f>
        <v>5.5</v>
      </c>
      <c r="G92" s="4" t="str">
        <f>HYPERLINK("http://141.218.60.56/~jnz1568/getInfo.php?workbook=02_02.xlsx&amp;sheet=U0&amp;row=92&amp;col=7&amp;number=1.857&amp;sourceID=1","1.857")</f>
        <v>1.857</v>
      </c>
      <c r="H92" s="4" t="str">
        <f>HYPERLINK("http://141.218.60.56/~jnz1568/getInfo.php?workbook=02_02.xlsx&amp;sheet=U0&amp;row=92&amp;col=8&amp;number=&amp;sourceID=29","")</f>
        <v/>
      </c>
      <c r="I92" s="4" t="str">
        <f>HYPERLINK("http://141.218.60.56/~jnz1568/getInfo.php?workbook=02_02.xlsx&amp;sheet=U0&amp;row=92&amp;col=9&amp;number=&amp;sourceID=1","")</f>
        <v/>
      </c>
    </row>
    <row r="93" spans="1:9">
      <c r="A93" s="3"/>
      <c r="B93" s="3"/>
      <c r="C93" s="3"/>
      <c r="D93" s="3"/>
      <c r="E93" s="3">
        <v>9</v>
      </c>
      <c r="F93" s="4" t="str">
        <f>HYPERLINK("http://141.218.60.56/~jnz1568/getInfo.php?workbook=02_02.xlsx&amp;sheet=U0&amp;row=93&amp;col=6&amp;number=5.75&amp;sourceID=28","5.75")</f>
        <v>5.75</v>
      </c>
      <c r="G93" s="4" t="str">
        <f>HYPERLINK("http://141.218.60.56/~jnz1568/getInfo.php?workbook=02_02.xlsx&amp;sheet=U0&amp;row=93&amp;col=7&amp;number=1.346&amp;sourceID=1","1.346")</f>
        <v>1.346</v>
      </c>
      <c r="H93" s="4" t="str">
        <f>HYPERLINK("http://141.218.60.56/~jnz1568/getInfo.php?workbook=02_02.xlsx&amp;sheet=U0&amp;row=93&amp;col=8&amp;number=&amp;sourceID=29","")</f>
        <v/>
      </c>
      <c r="I93" s="4" t="str">
        <f>HYPERLINK("http://141.218.60.56/~jnz1568/getInfo.php?workbook=02_02.xlsx&amp;sheet=U0&amp;row=93&amp;col=9&amp;number=&amp;sourceID=1","")</f>
        <v/>
      </c>
    </row>
    <row r="94" spans="1:9">
      <c r="A94" s="3">
        <v>2</v>
      </c>
      <c r="B94" s="3">
        <v>2</v>
      </c>
      <c r="C94" s="3">
        <v>6</v>
      </c>
      <c r="D94" s="3">
        <v>1</v>
      </c>
      <c r="E94" s="3">
        <v>1</v>
      </c>
      <c r="F94" s="4" t="str">
        <f>HYPERLINK("http://141.218.60.56/~jnz1568/getInfo.php?workbook=02_02.xlsx&amp;sheet=U0&amp;row=94&amp;col=6&amp;number=3.75&amp;sourceID=28","3.75")</f>
        <v>3.75</v>
      </c>
      <c r="G94" s="4" t="str">
        <f>HYPERLINK("http://141.218.60.56/~jnz1568/getInfo.php?workbook=02_02.xlsx&amp;sheet=U0&amp;row=94&amp;col=7&amp;number=0.01642&amp;sourceID=1","0.01642")</f>
        <v>0.01642</v>
      </c>
      <c r="H94" s="4" t="str">
        <f>HYPERLINK("http://141.218.60.56/~jnz1568/getInfo.php?workbook=02_02.xlsx&amp;sheet=U0&amp;row=94&amp;col=8&amp;number=3.301&amp;sourceID=29","3.301")</f>
        <v>3.301</v>
      </c>
      <c r="I94" s="4" t="str">
        <f>HYPERLINK("http://141.218.60.56/~jnz1568/getInfo.php?workbook=02_02.xlsx&amp;sheet=U0&amp;row=94&amp;col=9&amp;number=0.01603&amp;sourceID=1","0.01603")</f>
        <v>0.01603</v>
      </c>
    </row>
    <row r="95" spans="1:9">
      <c r="A95" s="3"/>
      <c r="B95" s="3"/>
      <c r="C95" s="3"/>
      <c r="D95" s="3"/>
      <c r="E95" s="3">
        <v>2</v>
      </c>
      <c r="F95" s="4" t="str">
        <f>HYPERLINK("http://141.218.60.56/~jnz1568/getInfo.php?workbook=02_02.xlsx&amp;sheet=U0&amp;row=95&amp;col=6&amp;number=4&amp;sourceID=28","4")</f>
        <v>4</v>
      </c>
      <c r="G95" s="4" t="str">
        <f>HYPERLINK("http://141.218.60.56/~jnz1568/getInfo.php?workbook=02_02.xlsx&amp;sheet=U0&amp;row=95&amp;col=7&amp;number=0.01584&amp;sourceID=1","0.01584")</f>
        <v>0.01584</v>
      </c>
      <c r="H95" s="4" t="str">
        <f>HYPERLINK("http://141.218.60.56/~jnz1568/getInfo.php?workbook=02_02.xlsx&amp;sheet=U0&amp;row=95&amp;col=8&amp;number=3.699&amp;sourceID=29","3.699")</f>
        <v>3.699</v>
      </c>
      <c r="I95" s="4" t="str">
        <f>HYPERLINK("http://141.218.60.56/~jnz1568/getInfo.php?workbook=02_02.xlsx&amp;sheet=U0&amp;row=95&amp;col=9&amp;number=0.01612&amp;sourceID=1","0.01612")</f>
        <v>0.01612</v>
      </c>
    </row>
    <row r="96" spans="1:9">
      <c r="A96" s="3"/>
      <c r="B96" s="3"/>
      <c r="C96" s="3"/>
      <c r="D96" s="3"/>
      <c r="E96" s="3">
        <v>3</v>
      </c>
      <c r="F96" s="4" t="str">
        <f>HYPERLINK("http://141.218.60.56/~jnz1568/getInfo.php?workbook=02_02.xlsx&amp;sheet=U0&amp;row=96&amp;col=6&amp;number=4.25&amp;sourceID=28","4.25")</f>
        <v>4.25</v>
      </c>
      <c r="G96" s="4" t="str">
        <f>HYPERLINK("http://141.218.60.56/~jnz1568/getInfo.php?workbook=02_02.xlsx&amp;sheet=U0&amp;row=96&amp;col=7&amp;number=0.0153&amp;sourceID=1","0.0153")</f>
        <v>0.0153</v>
      </c>
      <c r="H96" s="4" t="str">
        <f>HYPERLINK("http://141.218.60.56/~jnz1568/getInfo.php?workbook=02_02.xlsx&amp;sheet=U0&amp;row=96&amp;col=8&amp;number=4&amp;sourceID=29","4")</f>
        <v>4</v>
      </c>
      <c r="I96" s="4" t="str">
        <f>HYPERLINK("http://141.218.60.56/~jnz1568/getInfo.php?workbook=02_02.xlsx&amp;sheet=U0&amp;row=96&amp;col=9&amp;number=0.01596&amp;sourceID=1","0.01596")</f>
        <v>0.01596</v>
      </c>
    </row>
    <row r="97" spans="1:9">
      <c r="A97" s="3"/>
      <c r="B97" s="3"/>
      <c r="C97" s="3"/>
      <c r="D97" s="3"/>
      <c r="E97" s="3">
        <v>4</v>
      </c>
      <c r="F97" s="4" t="str">
        <f>HYPERLINK("http://141.218.60.56/~jnz1568/getInfo.php?workbook=02_02.xlsx&amp;sheet=U0&amp;row=97&amp;col=6&amp;number=4.5&amp;sourceID=28","4.5")</f>
        <v>4.5</v>
      </c>
      <c r="G97" s="4" t="str">
        <f>HYPERLINK("http://141.218.60.56/~jnz1568/getInfo.php?workbook=02_02.xlsx&amp;sheet=U0&amp;row=97&amp;col=7&amp;number=0.01486&amp;sourceID=1","0.01486")</f>
        <v>0.01486</v>
      </c>
      <c r="H97" s="4" t="str">
        <f>HYPERLINK("http://141.218.60.56/~jnz1568/getInfo.php?workbook=02_02.xlsx&amp;sheet=U0&amp;row=97&amp;col=8&amp;number=4.176&amp;sourceID=29","4.176")</f>
        <v>4.176</v>
      </c>
      <c r="I97" s="4" t="str">
        <f>HYPERLINK("http://141.218.60.56/~jnz1568/getInfo.php?workbook=02_02.xlsx&amp;sheet=U0&amp;row=97&amp;col=9&amp;number=0.01636&amp;sourceID=1","0.01636")</f>
        <v>0.01636</v>
      </c>
    </row>
    <row r="98" spans="1:9">
      <c r="A98" s="3"/>
      <c r="B98" s="3"/>
      <c r="C98" s="3"/>
      <c r="D98" s="3"/>
      <c r="E98" s="3">
        <v>5</v>
      </c>
      <c r="F98" s="4" t="str">
        <f>HYPERLINK("http://141.218.60.56/~jnz1568/getInfo.php?workbook=02_02.xlsx&amp;sheet=U0&amp;row=98&amp;col=6&amp;number=4.75&amp;sourceID=28","4.75")</f>
        <v>4.75</v>
      </c>
      <c r="G98" s="4" t="str">
        <f>HYPERLINK("http://141.218.60.56/~jnz1568/getInfo.php?workbook=02_02.xlsx&amp;sheet=U0&amp;row=98&amp;col=7&amp;number=0.01434&amp;sourceID=1","0.01434")</f>
        <v>0.01434</v>
      </c>
      <c r="H98" s="4" t="str">
        <f>HYPERLINK("http://141.218.60.56/~jnz1568/getInfo.php?workbook=02_02.xlsx&amp;sheet=U0&amp;row=98&amp;col=8&amp;number=4.301&amp;sourceID=29","4.301")</f>
        <v>4.301</v>
      </c>
      <c r="I98" s="4" t="str">
        <f>HYPERLINK("http://141.218.60.56/~jnz1568/getInfo.php?workbook=02_02.xlsx&amp;sheet=U0&amp;row=98&amp;col=9&amp;number=0.01691&amp;sourceID=1","0.01691")</f>
        <v>0.01691</v>
      </c>
    </row>
    <row r="99" spans="1:9">
      <c r="A99" s="3"/>
      <c r="B99" s="3"/>
      <c r="C99" s="3"/>
      <c r="D99" s="3"/>
      <c r="E99" s="3">
        <v>6</v>
      </c>
      <c r="F99" s="4" t="str">
        <f>HYPERLINK("http://141.218.60.56/~jnz1568/getInfo.php?workbook=02_02.xlsx&amp;sheet=U0&amp;row=99&amp;col=6&amp;number=5&amp;sourceID=28","5")</f>
        <v>5</v>
      </c>
      <c r="G99" s="4" t="str">
        <f>HYPERLINK("http://141.218.60.56/~jnz1568/getInfo.php?workbook=02_02.xlsx&amp;sheet=U0&amp;row=99&amp;col=7&amp;number=0.01346&amp;sourceID=1","0.01346")</f>
        <v>0.01346</v>
      </c>
      <c r="H99" s="4" t="str">
        <f>HYPERLINK("http://141.218.60.56/~jnz1568/getInfo.php?workbook=02_02.xlsx&amp;sheet=U0&amp;row=99&amp;col=8&amp;number=4.398&amp;sourceID=29","4.398")</f>
        <v>4.398</v>
      </c>
      <c r="I99" s="4" t="str">
        <f>HYPERLINK("http://141.218.60.56/~jnz1568/getInfo.php?workbook=02_02.xlsx&amp;sheet=U0&amp;row=99&amp;col=9&amp;number=0.01737&amp;sourceID=1","0.01737")</f>
        <v>0.01737</v>
      </c>
    </row>
    <row r="100" spans="1:9">
      <c r="A100" s="3"/>
      <c r="B100" s="3"/>
      <c r="C100" s="3"/>
      <c r="D100" s="3"/>
      <c r="E100" s="3">
        <v>7</v>
      </c>
      <c r="F100" s="4" t="str">
        <f>HYPERLINK("http://141.218.60.56/~jnz1568/getInfo.php?workbook=02_02.xlsx&amp;sheet=U0&amp;row=100&amp;col=6&amp;number=5.25&amp;sourceID=28","5.25")</f>
        <v>5.25</v>
      </c>
      <c r="G100" s="4" t="str">
        <f>HYPERLINK("http://141.218.60.56/~jnz1568/getInfo.php?workbook=02_02.xlsx&amp;sheet=U0&amp;row=100&amp;col=7&amp;number=0.01198&amp;sourceID=1","0.01198")</f>
        <v>0.01198</v>
      </c>
      <c r="H100" s="4" t="str">
        <f>HYPERLINK("http://141.218.60.56/~jnz1568/getInfo.php?workbook=02_02.xlsx&amp;sheet=U0&amp;row=100&amp;col=8&amp;number=4.477&amp;sourceID=29","4.477")</f>
        <v>4.477</v>
      </c>
      <c r="I100" s="4" t="str">
        <f>HYPERLINK("http://141.218.60.56/~jnz1568/getInfo.php?workbook=02_02.xlsx&amp;sheet=U0&amp;row=100&amp;col=9&amp;number=0.01766&amp;sourceID=1","0.01766")</f>
        <v>0.01766</v>
      </c>
    </row>
    <row r="101" spans="1:9">
      <c r="A101" s="3"/>
      <c r="B101" s="3"/>
      <c r="C101" s="3"/>
      <c r="D101" s="3"/>
      <c r="E101" s="3">
        <v>8</v>
      </c>
      <c r="F101" s="4" t="str">
        <f>HYPERLINK("http://141.218.60.56/~jnz1568/getInfo.php?workbook=02_02.xlsx&amp;sheet=U0&amp;row=101&amp;col=6&amp;number=5.5&amp;sourceID=28","5.5")</f>
        <v>5.5</v>
      </c>
      <c r="G101" s="4" t="str">
        <f>HYPERLINK("http://141.218.60.56/~jnz1568/getInfo.php?workbook=02_02.xlsx&amp;sheet=U0&amp;row=101&amp;col=7&amp;number=0.009968&amp;sourceID=1","0.009968")</f>
        <v>0.009968</v>
      </c>
      <c r="H101" s="4" t="str">
        <f>HYPERLINK("http://141.218.60.56/~jnz1568/getInfo.php?workbook=02_02.xlsx&amp;sheet=U0&amp;row=101&amp;col=8&amp;number=&amp;sourceID=29","")</f>
        <v/>
      </c>
      <c r="I101" s="4" t="str">
        <f>HYPERLINK("http://141.218.60.56/~jnz1568/getInfo.php?workbook=02_02.xlsx&amp;sheet=U0&amp;row=101&amp;col=9&amp;number=&amp;sourceID=1","")</f>
        <v/>
      </c>
    </row>
    <row r="102" spans="1:9">
      <c r="A102" s="3"/>
      <c r="B102" s="3"/>
      <c r="C102" s="3"/>
      <c r="D102" s="3"/>
      <c r="E102" s="3">
        <v>9</v>
      </c>
      <c r="F102" s="4" t="str">
        <f>HYPERLINK("http://141.218.60.56/~jnz1568/getInfo.php?workbook=02_02.xlsx&amp;sheet=U0&amp;row=102&amp;col=6&amp;number=5.75&amp;sourceID=28","5.75")</f>
        <v>5.75</v>
      </c>
      <c r="G102" s="4" t="str">
        <f>HYPERLINK("http://141.218.60.56/~jnz1568/getInfo.php?workbook=02_02.xlsx&amp;sheet=U0&amp;row=102&amp;col=7&amp;number=0.007741&amp;sourceID=1","0.007741")</f>
        <v>0.007741</v>
      </c>
      <c r="H102" s="4" t="str">
        <f>HYPERLINK("http://141.218.60.56/~jnz1568/getInfo.php?workbook=02_02.xlsx&amp;sheet=U0&amp;row=102&amp;col=8&amp;number=&amp;sourceID=29","")</f>
        <v/>
      </c>
      <c r="I102" s="4" t="str">
        <f>HYPERLINK("http://141.218.60.56/~jnz1568/getInfo.php?workbook=02_02.xlsx&amp;sheet=U0&amp;row=102&amp;col=9&amp;number=&amp;sourceID=1","")</f>
        <v/>
      </c>
    </row>
    <row r="103" spans="1:9">
      <c r="A103" s="3">
        <v>2</v>
      </c>
      <c r="B103" s="3">
        <v>2</v>
      </c>
      <c r="C103" s="3">
        <v>6</v>
      </c>
      <c r="D103" s="3">
        <v>2</v>
      </c>
      <c r="E103" s="3">
        <v>1</v>
      </c>
      <c r="F103" s="4" t="str">
        <f>HYPERLINK("http://141.218.60.56/~jnz1568/getInfo.php?workbook=02_02.xlsx&amp;sheet=U0&amp;row=103&amp;col=6&amp;number=3.75&amp;sourceID=28","3.75")</f>
        <v>3.75</v>
      </c>
      <c r="G103" s="4" t="str">
        <f>HYPERLINK("http://141.218.60.56/~jnz1568/getInfo.php?workbook=02_02.xlsx&amp;sheet=U0&amp;row=103&amp;col=7&amp;number=2.41&amp;sourceID=1","2.41")</f>
        <v>2.41</v>
      </c>
      <c r="H103" s="4" t="str">
        <f>HYPERLINK("http://141.218.60.56/~jnz1568/getInfo.php?workbook=02_02.xlsx&amp;sheet=U0&amp;row=103&amp;col=8&amp;number=3.301&amp;sourceID=29","3.301")</f>
        <v>3.301</v>
      </c>
      <c r="I103" s="4" t="str">
        <f>HYPERLINK("http://141.218.60.56/~jnz1568/getInfo.php?workbook=02_02.xlsx&amp;sheet=U0&amp;row=103&amp;col=9&amp;number=2.776&amp;sourceID=1","2.776")</f>
        <v>2.776</v>
      </c>
    </row>
    <row r="104" spans="1:9">
      <c r="A104" s="3"/>
      <c r="B104" s="3"/>
      <c r="C104" s="3"/>
      <c r="D104" s="3"/>
      <c r="E104" s="3">
        <v>2</v>
      </c>
      <c r="F104" s="4" t="str">
        <f>HYPERLINK("http://141.218.60.56/~jnz1568/getInfo.php?workbook=02_02.xlsx&amp;sheet=U0&amp;row=104&amp;col=6&amp;number=4&amp;sourceID=28","4")</f>
        <v>4</v>
      </c>
      <c r="G104" s="4" t="str">
        <f>HYPERLINK("http://141.218.60.56/~jnz1568/getInfo.php?workbook=02_02.xlsx&amp;sheet=U0&amp;row=104&amp;col=7&amp;number=2.286&amp;sourceID=1","2.286")</f>
        <v>2.286</v>
      </c>
      <c r="H104" s="4" t="str">
        <f>HYPERLINK("http://141.218.60.56/~jnz1568/getInfo.php?workbook=02_02.xlsx&amp;sheet=U0&amp;row=104&amp;col=8&amp;number=3.699&amp;sourceID=29","3.699")</f>
        <v>3.699</v>
      </c>
      <c r="I104" s="4" t="str">
        <f>HYPERLINK("http://141.218.60.56/~jnz1568/getInfo.php?workbook=02_02.xlsx&amp;sheet=U0&amp;row=104&amp;col=9&amp;number=2.596&amp;sourceID=1","2.596")</f>
        <v>2.596</v>
      </c>
    </row>
    <row r="105" spans="1:9">
      <c r="A105" s="3"/>
      <c r="B105" s="3"/>
      <c r="C105" s="3"/>
      <c r="D105" s="3"/>
      <c r="E105" s="3">
        <v>3</v>
      </c>
      <c r="F105" s="4" t="str">
        <f>HYPERLINK("http://141.218.60.56/~jnz1568/getInfo.php?workbook=02_02.xlsx&amp;sheet=U0&amp;row=105&amp;col=6&amp;number=4.25&amp;sourceID=28","4.25")</f>
        <v>4.25</v>
      </c>
      <c r="G105" s="4" t="str">
        <f>HYPERLINK("http://141.218.60.56/~jnz1568/getInfo.php?workbook=02_02.xlsx&amp;sheet=U0&amp;row=105&amp;col=7&amp;number=2.235&amp;sourceID=1","2.235")</f>
        <v>2.235</v>
      </c>
      <c r="H105" s="4" t="str">
        <f>HYPERLINK("http://141.218.60.56/~jnz1568/getInfo.php?workbook=02_02.xlsx&amp;sheet=U0&amp;row=105&amp;col=8&amp;number=4&amp;sourceID=29","4")</f>
        <v>4</v>
      </c>
      <c r="I105" s="4" t="str">
        <f>HYPERLINK("http://141.218.60.56/~jnz1568/getInfo.php?workbook=02_02.xlsx&amp;sheet=U0&amp;row=105&amp;col=9&amp;number=2.393&amp;sourceID=1","2.393")</f>
        <v>2.393</v>
      </c>
    </row>
    <row r="106" spans="1:9">
      <c r="A106" s="3"/>
      <c r="B106" s="3"/>
      <c r="C106" s="3"/>
      <c r="D106" s="3"/>
      <c r="E106" s="3">
        <v>4</v>
      </c>
      <c r="F106" s="4" t="str">
        <f>HYPERLINK("http://141.218.60.56/~jnz1568/getInfo.php?workbook=02_02.xlsx&amp;sheet=U0&amp;row=106&amp;col=6&amp;number=4.5&amp;sourceID=28","4.5")</f>
        <v>4.5</v>
      </c>
      <c r="G106" s="4" t="str">
        <f>HYPERLINK("http://141.218.60.56/~jnz1568/getInfo.php?workbook=02_02.xlsx&amp;sheet=U0&amp;row=106&amp;col=7&amp;number=2.37&amp;sourceID=1","2.37")</f>
        <v>2.37</v>
      </c>
      <c r="H106" s="4" t="str">
        <f>HYPERLINK("http://141.218.60.56/~jnz1568/getInfo.php?workbook=02_02.xlsx&amp;sheet=U0&amp;row=106&amp;col=8&amp;number=4.176&amp;sourceID=29","4.176")</f>
        <v>4.176</v>
      </c>
      <c r="I106" s="4" t="str">
        <f>HYPERLINK("http://141.218.60.56/~jnz1568/getInfo.php?workbook=02_02.xlsx&amp;sheet=U0&amp;row=106&amp;col=9&amp;number=2.373&amp;sourceID=1","2.373")</f>
        <v>2.373</v>
      </c>
    </row>
    <row r="107" spans="1:9">
      <c r="A107" s="3"/>
      <c r="B107" s="3"/>
      <c r="C107" s="3"/>
      <c r="D107" s="3"/>
      <c r="E107" s="3">
        <v>5</v>
      </c>
      <c r="F107" s="4" t="str">
        <f>HYPERLINK("http://141.218.60.56/~jnz1568/getInfo.php?workbook=02_02.xlsx&amp;sheet=U0&amp;row=107&amp;col=6&amp;number=4.75&amp;sourceID=28","4.75")</f>
        <v>4.75</v>
      </c>
      <c r="G107" s="4" t="str">
        <f>HYPERLINK("http://141.218.60.56/~jnz1568/getInfo.php?workbook=02_02.xlsx&amp;sheet=U0&amp;row=107&amp;col=7&amp;number=2.761&amp;sourceID=1","2.761")</f>
        <v>2.761</v>
      </c>
      <c r="H107" s="4" t="str">
        <f>HYPERLINK("http://141.218.60.56/~jnz1568/getInfo.php?workbook=02_02.xlsx&amp;sheet=U0&amp;row=107&amp;col=8&amp;number=4.301&amp;sourceID=29","4.301")</f>
        <v>4.301</v>
      </c>
      <c r="I107" s="4" t="str">
        <f>HYPERLINK("http://141.218.60.56/~jnz1568/getInfo.php?workbook=02_02.xlsx&amp;sheet=U0&amp;row=107&amp;col=9&amp;number=2.44&amp;sourceID=1","2.44")</f>
        <v>2.44</v>
      </c>
    </row>
    <row r="108" spans="1:9">
      <c r="A108" s="3"/>
      <c r="B108" s="3"/>
      <c r="C108" s="3"/>
      <c r="D108" s="3"/>
      <c r="E108" s="3">
        <v>6</v>
      </c>
      <c r="F108" s="4" t="str">
        <f>HYPERLINK("http://141.218.60.56/~jnz1568/getInfo.php?workbook=02_02.xlsx&amp;sheet=U0&amp;row=108&amp;col=6&amp;number=5&amp;sourceID=28","5")</f>
        <v>5</v>
      </c>
      <c r="G108" s="4" t="str">
        <f>HYPERLINK("http://141.218.60.56/~jnz1568/getInfo.php?workbook=02_02.xlsx&amp;sheet=U0&amp;row=108&amp;col=7&amp;number=3.397&amp;sourceID=1","3.397")</f>
        <v>3.397</v>
      </c>
      <c r="H108" s="4" t="str">
        <f>HYPERLINK("http://141.218.60.56/~jnz1568/getInfo.php?workbook=02_02.xlsx&amp;sheet=U0&amp;row=108&amp;col=8&amp;number=4.398&amp;sourceID=29","4.398")</f>
        <v>4.398</v>
      </c>
      <c r="I108" s="4" t="str">
        <f>HYPERLINK("http://141.218.60.56/~jnz1568/getInfo.php?workbook=02_02.xlsx&amp;sheet=U0&amp;row=108&amp;col=9&amp;number=2.537&amp;sourceID=1","2.537")</f>
        <v>2.537</v>
      </c>
    </row>
    <row r="109" spans="1:9">
      <c r="A109" s="3"/>
      <c r="B109" s="3"/>
      <c r="C109" s="3"/>
      <c r="D109" s="3"/>
      <c r="E109" s="3">
        <v>7</v>
      </c>
      <c r="F109" s="4" t="str">
        <f>HYPERLINK("http://141.218.60.56/~jnz1568/getInfo.php?workbook=02_02.xlsx&amp;sheet=U0&amp;row=109&amp;col=6&amp;number=5.25&amp;sourceID=28","5.25")</f>
        <v>5.25</v>
      </c>
      <c r="G109" s="4" t="str">
        <f>HYPERLINK("http://141.218.60.56/~jnz1568/getInfo.php?workbook=02_02.xlsx&amp;sheet=U0&amp;row=109&amp;col=7&amp;number=4.187&amp;sourceID=1","4.187")</f>
        <v>4.187</v>
      </c>
      <c r="H109" s="4" t="str">
        <f>HYPERLINK("http://141.218.60.56/~jnz1568/getInfo.php?workbook=02_02.xlsx&amp;sheet=U0&amp;row=109&amp;col=8&amp;number=4.477&amp;sourceID=29","4.477")</f>
        <v>4.477</v>
      </c>
      <c r="I109" s="4" t="str">
        <f>HYPERLINK("http://141.218.60.56/~jnz1568/getInfo.php?workbook=02_02.xlsx&amp;sheet=U0&amp;row=109&amp;col=9&amp;number=2.63&amp;sourceID=1","2.63")</f>
        <v>2.63</v>
      </c>
    </row>
    <row r="110" spans="1:9">
      <c r="A110" s="3"/>
      <c r="B110" s="3"/>
      <c r="C110" s="3"/>
      <c r="D110" s="3"/>
      <c r="E110" s="3">
        <v>8</v>
      </c>
      <c r="F110" s="4" t="str">
        <f>HYPERLINK("http://141.218.60.56/~jnz1568/getInfo.php?workbook=02_02.xlsx&amp;sheet=U0&amp;row=110&amp;col=6&amp;number=5.5&amp;sourceID=28","5.5")</f>
        <v>5.5</v>
      </c>
      <c r="G110" s="4" t="str">
        <f>HYPERLINK("http://141.218.60.56/~jnz1568/getInfo.php?workbook=02_02.xlsx&amp;sheet=U0&amp;row=110&amp;col=7&amp;number=5.013&amp;sourceID=1","5.013")</f>
        <v>5.013</v>
      </c>
      <c r="H110" s="4" t="str">
        <f>HYPERLINK("http://141.218.60.56/~jnz1568/getInfo.php?workbook=02_02.xlsx&amp;sheet=U0&amp;row=110&amp;col=8&amp;number=&amp;sourceID=29","")</f>
        <v/>
      </c>
      <c r="I110" s="4" t="str">
        <f>HYPERLINK("http://141.218.60.56/~jnz1568/getInfo.php?workbook=02_02.xlsx&amp;sheet=U0&amp;row=110&amp;col=9&amp;number=&amp;sourceID=1","")</f>
        <v/>
      </c>
    </row>
    <row r="111" spans="1:9">
      <c r="A111" s="3"/>
      <c r="B111" s="3"/>
      <c r="C111" s="3"/>
      <c r="D111" s="3"/>
      <c r="E111" s="3">
        <v>9</v>
      </c>
      <c r="F111" s="4" t="str">
        <f>HYPERLINK("http://141.218.60.56/~jnz1568/getInfo.php?workbook=02_02.xlsx&amp;sheet=U0&amp;row=111&amp;col=6&amp;number=5.75&amp;sourceID=28","5.75")</f>
        <v>5.75</v>
      </c>
      <c r="G111" s="4" t="str">
        <f>HYPERLINK("http://141.218.60.56/~jnz1568/getInfo.php?workbook=02_02.xlsx&amp;sheet=U0&amp;row=111&amp;col=7&amp;number=5.755&amp;sourceID=1","5.755")</f>
        <v>5.755</v>
      </c>
      <c r="H111" s="4" t="str">
        <f>HYPERLINK("http://141.218.60.56/~jnz1568/getInfo.php?workbook=02_02.xlsx&amp;sheet=U0&amp;row=111&amp;col=8&amp;number=&amp;sourceID=29","")</f>
        <v/>
      </c>
      <c r="I111" s="4" t="str">
        <f>HYPERLINK("http://141.218.60.56/~jnz1568/getInfo.php?workbook=02_02.xlsx&amp;sheet=U0&amp;row=111&amp;col=9&amp;number=&amp;sourceID=1","")</f>
        <v/>
      </c>
    </row>
    <row r="112" spans="1:9">
      <c r="A112" s="3">
        <v>2</v>
      </c>
      <c r="B112" s="3">
        <v>2</v>
      </c>
      <c r="C112" s="3">
        <v>6</v>
      </c>
      <c r="D112" s="3">
        <v>3</v>
      </c>
      <c r="E112" s="3">
        <v>1</v>
      </c>
      <c r="F112" s="4" t="str">
        <f>HYPERLINK("http://141.218.60.56/~jnz1568/getInfo.php?workbook=02_02.xlsx&amp;sheet=U0&amp;row=112&amp;col=6&amp;number=3.75&amp;sourceID=28","3.75")</f>
        <v>3.75</v>
      </c>
      <c r="G112" s="4" t="str">
        <f>HYPERLINK("http://141.218.60.56/~jnz1568/getInfo.php?workbook=02_02.xlsx&amp;sheet=U0&amp;row=112&amp;col=7&amp;number=0.636&amp;sourceID=1","0.636")</f>
        <v>0.636</v>
      </c>
      <c r="H112" s="4" t="str">
        <f>HYPERLINK("http://141.218.60.56/~jnz1568/getInfo.php?workbook=02_02.xlsx&amp;sheet=U0&amp;row=112&amp;col=8&amp;number=3.301&amp;sourceID=29","3.301")</f>
        <v>3.301</v>
      </c>
      <c r="I112" s="4" t="str">
        <f>HYPERLINK("http://141.218.60.56/~jnz1568/getInfo.php?workbook=02_02.xlsx&amp;sheet=U0&amp;row=112&amp;col=9&amp;number=0.8376&amp;sourceID=1","0.8376")</f>
        <v>0.8376</v>
      </c>
    </row>
    <row r="113" spans="1:9">
      <c r="A113" s="3"/>
      <c r="B113" s="3"/>
      <c r="C113" s="3"/>
      <c r="D113" s="3"/>
      <c r="E113" s="3">
        <v>2</v>
      </c>
      <c r="F113" s="4" t="str">
        <f>HYPERLINK("http://141.218.60.56/~jnz1568/getInfo.php?workbook=02_02.xlsx&amp;sheet=U0&amp;row=113&amp;col=6&amp;number=4&amp;sourceID=28","4")</f>
        <v>4</v>
      </c>
      <c r="G113" s="4" t="str">
        <f>HYPERLINK("http://141.218.60.56/~jnz1568/getInfo.php?workbook=02_02.xlsx&amp;sheet=U0&amp;row=113&amp;col=7&amp;number=0.5308&amp;sourceID=1","0.5308")</f>
        <v>0.5308</v>
      </c>
      <c r="H113" s="4" t="str">
        <f>HYPERLINK("http://141.218.60.56/~jnz1568/getInfo.php?workbook=02_02.xlsx&amp;sheet=U0&amp;row=113&amp;col=8&amp;number=3.699&amp;sourceID=29","3.699")</f>
        <v>3.699</v>
      </c>
      <c r="I113" s="4" t="str">
        <f>HYPERLINK("http://141.218.60.56/~jnz1568/getInfo.php?workbook=02_02.xlsx&amp;sheet=U0&amp;row=113&amp;col=9&amp;number=0.7138&amp;sourceID=1","0.7138")</f>
        <v>0.7138</v>
      </c>
    </row>
    <row r="114" spans="1:9">
      <c r="A114" s="3"/>
      <c r="B114" s="3"/>
      <c r="C114" s="3"/>
      <c r="D114" s="3"/>
      <c r="E114" s="3">
        <v>3</v>
      </c>
      <c r="F114" s="4" t="str">
        <f>HYPERLINK("http://141.218.60.56/~jnz1568/getInfo.php?workbook=02_02.xlsx&amp;sheet=U0&amp;row=114&amp;col=6&amp;number=4.25&amp;sourceID=28","4.25")</f>
        <v>4.25</v>
      </c>
      <c r="G114" s="4" t="str">
        <f>HYPERLINK("http://141.218.60.56/~jnz1568/getInfo.php?workbook=02_02.xlsx&amp;sheet=U0&amp;row=114&amp;col=7&amp;number=0.4177&amp;sourceID=1","0.4177")</f>
        <v>0.4177</v>
      </c>
      <c r="H114" s="4" t="str">
        <f>HYPERLINK("http://141.218.60.56/~jnz1568/getInfo.php?workbook=02_02.xlsx&amp;sheet=U0&amp;row=114&amp;col=8&amp;number=4&amp;sourceID=29","4")</f>
        <v>4</v>
      </c>
      <c r="I114" s="4" t="str">
        <f>HYPERLINK("http://141.218.60.56/~jnz1568/getInfo.php?workbook=02_02.xlsx&amp;sheet=U0&amp;row=114&amp;col=9&amp;number=0.5668&amp;sourceID=1","0.5668")</f>
        <v>0.5668</v>
      </c>
    </row>
    <row r="115" spans="1:9">
      <c r="A115" s="3"/>
      <c r="B115" s="3"/>
      <c r="C115" s="3"/>
      <c r="D115" s="3"/>
      <c r="E115" s="3">
        <v>4</v>
      </c>
      <c r="F115" s="4" t="str">
        <f>HYPERLINK("http://141.218.60.56/~jnz1568/getInfo.php?workbook=02_02.xlsx&amp;sheet=U0&amp;row=115&amp;col=6&amp;number=4.5&amp;sourceID=28","4.5")</f>
        <v>4.5</v>
      </c>
      <c r="G115" s="4" t="str">
        <f>HYPERLINK("http://141.218.60.56/~jnz1568/getInfo.php?workbook=02_02.xlsx&amp;sheet=U0&amp;row=115&amp;col=7&amp;number=0.3131&amp;sourceID=1","0.3131")</f>
        <v>0.3131</v>
      </c>
      <c r="H115" s="4" t="str">
        <f>HYPERLINK("http://141.218.60.56/~jnz1568/getInfo.php?workbook=02_02.xlsx&amp;sheet=U0&amp;row=115&amp;col=8&amp;number=4.176&amp;sourceID=29","4.176")</f>
        <v>4.176</v>
      </c>
      <c r="I115" s="4" t="str">
        <f>HYPERLINK("http://141.218.60.56/~jnz1568/getInfo.php?workbook=02_02.xlsx&amp;sheet=U0&amp;row=115&amp;col=9&amp;number=0.4821&amp;sourceID=1","0.4821")</f>
        <v>0.4821</v>
      </c>
    </row>
    <row r="116" spans="1:9">
      <c r="A116" s="3"/>
      <c r="B116" s="3"/>
      <c r="C116" s="3"/>
      <c r="D116" s="3"/>
      <c r="E116" s="3">
        <v>5</v>
      </c>
      <c r="F116" s="4" t="str">
        <f>HYPERLINK("http://141.218.60.56/~jnz1568/getInfo.php?workbook=02_02.xlsx&amp;sheet=U0&amp;row=116&amp;col=6&amp;number=4.75&amp;sourceID=28","4.75")</f>
        <v>4.75</v>
      </c>
      <c r="G116" s="4" t="str">
        <f>HYPERLINK("http://141.218.60.56/~jnz1568/getInfo.php?workbook=02_02.xlsx&amp;sheet=U0&amp;row=116&amp;col=7&amp;number=0.2252&amp;sourceID=1","0.2252")</f>
        <v>0.2252</v>
      </c>
      <c r="H116" s="4" t="str">
        <f>HYPERLINK("http://141.218.60.56/~jnz1568/getInfo.php?workbook=02_02.xlsx&amp;sheet=U0&amp;row=116&amp;col=8&amp;number=4.301&amp;sourceID=29","4.301")</f>
        <v>4.301</v>
      </c>
      <c r="I116" s="4" t="str">
        <f>HYPERLINK("http://141.218.60.56/~jnz1568/getInfo.php?workbook=02_02.xlsx&amp;sheet=U0&amp;row=116&amp;col=9&amp;number=0.4266&amp;sourceID=1","0.4266")</f>
        <v>0.4266</v>
      </c>
    </row>
    <row r="117" spans="1:9">
      <c r="A117" s="3"/>
      <c r="B117" s="3"/>
      <c r="C117" s="3"/>
      <c r="D117" s="3"/>
      <c r="E117" s="3">
        <v>6</v>
      </c>
      <c r="F117" s="4" t="str">
        <f>HYPERLINK("http://141.218.60.56/~jnz1568/getInfo.php?workbook=02_02.xlsx&amp;sheet=U0&amp;row=117&amp;col=6&amp;number=5&amp;sourceID=28","5")</f>
        <v>5</v>
      </c>
      <c r="G117" s="4" t="str">
        <f>HYPERLINK("http://141.218.60.56/~jnz1568/getInfo.php?workbook=02_02.xlsx&amp;sheet=U0&amp;row=117&amp;col=7&amp;number=0.01566&amp;sourceID=1","0.01566")</f>
        <v>0.01566</v>
      </c>
      <c r="H117" s="4" t="str">
        <f>HYPERLINK("http://141.218.60.56/~jnz1568/getInfo.php?workbook=02_02.xlsx&amp;sheet=U0&amp;row=117&amp;col=8&amp;number=4.398&amp;sourceID=29","4.398")</f>
        <v>4.398</v>
      </c>
      <c r="I117" s="4" t="str">
        <f>HYPERLINK("http://141.218.60.56/~jnz1568/getInfo.php?workbook=02_02.xlsx&amp;sheet=U0&amp;row=117&amp;col=9&amp;number=0.3863&amp;sourceID=1","0.3863")</f>
        <v>0.3863</v>
      </c>
    </row>
    <row r="118" spans="1:9">
      <c r="A118" s="3"/>
      <c r="B118" s="3"/>
      <c r="C118" s="3"/>
      <c r="D118" s="3"/>
      <c r="E118" s="3">
        <v>7</v>
      </c>
      <c r="F118" s="4" t="str">
        <f>HYPERLINK("http://141.218.60.56/~jnz1568/getInfo.php?workbook=02_02.xlsx&amp;sheet=U0&amp;row=118&amp;col=6&amp;number=5.25&amp;sourceID=28","5.25")</f>
        <v>5.25</v>
      </c>
      <c r="G118" s="4" t="str">
        <f>HYPERLINK("http://141.218.60.56/~jnz1568/getInfo.php?workbook=02_02.xlsx&amp;sheet=U0&amp;row=118&amp;col=7&amp;number=0.01061&amp;sourceID=1","0.01061")</f>
        <v>0.01061</v>
      </c>
      <c r="H118" s="4" t="str">
        <f>HYPERLINK("http://141.218.60.56/~jnz1568/getInfo.php?workbook=02_02.xlsx&amp;sheet=U0&amp;row=118&amp;col=8&amp;number=4.477&amp;sourceID=29","4.477")</f>
        <v>4.477</v>
      </c>
      <c r="I118" s="4" t="str">
        <f>HYPERLINK("http://141.218.60.56/~jnz1568/getInfo.php?workbook=02_02.xlsx&amp;sheet=U0&amp;row=118&amp;col=9&amp;number=0.355&amp;sourceID=1","0.355")</f>
        <v>0.355</v>
      </c>
    </row>
    <row r="119" spans="1:9">
      <c r="A119" s="3"/>
      <c r="B119" s="3"/>
      <c r="C119" s="3"/>
      <c r="D119" s="3"/>
      <c r="E119" s="3">
        <v>8</v>
      </c>
      <c r="F119" s="4" t="str">
        <f>HYPERLINK("http://141.218.60.56/~jnz1568/getInfo.php?workbook=02_02.xlsx&amp;sheet=U0&amp;row=119&amp;col=6&amp;number=5.5&amp;sourceID=28","5.5")</f>
        <v>5.5</v>
      </c>
      <c r="G119" s="4" t="str">
        <f>HYPERLINK("http://141.218.60.56/~jnz1568/getInfo.php?workbook=02_02.xlsx&amp;sheet=U0&amp;row=119&amp;col=7&amp;number=0.07073&amp;sourceID=1","0.07073")</f>
        <v>0.07073</v>
      </c>
      <c r="H119" s="4" t="str">
        <f>HYPERLINK("http://141.218.60.56/~jnz1568/getInfo.php?workbook=02_02.xlsx&amp;sheet=U0&amp;row=119&amp;col=8&amp;number=&amp;sourceID=29","")</f>
        <v/>
      </c>
      <c r="I119" s="4" t="str">
        <f>HYPERLINK("http://141.218.60.56/~jnz1568/getInfo.php?workbook=02_02.xlsx&amp;sheet=U0&amp;row=119&amp;col=9&amp;number=&amp;sourceID=1","")</f>
        <v/>
      </c>
    </row>
    <row r="120" spans="1:9">
      <c r="A120" s="3"/>
      <c r="B120" s="3"/>
      <c r="C120" s="3"/>
      <c r="D120" s="3"/>
      <c r="E120" s="3">
        <v>9</v>
      </c>
      <c r="F120" s="4" t="str">
        <f>HYPERLINK("http://141.218.60.56/~jnz1568/getInfo.php?workbook=02_02.xlsx&amp;sheet=U0&amp;row=120&amp;col=6&amp;number=5.75&amp;sourceID=28","5.75")</f>
        <v>5.75</v>
      </c>
      <c r="G120" s="4" t="str">
        <f>HYPERLINK("http://141.218.60.56/~jnz1568/getInfo.php?workbook=02_02.xlsx&amp;sheet=U0&amp;row=120&amp;col=7&amp;number=0.04654&amp;sourceID=1","0.04654")</f>
        <v>0.04654</v>
      </c>
      <c r="H120" s="4" t="str">
        <f>HYPERLINK("http://141.218.60.56/~jnz1568/getInfo.php?workbook=02_02.xlsx&amp;sheet=U0&amp;row=120&amp;col=8&amp;number=&amp;sourceID=29","")</f>
        <v/>
      </c>
      <c r="I120" s="4" t="str">
        <f>HYPERLINK("http://141.218.60.56/~jnz1568/getInfo.php?workbook=02_02.xlsx&amp;sheet=U0&amp;row=120&amp;col=9&amp;number=&amp;sourceID=1","")</f>
        <v/>
      </c>
    </row>
    <row r="121" spans="1:9">
      <c r="A121" s="3">
        <v>2</v>
      </c>
      <c r="B121" s="3">
        <v>2</v>
      </c>
      <c r="C121" s="3">
        <v>6</v>
      </c>
      <c r="D121" s="3">
        <v>4</v>
      </c>
      <c r="E121" s="3">
        <v>1</v>
      </c>
      <c r="F121" s="4" t="str">
        <f>HYPERLINK("http://141.218.60.56/~jnz1568/getInfo.php?workbook=02_02.xlsx&amp;sheet=U0&amp;row=121&amp;col=6&amp;number=3.75&amp;sourceID=28","3.75")</f>
        <v>3.75</v>
      </c>
      <c r="G121" s="4" t="str">
        <f>HYPERLINK("http://141.218.60.56/~jnz1568/getInfo.php?workbook=02_02.xlsx&amp;sheet=U0&amp;row=121&amp;col=7&amp;number=5.858&amp;sourceID=1","5.858")</f>
        <v>5.858</v>
      </c>
      <c r="H121" s="4" t="str">
        <f>HYPERLINK("http://141.218.60.56/~jnz1568/getInfo.php?workbook=02_02.xlsx&amp;sheet=U0&amp;row=121&amp;col=8&amp;number=3.301&amp;sourceID=29","3.301")</f>
        <v>3.301</v>
      </c>
      <c r="I121" s="4" t="str">
        <f>HYPERLINK("http://141.218.60.56/~jnz1568/getInfo.php?workbook=02_02.xlsx&amp;sheet=U0&amp;row=121&amp;col=9&amp;number=6.734&amp;sourceID=1","6.734")</f>
        <v>6.734</v>
      </c>
    </row>
    <row r="122" spans="1:9">
      <c r="A122" s="3"/>
      <c r="B122" s="3"/>
      <c r="C122" s="3"/>
      <c r="D122" s="3"/>
      <c r="E122" s="3">
        <v>2</v>
      </c>
      <c r="F122" s="4" t="str">
        <f>HYPERLINK("http://141.218.60.56/~jnz1568/getInfo.php?workbook=02_02.xlsx&amp;sheet=U0&amp;row=122&amp;col=6&amp;number=4&amp;sourceID=28","4")</f>
        <v>4</v>
      </c>
      <c r="G122" s="4" t="str">
        <f>HYPERLINK("http://141.218.60.56/~jnz1568/getInfo.php?workbook=02_02.xlsx&amp;sheet=U0&amp;row=122&amp;col=7&amp;number=5.614&amp;sourceID=1","5.614")</f>
        <v>5.614</v>
      </c>
      <c r="H122" s="4" t="str">
        <f>HYPERLINK("http://141.218.60.56/~jnz1568/getInfo.php?workbook=02_02.xlsx&amp;sheet=U0&amp;row=122&amp;col=8&amp;number=3.699&amp;sourceID=29","3.699")</f>
        <v>3.699</v>
      </c>
      <c r="I122" s="4" t="str">
        <f>HYPERLINK("http://141.218.60.56/~jnz1568/getInfo.php?workbook=02_02.xlsx&amp;sheet=U0&amp;row=122&amp;col=9&amp;number=6.031&amp;sourceID=1","6.031")</f>
        <v>6.031</v>
      </c>
    </row>
    <row r="123" spans="1:9">
      <c r="A123" s="3"/>
      <c r="B123" s="3"/>
      <c r="C123" s="3"/>
      <c r="D123" s="3"/>
      <c r="E123" s="3">
        <v>3</v>
      </c>
      <c r="F123" s="4" t="str">
        <f>HYPERLINK("http://141.218.60.56/~jnz1568/getInfo.php?workbook=02_02.xlsx&amp;sheet=U0&amp;row=123&amp;col=6&amp;number=4.25&amp;sourceID=28","4.25")</f>
        <v>4.25</v>
      </c>
      <c r="G123" s="4" t="str">
        <f>HYPERLINK("http://141.218.60.56/~jnz1568/getInfo.php?workbook=02_02.xlsx&amp;sheet=U0&amp;row=123&amp;col=7&amp;number=5.828&amp;sourceID=1","5.828")</f>
        <v>5.828</v>
      </c>
      <c r="H123" s="4" t="str">
        <f>HYPERLINK("http://141.218.60.56/~jnz1568/getInfo.php?workbook=02_02.xlsx&amp;sheet=U0&amp;row=123&amp;col=8&amp;number=4&amp;sourceID=29","4")</f>
        <v>4</v>
      </c>
      <c r="I123" s="4" t="str">
        <f>HYPERLINK("http://141.218.60.56/~jnz1568/getInfo.php?workbook=02_02.xlsx&amp;sheet=U0&amp;row=123&amp;col=9&amp;number=5.693&amp;sourceID=1","5.693")</f>
        <v>5.693</v>
      </c>
    </row>
    <row r="124" spans="1:9">
      <c r="A124" s="3"/>
      <c r="B124" s="3"/>
      <c r="C124" s="3"/>
      <c r="D124" s="3"/>
      <c r="E124" s="3">
        <v>4</v>
      </c>
      <c r="F124" s="4" t="str">
        <f>HYPERLINK("http://141.218.60.56/~jnz1568/getInfo.php?workbook=02_02.xlsx&amp;sheet=U0&amp;row=124&amp;col=6&amp;number=4.5&amp;sourceID=28","4.5")</f>
        <v>4.5</v>
      </c>
      <c r="G124" s="4" t="str">
        <f>HYPERLINK("http://141.218.60.56/~jnz1568/getInfo.php?workbook=02_02.xlsx&amp;sheet=U0&amp;row=124&amp;col=7&amp;number=7.035&amp;sourceID=1","7.035")</f>
        <v>7.035</v>
      </c>
      <c r="H124" s="4" t="str">
        <f>HYPERLINK("http://141.218.60.56/~jnz1568/getInfo.php?workbook=02_02.xlsx&amp;sheet=U0&amp;row=124&amp;col=8&amp;number=4.176&amp;sourceID=29","4.176")</f>
        <v>4.176</v>
      </c>
      <c r="I124" s="4" t="str">
        <f>HYPERLINK("http://141.218.60.56/~jnz1568/getInfo.php?workbook=02_02.xlsx&amp;sheet=U0&amp;row=124&amp;col=9&amp;number=5.842&amp;sourceID=1","5.842")</f>
        <v>5.842</v>
      </c>
    </row>
    <row r="125" spans="1:9">
      <c r="A125" s="3"/>
      <c r="B125" s="3"/>
      <c r="C125" s="3"/>
      <c r="D125" s="3"/>
      <c r="E125" s="3">
        <v>5</v>
      </c>
      <c r="F125" s="4" t="str">
        <f>HYPERLINK("http://141.218.60.56/~jnz1568/getInfo.php?workbook=02_02.xlsx&amp;sheet=U0&amp;row=125&amp;col=6&amp;number=4.75&amp;sourceID=28","4.75")</f>
        <v>4.75</v>
      </c>
      <c r="G125" s="4" t="str">
        <f>HYPERLINK("http://141.218.60.56/~jnz1568/getInfo.php?workbook=02_02.xlsx&amp;sheet=U0&amp;row=125&amp;col=7&amp;number=9.926&amp;sourceID=1","9.926")</f>
        <v>9.926</v>
      </c>
      <c r="H125" s="4" t="str">
        <f>HYPERLINK("http://141.218.60.56/~jnz1568/getInfo.php?workbook=02_02.xlsx&amp;sheet=U0&amp;row=125&amp;col=8&amp;number=4.301&amp;sourceID=29","4.301")</f>
        <v>4.301</v>
      </c>
      <c r="I125" s="4" t="str">
        <f>HYPERLINK("http://141.218.60.56/~jnz1568/getInfo.php?workbook=02_02.xlsx&amp;sheet=U0&amp;row=125&amp;col=9&amp;number=6.164&amp;sourceID=1","6.164")</f>
        <v>6.164</v>
      </c>
    </row>
    <row r="126" spans="1:9">
      <c r="A126" s="3"/>
      <c r="B126" s="3"/>
      <c r="C126" s="3"/>
      <c r="D126" s="3"/>
      <c r="E126" s="3">
        <v>6</v>
      </c>
      <c r="F126" s="4" t="str">
        <f>HYPERLINK("http://141.218.60.56/~jnz1568/getInfo.php?workbook=02_02.xlsx&amp;sheet=U0&amp;row=126&amp;col=6&amp;number=5&amp;sourceID=28","5")</f>
        <v>5</v>
      </c>
      <c r="G126" s="4" t="str">
        <f>HYPERLINK("http://141.218.60.56/~jnz1568/getInfo.php?workbook=02_02.xlsx&amp;sheet=U0&amp;row=126&amp;col=7&amp;number=15.24&amp;sourceID=1","15.24")</f>
        <v>15.24</v>
      </c>
      <c r="H126" s="4" t="str">
        <f>HYPERLINK("http://141.218.60.56/~jnz1568/getInfo.php?workbook=02_02.xlsx&amp;sheet=U0&amp;row=126&amp;col=8&amp;number=4.398&amp;sourceID=29","4.398")</f>
        <v>4.398</v>
      </c>
      <c r="I126" s="4" t="str">
        <f>HYPERLINK("http://141.218.60.56/~jnz1568/getInfo.php?workbook=02_02.xlsx&amp;sheet=U0&amp;row=126&amp;col=9&amp;number=6.515&amp;sourceID=1","6.515")</f>
        <v>6.515</v>
      </c>
    </row>
    <row r="127" spans="1:9">
      <c r="A127" s="3"/>
      <c r="B127" s="3"/>
      <c r="C127" s="3"/>
      <c r="D127" s="3"/>
      <c r="E127" s="3">
        <v>7</v>
      </c>
      <c r="F127" s="4" t="str">
        <f>HYPERLINK("http://141.218.60.56/~jnz1568/getInfo.php?workbook=02_02.xlsx&amp;sheet=U0&amp;row=127&amp;col=6&amp;number=5.25&amp;sourceID=28","5.25")</f>
        <v>5.25</v>
      </c>
      <c r="G127" s="4" t="str">
        <f>HYPERLINK("http://141.218.60.56/~jnz1568/getInfo.php?workbook=02_02.xlsx&amp;sheet=U0&amp;row=127&amp;col=7&amp;number=23.32&amp;sourceID=1","23.32")</f>
        <v>23.32</v>
      </c>
      <c r="H127" s="4" t="str">
        <f>HYPERLINK("http://141.218.60.56/~jnz1568/getInfo.php?workbook=02_02.xlsx&amp;sheet=U0&amp;row=127&amp;col=8&amp;number=4.477&amp;sourceID=29","4.477")</f>
        <v>4.477</v>
      </c>
      <c r="I127" s="4" t="str">
        <f>HYPERLINK("http://141.218.60.56/~jnz1568/getInfo.php?workbook=02_02.xlsx&amp;sheet=U0&amp;row=127&amp;col=9&amp;number=6.825&amp;sourceID=1","6.825")</f>
        <v>6.825</v>
      </c>
    </row>
    <row r="128" spans="1:9">
      <c r="A128" s="3"/>
      <c r="B128" s="3"/>
      <c r="C128" s="3"/>
      <c r="D128" s="3"/>
      <c r="E128" s="3">
        <v>8</v>
      </c>
      <c r="F128" s="4" t="str">
        <f>HYPERLINK("http://141.218.60.56/~jnz1568/getInfo.php?workbook=02_02.xlsx&amp;sheet=U0&amp;row=128&amp;col=6&amp;number=5.5&amp;sourceID=28","5.5")</f>
        <v>5.5</v>
      </c>
      <c r="G128" s="4" t="str">
        <f>HYPERLINK("http://141.218.60.56/~jnz1568/getInfo.php?workbook=02_02.xlsx&amp;sheet=U0&amp;row=128&amp;col=7&amp;number=33.72&amp;sourceID=1","33.72")</f>
        <v>33.72</v>
      </c>
      <c r="H128" s="4" t="str">
        <f>HYPERLINK("http://141.218.60.56/~jnz1568/getInfo.php?workbook=02_02.xlsx&amp;sheet=U0&amp;row=128&amp;col=8&amp;number=&amp;sourceID=29","")</f>
        <v/>
      </c>
      <c r="I128" s="4" t="str">
        <f>HYPERLINK("http://141.218.60.56/~jnz1568/getInfo.php?workbook=02_02.xlsx&amp;sheet=U0&amp;row=128&amp;col=9&amp;number=&amp;sourceID=1","")</f>
        <v/>
      </c>
    </row>
    <row r="129" spans="1:9">
      <c r="A129" s="3"/>
      <c r="B129" s="3"/>
      <c r="C129" s="3"/>
      <c r="D129" s="3"/>
      <c r="E129" s="3">
        <v>9</v>
      </c>
      <c r="F129" s="4" t="str">
        <f>HYPERLINK("http://141.218.60.56/~jnz1568/getInfo.php?workbook=02_02.xlsx&amp;sheet=U0&amp;row=129&amp;col=6&amp;number=5.75&amp;sourceID=28","5.75")</f>
        <v>5.75</v>
      </c>
      <c r="G129" s="4" t="str">
        <f>HYPERLINK("http://141.218.60.56/~jnz1568/getInfo.php?workbook=02_02.xlsx&amp;sheet=U0&amp;row=129&amp;col=7&amp;number=45.49&amp;sourceID=1","45.49")</f>
        <v>45.49</v>
      </c>
      <c r="H129" s="4" t="str">
        <f>HYPERLINK("http://141.218.60.56/~jnz1568/getInfo.php?workbook=02_02.xlsx&amp;sheet=U0&amp;row=129&amp;col=8&amp;number=&amp;sourceID=29","")</f>
        <v/>
      </c>
      <c r="I129" s="4" t="str">
        <f>HYPERLINK("http://141.218.60.56/~jnz1568/getInfo.php?workbook=02_02.xlsx&amp;sheet=U0&amp;row=129&amp;col=9&amp;number=&amp;sourceID=1","")</f>
        <v/>
      </c>
    </row>
    <row r="130" spans="1:9">
      <c r="A130" s="3">
        <v>2</v>
      </c>
      <c r="B130" s="3">
        <v>2</v>
      </c>
      <c r="C130" s="3">
        <v>6</v>
      </c>
      <c r="D130" s="3">
        <v>5</v>
      </c>
      <c r="E130" s="3">
        <v>1</v>
      </c>
      <c r="F130" s="4" t="str">
        <f>HYPERLINK("http://141.218.60.56/~jnz1568/getInfo.php?workbook=02_02.xlsx&amp;sheet=U0&amp;row=130&amp;col=6&amp;number=&amp;sourceID=28","")</f>
        <v/>
      </c>
      <c r="G130" s="4" t="str">
        <f>HYPERLINK("http://141.218.60.56/~jnz1568/getInfo.php?workbook=02_02.xlsx&amp;sheet=U0&amp;row=130&amp;col=7&amp;number=&amp;sourceID=1","")</f>
        <v/>
      </c>
      <c r="H130" s="4" t="str">
        <f>HYPERLINK("http://141.218.60.56/~jnz1568/getInfo.php?workbook=02_02.xlsx&amp;sheet=U0&amp;row=130&amp;col=8&amp;number=3.301&amp;sourceID=29","3.301")</f>
        <v>3.301</v>
      </c>
      <c r="I130" s="4" t="str">
        <f>HYPERLINK("http://141.218.60.56/~jnz1568/getInfo.php?workbook=02_02.xlsx&amp;sheet=U0&amp;row=130&amp;col=9&amp;number=1.41&amp;sourceID=1","1.41")</f>
        <v>1.41</v>
      </c>
    </row>
    <row r="131" spans="1:9">
      <c r="A131" s="3"/>
      <c r="B131" s="3"/>
      <c r="C131" s="3"/>
      <c r="D131" s="3"/>
      <c r="E131" s="3">
        <v>2</v>
      </c>
      <c r="F131" s="4" t="str">
        <f>HYPERLINK("http://141.218.60.56/~jnz1568/getInfo.php?workbook=02_02.xlsx&amp;sheet=U0&amp;row=131&amp;col=6&amp;number=&amp;sourceID=28","")</f>
        <v/>
      </c>
      <c r="G131" s="4" t="str">
        <f>HYPERLINK("http://141.218.60.56/~jnz1568/getInfo.php?workbook=02_02.xlsx&amp;sheet=U0&amp;row=131&amp;col=7&amp;number=&amp;sourceID=1","")</f>
        <v/>
      </c>
      <c r="H131" s="4" t="str">
        <f>HYPERLINK("http://141.218.60.56/~jnz1568/getInfo.php?workbook=02_02.xlsx&amp;sheet=U0&amp;row=131&amp;col=8&amp;number=3.699&amp;sourceID=29","3.699")</f>
        <v>3.699</v>
      </c>
      <c r="I131" s="4" t="str">
        <f>HYPERLINK("http://141.218.60.56/~jnz1568/getInfo.php?workbook=02_02.xlsx&amp;sheet=U0&amp;row=131&amp;col=9&amp;number=1.325&amp;sourceID=1","1.325")</f>
        <v>1.325</v>
      </c>
    </row>
    <row r="132" spans="1:9">
      <c r="A132" s="3"/>
      <c r="B132" s="3"/>
      <c r="C132" s="3"/>
      <c r="D132" s="3"/>
      <c r="E132" s="3">
        <v>3</v>
      </c>
      <c r="F132" s="4" t="str">
        <f>HYPERLINK("http://141.218.60.56/~jnz1568/getInfo.php?workbook=02_02.xlsx&amp;sheet=U0&amp;row=132&amp;col=6&amp;number=&amp;sourceID=28","")</f>
        <v/>
      </c>
      <c r="G132" s="4" t="str">
        <f>HYPERLINK("http://141.218.60.56/~jnz1568/getInfo.php?workbook=02_02.xlsx&amp;sheet=U0&amp;row=132&amp;col=7&amp;number=&amp;sourceID=1","")</f>
        <v/>
      </c>
      <c r="H132" s="4" t="str">
        <f>HYPERLINK("http://141.218.60.56/~jnz1568/getInfo.php?workbook=02_02.xlsx&amp;sheet=U0&amp;row=132&amp;col=8&amp;number=4&amp;sourceID=29","4")</f>
        <v>4</v>
      </c>
      <c r="I132" s="4" t="str">
        <f>HYPERLINK("http://141.218.60.56/~jnz1568/getInfo.php?workbook=02_02.xlsx&amp;sheet=U0&amp;row=132&amp;col=9&amp;number=1.112&amp;sourceID=1","1.112")</f>
        <v>1.112</v>
      </c>
    </row>
    <row r="133" spans="1:9">
      <c r="A133" s="3"/>
      <c r="B133" s="3"/>
      <c r="C133" s="3"/>
      <c r="D133" s="3"/>
      <c r="E133" s="3">
        <v>4</v>
      </c>
      <c r="F133" s="4" t="str">
        <f>HYPERLINK("http://141.218.60.56/~jnz1568/getInfo.php?workbook=02_02.xlsx&amp;sheet=U0&amp;row=133&amp;col=6&amp;number=&amp;sourceID=28","")</f>
        <v/>
      </c>
      <c r="G133" s="4" t="str">
        <f>HYPERLINK("http://141.218.60.56/~jnz1568/getInfo.php?workbook=02_02.xlsx&amp;sheet=U0&amp;row=133&amp;col=7&amp;number=&amp;sourceID=1","")</f>
        <v/>
      </c>
      <c r="H133" s="4" t="str">
        <f>HYPERLINK("http://141.218.60.56/~jnz1568/getInfo.php?workbook=02_02.xlsx&amp;sheet=U0&amp;row=133&amp;col=8&amp;number=4.176&amp;sourceID=29","4.176")</f>
        <v>4.176</v>
      </c>
      <c r="I133" s="4" t="str">
        <f>HYPERLINK("http://141.218.60.56/~jnz1568/getInfo.php?workbook=02_02.xlsx&amp;sheet=U0&amp;row=133&amp;col=9&amp;number=0.9768&amp;sourceID=1","0.9768")</f>
        <v>0.9768</v>
      </c>
    </row>
    <row r="134" spans="1:9">
      <c r="A134" s="3"/>
      <c r="B134" s="3"/>
      <c r="C134" s="3"/>
      <c r="D134" s="3"/>
      <c r="E134" s="3">
        <v>5</v>
      </c>
      <c r="F134" s="4" t="str">
        <f>HYPERLINK("http://141.218.60.56/~jnz1568/getInfo.php?workbook=02_02.xlsx&amp;sheet=U0&amp;row=134&amp;col=6&amp;number=&amp;sourceID=28","")</f>
        <v/>
      </c>
      <c r="G134" s="4" t="str">
        <f>HYPERLINK("http://141.218.60.56/~jnz1568/getInfo.php?workbook=02_02.xlsx&amp;sheet=U0&amp;row=134&amp;col=7&amp;number=&amp;sourceID=1","")</f>
        <v/>
      </c>
      <c r="H134" s="4" t="str">
        <f>HYPERLINK("http://141.218.60.56/~jnz1568/getInfo.php?workbook=02_02.xlsx&amp;sheet=U0&amp;row=134&amp;col=8&amp;number=4.301&amp;sourceID=29","4.301")</f>
        <v>4.301</v>
      </c>
      <c r="I134" s="4" t="str">
        <f>HYPERLINK("http://141.218.60.56/~jnz1568/getInfo.php?workbook=02_02.xlsx&amp;sheet=U0&amp;row=134&amp;col=9&amp;number=0.8839&amp;sourceID=1","0.8839")</f>
        <v>0.8839</v>
      </c>
    </row>
    <row r="135" spans="1:9">
      <c r="A135" s="3"/>
      <c r="B135" s="3"/>
      <c r="C135" s="3"/>
      <c r="D135" s="3"/>
      <c r="E135" s="3">
        <v>6</v>
      </c>
      <c r="F135" s="4" t="str">
        <f>HYPERLINK("http://141.218.60.56/~jnz1568/getInfo.php?workbook=02_02.xlsx&amp;sheet=U0&amp;row=135&amp;col=6&amp;number=&amp;sourceID=28","")</f>
        <v/>
      </c>
      <c r="G135" s="4" t="str">
        <f>HYPERLINK("http://141.218.60.56/~jnz1568/getInfo.php?workbook=02_02.xlsx&amp;sheet=U0&amp;row=135&amp;col=7&amp;number=&amp;sourceID=1","")</f>
        <v/>
      </c>
      <c r="H135" s="4" t="str">
        <f>HYPERLINK("http://141.218.60.56/~jnz1568/getInfo.php?workbook=02_02.xlsx&amp;sheet=U0&amp;row=135&amp;col=8&amp;number=4.398&amp;sourceID=29","4.398")</f>
        <v>4.398</v>
      </c>
      <c r="I135" s="4" t="str">
        <f>HYPERLINK("http://141.218.60.56/~jnz1568/getInfo.php?workbook=02_02.xlsx&amp;sheet=U0&amp;row=135&amp;col=9&amp;number=0.8139&amp;sourceID=1","0.8139")</f>
        <v>0.8139</v>
      </c>
    </row>
    <row r="136" spans="1:9">
      <c r="A136" s="3"/>
      <c r="B136" s="3"/>
      <c r="C136" s="3"/>
      <c r="D136" s="3"/>
      <c r="E136" s="3">
        <v>7</v>
      </c>
      <c r="F136" s="4" t="str">
        <f>HYPERLINK("http://141.218.60.56/~jnz1568/getInfo.php?workbook=02_02.xlsx&amp;sheet=U0&amp;row=136&amp;col=6&amp;number=&amp;sourceID=28","")</f>
        <v/>
      </c>
      <c r="G136" s="4" t="str">
        <f>HYPERLINK("http://141.218.60.56/~jnz1568/getInfo.php?workbook=02_02.xlsx&amp;sheet=U0&amp;row=136&amp;col=7&amp;number=&amp;sourceID=1","")</f>
        <v/>
      </c>
      <c r="H136" s="4" t="str">
        <f>HYPERLINK("http://141.218.60.56/~jnz1568/getInfo.php?workbook=02_02.xlsx&amp;sheet=U0&amp;row=136&amp;col=8&amp;number=4.477&amp;sourceID=29","4.477")</f>
        <v>4.477</v>
      </c>
      <c r="I136" s="4" t="str">
        <f>HYPERLINK("http://141.218.60.56/~jnz1568/getInfo.php?workbook=02_02.xlsx&amp;sheet=U0&amp;row=136&amp;col=9&amp;number=0.7573&amp;sourceID=1","0.7573")</f>
        <v>0.7573</v>
      </c>
    </row>
    <row r="137" spans="1:9">
      <c r="A137" s="3">
        <v>2</v>
      </c>
      <c r="B137" s="3">
        <v>2</v>
      </c>
      <c r="C137" s="3">
        <v>7</v>
      </c>
      <c r="D137" s="3">
        <v>1</v>
      </c>
      <c r="E137" s="3">
        <v>1</v>
      </c>
      <c r="F137" s="4" t="str">
        <f>HYPERLINK("http://141.218.60.56/~jnz1568/getInfo.php?workbook=02_02.xlsx&amp;sheet=U0&amp;row=137&amp;col=6&amp;number=3.75&amp;sourceID=28","3.75")</f>
        <v>3.75</v>
      </c>
      <c r="G137" s="4" t="str">
        <f>HYPERLINK("http://141.218.60.56/~jnz1568/getInfo.php?workbook=02_02.xlsx&amp;sheet=U0&amp;row=137&amp;col=7&amp;number=0.008431&amp;sourceID=1","0.008431")</f>
        <v>0.008431</v>
      </c>
      <c r="H137" s="4" t="str">
        <f>HYPERLINK("http://141.218.60.56/~jnz1568/getInfo.php?workbook=02_02.xlsx&amp;sheet=U0&amp;row=137&amp;col=8&amp;number=3.301&amp;sourceID=29","3.301")</f>
        <v>3.301</v>
      </c>
      <c r="I137" s="4" t="str">
        <f>HYPERLINK("http://141.218.60.56/~jnz1568/getInfo.php?workbook=02_02.xlsx&amp;sheet=U0&amp;row=137&amp;col=9&amp;number=0.008917&amp;sourceID=1","0.008917")</f>
        <v>0.008917</v>
      </c>
    </row>
    <row r="138" spans="1:9">
      <c r="A138" s="3"/>
      <c r="B138" s="3"/>
      <c r="C138" s="3"/>
      <c r="D138" s="3"/>
      <c r="E138" s="3">
        <v>2</v>
      </c>
      <c r="F138" s="4" t="str">
        <f>HYPERLINK("http://141.218.60.56/~jnz1568/getInfo.php?workbook=02_02.xlsx&amp;sheet=U0&amp;row=138&amp;col=6&amp;number=4&amp;sourceID=28","4")</f>
        <v>4</v>
      </c>
      <c r="G138" s="4" t="str">
        <f>HYPERLINK("http://141.218.60.56/~jnz1568/getInfo.php?workbook=02_02.xlsx&amp;sheet=U0&amp;row=138&amp;col=7&amp;number=0.008308&amp;sourceID=1","0.008308")</f>
        <v>0.008308</v>
      </c>
      <c r="H138" s="4" t="str">
        <f>HYPERLINK("http://141.218.60.56/~jnz1568/getInfo.php?workbook=02_02.xlsx&amp;sheet=U0&amp;row=138&amp;col=8&amp;number=3.699&amp;sourceID=29","3.699")</f>
        <v>3.699</v>
      </c>
      <c r="I138" s="4" t="str">
        <f>HYPERLINK("http://141.218.60.56/~jnz1568/getInfo.php?workbook=02_02.xlsx&amp;sheet=U0&amp;row=138&amp;col=9&amp;number=0.008651&amp;sourceID=1","0.008651")</f>
        <v>0.008651</v>
      </c>
    </row>
    <row r="139" spans="1:9">
      <c r="A139" s="3"/>
      <c r="B139" s="3"/>
      <c r="C139" s="3"/>
      <c r="D139" s="3"/>
      <c r="E139" s="3">
        <v>3</v>
      </c>
      <c r="F139" s="4" t="str">
        <f>HYPERLINK("http://141.218.60.56/~jnz1568/getInfo.php?workbook=02_02.xlsx&amp;sheet=U0&amp;row=139&amp;col=6&amp;number=4.25&amp;sourceID=28","4.25")</f>
        <v>4.25</v>
      </c>
      <c r="G139" s="4" t="str">
        <f>HYPERLINK("http://141.218.60.56/~jnz1568/getInfo.php?workbook=02_02.xlsx&amp;sheet=U0&amp;row=139&amp;col=7&amp;number=0.008364&amp;sourceID=1","0.008364")</f>
        <v>0.008364</v>
      </c>
      <c r="H139" s="4" t="str">
        <f>HYPERLINK("http://141.218.60.56/~jnz1568/getInfo.php?workbook=02_02.xlsx&amp;sheet=U0&amp;row=139&amp;col=8&amp;number=4&amp;sourceID=29","4")</f>
        <v>4</v>
      </c>
      <c r="I139" s="4" t="str">
        <f>HYPERLINK("http://141.218.60.56/~jnz1568/getInfo.php?workbook=02_02.xlsx&amp;sheet=U0&amp;row=139&amp;col=9&amp;number=0.008745&amp;sourceID=1","0.008745")</f>
        <v>0.008745</v>
      </c>
    </row>
    <row r="140" spans="1:9">
      <c r="A140" s="3"/>
      <c r="B140" s="3"/>
      <c r="C140" s="3"/>
      <c r="D140" s="3"/>
      <c r="E140" s="3">
        <v>4</v>
      </c>
      <c r="F140" s="4" t="str">
        <f>HYPERLINK("http://141.218.60.56/~jnz1568/getInfo.php?workbook=02_02.xlsx&amp;sheet=U0&amp;row=140&amp;col=6&amp;number=4.5&amp;sourceID=28","4.5")</f>
        <v>4.5</v>
      </c>
      <c r="G140" s="4" t="str">
        <f>HYPERLINK("http://141.218.60.56/~jnz1568/getInfo.php?workbook=02_02.xlsx&amp;sheet=U0&amp;row=140&amp;col=7&amp;number=0.008696&amp;sourceID=1","0.008696")</f>
        <v>0.008696</v>
      </c>
      <c r="H140" s="4" t="str">
        <f>HYPERLINK("http://141.218.60.56/~jnz1568/getInfo.php?workbook=02_02.xlsx&amp;sheet=U0&amp;row=140&amp;col=8&amp;number=4.176&amp;sourceID=29","4.176")</f>
        <v>4.176</v>
      </c>
      <c r="I140" s="4" t="str">
        <f>HYPERLINK("http://141.218.60.56/~jnz1568/getInfo.php?workbook=02_02.xlsx&amp;sheet=U0&amp;row=140&amp;col=9&amp;number=0.009374&amp;sourceID=1","0.009374")</f>
        <v>0.009374</v>
      </c>
    </row>
    <row r="141" spans="1:9">
      <c r="A141" s="3"/>
      <c r="B141" s="3"/>
      <c r="C141" s="3"/>
      <c r="D141" s="3"/>
      <c r="E141" s="3">
        <v>5</v>
      </c>
      <c r="F141" s="4" t="str">
        <f>HYPERLINK("http://141.218.60.56/~jnz1568/getInfo.php?workbook=02_02.xlsx&amp;sheet=U0&amp;row=141&amp;col=6&amp;number=4.75&amp;sourceID=28","4.75")</f>
        <v>4.75</v>
      </c>
      <c r="G141" s="4" t="str">
        <f>HYPERLINK("http://141.218.60.56/~jnz1568/getInfo.php?workbook=02_02.xlsx&amp;sheet=U0&amp;row=141&amp;col=7&amp;number=0.009313&amp;sourceID=1","0.009313")</f>
        <v>0.009313</v>
      </c>
      <c r="H141" s="4" t="str">
        <f>HYPERLINK("http://141.218.60.56/~jnz1568/getInfo.php?workbook=02_02.xlsx&amp;sheet=U0&amp;row=141&amp;col=8&amp;number=4.301&amp;sourceID=29","4.301")</f>
        <v>4.301</v>
      </c>
      <c r="I141" s="4" t="str">
        <f>HYPERLINK("http://141.218.60.56/~jnz1568/getInfo.php?workbook=02_02.xlsx&amp;sheet=U0&amp;row=141&amp;col=9&amp;number=0.01014&amp;sourceID=1","0.01014")</f>
        <v>0.01014</v>
      </c>
    </row>
    <row r="142" spans="1:9">
      <c r="A142" s="3"/>
      <c r="B142" s="3"/>
      <c r="C142" s="3"/>
      <c r="D142" s="3"/>
      <c r="E142" s="3">
        <v>6</v>
      </c>
      <c r="F142" s="4" t="str">
        <f>HYPERLINK("http://141.218.60.56/~jnz1568/getInfo.php?workbook=02_02.xlsx&amp;sheet=U0&amp;row=142&amp;col=6&amp;number=5&amp;sourceID=28","5")</f>
        <v>5</v>
      </c>
      <c r="G142" s="4" t="str">
        <f>HYPERLINK("http://141.218.60.56/~jnz1568/getInfo.php?workbook=02_02.xlsx&amp;sheet=U0&amp;row=142&amp;col=7&amp;number=0.01022&amp;sourceID=1","0.01022")</f>
        <v>0.01022</v>
      </c>
      <c r="H142" s="4" t="str">
        <f>HYPERLINK("http://141.218.60.56/~jnz1568/getInfo.php?workbook=02_02.xlsx&amp;sheet=U0&amp;row=142&amp;col=8&amp;number=4.398&amp;sourceID=29","4.398")</f>
        <v>4.398</v>
      </c>
      <c r="I142" s="4" t="str">
        <f>HYPERLINK("http://141.218.60.56/~jnz1568/getInfo.php?workbook=02_02.xlsx&amp;sheet=U0&amp;row=142&amp;col=9&amp;number=0.01083&amp;sourceID=1","0.01083")</f>
        <v>0.01083</v>
      </c>
    </row>
    <row r="143" spans="1:9">
      <c r="A143" s="3"/>
      <c r="B143" s="3"/>
      <c r="C143" s="3"/>
      <c r="D143" s="3"/>
      <c r="E143" s="3">
        <v>7</v>
      </c>
      <c r="F143" s="4" t="str">
        <f>HYPERLINK("http://141.218.60.56/~jnz1568/getInfo.php?workbook=02_02.xlsx&amp;sheet=U0&amp;row=143&amp;col=6&amp;number=5.25&amp;sourceID=28","5.25")</f>
        <v>5.25</v>
      </c>
      <c r="G143" s="4" t="str">
        <f>HYPERLINK("http://141.218.60.56/~jnz1568/getInfo.php?workbook=02_02.xlsx&amp;sheet=U0&amp;row=143&amp;col=7&amp;number=0.01147&amp;sourceID=1","0.01147")</f>
        <v>0.01147</v>
      </c>
      <c r="H143" s="4" t="str">
        <f>HYPERLINK("http://141.218.60.56/~jnz1568/getInfo.php?workbook=02_02.xlsx&amp;sheet=U0&amp;row=143&amp;col=8&amp;number=4.477&amp;sourceID=29","4.477")</f>
        <v>4.477</v>
      </c>
      <c r="I143" s="4" t="str">
        <f>HYPERLINK("http://141.218.60.56/~jnz1568/getInfo.php?workbook=02_02.xlsx&amp;sheet=U0&amp;row=143&amp;col=9&amp;number=0.01137&amp;sourceID=1","0.01137")</f>
        <v>0.01137</v>
      </c>
    </row>
    <row r="144" spans="1:9">
      <c r="A144" s="3"/>
      <c r="B144" s="3"/>
      <c r="C144" s="3"/>
      <c r="D144" s="3"/>
      <c r="E144" s="3">
        <v>8</v>
      </c>
      <c r="F144" s="4" t="str">
        <f>HYPERLINK("http://141.218.60.56/~jnz1568/getInfo.php?workbook=02_02.xlsx&amp;sheet=U0&amp;row=144&amp;col=6&amp;number=5.5&amp;sourceID=28","5.5")</f>
        <v>5.5</v>
      </c>
      <c r="G144" s="4" t="str">
        <f>HYPERLINK("http://141.218.60.56/~jnz1568/getInfo.php?workbook=02_02.xlsx&amp;sheet=U0&amp;row=144&amp;col=7&amp;number=0.01318&amp;sourceID=1","0.01318")</f>
        <v>0.01318</v>
      </c>
      <c r="H144" s="4" t="str">
        <f>HYPERLINK("http://141.218.60.56/~jnz1568/getInfo.php?workbook=02_02.xlsx&amp;sheet=U0&amp;row=144&amp;col=8&amp;number=&amp;sourceID=29","")</f>
        <v/>
      </c>
      <c r="I144" s="4" t="str">
        <f>HYPERLINK("http://141.218.60.56/~jnz1568/getInfo.php?workbook=02_02.xlsx&amp;sheet=U0&amp;row=144&amp;col=9&amp;number=&amp;sourceID=1","")</f>
        <v/>
      </c>
    </row>
    <row r="145" spans="1:9">
      <c r="A145" s="3"/>
      <c r="B145" s="3"/>
      <c r="C145" s="3"/>
      <c r="D145" s="3"/>
      <c r="E145" s="3">
        <v>9</v>
      </c>
      <c r="F145" s="4" t="str">
        <f>HYPERLINK("http://141.218.60.56/~jnz1568/getInfo.php?workbook=02_02.xlsx&amp;sheet=U0&amp;row=145&amp;col=6&amp;number=5.75&amp;sourceID=28","5.75")</f>
        <v>5.75</v>
      </c>
      <c r="G145" s="4" t="str">
        <f>HYPERLINK("http://141.218.60.56/~jnz1568/getInfo.php?workbook=02_02.xlsx&amp;sheet=U0&amp;row=145&amp;col=7&amp;number=0.01553&amp;sourceID=1","0.01553")</f>
        <v>0.01553</v>
      </c>
      <c r="H145" s="4" t="str">
        <f>HYPERLINK("http://141.218.60.56/~jnz1568/getInfo.php?workbook=02_02.xlsx&amp;sheet=U0&amp;row=145&amp;col=8&amp;number=&amp;sourceID=29","")</f>
        <v/>
      </c>
      <c r="I145" s="4" t="str">
        <f>HYPERLINK("http://141.218.60.56/~jnz1568/getInfo.php?workbook=02_02.xlsx&amp;sheet=U0&amp;row=145&amp;col=9&amp;number=&amp;sourceID=1","")</f>
        <v/>
      </c>
    </row>
    <row r="146" spans="1:9">
      <c r="A146" s="3">
        <v>2</v>
      </c>
      <c r="B146" s="3">
        <v>2</v>
      </c>
      <c r="C146" s="3">
        <v>7</v>
      </c>
      <c r="D146" s="3">
        <v>2</v>
      </c>
      <c r="E146" s="3">
        <v>1</v>
      </c>
      <c r="F146" s="4" t="str">
        <f>HYPERLINK("http://141.218.60.56/~jnz1568/getInfo.php?workbook=02_02.xlsx&amp;sheet=U0&amp;row=146&amp;col=6&amp;number=3.75&amp;sourceID=28","3.75")</f>
        <v>3.75</v>
      </c>
      <c r="G146" s="4" t="str">
        <f>HYPERLINK("http://141.218.60.56/~jnz1568/getInfo.php?workbook=02_02.xlsx&amp;sheet=U0&amp;row=146&amp;col=7&amp;number=0.3544&amp;sourceID=1","0.3544")</f>
        <v>0.3544</v>
      </c>
      <c r="H146" s="4" t="str">
        <f>HYPERLINK("http://141.218.60.56/~jnz1568/getInfo.php?workbook=02_02.xlsx&amp;sheet=U0&amp;row=146&amp;col=8&amp;number=3.301&amp;sourceID=29","3.301")</f>
        <v>3.301</v>
      </c>
      <c r="I146" s="4" t="str">
        <f>HYPERLINK("http://141.218.60.56/~jnz1568/getInfo.php?workbook=02_02.xlsx&amp;sheet=U0&amp;row=146&amp;col=9&amp;number=0.4771&amp;sourceID=1","0.4771")</f>
        <v>0.4771</v>
      </c>
    </row>
    <row r="147" spans="1:9">
      <c r="A147" s="3"/>
      <c r="B147" s="3"/>
      <c r="C147" s="3"/>
      <c r="D147" s="3"/>
      <c r="E147" s="3">
        <v>2</v>
      </c>
      <c r="F147" s="4" t="str">
        <f>HYPERLINK("http://141.218.60.56/~jnz1568/getInfo.php?workbook=02_02.xlsx&amp;sheet=U0&amp;row=147&amp;col=6&amp;number=4&amp;sourceID=28","4")</f>
        <v>4</v>
      </c>
      <c r="G147" s="4" t="str">
        <f>HYPERLINK("http://141.218.60.56/~jnz1568/getInfo.php?workbook=02_02.xlsx&amp;sheet=U0&amp;row=147&amp;col=7&amp;number=0.3295&amp;sourceID=1","0.3295")</f>
        <v>0.3295</v>
      </c>
      <c r="H147" s="4" t="str">
        <f>HYPERLINK("http://141.218.60.56/~jnz1568/getInfo.php?workbook=02_02.xlsx&amp;sheet=U0&amp;row=147&amp;col=8&amp;number=3.699&amp;sourceID=29","3.699")</f>
        <v>3.699</v>
      </c>
      <c r="I147" s="4" t="str">
        <f>HYPERLINK("http://141.218.60.56/~jnz1568/getInfo.php?workbook=02_02.xlsx&amp;sheet=U0&amp;row=147&amp;col=9&amp;number=0.4429&amp;sourceID=1","0.4429")</f>
        <v>0.4429</v>
      </c>
    </row>
    <row r="148" spans="1:9">
      <c r="A148" s="3"/>
      <c r="B148" s="3"/>
      <c r="C148" s="3"/>
      <c r="D148" s="3"/>
      <c r="E148" s="3">
        <v>3</v>
      </c>
      <c r="F148" s="4" t="str">
        <f>HYPERLINK("http://141.218.60.56/~jnz1568/getInfo.php?workbook=02_02.xlsx&amp;sheet=U0&amp;row=148&amp;col=6&amp;number=4.25&amp;sourceID=28","4.25")</f>
        <v>4.25</v>
      </c>
      <c r="G148" s="4" t="str">
        <f>HYPERLINK("http://141.218.60.56/~jnz1568/getInfo.php?workbook=02_02.xlsx&amp;sheet=U0&amp;row=148&amp;col=7&amp;number=0.2832&amp;sourceID=1","0.2832")</f>
        <v>0.2832</v>
      </c>
      <c r="H148" s="4" t="str">
        <f>HYPERLINK("http://141.218.60.56/~jnz1568/getInfo.php?workbook=02_02.xlsx&amp;sheet=U0&amp;row=148&amp;col=8&amp;number=4&amp;sourceID=29","4")</f>
        <v>4</v>
      </c>
      <c r="I148" s="4" t="str">
        <f>HYPERLINK("http://141.218.60.56/~jnz1568/getInfo.php?workbook=02_02.xlsx&amp;sheet=U0&amp;row=148&amp;col=9&amp;number=0.384&amp;sourceID=1","0.384")</f>
        <v>0.384</v>
      </c>
    </row>
    <row r="149" spans="1:9">
      <c r="A149" s="3"/>
      <c r="B149" s="3"/>
      <c r="C149" s="3"/>
      <c r="D149" s="3"/>
      <c r="E149" s="3">
        <v>4</v>
      </c>
      <c r="F149" s="4" t="str">
        <f>HYPERLINK("http://141.218.60.56/~jnz1568/getInfo.php?workbook=02_02.xlsx&amp;sheet=U0&amp;row=149&amp;col=6&amp;number=4.5&amp;sourceID=28","4.5")</f>
        <v>4.5</v>
      </c>
      <c r="G149" s="4" t="str">
        <f>HYPERLINK("http://141.218.60.56/~jnz1568/getInfo.php?workbook=02_02.xlsx&amp;sheet=U0&amp;row=149&amp;col=7&amp;number=0.228&amp;sourceID=1","0.228")</f>
        <v>0.228</v>
      </c>
      <c r="H149" s="4" t="str">
        <f>HYPERLINK("http://141.218.60.56/~jnz1568/getInfo.php?workbook=02_02.xlsx&amp;sheet=U0&amp;row=149&amp;col=8&amp;number=4.176&amp;sourceID=29","4.176")</f>
        <v>4.176</v>
      </c>
      <c r="I149" s="4" t="str">
        <f>HYPERLINK("http://141.218.60.56/~jnz1568/getInfo.php?workbook=02_02.xlsx&amp;sheet=U0&amp;row=149&amp;col=9&amp;number=0.3451&amp;sourceID=1","0.3451")</f>
        <v>0.3451</v>
      </c>
    </row>
    <row r="150" spans="1:9">
      <c r="A150" s="3"/>
      <c r="B150" s="3"/>
      <c r="C150" s="3"/>
      <c r="D150" s="3"/>
      <c r="E150" s="3">
        <v>5</v>
      </c>
      <c r="F150" s="4" t="str">
        <f>HYPERLINK("http://141.218.60.56/~jnz1568/getInfo.php?workbook=02_02.xlsx&amp;sheet=U0&amp;row=150&amp;col=6&amp;number=4.75&amp;sourceID=28","4.75")</f>
        <v>4.75</v>
      </c>
      <c r="G150" s="4" t="str">
        <f>HYPERLINK("http://141.218.60.56/~jnz1568/getInfo.php?workbook=02_02.xlsx&amp;sheet=U0&amp;row=150&amp;col=7&amp;number=0.173&amp;sourceID=1","0.173")</f>
        <v>0.173</v>
      </c>
      <c r="H150" s="4" t="str">
        <f>HYPERLINK("http://141.218.60.56/~jnz1568/getInfo.php?workbook=02_02.xlsx&amp;sheet=U0&amp;row=150&amp;col=8&amp;number=4.301&amp;sourceID=29","4.301")</f>
        <v>4.301</v>
      </c>
      <c r="I150" s="4" t="str">
        <f>HYPERLINK("http://141.218.60.56/~jnz1568/getInfo.php?workbook=02_02.xlsx&amp;sheet=U0&amp;row=150&amp;col=9&amp;number=0.3178&amp;sourceID=1","0.3178")</f>
        <v>0.3178</v>
      </c>
    </row>
    <row r="151" spans="1:9">
      <c r="A151" s="3"/>
      <c r="B151" s="3"/>
      <c r="C151" s="3"/>
      <c r="D151" s="3"/>
      <c r="E151" s="3">
        <v>6</v>
      </c>
      <c r="F151" s="4" t="str">
        <f>HYPERLINK("http://141.218.60.56/~jnz1568/getInfo.php?workbook=02_02.xlsx&amp;sheet=U0&amp;row=151&amp;col=6&amp;number=5&amp;sourceID=28","5")</f>
        <v>5</v>
      </c>
      <c r="G151" s="4" t="str">
        <f>HYPERLINK("http://141.218.60.56/~jnz1568/getInfo.php?workbook=02_02.xlsx&amp;sheet=U0&amp;row=151&amp;col=7&amp;number=0.1247&amp;sourceID=1","0.1247")</f>
        <v>0.1247</v>
      </c>
      <c r="H151" s="4" t="str">
        <f>HYPERLINK("http://141.218.60.56/~jnz1568/getInfo.php?workbook=02_02.xlsx&amp;sheet=U0&amp;row=151&amp;col=8&amp;number=4.398&amp;sourceID=29","4.398")</f>
        <v>4.398</v>
      </c>
      <c r="I151" s="4" t="str">
        <f>HYPERLINK("http://141.218.60.56/~jnz1568/getInfo.php?workbook=02_02.xlsx&amp;sheet=U0&amp;row=151&amp;col=9&amp;number=0.2966&amp;sourceID=1","0.2966")</f>
        <v>0.2966</v>
      </c>
    </row>
    <row r="152" spans="1:9">
      <c r="A152" s="3"/>
      <c r="B152" s="3"/>
      <c r="C152" s="3"/>
      <c r="D152" s="3"/>
      <c r="E152" s="3">
        <v>7</v>
      </c>
      <c r="F152" s="4" t="str">
        <f>HYPERLINK("http://141.218.60.56/~jnz1568/getInfo.php?workbook=02_02.xlsx&amp;sheet=U0&amp;row=152&amp;col=6&amp;number=5.25&amp;sourceID=28","5.25")</f>
        <v>5.25</v>
      </c>
      <c r="G152" s="4" t="str">
        <f>HYPERLINK("http://141.218.60.56/~jnz1568/getInfo.php?workbook=02_02.xlsx&amp;sheet=U0&amp;row=152&amp;col=7&amp;number=0.08624&amp;sourceID=1","0.08624")</f>
        <v>0.08624</v>
      </c>
      <c r="H152" s="4" t="str">
        <f>HYPERLINK("http://141.218.60.56/~jnz1568/getInfo.php?workbook=02_02.xlsx&amp;sheet=U0&amp;row=152&amp;col=8&amp;number=4.477&amp;sourceID=29","4.477")</f>
        <v>4.477</v>
      </c>
      <c r="I152" s="4" t="str">
        <f>HYPERLINK("http://141.218.60.56/~jnz1568/getInfo.php?workbook=02_02.xlsx&amp;sheet=U0&amp;row=152&amp;col=9&amp;number=0.279&amp;sourceID=1","0.279")</f>
        <v>0.279</v>
      </c>
    </row>
    <row r="153" spans="1:9">
      <c r="A153" s="3"/>
      <c r="B153" s="3"/>
      <c r="C153" s="3"/>
      <c r="D153" s="3"/>
      <c r="E153" s="3">
        <v>8</v>
      </c>
      <c r="F153" s="4" t="str">
        <f>HYPERLINK("http://141.218.60.56/~jnz1568/getInfo.php?workbook=02_02.xlsx&amp;sheet=U0&amp;row=153&amp;col=6&amp;number=5.5&amp;sourceID=28","5.5")</f>
        <v>5.5</v>
      </c>
      <c r="G153" s="4" t="str">
        <f>HYPERLINK("http://141.218.60.56/~jnz1568/getInfo.php?workbook=02_02.xlsx&amp;sheet=U0&amp;row=153&amp;col=7&amp;number=0.05765&amp;sourceID=1","0.05765")</f>
        <v>0.05765</v>
      </c>
      <c r="H153" s="4" t="str">
        <f>HYPERLINK("http://141.218.60.56/~jnz1568/getInfo.php?workbook=02_02.xlsx&amp;sheet=U0&amp;row=153&amp;col=8&amp;number=&amp;sourceID=29","")</f>
        <v/>
      </c>
      <c r="I153" s="4" t="str">
        <f>HYPERLINK("http://141.218.60.56/~jnz1568/getInfo.php?workbook=02_02.xlsx&amp;sheet=U0&amp;row=153&amp;col=9&amp;number=&amp;sourceID=1","")</f>
        <v/>
      </c>
    </row>
    <row r="154" spans="1:9">
      <c r="A154" s="3"/>
      <c r="B154" s="3"/>
      <c r="C154" s="3"/>
      <c r="D154" s="3"/>
      <c r="E154" s="3">
        <v>9</v>
      </c>
      <c r="F154" s="4" t="str">
        <f>HYPERLINK("http://141.218.60.56/~jnz1568/getInfo.php?workbook=02_02.xlsx&amp;sheet=U0&amp;row=154&amp;col=6&amp;number=5.75&amp;sourceID=28","5.75")</f>
        <v>5.75</v>
      </c>
      <c r="G154" s="4" t="str">
        <f>HYPERLINK("http://141.218.60.56/~jnz1568/getInfo.php?workbook=02_02.xlsx&amp;sheet=U0&amp;row=154&amp;col=7&amp;number=0.03747&amp;sourceID=1","0.03747")</f>
        <v>0.03747</v>
      </c>
      <c r="H154" s="4" t="str">
        <f>HYPERLINK("http://141.218.60.56/~jnz1568/getInfo.php?workbook=02_02.xlsx&amp;sheet=U0&amp;row=154&amp;col=8&amp;number=&amp;sourceID=29","")</f>
        <v/>
      </c>
      <c r="I154" s="4" t="str">
        <f>HYPERLINK("http://141.218.60.56/~jnz1568/getInfo.php?workbook=02_02.xlsx&amp;sheet=U0&amp;row=154&amp;col=9&amp;number=&amp;sourceID=1","")</f>
        <v/>
      </c>
    </row>
    <row r="155" spans="1:9">
      <c r="A155" s="3">
        <v>2</v>
      </c>
      <c r="B155" s="3">
        <v>2</v>
      </c>
      <c r="C155" s="3">
        <v>7</v>
      </c>
      <c r="D155" s="3">
        <v>3</v>
      </c>
      <c r="E155" s="3">
        <v>1</v>
      </c>
      <c r="F155" s="4" t="str">
        <f>HYPERLINK("http://141.218.60.56/~jnz1568/getInfo.php?workbook=02_02.xlsx&amp;sheet=U0&amp;row=155&amp;col=6&amp;number=3.75&amp;sourceID=28","3.75")</f>
        <v>3.75</v>
      </c>
      <c r="G155" s="4" t="str">
        <f>HYPERLINK("http://141.218.60.56/~jnz1568/getInfo.php?workbook=02_02.xlsx&amp;sheet=U0&amp;row=155&amp;col=7&amp;number=0.529&amp;sourceID=1","0.529")</f>
        <v>0.529</v>
      </c>
      <c r="H155" s="4" t="str">
        <f>HYPERLINK("http://141.218.60.56/~jnz1568/getInfo.php?workbook=02_02.xlsx&amp;sheet=U0&amp;row=155&amp;col=8&amp;number=3.301&amp;sourceID=29","3.301")</f>
        <v>3.301</v>
      </c>
      <c r="I155" s="4" t="str">
        <f>HYPERLINK("http://141.218.60.56/~jnz1568/getInfo.php?workbook=02_02.xlsx&amp;sheet=U0&amp;row=155&amp;col=9&amp;number=0.6157&amp;sourceID=1","0.6157")</f>
        <v>0.6157</v>
      </c>
    </row>
    <row r="156" spans="1:9">
      <c r="A156" s="3"/>
      <c r="B156" s="3"/>
      <c r="C156" s="3"/>
      <c r="D156" s="3"/>
      <c r="E156" s="3">
        <v>2</v>
      </c>
      <c r="F156" s="4" t="str">
        <f>HYPERLINK("http://141.218.60.56/~jnz1568/getInfo.php?workbook=02_02.xlsx&amp;sheet=U0&amp;row=156&amp;col=6&amp;number=4&amp;sourceID=28","4")</f>
        <v>4</v>
      </c>
      <c r="G156" s="4" t="str">
        <f>HYPERLINK("http://141.218.60.56/~jnz1568/getInfo.php?workbook=02_02.xlsx&amp;sheet=U0&amp;row=156&amp;col=7&amp;number=0.5736&amp;sourceID=1","0.5736")</f>
        <v>0.5736</v>
      </c>
      <c r="H156" s="4" t="str">
        <f>HYPERLINK("http://141.218.60.56/~jnz1568/getInfo.php?workbook=02_02.xlsx&amp;sheet=U0&amp;row=156&amp;col=8&amp;number=3.699&amp;sourceID=29","3.699")</f>
        <v>3.699</v>
      </c>
      <c r="I156" s="4" t="str">
        <f>HYPERLINK("http://141.218.60.56/~jnz1568/getInfo.php?workbook=02_02.xlsx&amp;sheet=U0&amp;row=156&amp;col=9&amp;number=0.5997&amp;sourceID=1","0.5997")</f>
        <v>0.5997</v>
      </c>
    </row>
    <row r="157" spans="1:9">
      <c r="A157" s="3"/>
      <c r="B157" s="3"/>
      <c r="C157" s="3"/>
      <c r="D157" s="3"/>
      <c r="E157" s="3">
        <v>3</v>
      </c>
      <c r="F157" s="4" t="str">
        <f>HYPERLINK("http://141.218.60.56/~jnz1568/getInfo.php?workbook=02_02.xlsx&amp;sheet=U0&amp;row=157&amp;col=6&amp;number=4.25&amp;sourceID=28","4.25")</f>
        <v>4.25</v>
      </c>
      <c r="G157" s="4" t="str">
        <f>HYPERLINK("http://141.218.60.56/~jnz1568/getInfo.php?workbook=02_02.xlsx&amp;sheet=U0&amp;row=157&amp;col=7&amp;number=0.6711&amp;sourceID=1","0.6711")</f>
        <v>0.6711</v>
      </c>
      <c r="H157" s="4" t="str">
        <f>HYPERLINK("http://141.218.60.56/~jnz1568/getInfo.php?workbook=02_02.xlsx&amp;sheet=U0&amp;row=157&amp;col=8&amp;number=4&amp;sourceID=29","4")</f>
        <v>4</v>
      </c>
      <c r="I157" s="4" t="str">
        <f>HYPERLINK("http://141.218.60.56/~jnz1568/getInfo.php?workbook=02_02.xlsx&amp;sheet=U0&amp;row=157&amp;col=9&amp;number=0.6178&amp;sourceID=1","0.6178")</f>
        <v>0.6178</v>
      </c>
    </row>
    <row r="158" spans="1:9">
      <c r="A158" s="3"/>
      <c r="B158" s="3"/>
      <c r="C158" s="3"/>
      <c r="D158" s="3"/>
      <c r="E158" s="3">
        <v>4</v>
      </c>
      <c r="F158" s="4" t="str">
        <f>HYPERLINK("http://141.218.60.56/~jnz1568/getInfo.php?workbook=02_02.xlsx&amp;sheet=U0&amp;row=158&amp;col=6&amp;number=4.5&amp;sourceID=28","4.5")</f>
        <v>4.5</v>
      </c>
      <c r="G158" s="4" t="str">
        <f>HYPERLINK("http://141.218.60.56/~jnz1568/getInfo.php?workbook=02_02.xlsx&amp;sheet=U0&amp;row=158&amp;col=7&amp;number=0.8581&amp;sourceID=1","0.8581")</f>
        <v>0.8581</v>
      </c>
      <c r="H158" s="4" t="str">
        <f>HYPERLINK("http://141.218.60.56/~jnz1568/getInfo.php?workbook=02_02.xlsx&amp;sheet=U0&amp;row=158&amp;col=8&amp;number=4.176&amp;sourceID=29","4.176")</f>
        <v>4.176</v>
      </c>
      <c r="I158" s="4" t="str">
        <f>HYPERLINK("http://141.218.60.56/~jnz1568/getInfo.php?workbook=02_02.xlsx&amp;sheet=U0&amp;row=158&amp;col=9&amp;number=0.6762&amp;sourceID=1","0.6762")</f>
        <v>0.6762</v>
      </c>
    </row>
    <row r="159" spans="1:9">
      <c r="A159" s="3"/>
      <c r="B159" s="3"/>
      <c r="C159" s="3"/>
      <c r="D159" s="3"/>
      <c r="E159" s="3">
        <v>5</v>
      </c>
      <c r="F159" s="4" t="str">
        <f>HYPERLINK("http://141.218.60.56/~jnz1568/getInfo.php?workbook=02_02.xlsx&amp;sheet=U0&amp;row=159&amp;col=6&amp;number=4.75&amp;sourceID=28","4.75")</f>
        <v>4.75</v>
      </c>
      <c r="G159" s="4" t="str">
        <f>HYPERLINK("http://141.218.60.56/~jnz1568/getInfo.php?workbook=02_02.xlsx&amp;sheet=U0&amp;row=159&amp;col=7&amp;number=1.149&amp;sourceID=1","1.149")</f>
        <v>1.149</v>
      </c>
      <c r="H159" s="4" t="str">
        <f>HYPERLINK("http://141.218.60.56/~jnz1568/getInfo.php?workbook=02_02.xlsx&amp;sheet=U0&amp;row=159&amp;col=8&amp;number=4.301&amp;sourceID=29","4.301")</f>
        <v>4.301</v>
      </c>
      <c r="I159" s="4" t="str">
        <f>HYPERLINK("http://141.218.60.56/~jnz1568/getInfo.php?workbook=02_02.xlsx&amp;sheet=U0&amp;row=159&amp;col=9&amp;number=0.7565&amp;sourceID=1","0.7565")</f>
        <v>0.7565</v>
      </c>
    </row>
    <row r="160" spans="1:9">
      <c r="A160" s="3"/>
      <c r="B160" s="3"/>
      <c r="C160" s="3"/>
      <c r="D160" s="3"/>
      <c r="E160" s="3">
        <v>6</v>
      </c>
      <c r="F160" s="4" t="str">
        <f>HYPERLINK("http://141.218.60.56/~jnz1568/getInfo.php?workbook=02_02.xlsx&amp;sheet=U0&amp;row=160&amp;col=6&amp;number=5&amp;sourceID=28","5")</f>
        <v>5</v>
      </c>
      <c r="G160" s="4" t="str">
        <f>HYPERLINK("http://141.218.60.56/~jnz1568/getInfo.php?workbook=02_02.xlsx&amp;sheet=U0&amp;row=160&amp;col=7&amp;number=1.526&amp;sourceID=1","1.526")</f>
        <v>1.526</v>
      </c>
      <c r="H160" s="4" t="str">
        <f>HYPERLINK("http://141.218.60.56/~jnz1568/getInfo.php?workbook=02_02.xlsx&amp;sheet=U0&amp;row=160&amp;col=8&amp;number=4.398&amp;sourceID=29","4.398")</f>
        <v>4.398</v>
      </c>
      <c r="I160" s="4" t="str">
        <f>HYPERLINK("http://141.218.60.56/~jnz1568/getInfo.php?workbook=02_02.xlsx&amp;sheet=U0&amp;row=160&amp;col=9&amp;number=0.8405&amp;sourceID=1","0.8405")</f>
        <v>0.8405</v>
      </c>
    </row>
    <row r="161" spans="1:9">
      <c r="A161" s="3"/>
      <c r="B161" s="3"/>
      <c r="C161" s="3"/>
      <c r="D161" s="3"/>
      <c r="E161" s="3">
        <v>7</v>
      </c>
      <c r="F161" s="4" t="str">
        <f>HYPERLINK("http://141.218.60.56/~jnz1568/getInfo.php?workbook=02_02.xlsx&amp;sheet=U0&amp;row=161&amp;col=6&amp;number=5.25&amp;sourceID=28","5.25")</f>
        <v>5.25</v>
      </c>
      <c r="G161" s="4" t="str">
        <f>HYPERLINK("http://141.218.60.56/~jnz1568/getInfo.php?workbook=02_02.xlsx&amp;sheet=U0&amp;row=161&amp;col=7&amp;number=1.94&amp;sourceID=1","1.94")</f>
        <v>1.94</v>
      </c>
      <c r="H161" s="4" t="str">
        <f>HYPERLINK("http://141.218.60.56/~jnz1568/getInfo.php?workbook=02_02.xlsx&amp;sheet=U0&amp;row=161&amp;col=8&amp;number=4.477&amp;sourceID=29","4.477")</f>
        <v>4.477</v>
      </c>
      <c r="I161" s="4" t="str">
        <f>HYPERLINK("http://141.218.60.56/~jnz1568/getInfo.php?workbook=02_02.xlsx&amp;sheet=U0&amp;row=161&amp;col=9&amp;number=0.9167&amp;sourceID=1","0.9167")</f>
        <v>0.9167</v>
      </c>
    </row>
    <row r="162" spans="1:9">
      <c r="A162" s="3"/>
      <c r="B162" s="3"/>
      <c r="C162" s="3"/>
      <c r="D162" s="3"/>
      <c r="E162" s="3">
        <v>8</v>
      </c>
      <c r="F162" s="4" t="str">
        <f>HYPERLINK("http://141.218.60.56/~jnz1568/getInfo.php?workbook=02_02.xlsx&amp;sheet=U0&amp;row=162&amp;col=6&amp;number=5.5&amp;sourceID=28","5.5")</f>
        <v>5.5</v>
      </c>
      <c r="G162" s="4" t="str">
        <f>HYPERLINK("http://141.218.60.56/~jnz1568/getInfo.php?workbook=02_02.xlsx&amp;sheet=U0&amp;row=162&amp;col=7&amp;number=2.344&amp;sourceID=1","2.344")</f>
        <v>2.344</v>
      </c>
      <c r="H162" s="4" t="str">
        <f>HYPERLINK("http://141.218.60.56/~jnz1568/getInfo.php?workbook=02_02.xlsx&amp;sheet=U0&amp;row=162&amp;col=8&amp;number=&amp;sourceID=29","")</f>
        <v/>
      </c>
      <c r="I162" s="4" t="str">
        <f>HYPERLINK("http://141.218.60.56/~jnz1568/getInfo.php?workbook=02_02.xlsx&amp;sheet=U0&amp;row=162&amp;col=9&amp;number=&amp;sourceID=1","")</f>
        <v/>
      </c>
    </row>
    <row r="163" spans="1:9">
      <c r="A163" s="3"/>
      <c r="B163" s="3"/>
      <c r="C163" s="3"/>
      <c r="D163" s="3"/>
      <c r="E163" s="3">
        <v>9</v>
      </c>
      <c r="F163" s="4" t="str">
        <f>HYPERLINK("http://141.218.60.56/~jnz1568/getInfo.php?workbook=02_02.xlsx&amp;sheet=U0&amp;row=163&amp;col=6&amp;number=5.75&amp;sourceID=28","5.75")</f>
        <v>5.75</v>
      </c>
      <c r="G163" s="4" t="str">
        <f>HYPERLINK("http://141.218.60.56/~jnz1568/getInfo.php?workbook=02_02.xlsx&amp;sheet=U0&amp;row=163&amp;col=7&amp;number=2.705&amp;sourceID=1","2.705")</f>
        <v>2.705</v>
      </c>
      <c r="H163" s="4" t="str">
        <f>HYPERLINK("http://141.218.60.56/~jnz1568/getInfo.php?workbook=02_02.xlsx&amp;sheet=U0&amp;row=163&amp;col=8&amp;number=&amp;sourceID=29","")</f>
        <v/>
      </c>
      <c r="I163" s="4" t="str">
        <f>HYPERLINK("http://141.218.60.56/~jnz1568/getInfo.php?workbook=02_02.xlsx&amp;sheet=U0&amp;row=163&amp;col=9&amp;number=&amp;sourceID=1","")</f>
        <v/>
      </c>
    </row>
    <row r="164" spans="1:9">
      <c r="A164" s="3">
        <v>2</v>
      </c>
      <c r="B164" s="3">
        <v>2</v>
      </c>
      <c r="C164" s="3">
        <v>7</v>
      </c>
      <c r="D164" s="3">
        <v>4</v>
      </c>
      <c r="E164" s="3">
        <v>1</v>
      </c>
      <c r="F164" s="4" t="str">
        <f>HYPERLINK("http://141.218.60.56/~jnz1568/getInfo.php?workbook=02_02.xlsx&amp;sheet=U0&amp;row=164&amp;col=6&amp;number=3.75&amp;sourceID=28","3.75")</f>
        <v>3.75</v>
      </c>
      <c r="G164" s="4" t="str">
        <f>HYPERLINK("http://141.218.60.56/~jnz1568/getInfo.php?workbook=02_02.xlsx&amp;sheet=U0&amp;row=164&amp;col=7&amp;number=0.6756&amp;sourceID=1","0.6756")</f>
        <v>0.6756</v>
      </c>
      <c r="H164" s="4" t="str">
        <f>HYPERLINK("http://141.218.60.56/~jnz1568/getInfo.php?workbook=02_02.xlsx&amp;sheet=U0&amp;row=164&amp;col=8&amp;number=3.301&amp;sourceID=29","3.301")</f>
        <v>3.301</v>
      </c>
      <c r="I164" s="4" t="str">
        <f>HYPERLINK("http://141.218.60.56/~jnz1568/getInfo.php?workbook=02_02.xlsx&amp;sheet=U0&amp;row=164&amp;col=9&amp;number=0.7654&amp;sourceID=1","0.7654")</f>
        <v>0.7654</v>
      </c>
    </row>
    <row r="165" spans="1:9">
      <c r="A165" s="3"/>
      <c r="B165" s="3"/>
      <c r="C165" s="3"/>
      <c r="D165" s="3"/>
      <c r="E165" s="3">
        <v>2</v>
      </c>
      <c r="F165" s="4" t="str">
        <f>HYPERLINK("http://141.218.60.56/~jnz1568/getInfo.php?workbook=02_02.xlsx&amp;sheet=U0&amp;row=165&amp;col=6&amp;number=4&amp;sourceID=28","4")</f>
        <v>4</v>
      </c>
      <c r="G165" s="4" t="str">
        <f>HYPERLINK("http://141.218.60.56/~jnz1568/getInfo.php?workbook=02_02.xlsx&amp;sheet=U0&amp;row=165&amp;col=7&amp;number=0.6387&amp;sourceID=1","0.6387")</f>
        <v>0.6387</v>
      </c>
      <c r="H165" s="4" t="str">
        <f>HYPERLINK("http://141.218.60.56/~jnz1568/getInfo.php?workbook=02_02.xlsx&amp;sheet=U0&amp;row=165&amp;col=8&amp;number=3.699&amp;sourceID=29","3.699")</f>
        <v>3.699</v>
      </c>
      <c r="I165" s="4" t="str">
        <f>HYPERLINK("http://141.218.60.56/~jnz1568/getInfo.php?workbook=02_02.xlsx&amp;sheet=U0&amp;row=165&amp;col=9&amp;number=0.7653&amp;sourceID=1","0.7653")</f>
        <v>0.7653</v>
      </c>
    </row>
    <row r="166" spans="1:9">
      <c r="A166" s="3"/>
      <c r="B166" s="3"/>
      <c r="C166" s="3"/>
      <c r="D166" s="3"/>
      <c r="E166" s="3">
        <v>3</v>
      </c>
      <c r="F166" s="4" t="str">
        <f>HYPERLINK("http://141.218.60.56/~jnz1568/getInfo.php?workbook=02_02.xlsx&amp;sheet=U0&amp;row=166&amp;col=6&amp;number=4.25&amp;sourceID=28","4.25")</f>
        <v>4.25</v>
      </c>
      <c r="G166" s="4" t="str">
        <f>HYPERLINK("http://141.218.60.56/~jnz1568/getInfo.php?workbook=02_02.xlsx&amp;sheet=U0&amp;row=166&amp;col=7&amp;number=0.5623&amp;sourceID=1","0.5623")</f>
        <v>0.5623</v>
      </c>
      <c r="H166" s="4" t="str">
        <f>HYPERLINK("http://141.218.60.56/~jnz1568/getInfo.php?workbook=02_02.xlsx&amp;sheet=U0&amp;row=166&amp;col=8&amp;number=4&amp;sourceID=29","4")</f>
        <v>4</v>
      </c>
      <c r="I166" s="4" t="str">
        <f>HYPERLINK("http://141.218.60.56/~jnz1568/getInfo.php?workbook=02_02.xlsx&amp;sheet=U0&amp;row=166&amp;col=9&amp;number=0.6933&amp;sourceID=1","0.6933")</f>
        <v>0.6933</v>
      </c>
    </row>
    <row r="167" spans="1:9">
      <c r="A167" s="3"/>
      <c r="B167" s="3"/>
      <c r="C167" s="3"/>
      <c r="D167" s="3"/>
      <c r="E167" s="3">
        <v>4</v>
      </c>
      <c r="F167" s="4" t="str">
        <f>HYPERLINK("http://141.218.60.56/~jnz1568/getInfo.php?workbook=02_02.xlsx&amp;sheet=U0&amp;row=167&amp;col=6&amp;number=4.5&amp;sourceID=28","4.5")</f>
        <v>4.5</v>
      </c>
      <c r="G167" s="4" t="str">
        <f>HYPERLINK("http://141.218.60.56/~jnz1568/getInfo.php?workbook=02_02.xlsx&amp;sheet=U0&amp;row=167&amp;col=7&amp;number=0.4633&amp;sourceID=1","0.4633")</f>
        <v>0.4633</v>
      </c>
      <c r="H167" s="4" t="str">
        <f>HYPERLINK("http://141.218.60.56/~jnz1568/getInfo.php?workbook=02_02.xlsx&amp;sheet=U0&amp;row=167&amp;col=8&amp;number=4.176&amp;sourceID=29","4.176")</f>
        <v>4.176</v>
      </c>
      <c r="I167" s="4" t="str">
        <f>HYPERLINK("http://141.218.60.56/~jnz1568/getInfo.php?workbook=02_02.xlsx&amp;sheet=U0&amp;row=167&amp;col=9&amp;number=0.6359&amp;sourceID=1","0.6359")</f>
        <v>0.6359</v>
      </c>
    </row>
    <row r="168" spans="1:9">
      <c r="A168" s="3"/>
      <c r="B168" s="3"/>
      <c r="C168" s="3"/>
      <c r="D168" s="3"/>
      <c r="E168" s="3">
        <v>5</v>
      </c>
      <c r="F168" s="4" t="str">
        <f>HYPERLINK("http://141.218.60.56/~jnz1568/getInfo.php?workbook=02_02.xlsx&amp;sheet=U0&amp;row=168&amp;col=6&amp;number=4.75&amp;sourceID=28","4.75")</f>
        <v>4.75</v>
      </c>
      <c r="G168" s="4" t="str">
        <f>HYPERLINK("http://141.218.60.56/~jnz1568/getInfo.php?workbook=02_02.xlsx&amp;sheet=U0&amp;row=168&amp;col=7&amp;number=0.3582&amp;sourceID=1","0.3582")</f>
        <v>0.3582</v>
      </c>
      <c r="H168" s="4" t="str">
        <f>HYPERLINK("http://141.218.60.56/~jnz1568/getInfo.php?workbook=02_02.xlsx&amp;sheet=U0&amp;row=168&amp;col=8&amp;number=4.301&amp;sourceID=29","4.301")</f>
        <v>4.301</v>
      </c>
      <c r="I168" s="4" t="str">
        <f>HYPERLINK("http://141.218.60.56/~jnz1568/getInfo.php?workbook=02_02.xlsx&amp;sheet=U0&amp;row=168&amp;col=9&amp;number=0.5922&amp;sourceID=1","0.5922")</f>
        <v>0.5922</v>
      </c>
    </row>
    <row r="169" spans="1:9">
      <c r="A169" s="3"/>
      <c r="B169" s="3"/>
      <c r="C169" s="3"/>
      <c r="D169" s="3"/>
      <c r="E169" s="3">
        <v>6</v>
      </c>
      <c r="F169" s="4" t="str">
        <f>HYPERLINK("http://141.218.60.56/~jnz1568/getInfo.php?workbook=02_02.xlsx&amp;sheet=U0&amp;row=169&amp;col=6&amp;number=5&amp;sourceID=28","5")</f>
        <v>5</v>
      </c>
      <c r="G169" s="4" t="str">
        <f>HYPERLINK("http://141.218.60.56/~jnz1568/getInfo.php?workbook=02_02.xlsx&amp;sheet=U0&amp;row=169&amp;col=7&amp;number=0.261&amp;sourceID=1","0.261")</f>
        <v>0.261</v>
      </c>
      <c r="H169" s="4" t="str">
        <f>HYPERLINK("http://141.218.60.56/~jnz1568/getInfo.php?workbook=02_02.xlsx&amp;sheet=U0&amp;row=169&amp;col=8&amp;number=4.398&amp;sourceID=29","4.398")</f>
        <v>4.398</v>
      </c>
      <c r="I169" s="4" t="str">
        <f>HYPERLINK("http://141.218.60.56/~jnz1568/getInfo.php?workbook=02_02.xlsx&amp;sheet=U0&amp;row=169&amp;col=9&amp;number=0.5565&amp;sourceID=1","0.5565")</f>
        <v>0.5565</v>
      </c>
    </row>
    <row r="170" spans="1:9">
      <c r="A170" s="3"/>
      <c r="B170" s="3"/>
      <c r="C170" s="3"/>
      <c r="D170" s="3"/>
      <c r="E170" s="3">
        <v>7</v>
      </c>
      <c r="F170" s="4" t="str">
        <f>HYPERLINK("http://141.218.60.56/~jnz1568/getInfo.php?workbook=02_02.xlsx&amp;sheet=U0&amp;row=170&amp;col=6&amp;number=5.25&amp;sourceID=28","5.25")</f>
        <v>5.25</v>
      </c>
      <c r="G170" s="4" t="str">
        <f>HYPERLINK("http://141.218.60.56/~jnz1568/getInfo.php?workbook=02_02.xlsx&amp;sheet=U0&amp;row=170&amp;col=7&amp;number=0.1803&amp;sourceID=1","0.1803")</f>
        <v>0.1803</v>
      </c>
      <c r="H170" s="4" t="str">
        <f>HYPERLINK("http://141.218.60.56/~jnz1568/getInfo.php?workbook=02_02.xlsx&amp;sheet=U0&amp;row=170&amp;col=8&amp;number=4.477&amp;sourceID=29","4.477")</f>
        <v>4.477</v>
      </c>
      <c r="I170" s="4" t="str">
        <f>HYPERLINK("http://141.218.60.56/~jnz1568/getInfo.php?workbook=02_02.xlsx&amp;sheet=U0&amp;row=170&amp;col=9&amp;number=0.5258&amp;sourceID=1","0.5258")</f>
        <v>0.5258</v>
      </c>
    </row>
    <row r="171" spans="1:9">
      <c r="A171" s="3"/>
      <c r="B171" s="3"/>
      <c r="C171" s="3"/>
      <c r="D171" s="3"/>
      <c r="E171" s="3">
        <v>8</v>
      </c>
      <c r="F171" s="4" t="str">
        <f>HYPERLINK("http://141.218.60.56/~jnz1568/getInfo.php?workbook=02_02.xlsx&amp;sheet=U0&amp;row=171&amp;col=6&amp;number=5.5&amp;sourceID=28","5.5")</f>
        <v>5.5</v>
      </c>
      <c r="G171" s="4" t="str">
        <f>HYPERLINK("http://141.218.60.56/~jnz1568/getInfo.php?workbook=02_02.xlsx&amp;sheet=U0&amp;row=171&amp;col=7&amp;number=0.1188&amp;sourceID=1","0.1188")</f>
        <v>0.1188</v>
      </c>
      <c r="H171" s="4" t="str">
        <f>HYPERLINK("http://141.218.60.56/~jnz1568/getInfo.php?workbook=02_02.xlsx&amp;sheet=U0&amp;row=171&amp;col=8&amp;number=&amp;sourceID=29","")</f>
        <v/>
      </c>
      <c r="I171" s="4" t="str">
        <f>HYPERLINK("http://141.218.60.56/~jnz1568/getInfo.php?workbook=02_02.xlsx&amp;sheet=U0&amp;row=171&amp;col=9&amp;number=&amp;sourceID=1","")</f>
        <v/>
      </c>
    </row>
    <row r="172" spans="1:9">
      <c r="A172" s="3"/>
      <c r="B172" s="3"/>
      <c r="C172" s="3"/>
      <c r="D172" s="3"/>
      <c r="E172" s="3">
        <v>9</v>
      </c>
      <c r="F172" s="4" t="str">
        <f>HYPERLINK("http://141.218.60.56/~jnz1568/getInfo.php?workbook=02_02.xlsx&amp;sheet=U0&amp;row=172&amp;col=6&amp;number=5.75&amp;sourceID=28","5.75")</f>
        <v>5.75</v>
      </c>
      <c r="G172" s="4" t="str">
        <f>HYPERLINK("http://141.218.60.56/~jnz1568/getInfo.php?workbook=02_02.xlsx&amp;sheet=U0&amp;row=172&amp;col=7&amp;number=0.07516&amp;sourceID=1","0.07516")</f>
        <v>0.07516</v>
      </c>
      <c r="H172" s="4" t="str">
        <f>HYPERLINK("http://141.218.60.56/~jnz1568/getInfo.php?workbook=02_02.xlsx&amp;sheet=U0&amp;row=172&amp;col=8&amp;number=&amp;sourceID=29","")</f>
        <v/>
      </c>
      <c r="I172" s="4" t="str">
        <f>HYPERLINK("http://141.218.60.56/~jnz1568/getInfo.php?workbook=02_02.xlsx&amp;sheet=U0&amp;row=172&amp;col=9&amp;number=&amp;sourceID=1","")</f>
        <v/>
      </c>
    </row>
    <row r="173" spans="1:9">
      <c r="A173" s="3">
        <v>2</v>
      </c>
      <c r="B173" s="3">
        <v>2</v>
      </c>
      <c r="C173" s="3">
        <v>7</v>
      </c>
      <c r="D173" s="3">
        <v>5</v>
      </c>
      <c r="E173" s="3">
        <v>1</v>
      </c>
      <c r="F173" s="4" t="str">
        <f>HYPERLINK("http://141.218.60.56/~jnz1568/getInfo.php?workbook=02_02.xlsx&amp;sheet=U0&amp;row=173&amp;col=6&amp;number=&amp;sourceID=28","")</f>
        <v/>
      </c>
      <c r="G173" s="4" t="str">
        <f>HYPERLINK("http://141.218.60.56/~jnz1568/getInfo.php?workbook=02_02.xlsx&amp;sheet=U0&amp;row=173&amp;col=7&amp;number=&amp;sourceID=1","")</f>
        <v/>
      </c>
      <c r="H173" s="4" t="str">
        <f>HYPERLINK("http://141.218.60.56/~jnz1568/getInfo.php?workbook=02_02.xlsx&amp;sheet=U0&amp;row=173&amp;col=8&amp;number=3.301&amp;sourceID=29","3.301")</f>
        <v>3.301</v>
      </c>
      <c r="I173" s="4" t="str">
        <f>HYPERLINK("http://141.218.60.56/~jnz1568/getInfo.php?workbook=02_02.xlsx&amp;sheet=U0&amp;row=173&amp;col=9&amp;number=0.7406&amp;sourceID=1","0.7406")</f>
        <v>0.7406</v>
      </c>
    </row>
    <row r="174" spans="1:9">
      <c r="A174" s="3"/>
      <c r="B174" s="3"/>
      <c r="C174" s="3"/>
      <c r="D174" s="3"/>
      <c r="E174" s="3">
        <v>2</v>
      </c>
      <c r="F174" s="4" t="str">
        <f>HYPERLINK("http://141.218.60.56/~jnz1568/getInfo.php?workbook=02_02.xlsx&amp;sheet=U0&amp;row=174&amp;col=6&amp;number=&amp;sourceID=28","")</f>
        <v/>
      </c>
      <c r="G174" s="4" t="str">
        <f>HYPERLINK("http://141.218.60.56/~jnz1568/getInfo.php?workbook=02_02.xlsx&amp;sheet=U0&amp;row=174&amp;col=7&amp;number=&amp;sourceID=1","")</f>
        <v/>
      </c>
      <c r="H174" s="4" t="str">
        <f>HYPERLINK("http://141.218.60.56/~jnz1568/getInfo.php?workbook=02_02.xlsx&amp;sheet=U0&amp;row=174&amp;col=8&amp;number=3.699&amp;sourceID=29","3.699")</f>
        <v>3.699</v>
      </c>
      <c r="I174" s="4" t="str">
        <f>HYPERLINK("http://141.218.60.56/~jnz1568/getInfo.php?workbook=02_02.xlsx&amp;sheet=U0&amp;row=174&amp;col=9&amp;number=0.8053&amp;sourceID=1","0.8053")</f>
        <v>0.8053</v>
      </c>
    </row>
    <row r="175" spans="1:9">
      <c r="A175" s="3"/>
      <c r="B175" s="3"/>
      <c r="C175" s="3"/>
      <c r="D175" s="3"/>
      <c r="E175" s="3">
        <v>3</v>
      </c>
      <c r="F175" s="4" t="str">
        <f>HYPERLINK("http://141.218.60.56/~jnz1568/getInfo.php?workbook=02_02.xlsx&amp;sheet=U0&amp;row=175&amp;col=6&amp;number=&amp;sourceID=28","")</f>
        <v/>
      </c>
      <c r="G175" s="4" t="str">
        <f>HYPERLINK("http://141.218.60.56/~jnz1568/getInfo.php?workbook=02_02.xlsx&amp;sheet=U0&amp;row=175&amp;col=7&amp;number=&amp;sourceID=1","")</f>
        <v/>
      </c>
      <c r="H175" s="4" t="str">
        <f>HYPERLINK("http://141.218.60.56/~jnz1568/getInfo.php?workbook=02_02.xlsx&amp;sheet=U0&amp;row=175&amp;col=8&amp;number=4&amp;sourceID=29","4")</f>
        <v>4</v>
      </c>
      <c r="I175" s="4" t="str">
        <f>HYPERLINK("http://141.218.60.56/~jnz1568/getInfo.php?workbook=02_02.xlsx&amp;sheet=U0&amp;row=175&amp;col=9&amp;number=0.867&amp;sourceID=1","0.867")</f>
        <v>0.867</v>
      </c>
    </row>
    <row r="176" spans="1:9">
      <c r="A176" s="3"/>
      <c r="B176" s="3"/>
      <c r="C176" s="3"/>
      <c r="D176" s="3"/>
      <c r="E176" s="3">
        <v>4</v>
      </c>
      <c r="F176" s="4" t="str">
        <f>HYPERLINK("http://141.218.60.56/~jnz1568/getInfo.php?workbook=02_02.xlsx&amp;sheet=U0&amp;row=176&amp;col=6&amp;number=&amp;sourceID=28","")</f>
        <v/>
      </c>
      <c r="G176" s="4" t="str">
        <f>HYPERLINK("http://141.218.60.56/~jnz1568/getInfo.php?workbook=02_02.xlsx&amp;sheet=U0&amp;row=176&amp;col=7&amp;number=&amp;sourceID=1","")</f>
        <v/>
      </c>
      <c r="H176" s="4" t="str">
        <f>HYPERLINK("http://141.218.60.56/~jnz1568/getInfo.php?workbook=02_02.xlsx&amp;sheet=U0&amp;row=176&amp;col=8&amp;number=4.176&amp;sourceID=29","4.176")</f>
        <v>4.176</v>
      </c>
      <c r="I176" s="4" t="str">
        <f>HYPERLINK("http://141.218.60.56/~jnz1568/getInfo.php?workbook=02_02.xlsx&amp;sheet=U0&amp;row=176&amp;col=9&amp;number=0.9633&amp;sourceID=1","0.9633")</f>
        <v>0.9633</v>
      </c>
    </row>
    <row r="177" spans="1:9">
      <c r="A177" s="3"/>
      <c r="B177" s="3"/>
      <c r="C177" s="3"/>
      <c r="D177" s="3"/>
      <c r="E177" s="3">
        <v>5</v>
      </c>
      <c r="F177" s="4" t="str">
        <f>HYPERLINK("http://141.218.60.56/~jnz1568/getInfo.php?workbook=02_02.xlsx&amp;sheet=U0&amp;row=177&amp;col=6&amp;number=&amp;sourceID=28","")</f>
        <v/>
      </c>
      <c r="G177" s="4" t="str">
        <f>HYPERLINK("http://141.218.60.56/~jnz1568/getInfo.php?workbook=02_02.xlsx&amp;sheet=U0&amp;row=177&amp;col=7&amp;number=&amp;sourceID=1","")</f>
        <v/>
      </c>
      <c r="H177" s="4" t="str">
        <f>HYPERLINK("http://141.218.60.56/~jnz1568/getInfo.php?workbook=02_02.xlsx&amp;sheet=U0&amp;row=177&amp;col=8&amp;number=4.301&amp;sourceID=29","4.301")</f>
        <v>4.301</v>
      </c>
      <c r="I177" s="4" t="str">
        <f>HYPERLINK("http://141.218.60.56/~jnz1568/getInfo.php?workbook=02_02.xlsx&amp;sheet=U0&amp;row=177&amp;col=9&amp;number=1.077&amp;sourceID=1","1.077")</f>
        <v>1.077</v>
      </c>
    </row>
    <row r="178" spans="1:9">
      <c r="A178" s="3"/>
      <c r="B178" s="3"/>
      <c r="C178" s="3"/>
      <c r="D178" s="3"/>
      <c r="E178" s="3">
        <v>6</v>
      </c>
      <c r="F178" s="4" t="str">
        <f>HYPERLINK("http://141.218.60.56/~jnz1568/getInfo.php?workbook=02_02.xlsx&amp;sheet=U0&amp;row=178&amp;col=6&amp;number=&amp;sourceID=28","")</f>
        <v/>
      </c>
      <c r="G178" s="4" t="str">
        <f>HYPERLINK("http://141.218.60.56/~jnz1568/getInfo.php?workbook=02_02.xlsx&amp;sheet=U0&amp;row=178&amp;col=7&amp;number=&amp;sourceID=1","")</f>
        <v/>
      </c>
      <c r="H178" s="4" t="str">
        <f>HYPERLINK("http://141.218.60.56/~jnz1568/getInfo.php?workbook=02_02.xlsx&amp;sheet=U0&amp;row=178&amp;col=8&amp;number=4.398&amp;sourceID=29","4.398")</f>
        <v>4.398</v>
      </c>
      <c r="I178" s="4" t="str">
        <f>HYPERLINK("http://141.218.60.56/~jnz1568/getInfo.php?workbook=02_02.xlsx&amp;sheet=U0&amp;row=178&amp;col=9&amp;number=1.185&amp;sourceID=1","1.185")</f>
        <v>1.185</v>
      </c>
    </row>
    <row r="179" spans="1:9">
      <c r="A179" s="3"/>
      <c r="B179" s="3"/>
      <c r="C179" s="3"/>
      <c r="D179" s="3"/>
      <c r="E179" s="3">
        <v>7</v>
      </c>
      <c r="F179" s="4" t="str">
        <f>HYPERLINK("http://141.218.60.56/~jnz1568/getInfo.php?workbook=02_02.xlsx&amp;sheet=U0&amp;row=179&amp;col=6&amp;number=&amp;sourceID=28","")</f>
        <v/>
      </c>
      <c r="G179" s="4" t="str">
        <f>HYPERLINK("http://141.218.60.56/~jnz1568/getInfo.php?workbook=02_02.xlsx&amp;sheet=U0&amp;row=179&amp;col=7&amp;number=&amp;sourceID=1","")</f>
        <v/>
      </c>
      <c r="H179" s="4" t="str">
        <f>HYPERLINK("http://141.218.60.56/~jnz1568/getInfo.php?workbook=02_02.xlsx&amp;sheet=U0&amp;row=179&amp;col=8&amp;number=4.477&amp;sourceID=29","4.477")</f>
        <v>4.477</v>
      </c>
      <c r="I179" s="4" t="str">
        <f>HYPERLINK("http://141.218.60.56/~jnz1568/getInfo.php?workbook=02_02.xlsx&amp;sheet=U0&amp;row=179&amp;col=9&amp;number=1.278&amp;sourceID=1","1.278")</f>
        <v>1.278</v>
      </c>
    </row>
    <row r="180" spans="1:9">
      <c r="A180" s="3">
        <v>2</v>
      </c>
      <c r="B180" s="3">
        <v>2</v>
      </c>
      <c r="C180" s="3">
        <v>7</v>
      </c>
      <c r="D180" s="3">
        <v>6</v>
      </c>
      <c r="E180" s="3">
        <v>1</v>
      </c>
      <c r="F180" s="4" t="str">
        <f>HYPERLINK("http://141.218.60.56/~jnz1568/getInfo.php?workbook=02_02.xlsx&amp;sheet=U0&amp;row=180&amp;col=6&amp;number=&amp;sourceID=28","")</f>
        <v/>
      </c>
      <c r="G180" s="4" t="str">
        <f>HYPERLINK("http://141.218.60.56/~jnz1568/getInfo.php?workbook=02_02.xlsx&amp;sheet=U0&amp;row=180&amp;col=7&amp;number=&amp;sourceID=1","")</f>
        <v/>
      </c>
      <c r="H180" s="4" t="str">
        <f>HYPERLINK("http://141.218.60.56/~jnz1568/getInfo.php?workbook=02_02.xlsx&amp;sheet=U0&amp;row=180&amp;col=8&amp;number=3.301&amp;sourceID=29","3.301")</f>
        <v>3.301</v>
      </c>
      <c r="I180" s="4" t="str">
        <f>HYPERLINK("http://141.218.60.56/~jnz1568/getInfo.php?workbook=02_02.xlsx&amp;sheet=U0&amp;row=180&amp;col=9&amp;number=4.196&amp;sourceID=1","4.196")</f>
        <v>4.196</v>
      </c>
    </row>
    <row r="181" spans="1:9">
      <c r="A181" s="3"/>
      <c r="B181" s="3"/>
      <c r="C181" s="3"/>
      <c r="D181" s="3"/>
      <c r="E181" s="3">
        <v>2</v>
      </c>
      <c r="F181" s="4" t="str">
        <f>HYPERLINK("http://141.218.60.56/~jnz1568/getInfo.php?workbook=02_02.xlsx&amp;sheet=U0&amp;row=181&amp;col=6&amp;number=&amp;sourceID=28","")</f>
        <v/>
      </c>
      <c r="G181" s="4" t="str">
        <f>HYPERLINK("http://141.218.60.56/~jnz1568/getInfo.php?workbook=02_02.xlsx&amp;sheet=U0&amp;row=181&amp;col=7&amp;number=&amp;sourceID=1","")</f>
        <v/>
      </c>
      <c r="H181" s="4" t="str">
        <f>HYPERLINK("http://141.218.60.56/~jnz1568/getInfo.php?workbook=02_02.xlsx&amp;sheet=U0&amp;row=181&amp;col=8&amp;number=3.699&amp;sourceID=29","3.699")</f>
        <v>3.699</v>
      </c>
      <c r="I181" s="4" t="str">
        <f>HYPERLINK("http://141.218.60.56/~jnz1568/getInfo.php?workbook=02_02.xlsx&amp;sheet=U0&amp;row=181&amp;col=9&amp;number=3.641&amp;sourceID=1","3.641")</f>
        <v>3.641</v>
      </c>
    </row>
    <row r="182" spans="1:9">
      <c r="A182" s="3"/>
      <c r="B182" s="3"/>
      <c r="C182" s="3"/>
      <c r="D182" s="3"/>
      <c r="E182" s="3">
        <v>3</v>
      </c>
      <c r="F182" s="4" t="str">
        <f>HYPERLINK("http://141.218.60.56/~jnz1568/getInfo.php?workbook=02_02.xlsx&amp;sheet=U0&amp;row=182&amp;col=6&amp;number=&amp;sourceID=28","")</f>
        <v/>
      </c>
      <c r="G182" s="4" t="str">
        <f>HYPERLINK("http://141.218.60.56/~jnz1568/getInfo.php?workbook=02_02.xlsx&amp;sheet=U0&amp;row=182&amp;col=7&amp;number=&amp;sourceID=1","")</f>
        <v/>
      </c>
      <c r="H182" s="4" t="str">
        <f>HYPERLINK("http://141.218.60.56/~jnz1568/getInfo.php?workbook=02_02.xlsx&amp;sheet=U0&amp;row=182&amp;col=8&amp;number=4&amp;sourceID=29","4")</f>
        <v>4</v>
      </c>
      <c r="I182" s="4" t="str">
        <f>HYPERLINK("http://141.218.60.56/~jnz1568/getInfo.php?workbook=02_02.xlsx&amp;sheet=U0&amp;row=182&amp;col=9&amp;number=2.809&amp;sourceID=1","2.809")</f>
        <v>2.809</v>
      </c>
    </row>
    <row r="183" spans="1:9">
      <c r="A183" s="3"/>
      <c r="B183" s="3"/>
      <c r="C183" s="3"/>
      <c r="D183" s="3"/>
      <c r="E183" s="3">
        <v>4</v>
      </c>
      <c r="F183" s="4" t="str">
        <f>HYPERLINK("http://141.218.60.56/~jnz1568/getInfo.php?workbook=02_02.xlsx&amp;sheet=U0&amp;row=183&amp;col=6&amp;number=&amp;sourceID=28","")</f>
        <v/>
      </c>
      <c r="G183" s="4" t="str">
        <f>HYPERLINK("http://141.218.60.56/~jnz1568/getInfo.php?workbook=02_02.xlsx&amp;sheet=U0&amp;row=183&amp;col=7&amp;number=&amp;sourceID=1","")</f>
        <v/>
      </c>
      <c r="H183" s="4" t="str">
        <f>HYPERLINK("http://141.218.60.56/~jnz1568/getInfo.php?workbook=02_02.xlsx&amp;sheet=U0&amp;row=183&amp;col=8&amp;number=4.176&amp;sourceID=29","4.176")</f>
        <v>4.176</v>
      </c>
      <c r="I183" s="4" t="str">
        <f>HYPERLINK("http://141.218.60.56/~jnz1568/getInfo.php?workbook=02_02.xlsx&amp;sheet=U0&amp;row=183&amp;col=9&amp;number=2.309&amp;sourceID=1","2.309")</f>
        <v>2.309</v>
      </c>
    </row>
    <row r="184" spans="1:9">
      <c r="A184" s="3"/>
      <c r="B184" s="3"/>
      <c r="C184" s="3"/>
      <c r="D184" s="3"/>
      <c r="E184" s="3">
        <v>5</v>
      </c>
      <c r="F184" s="4" t="str">
        <f>HYPERLINK("http://141.218.60.56/~jnz1568/getInfo.php?workbook=02_02.xlsx&amp;sheet=U0&amp;row=184&amp;col=6&amp;number=&amp;sourceID=28","")</f>
        <v/>
      </c>
      <c r="G184" s="4" t="str">
        <f>HYPERLINK("http://141.218.60.56/~jnz1568/getInfo.php?workbook=02_02.xlsx&amp;sheet=U0&amp;row=184&amp;col=7&amp;number=&amp;sourceID=1","")</f>
        <v/>
      </c>
      <c r="H184" s="4" t="str">
        <f>HYPERLINK("http://141.218.60.56/~jnz1568/getInfo.php?workbook=02_02.xlsx&amp;sheet=U0&amp;row=184&amp;col=8&amp;number=4.301&amp;sourceID=29","4.301")</f>
        <v>4.301</v>
      </c>
      <c r="I184" s="4" t="str">
        <f>HYPERLINK("http://141.218.60.56/~jnz1568/getInfo.php?workbook=02_02.xlsx&amp;sheet=U0&amp;row=184&amp;col=9&amp;number=1.982&amp;sourceID=1","1.982")</f>
        <v>1.982</v>
      </c>
    </row>
    <row r="185" spans="1:9">
      <c r="A185" s="3"/>
      <c r="B185" s="3"/>
      <c r="C185" s="3"/>
      <c r="D185" s="3"/>
      <c r="E185" s="3">
        <v>6</v>
      </c>
      <c r="F185" s="4" t="str">
        <f>HYPERLINK("http://141.218.60.56/~jnz1568/getInfo.php?workbook=02_02.xlsx&amp;sheet=U0&amp;row=185&amp;col=6&amp;number=&amp;sourceID=28","")</f>
        <v/>
      </c>
      <c r="G185" s="4" t="str">
        <f>HYPERLINK("http://141.218.60.56/~jnz1568/getInfo.php?workbook=02_02.xlsx&amp;sheet=U0&amp;row=185&amp;col=7&amp;number=&amp;sourceID=1","")</f>
        <v/>
      </c>
      <c r="H185" s="4" t="str">
        <f>HYPERLINK("http://141.218.60.56/~jnz1568/getInfo.php?workbook=02_02.xlsx&amp;sheet=U0&amp;row=185&amp;col=8&amp;number=4.398&amp;sourceID=29","4.398")</f>
        <v>4.398</v>
      </c>
      <c r="I185" s="4" t="str">
        <f>HYPERLINK("http://141.218.60.56/~jnz1568/getInfo.php?workbook=02_02.xlsx&amp;sheet=U0&amp;row=185&amp;col=9&amp;number=1.75&amp;sourceID=1","1.75")</f>
        <v>1.75</v>
      </c>
    </row>
    <row r="186" spans="1:9">
      <c r="A186" s="3"/>
      <c r="B186" s="3"/>
      <c r="C186" s="3"/>
      <c r="D186" s="3"/>
      <c r="E186" s="3">
        <v>7</v>
      </c>
      <c r="F186" s="4" t="str">
        <f>HYPERLINK("http://141.218.60.56/~jnz1568/getInfo.php?workbook=02_02.xlsx&amp;sheet=U0&amp;row=186&amp;col=6&amp;number=&amp;sourceID=28","")</f>
        <v/>
      </c>
      <c r="G186" s="4" t="str">
        <f>HYPERLINK("http://141.218.60.56/~jnz1568/getInfo.php?workbook=02_02.xlsx&amp;sheet=U0&amp;row=186&amp;col=7&amp;number=&amp;sourceID=1","")</f>
        <v/>
      </c>
      <c r="H186" s="4" t="str">
        <f>HYPERLINK("http://141.218.60.56/~jnz1568/getInfo.php?workbook=02_02.xlsx&amp;sheet=U0&amp;row=186&amp;col=8&amp;number=4.477&amp;sourceID=29","4.477")</f>
        <v>4.477</v>
      </c>
      <c r="I186" s="4" t="str">
        <f>HYPERLINK("http://141.218.60.56/~jnz1568/getInfo.php?workbook=02_02.xlsx&amp;sheet=U0&amp;row=186&amp;col=9&amp;number=1.574&amp;sourceID=1","1.574")</f>
        <v>1.574</v>
      </c>
    </row>
    <row r="187" spans="1:9">
      <c r="A187" s="3">
        <v>2</v>
      </c>
      <c r="B187" s="3">
        <v>2</v>
      </c>
      <c r="C187" s="3">
        <v>8</v>
      </c>
      <c r="D187" s="3">
        <v>1</v>
      </c>
      <c r="E187" s="3">
        <v>1</v>
      </c>
      <c r="F187" s="4" t="str">
        <f>HYPERLINK("http://141.218.60.56/~jnz1568/getInfo.php?workbook=02_02.xlsx&amp;sheet=U0&amp;row=187&amp;col=6&amp;number=3.75&amp;sourceID=28","3.75")</f>
        <v>3.75</v>
      </c>
      <c r="G187" s="4" t="str">
        <f>HYPERLINK("http://141.218.60.56/~jnz1568/getInfo.php?workbook=02_02.xlsx&amp;sheet=U0&amp;row=187&amp;col=7&amp;number=0.006041&amp;sourceID=1","0.006041")</f>
        <v>0.006041</v>
      </c>
      <c r="H187" s="4" t="str">
        <f>HYPERLINK("http://141.218.60.56/~jnz1568/getInfo.php?workbook=02_02.xlsx&amp;sheet=U0&amp;row=187&amp;col=8&amp;number=3.301&amp;sourceID=29","3.301")</f>
        <v>3.301</v>
      </c>
      <c r="I187" s="4" t="str">
        <f>HYPERLINK("http://141.218.60.56/~jnz1568/getInfo.php?workbook=02_02.xlsx&amp;sheet=U0&amp;row=187&amp;col=9&amp;number=0.005339&amp;sourceID=1","0.005339")</f>
        <v>0.005339</v>
      </c>
    </row>
    <row r="188" spans="1:9">
      <c r="A188" s="3"/>
      <c r="B188" s="3"/>
      <c r="C188" s="3"/>
      <c r="D188" s="3"/>
      <c r="E188" s="3">
        <v>2</v>
      </c>
      <c r="F188" s="4" t="str">
        <f>HYPERLINK("http://141.218.60.56/~jnz1568/getInfo.php?workbook=02_02.xlsx&amp;sheet=U0&amp;row=188&amp;col=6&amp;number=4&amp;sourceID=28","4")</f>
        <v>4</v>
      </c>
      <c r="G188" s="4" t="str">
        <f>HYPERLINK("http://141.218.60.56/~jnz1568/getInfo.php?workbook=02_02.xlsx&amp;sheet=U0&amp;row=188&amp;col=7&amp;number=0.006906&amp;sourceID=1","0.006906")</f>
        <v>0.006906</v>
      </c>
      <c r="H188" s="4" t="str">
        <f>HYPERLINK("http://141.218.60.56/~jnz1568/getInfo.php?workbook=02_02.xlsx&amp;sheet=U0&amp;row=188&amp;col=8&amp;number=3.699&amp;sourceID=29","3.699")</f>
        <v>3.699</v>
      </c>
      <c r="I188" s="4" t="str">
        <f>HYPERLINK("http://141.218.60.56/~jnz1568/getInfo.php?workbook=02_02.xlsx&amp;sheet=U0&amp;row=188&amp;col=9&amp;number=0.006305&amp;sourceID=1","0.006305")</f>
        <v>0.006305</v>
      </c>
    </row>
    <row r="189" spans="1:9">
      <c r="A189" s="3"/>
      <c r="B189" s="3"/>
      <c r="C189" s="3"/>
      <c r="D189" s="3"/>
      <c r="E189" s="3">
        <v>3</v>
      </c>
      <c r="F189" s="4" t="str">
        <f>HYPERLINK("http://141.218.60.56/~jnz1568/getInfo.php?workbook=02_02.xlsx&amp;sheet=U0&amp;row=189&amp;col=6&amp;number=4.25&amp;sourceID=28","4.25")</f>
        <v>4.25</v>
      </c>
      <c r="G189" s="4" t="str">
        <f>HYPERLINK("http://141.218.60.56/~jnz1568/getInfo.php?workbook=02_02.xlsx&amp;sheet=U0&amp;row=189&amp;col=7&amp;number=0.007931&amp;sourceID=1","0.007931")</f>
        <v>0.007931</v>
      </c>
      <c r="H189" s="4" t="str">
        <f>HYPERLINK("http://141.218.60.56/~jnz1568/getInfo.php?workbook=02_02.xlsx&amp;sheet=U0&amp;row=189&amp;col=8&amp;number=4&amp;sourceID=29","4")</f>
        <v>4</v>
      </c>
      <c r="I189" s="4" t="str">
        <f>HYPERLINK("http://141.218.60.56/~jnz1568/getInfo.php?workbook=02_02.xlsx&amp;sheet=U0&amp;row=189&amp;col=9&amp;number=0.007383&amp;sourceID=1","0.007383")</f>
        <v>0.007383</v>
      </c>
    </row>
    <row r="190" spans="1:9">
      <c r="A190" s="3"/>
      <c r="B190" s="3"/>
      <c r="C190" s="3"/>
      <c r="D190" s="3"/>
      <c r="E190" s="3">
        <v>4</v>
      </c>
      <c r="F190" s="4" t="str">
        <f>HYPERLINK("http://141.218.60.56/~jnz1568/getInfo.php?workbook=02_02.xlsx&amp;sheet=U0&amp;row=190&amp;col=6&amp;number=4.5&amp;sourceID=28","4.5")</f>
        <v>4.5</v>
      </c>
      <c r="G190" s="4" t="str">
        <f>HYPERLINK("http://141.218.60.56/~jnz1568/getInfo.php?workbook=02_02.xlsx&amp;sheet=U0&amp;row=190&amp;col=7&amp;number=0.009178&amp;sourceID=1","0.009178")</f>
        <v>0.009178</v>
      </c>
      <c r="H190" s="4" t="str">
        <f>HYPERLINK("http://141.218.60.56/~jnz1568/getInfo.php?workbook=02_02.xlsx&amp;sheet=U0&amp;row=190&amp;col=8&amp;number=4.176&amp;sourceID=29","4.176")</f>
        <v>4.176</v>
      </c>
      <c r="I190" s="4" t="str">
        <f>HYPERLINK("http://141.218.60.56/~jnz1568/getInfo.php?workbook=02_02.xlsx&amp;sheet=U0&amp;row=190&amp;col=9&amp;number=0.008596&amp;sourceID=1","0.008596")</f>
        <v>0.008596</v>
      </c>
    </row>
    <row r="191" spans="1:9">
      <c r="A191" s="3"/>
      <c r="B191" s="3"/>
      <c r="C191" s="3"/>
      <c r="D191" s="3"/>
      <c r="E191" s="3">
        <v>5</v>
      </c>
      <c r="F191" s="4" t="str">
        <f>HYPERLINK("http://141.218.60.56/~jnz1568/getInfo.php?workbook=02_02.xlsx&amp;sheet=U0&amp;row=191&amp;col=6&amp;number=4.75&amp;sourceID=28","4.75")</f>
        <v>4.75</v>
      </c>
      <c r="G191" s="4" t="str">
        <f>HYPERLINK("http://141.218.60.56/~jnz1568/getInfo.php?workbook=02_02.xlsx&amp;sheet=U0&amp;row=191&amp;col=7&amp;number=0.01059&amp;sourceID=1","0.01059")</f>
        <v>0.01059</v>
      </c>
      <c r="H191" s="4" t="str">
        <f>HYPERLINK("http://141.218.60.56/~jnz1568/getInfo.php?workbook=02_02.xlsx&amp;sheet=U0&amp;row=191&amp;col=8&amp;number=4.301&amp;sourceID=29","4.301")</f>
        <v>4.301</v>
      </c>
      <c r="I191" s="4" t="str">
        <f>HYPERLINK("http://141.218.60.56/~jnz1568/getInfo.php?workbook=02_02.xlsx&amp;sheet=U0&amp;row=191&amp;col=9&amp;number=0.009844&amp;sourceID=1","0.009844")</f>
        <v>0.009844</v>
      </c>
    </row>
    <row r="192" spans="1:9">
      <c r="A192" s="3"/>
      <c r="B192" s="3"/>
      <c r="C192" s="3"/>
      <c r="D192" s="3"/>
      <c r="E192" s="3">
        <v>6</v>
      </c>
      <c r="F192" s="4" t="str">
        <f>HYPERLINK("http://141.218.60.56/~jnz1568/getInfo.php?workbook=02_02.xlsx&amp;sheet=U0&amp;row=192&amp;col=6&amp;number=5&amp;sourceID=28","5")</f>
        <v>5</v>
      </c>
      <c r="G192" s="4" t="str">
        <f>HYPERLINK("http://141.218.60.56/~jnz1568/getInfo.php?workbook=02_02.xlsx&amp;sheet=U0&amp;row=192&amp;col=7&amp;number=0.01185&amp;sourceID=1","0.01185")</f>
        <v>0.01185</v>
      </c>
      <c r="H192" s="4" t="str">
        <f>HYPERLINK("http://141.218.60.56/~jnz1568/getInfo.php?workbook=02_02.xlsx&amp;sheet=U0&amp;row=192&amp;col=8&amp;number=4.398&amp;sourceID=29","4.398")</f>
        <v>4.398</v>
      </c>
      <c r="I192" s="4" t="str">
        <f>HYPERLINK("http://141.218.60.56/~jnz1568/getInfo.php?workbook=02_02.xlsx&amp;sheet=U0&amp;row=192&amp;col=9&amp;number=0.01095&amp;sourceID=1","0.01095")</f>
        <v>0.01095</v>
      </c>
    </row>
    <row r="193" spans="1:9">
      <c r="A193" s="3"/>
      <c r="B193" s="3"/>
      <c r="C193" s="3"/>
      <c r="D193" s="3"/>
      <c r="E193" s="3">
        <v>7</v>
      </c>
      <c r="F193" s="4" t="str">
        <f>HYPERLINK("http://141.218.60.56/~jnz1568/getInfo.php?workbook=02_02.xlsx&amp;sheet=U0&amp;row=193&amp;col=6&amp;number=5.25&amp;sourceID=28","5.25")</f>
        <v>5.25</v>
      </c>
      <c r="G193" s="4" t="str">
        <f>HYPERLINK("http://141.218.60.56/~jnz1568/getInfo.php?workbook=02_02.xlsx&amp;sheet=U0&amp;row=193&amp;col=7&amp;number=0.0124&amp;sourceID=1","0.0124")</f>
        <v>0.0124</v>
      </c>
      <c r="H193" s="4" t="str">
        <f>HYPERLINK("http://141.218.60.56/~jnz1568/getInfo.php?workbook=02_02.xlsx&amp;sheet=U0&amp;row=193&amp;col=8&amp;number=4.477&amp;sourceID=29","4.477")</f>
        <v>4.477</v>
      </c>
      <c r="I193" s="4" t="str">
        <f>HYPERLINK("http://141.218.60.56/~jnz1568/getInfo.php?workbook=02_02.xlsx&amp;sheet=U0&amp;row=193&amp;col=9&amp;number=0.01183&amp;sourceID=1","0.01183")</f>
        <v>0.01183</v>
      </c>
    </row>
    <row r="194" spans="1:9">
      <c r="A194" s="3"/>
      <c r="B194" s="3"/>
      <c r="C194" s="3"/>
      <c r="D194" s="3"/>
      <c r="E194" s="3">
        <v>8</v>
      </c>
      <c r="F194" s="4" t="str">
        <f>HYPERLINK("http://141.218.60.56/~jnz1568/getInfo.php?workbook=02_02.xlsx&amp;sheet=U0&amp;row=194&amp;col=6&amp;number=5.5&amp;sourceID=28","5.5")</f>
        <v>5.5</v>
      </c>
      <c r="G194" s="4" t="str">
        <f>HYPERLINK("http://141.218.60.56/~jnz1568/getInfo.php?workbook=02_02.xlsx&amp;sheet=U0&amp;row=194&amp;col=7&amp;number=0.01184&amp;sourceID=1","0.01184")</f>
        <v>0.01184</v>
      </c>
      <c r="H194" s="4" t="str">
        <f>HYPERLINK("http://141.218.60.56/~jnz1568/getInfo.php?workbook=02_02.xlsx&amp;sheet=U0&amp;row=194&amp;col=8&amp;number=&amp;sourceID=29","")</f>
        <v/>
      </c>
      <c r="I194" s="4" t="str">
        <f>HYPERLINK("http://141.218.60.56/~jnz1568/getInfo.php?workbook=02_02.xlsx&amp;sheet=U0&amp;row=194&amp;col=9&amp;number=&amp;sourceID=1","")</f>
        <v/>
      </c>
    </row>
    <row r="195" spans="1:9">
      <c r="A195" s="3"/>
      <c r="B195" s="3"/>
      <c r="C195" s="3"/>
      <c r="D195" s="3"/>
      <c r="E195" s="3">
        <v>9</v>
      </c>
      <c r="F195" s="4" t="str">
        <f>HYPERLINK("http://141.218.60.56/~jnz1568/getInfo.php?workbook=02_02.xlsx&amp;sheet=U0&amp;row=195&amp;col=6&amp;number=5.75&amp;sourceID=28","5.75")</f>
        <v>5.75</v>
      </c>
      <c r="G195" s="4" t="str">
        <f>HYPERLINK("http://141.218.60.56/~jnz1568/getInfo.php?workbook=02_02.xlsx&amp;sheet=U0&amp;row=195&amp;col=7&amp;number=0.0102&amp;sourceID=1","0.0102")</f>
        <v>0.0102</v>
      </c>
      <c r="H195" s="4" t="str">
        <f>HYPERLINK("http://141.218.60.56/~jnz1568/getInfo.php?workbook=02_02.xlsx&amp;sheet=U0&amp;row=195&amp;col=8&amp;number=&amp;sourceID=29","")</f>
        <v/>
      </c>
      <c r="I195" s="4" t="str">
        <f>HYPERLINK("http://141.218.60.56/~jnz1568/getInfo.php?workbook=02_02.xlsx&amp;sheet=U0&amp;row=195&amp;col=9&amp;number=&amp;sourceID=1","")</f>
        <v/>
      </c>
    </row>
    <row r="196" spans="1:9">
      <c r="A196" s="3">
        <v>2</v>
      </c>
      <c r="B196" s="3">
        <v>2</v>
      </c>
      <c r="C196" s="3">
        <v>8</v>
      </c>
      <c r="D196" s="3">
        <v>2</v>
      </c>
      <c r="E196" s="3">
        <v>1</v>
      </c>
      <c r="F196" s="4" t="str">
        <f>HYPERLINK("http://141.218.60.56/~jnz1568/getInfo.php?workbook=02_02.xlsx&amp;sheet=U0&amp;row=196&amp;col=6&amp;number=3.75&amp;sourceID=28","3.75")</f>
        <v>3.75</v>
      </c>
      <c r="G196" s="4" t="str">
        <f>HYPERLINK("http://141.218.60.56/~jnz1568/getInfo.php?workbook=02_02.xlsx&amp;sheet=U0&amp;row=196&amp;col=7&amp;number=1.606&amp;sourceID=1","1.606")</f>
        <v>1.606</v>
      </c>
      <c r="H196" s="4" t="str">
        <f>HYPERLINK("http://141.218.60.56/~jnz1568/getInfo.php?workbook=02_02.xlsx&amp;sheet=U0&amp;row=196&amp;col=8&amp;number=3.301&amp;sourceID=29","3.301")</f>
        <v>3.301</v>
      </c>
      <c r="I196" s="4" t="str">
        <f>HYPERLINK("http://141.218.60.56/~jnz1568/getInfo.php?workbook=02_02.xlsx&amp;sheet=U0&amp;row=196&amp;col=9&amp;number=1.748&amp;sourceID=1","1.748")</f>
        <v>1.748</v>
      </c>
    </row>
    <row r="197" spans="1:9">
      <c r="A197" s="3"/>
      <c r="B197" s="3"/>
      <c r="C197" s="3"/>
      <c r="D197" s="3"/>
      <c r="E197" s="3">
        <v>2</v>
      </c>
      <c r="F197" s="4" t="str">
        <f>HYPERLINK("http://141.218.60.56/~jnz1568/getInfo.php?workbook=02_02.xlsx&amp;sheet=U0&amp;row=197&amp;col=6&amp;number=4&amp;sourceID=28","4")</f>
        <v>4</v>
      </c>
      <c r="G197" s="4" t="str">
        <f>HYPERLINK("http://141.218.60.56/~jnz1568/getInfo.php?workbook=02_02.xlsx&amp;sheet=U0&amp;row=197&amp;col=7&amp;number=1.611&amp;sourceID=1","1.611")</f>
        <v>1.611</v>
      </c>
      <c r="H197" s="4" t="str">
        <f>HYPERLINK("http://141.218.60.56/~jnz1568/getInfo.php?workbook=02_02.xlsx&amp;sheet=U0&amp;row=197&amp;col=8&amp;number=3.699&amp;sourceID=29","3.699")</f>
        <v>3.699</v>
      </c>
      <c r="I197" s="4" t="str">
        <f>HYPERLINK("http://141.218.60.56/~jnz1568/getInfo.php?workbook=02_02.xlsx&amp;sheet=U0&amp;row=197&amp;col=9&amp;number=1.785&amp;sourceID=1","1.785")</f>
        <v>1.785</v>
      </c>
    </row>
    <row r="198" spans="1:9">
      <c r="A198" s="3"/>
      <c r="B198" s="3"/>
      <c r="C198" s="3"/>
      <c r="D198" s="3"/>
      <c r="E198" s="3">
        <v>3</v>
      </c>
      <c r="F198" s="4" t="str">
        <f>HYPERLINK("http://141.218.60.56/~jnz1568/getInfo.php?workbook=02_02.xlsx&amp;sheet=U0&amp;row=198&amp;col=6&amp;number=4.25&amp;sourceID=28","4.25")</f>
        <v>4.25</v>
      </c>
      <c r="G198" s="4" t="str">
        <f>HYPERLINK("http://141.218.60.56/~jnz1568/getInfo.php?workbook=02_02.xlsx&amp;sheet=U0&amp;row=198&amp;col=7&amp;number=1.576&amp;sourceID=1","1.576")</f>
        <v>1.576</v>
      </c>
      <c r="H198" s="4" t="str">
        <f>HYPERLINK("http://141.218.60.56/~jnz1568/getInfo.php?workbook=02_02.xlsx&amp;sheet=U0&amp;row=198&amp;col=8&amp;number=4&amp;sourceID=29","4")</f>
        <v>4</v>
      </c>
      <c r="I198" s="4" t="str">
        <f>HYPERLINK("http://141.218.60.56/~jnz1568/getInfo.php?workbook=02_02.xlsx&amp;sheet=U0&amp;row=198&amp;col=9&amp;number=1.76&amp;sourceID=1","1.76")</f>
        <v>1.76</v>
      </c>
    </row>
    <row r="199" spans="1:9">
      <c r="A199" s="3"/>
      <c r="B199" s="3"/>
      <c r="C199" s="3"/>
      <c r="D199" s="3"/>
      <c r="E199" s="3">
        <v>4</v>
      </c>
      <c r="F199" s="4" t="str">
        <f>HYPERLINK("http://141.218.60.56/~jnz1568/getInfo.php?workbook=02_02.xlsx&amp;sheet=U0&amp;row=199&amp;col=6&amp;number=4.5&amp;sourceID=28","4.5")</f>
        <v>4.5</v>
      </c>
      <c r="G199" s="4" t="str">
        <f>HYPERLINK("http://141.218.60.56/~jnz1568/getInfo.php?workbook=02_02.xlsx&amp;sheet=U0&amp;row=199&amp;col=7&amp;number=1.552&amp;sourceID=1","1.552")</f>
        <v>1.552</v>
      </c>
      <c r="H199" s="4" t="str">
        <f>HYPERLINK("http://141.218.60.56/~jnz1568/getInfo.php?workbook=02_02.xlsx&amp;sheet=U0&amp;row=199&amp;col=8&amp;number=4.176&amp;sourceID=29","4.176")</f>
        <v>4.176</v>
      </c>
      <c r="I199" s="4" t="str">
        <f>HYPERLINK("http://141.218.60.56/~jnz1568/getInfo.php?workbook=02_02.xlsx&amp;sheet=U0&amp;row=199&amp;col=9&amp;number=1.782&amp;sourceID=1","1.782")</f>
        <v>1.782</v>
      </c>
    </row>
    <row r="200" spans="1:9">
      <c r="A200" s="3"/>
      <c r="B200" s="3"/>
      <c r="C200" s="3"/>
      <c r="D200" s="3"/>
      <c r="E200" s="3">
        <v>5</v>
      </c>
      <c r="F200" s="4" t="str">
        <f>HYPERLINK("http://141.218.60.56/~jnz1568/getInfo.php?workbook=02_02.xlsx&amp;sheet=U0&amp;row=200&amp;col=6&amp;number=4.75&amp;sourceID=28","4.75")</f>
        <v>4.75</v>
      </c>
      <c r="G200" s="4" t="str">
        <f>HYPERLINK("http://141.218.60.56/~jnz1568/getInfo.php?workbook=02_02.xlsx&amp;sheet=U0&amp;row=200&amp;col=7&amp;number=1.615&amp;sourceID=1","1.615")</f>
        <v>1.615</v>
      </c>
      <c r="H200" s="4" t="str">
        <f>HYPERLINK("http://141.218.60.56/~jnz1568/getInfo.php?workbook=02_02.xlsx&amp;sheet=U0&amp;row=200&amp;col=8&amp;number=4.301&amp;sourceID=29","4.301")</f>
        <v>4.301</v>
      </c>
      <c r="I200" s="4" t="str">
        <f>HYPERLINK("http://141.218.60.56/~jnz1568/getInfo.php?workbook=02_02.xlsx&amp;sheet=U0&amp;row=200&amp;col=9&amp;number=1.834&amp;sourceID=1","1.834")</f>
        <v>1.834</v>
      </c>
    </row>
    <row r="201" spans="1:9">
      <c r="A201" s="3"/>
      <c r="B201" s="3"/>
      <c r="C201" s="3"/>
      <c r="D201" s="3"/>
      <c r="E201" s="3">
        <v>6</v>
      </c>
      <c r="F201" s="4" t="str">
        <f>HYPERLINK("http://141.218.60.56/~jnz1568/getInfo.php?workbook=02_02.xlsx&amp;sheet=U0&amp;row=201&amp;col=6&amp;number=5&amp;sourceID=28","5")</f>
        <v>5</v>
      </c>
      <c r="G201" s="4" t="str">
        <f>HYPERLINK("http://141.218.60.56/~jnz1568/getInfo.php?workbook=02_02.xlsx&amp;sheet=U0&amp;row=201&amp;col=7&amp;number=1.868&amp;sourceID=1","1.868")</f>
        <v>1.868</v>
      </c>
      <c r="H201" s="4" t="str">
        <f>HYPERLINK("http://141.218.60.56/~jnz1568/getInfo.php?workbook=02_02.xlsx&amp;sheet=U0&amp;row=201&amp;col=8&amp;number=4.398&amp;sourceID=29","4.398")</f>
        <v>4.398</v>
      </c>
      <c r="I201" s="4" t="str">
        <f>HYPERLINK("http://141.218.60.56/~jnz1568/getInfo.php?workbook=02_02.xlsx&amp;sheet=U0&amp;row=201&amp;col=9&amp;number=1.888&amp;sourceID=1","1.888")</f>
        <v>1.888</v>
      </c>
    </row>
    <row r="202" spans="1:9">
      <c r="A202" s="3"/>
      <c r="B202" s="3"/>
      <c r="C202" s="3"/>
      <c r="D202" s="3"/>
      <c r="E202" s="3">
        <v>7</v>
      </c>
      <c r="F202" s="4" t="str">
        <f>HYPERLINK("http://141.218.60.56/~jnz1568/getInfo.php?workbook=02_02.xlsx&amp;sheet=U0&amp;row=202&amp;col=6&amp;number=5.25&amp;sourceID=28","5.25")</f>
        <v>5.25</v>
      </c>
      <c r="G202" s="4" t="str">
        <f>HYPERLINK("http://141.218.60.56/~jnz1568/getInfo.php?workbook=02_02.xlsx&amp;sheet=U0&amp;row=202&amp;col=7&amp;number=2.41&amp;sourceID=1","2.41")</f>
        <v>2.41</v>
      </c>
      <c r="H202" s="4" t="str">
        <f>HYPERLINK("http://141.218.60.56/~jnz1568/getInfo.php?workbook=02_02.xlsx&amp;sheet=U0&amp;row=202&amp;col=8&amp;number=4.477&amp;sourceID=29","4.477")</f>
        <v>4.477</v>
      </c>
      <c r="I202" s="4" t="str">
        <f>HYPERLINK("http://141.218.60.56/~jnz1568/getInfo.php?workbook=02_02.xlsx&amp;sheet=U0&amp;row=202&amp;col=9&amp;number=1.932&amp;sourceID=1","1.932")</f>
        <v>1.932</v>
      </c>
    </row>
    <row r="203" spans="1:9">
      <c r="A203" s="3"/>
      <c r="B203" s="3"/>
      <c r="C203" s="3"/>
      <c r="D203" s="3"/>
      <c r="E203" s="3">
        <v>8</v>
      </c>
      <c r="F203" s="4" t="str">
        <f>HYPERLINK("http://141.218.60.56/~jnz1568/getInfo.php?workbook=02_02.xlsx&amp;sheet=U0&amp;row=203&amp;col=6&amp;number=5.5&amp;sourceID=28","5.5")</f>
        <v>5.5</v>
      </c>
      <c r="G203" s="4" t="str">
        <f>HYPERLINK("http://141.218.60.56/~jnz1568/getInfo.php?workbook=02_02.xlsx&amp;sheet=U0&amp;row=203&amp;col=7&amp;number=3.274&amp;sourceID=1","3.274")</f>
        <v>3.274</v>
      </c>
      <c r="H203" s="4" t="str">
        <f>HYPERLINK("http://141.218.60.56/~jnz1568/getInfo.php?workbook=02_02.xlsx&amp;sheet=U0&amp;row=203&amp;col=8&amp;number=&amp;sourceID=29","")</f>
        <v/>
      </c>
      <c r="I203" s="4" t="str">
        <f>HYPERLINK("http://141.218.60.56/~jnz1568/getInfo.php?workbook=02_02.xlsx&amp;sheet=U0&amp;row=203&amp;col=9&amp;number=&amp;sourceID=1","")</f>
        <v/>
      </c>
    </row>
    <row r="204" spans="1:9">
      <c r="A204" s="3"/>
      <c r="B204" s="3"/>
      <c r="C204" s="3"/>
      <c r="D204" s="3"/>
      <c r="E204" s="3">
        <v>9</v>
      </c>
      <c r="F204" s="4" t="str">
        <f>HYPERLINK("http://141.218.60.56/~jnz1568/getInfo.php?workbook=02_02.xlsx&amp;sheet=U0&amp;row=204&amp;col=6&amp;number=5.75&amp;sourceID=28","5.75")</f>
        <v>5.75</v>
      </c>
      <c r="G204" s="4" t="str">
        <f>HYPERLINK("http://141.218.60.56/~jnz1568/getInfo.php?workbook=02_02.xlsx&amp;sheet=U0&amp;row=204&amp;col=7&amp;number=4.382&amp;sourceID=1","4.382")</f>
        <v>4.382</v>
      </c>
      <c r="H204" s="4" t="str">
        <f>HYPERLINK("http://141.218.60.56/~jnz1568/getInfo.php?workbook=02_02.xlsx&amp;sheet=U0&amp;row=204&amp;col=8&amp;number=&amp;sourceID=29","")</f>
        <v/>
      </c>
      <c r="I204" s="4" t="str">
        <f>HYPERLINK("http://141.218.60.56/~jnz1568/getInfo.php?workbook=02_02.xlsx&amp;sheet=U0&amp;row=204&amp;col=9&amp;number=&amp;sourceID=1","")</f>
        <v/>
      </c>
    </row>
    <row r="205" spans="1:9">
      <c r="A205" s="3">
        <v>2</v>
      </c>
      <c r="B205" s="3">
        <v>2</v>
      </c>
      <c r="C205" s="3">
        <v>8</v>
      </c>
      <c r="D205" s="3">
        <v>3</v>
      </c>
      <c r="E205" s="3">
        <v>1</v>
      </c>
      <c r="F205" s="4" t="str">
        <f>HYPERLINK("http://141.218.60.56/~jnz1568/getInfo.php?workbook=02_02.xlsx&amp;sheet=U0&amp;row=205&amp;col=6&amp;number=3.75&amp;sourceID=28","3.75")</f>
        <v>3.75</v>
      </c>
      <c r="G205" s="4" t="str">
        <f>HYPERLINK("http://141.218.60.56/~jnz1568/getInfo.php?workbook=02_02.xlsx&amp;sheet=U0&amp;row=205&amp;col=7&amp;number=0.4914&amp;sourceID=1","0.4914")</f>
        <v>0.4914</v>
      </c>
      <c r="H205" s="4" t="str">
        <f>HYPERLINK("http://141.218.60.56/~jnz1568/getInfo.php?workbook=02_02.xlsx&amp;sheet=U0&amp;row=205&amp;col=8&amp;number=3.301&amp;sourceID=29","3.301")</f>
        <v>3.301</v>
      </c>
      <c r="I205" s="4" t="str">
        <f>HYPERLINK("http://141.218.60.56/~jnz1568/getInfo.php?workbook=02_02.xlsx&amp;sheet=U0&amp;row=205&amp;col=9&amp;number=0.5787&amp;sourceID=1","0.5787")</f>
        <v>0.5787</v>
      </c>
    </row>
    <row r="206" spans="1:9">
      <c r="A206" s="3"/>
      <c r="B206" s="3"/>
      <c r="C206" s="3"/>
      <c r="D206" s="3"/>
      <c r="E206" s="3">
        <v>2</v>
      </c>
      <c r="F206" s="4" t="str">
        <f>HYPERLINK("http://141.218.60.56/~jnz1568/getInfo.php?workbook=02_02.xlsx&amp;sheet=U0&amp;row=206&amp;col=6&amp;number=4&amp;sourceID=28","4")</f>
        <v>4</v>
      </c>
      <c r="G206" s="4" t="str">
        <f>HYPERLINK("http://141.218.60.56/~jnz1568/getInfo.php?workbook=02_02.xlsx&amp;sheet=U0&amp;row=206&amp;col=7&amp;number=0.4684&amp;sourceID=1","0.4684")</f>
        <v>0.4684</v>
      </c>
      <c r="H206" s="4" t="str">
        <f>HYPERLINK("http://141.218.60.56/~jnz1568/getInfo.php?workbook=02_02.xlsx&amp;sheet=U0&amp;row=206&amp;col=8&amp;number=3.699&amp;sourceID=29","3.699")</f>
        <v>3.699</v>
      </c>
      <c r="I206" s="4" t="str">
        <f>HYPERLINK("http://141.218.60.56/~jnz1568/getInfo.php?workbook=02_02.xlsx&amp;sheet=U0&amp;row=206&amp;col=9&amp;number=0.566&amp;sourceID=1","0.566")</f>
        <v>0.566</v>
      </c>
    </row>
    <row r="207" spans="1:9">
      <c r="A207" s="3"/>
      <c r="B207" s="3"/>
      <c r="C207" s="3"/>
      <c r="D207" s="3"/>
      <c r="E207" s="3">
        <v>3</v>
      </c>
      <c r="F207" s="4" t="str">
        <f>HYPERLINK("http://141.218.60.56/~jnz1568/getInfo.php?workbook=02_02.xlsx&amp;sheet=U0&amp;row=207&amp;col=6&amp;number=4.25&amp;sourceID=28","4.25")</f>
        <v>4.25</v>
      </c>
      <c r="G207" s="4" t="str">
        <f>HYPERLINK("http://141.218.60.56/~jnz1568/getInfo.php?workbook=02_02.xlsx&amp;sheet=U0&amp;row=207&amp;col=7&amp;number=0.4092&amp;sourceID=1","0.4092")</f>
        <v>0.4092</v>
      </c>
      <c r="H207" s="4" t="str">
        <f>HYPERLINK("http://141.218.60.56/~jnz1568/getInfo.php?workbook=02_02.xlsx&amp;sheet=U0&amp;row=207&amp;col=8&amp;number=4&amp;sourceID=29","4")</f>
        <v>4</v>
      </c>
      <c r="I207" s="4" t="str">
        <f>HYPERLINK("http://141.218.60.56/~jnz1568/getInfo.php?workbook=02_02.xlsx&amp;sheet=U0&amp;row=207&amp;col=9&amp;number=0.5108&amp;sourceID=1","0.5108")</f>
        <v>0.5108</v>
      </c>
    </row>
    <row r="208" spans="1:9">
      <c r="A208" s="3"/>
      <c r="B208" s="3"/>
      <c r="C208" s="3"/>
      <c r="D208" s="3"/>
      <c r="E208" s="3">
        <v>4</v>
      </c>
      <c r="F208" s="4" t="str">
        <f>HYPERLINK("http://141.218.60.56/~jnz1568/getInfo.php?workbook=02_02.xlsx&amp;sheet=U0&amp;row=208&amp;col=6&amp;number=4.5&amp;sourceID=28","4.5")</f>
        <v>4.5</v>
      </c>
      <c r="G208" s="4" t="str">
        <f>HYPERLINK("http://141.218.60.56/~jnz1568/getInfo.php?workbook=02_02.xlsx&amp;sheet=U0&amp;row=208&amp;col=7&amp;number=0.3304&amp;sourceID=1","0.3304")</f>
        <v>0.3304</v>
      </c>
      <c r="H208" s="4" t="str">
        <f>HYPERLINK("http://141.218.60.56/~jnz1568/getInfo.php?workbook=02_02.xlsx&amp;sheet=U0&amp;row=208&amp;col=8&amp;number=4.176&amp;sourceID=29","4.176")</f>
        <v>4.176</v>
      </c>
      <c r="I208" s="4" t="str">
        <f>HYPERLINK("http://141.218.60.56/~jnz1568/getInfo.php?workbook=02_02.xlsx&amp;sheet=U0&amp;row=208&amp;col=9&amp;number=0.4652&amp;sourceID=1","0.4652")</f>
        <v>0.4652</v>
      </c>
    </row>
    <row r="209" spans="1:9">
      <c r="A209" s="3"/>
      <c r="B209" s="3"/>
      <c r="C209" s="3"/>
      <c r="D209" s="3"/>
      <c r="E209" s="3">
        <v>5</v>
      </c>
      <c r="F209" s="4" t="str">
        <f>HYPERLINK("http://141.218.60.56/~jnz1568/getInfo.php?workbook=02_02.xlsx&amp;sheet=U0&amp;row=209&amp;col=6&amp;number=4.75&amp;sourceID=28","4.75")</f>
        <v>4.75</v>
      </c>
      <c r="G209" s="4" t="str">
        <f>HYPERLINK("http://141.218.60.56/~jnz1568/getInfo.php?workbook=02_02.xlsx&amp;sheet=U0&amp;row=209&amp;col=7&amp;number=0.2503&amp;sourceID=1","0.2503")</f>
        <v>0.2503</v>
      </c>
      <c r="H209" s="4" t="str">
        <f>HYPERLINK("http://141.218.60.56/~jnz1568/getInfo.php?workbook=02_02.xlsx&amp;sheet=U0&amp;row=209&amp;col=8&amp;number=4.301&amp;sourceID=29","4.301")</f>
        <v>4.301</v>
      </c>
      <c r="I209" s="4" t="str">
        <f>HYPERLINK("http://141.218.60.56/~jnz1568/getInfo.php?workbook=02_02.xlsx&amp;sheet=U0&amp;row=209&amp;col=9&amp;number=0.43&amp;sourceID=1","0.43")</f>
        <v>0.43</v>
      </c>
    </row>
    <row r="210" spans="1:9">
      <c r="A210" s="3"/>
      <c r="B210" s="3"/>
      <c r="C210" s="3"/>
      <c r="D210" s="3"/>
      <c r="E210" s="3">
        <v>6</v>
      </c>
      <c r="F210" s="4" t="str">
        <f>HYPERLINK("http://141.218.60.56/~jnz1568/getInfo.php?workbook=02_02.xlsx&amp;sheet=U0&amp;row=210&amp;col=6&amp;number=5&amp;sourceID=28","5")</f>
        <v>5</v>
      </c>
      <c r="G210" s="4" t="str">
        <f>HYPERLINK("http://141.218.60.56/~jnz1568/getInfo.php?workbook=02_02.xlsx&amp;sheet=U0&amp;row=210&amp;col=7&amp;number=0.1806&amp;sourceID=1","0.1806")</f>
        <v>0.1806</v>
      </c>
      <c r="H210" s="4" t="str">
        <f>HYPERLINK("http://141.218.60.56/~jnz1568/getInfo.php?workbook=02_02.xlsx&amp;sheet=U0&amp;row=210&amp;col=8&amp;number=4.398&amp;sourceID=29","4.398")</f>
        <v>4.398</v>
      </c>
      <c r="I210" s="4" t="str">
        <f>HYPERLINK("http://141.218.60.56/~jnz1568/getInfo.php?workbook=02_02.xlsx&amp;sheet=U0&amp;row=210&amp;col=9&amp;number=0.4017&amp;sourceID=1","0.4017")</f>
        <v>0.4017</v>
      </c>
    </row>
    <row r="211" spans="1:9">
      <c r="A211" s="3"/>
      <c r="B211" s="3"/>
      <c r="C211" s="3"/>
      <c r="D211" s="3"/>
      <c r="E211" s="3">
        <v>7</v>
      </c>
      <c r="F211" s="4" t="str">
        <f>HYPERLINK("http://141.218.60.56/~jnz1568/getInfo.php?workbook=02_02.xlsx&amp;sheet=U0&amp;row=211&amp;col=6&amp;number=5.25&amp;sourceID=28","5.25")</f>
        <v>5.25</v>
      </c>
      <c r="G211" s="4" t="str">
        <f>HYPERLINK("http://141.218.60.56/~jnz1568/getInfo.php?workbook=02_02.xlsx&amp;sheet=U0&amp;row=211&amp;col=7&amp;number=0.125&amp;sourceID=1","0.125")</f>
        <v>0.125</v>
      </c>
      <c r="H211" s="4" t="str">
        <f>HYPERLINK("http://141.218.60.56/~jnz1568/getInfo.php?workbook=02_02.xlsx&amp;sheet=U0&amp;row=211&amp;col=8&amp;number=4.477&amp;sourceID=29","4.477")</f>
        <v>4.477</v>
      </c>
      <c r="I211" s="4" t="str">
        <f>HYPERLINK("http://141.218.60.56/~jnz1568/getInfo.php?workbook=02_02.xlsx&amp;sheet=U0&amp;row=211&amp;col=9&amp;number=0.3779&amp;sourceID=1","0.3779")</f>
        <v>0.3779</v>
      </c>
    </row>
    <row r="212" spans="1:9">
      <c r="A212" s="3"/>
      <c r="B212" s="3"/>
      <c r="C212" s="3"/>
      <c r="D212" s="3"/>
      <c r="E212" s="3">
        <v>8</v>
      </c>
      <c r="F212" s="4" t="str">
        <f>HYPERLINK("http://141.218.60.56/~jnz1568/getInfo.php?workbook=02_02.xlsx&amp;sheet=U0&amp;row=212&amp;col=6&amp;number=5.5&amp;sourceID=28","5.5")</f>
        <v>5.5</v>
      </c>
      <c r="G212" s="4" t="str">
        <f>HYPERLINK("http://141.218.60.56/~jnz1568/getInfo.php?workbook=02_02.xlsx&amp;sheet=U0&amp;row=212&amp;col=7&amp;number=0.08311&amp;sourceID=1","0.08311")</f>
        <v>0.08311</v>
      </c>
      <c r="H212" s="4" t="str">
        <f>HYPERLINK("http://141.218.60.56/~jnz1568/getInfo.php?workbook=02_02.xlsx&amp;sheet=U0&amp;row=212&amp;col=8&amp;number=&amp;sourceID=29","")</f>
        <v/>
      </c>
      <c r="I212" s="4" t="str">
        <f>HYPERLINK("http://141.218.60.56/~jnz1568/getInfo.php?workbook=02_02.xlsx&amp;sheet=U0&amp;row=212&amp;col=9&amp;number=&amp;sourceID=1","")</f>
        <v/>
      </c>
    </row>
    <row r="213" spans="1:9">
      <c r="A213" s="3"/>
      <c r="B213" s="3"/>
      <c r="C213" s="3"/>
      <c r="D213" s="3"/>
      <c r="E213" s="3">
        <v>9</v>
      </c>
      <c r="F213" s="4" t="str">
        <f>HYPERLINK("http://141.218.60.56/~jnz1568/getInfo.php?workbook=02_02.xlsx&amp;sheet=U0&amp;row=213&amp;col=6&amp;number=5.75&amp;sourceID=28","5.75")</f>
        <v>5.75</v>
      </c>
      <c r="G213" s="4" t="str">
        <f>HYPERLINK("http://141.218.60.56/~jnz1568/getInfo.php?workbook=02_02.xlsx&amp;sheet=U0&amp;row=213&amp;col=7&amp;number=0.05312&amp;sourceID=1","0.05312")</f>
        <v>0.05312</v>
      </c>
      <c r="H213" s="4" t="str">
        <f>HYPERLINK("http://141.218.60.56/~jnz1568/getInfo.php?workbook=02_02.xlsx&amp;sheet=U0&amp;row=213&amp;col=8&amp;number=&amp;sourceID=29","")</f>
        <v/>
      </c>
      <c r="I213" s="4" t="str">
        <f>HYPERLINK("http://141.218.60.56/~jnz1568/getInfo.php?workbook=02_02.xlsx&amp;sheet=U0&amp;row=213&amp;col=9&amp;number=&amp;sourceID=1","")</f>
        <v/>
      </c>
    </row>
    <row r="214" spans="1:9">
      <c r="A214" s="3">
        <v>2</v>
      </c>
      <c r="B214" s="3">
        <v>2</v>
      </c>
      <c r="C214" s="3">
        <v>8</v>
      </c>
      <c r="D214" s="3">
        <v>4</v>
      </c>
      <c r="E214" s="3">
        <v>1</v>
      </c>
      <c r="F214" s="4" t="str">
        <f>HYPERLINK("http://141.218.60.56/~jnz1568/getInfo.php?workbook=02_02.xlsx&amp;sheet=U0&amp;row=214&amp;col=6&amp;number=3.75&amp;sourceID=28","3.75")</f>
        <v>3.75</v>
      </c>
      <c r="G214" s="4" t="str">
        <f>HYPERLINK("http://141.218.60.56/~jnz1568/getInfo.php?workbook=02_02.xlsx&amp;sheet=U0&amp;row=214&amp;col=7&amp;number=12.95&amp;sourceID=1","12.95")</f>
        <v>12.95</v>
      </c>
      <c r="H214" s="4" t="str">
        <f>HYPERLINK("http://141.218.60.56/~jnz1568/getInfo.php?workbook=02_02.xlsx&amp;sheet=U0&amp;row=214&amp;col=8&amp;number=3.301&amp;sourceID=29","3.301")</f>
        <v>3.301</v>
      </c>
      <c r="I214" s="4" t="str">
        <f>HYPERLINK("http://141.218.60.56/~jnz1568/getInfo.php?workbook=02_02.xlsx&amp;sheet=U0&amp;row=214&amp;col=9&amp;number=6.192&amp;sourceID=1","6.192")</f>
        <v>6.192</v>
      </c>
    </row>
    <row r="215" spans="1:9">
      <c r="A215" s="3"/>
      <c r="B215" s="3"/>
      <c r="C215" s="3"/>
      <c r="D215" s="3"/>
      <c r="E215" s="3">
        <v>2</v>
      </c>
      <c r="F215" s="4" t="str">
        <f>HYPERLINK("http://141.218.60.56/~jnz1568/getInfo.php?workbook=02_02.xlsx&amp;sheet=U0&amp;row=215&amp;col=6&amp;number=4&amp;sourceID=28","4")</f>
        <v>4</v>
      </c>
      <c r="G215" s="4" t="str">
        <f>HYPERLINK("http://141.218.60.56/~jnz1568/getInfo.php?workbook=02_02.xlsx&amp;sheet=U0&amp;row=215&amp;col=7&amp;number=13.25&amp;sourceID=1","13.25")</f>
        <v>13.25</v>
      </c>
      <c r="H215" s="4" t="str">
        <f>HYPERLINK("http://141.218.60.56/~jnz1568/getInfo.php?workbook=02_02.xlsx&amp;sheet=U0&amp;row=215&amp;col=8&amp;number=3.699&amp;sourceID=29","3.699")</f>
        <v>3.699</v>
      </c>
      <c r="I215" s="4" t="str">
        <f>HYPERLINK("http://141.218.60.56/~jnz1568/getInfo.php?workbook=02_02.xlsx&amp;sheet=U0&amp;row=215&amp;col=9&amp;number=7.109&amp;sourceID=1","7.109")</f>
        <v>7.109</v>
      </c>
    </row>
    <row r="216" spans="1:9">
      <c r="A216" s="3"/>
      <c r="B216" s="3"/>
      <c r="C216" s="3"/>
      <c r="D216" s="3"/>
      <c r="E216" s="3">
        <v>3</v>
      </c>
      <c r="F216" s="4" t="str">
        <f>HYPERLINK("http://141.218.60.56/~jnz1568/getInfo.php?workbook=02_02.xlsx&amp;sheet=U0&amp;row=216&amp;col=6&amp;number=4.25&amp;sourceID=28","4.25")</f>
        <v>4.25</v>
      </c>
      <c r="G216" s="4" t="str">
        <f>HYPERLINK("http://141.218.60.56/~jnz1568/getInfo.php?workbook=02_02.xlsx&amp;sheet=U0&amp;row=216&amp;col=7&amp;number=13.99&amp;sourceID=1","13.99")</f>
        <v>13.99</v>
      </c>
      <c r="H216" s="4" t="str">
        <f>HYPERLINK("http://141.218.60.56/~jnz1568/getInfo.php?workbook=02_02.xlsx&amp;sheet=U0&amp;row=216&amp;col=8&amp;number=4&amp;sourceID=29","4")</f>
        <v>4</v>
      </c>
      <c r="I216" s="4" t="str">
        <f>HYPERLINK("http://141.218.60.56/~jnz1568/getInfo.php?workbook=02_02.xlsx&amp;sheet=U0&amp;row=216&amp;col=9&amp;number=8.058&amp;sourceID=1","8.058")</f>
        <v>8.058</v>
      </c>
    </row>
    <row r="217" spans="1:9">
      <c r="A217" s="3"/>
      <c r="B217" s="3"/>
      <c r="C217" s="3"/>
      <c r="D217" s="3"/>
      <c r="E217" s="3">
        <v>4</v>
      </c>
      <c r="F217" s="4" t="str">
        <f>HYPERLINK("http://141.218.60.56/~jnz1568/getInfo.php?workbook=02_02.xlsx&amp;sheet=U0&amp;row=217&amp;col=6&amp;number=4.5&amp;sourceID=28","4.5")</f>
        <v>4.5</v>
      </c>
      <c r="G217" s="4" t="str">
        <f>HYPERLINK("http://141.218.60.56/~jnz1568/getInfo.php?workbook=02_02.xlsx&amp;sheet=U0&amp;row=217&amp;col=7&amp;number=15.55&amp;sourceID=1","15.55")</f>
        <v>15.55</v>
      </c>
      <c r="H217" s="4" t="str">
        <f>HYPERLINK("http://141.218.60.56/~jnz1568/getInfo.php?workbook=02_02.xlsx&amp;sheet=U0&amp;row=217&amp;col=8&amp;number=4.176&amp;sourceID=29","4.176")</f>
        <v>4.176</v>
      </c>
      <c r="I217" s="4" t="str">
        <f>HYPERLINK("http://141.218.60.56/~jnz1568/getInfo.php?workbook=02_02.xlsx&amp;sheet=U0&amp;row=217&amp;col=9&amp;number=9.034&amp;sourceID=1","9.034")</f>
        <v>9.034</v>
      </c>
    </row>
    <row r="218" spans="1:9">
      <c r="A218" s="3"/>
      <c r="B218" s="3"/>
      <c r="C218" s="3"/>
      <c r="D218" s="3"/>
      <c r="E218" s="3">
        <v>5</v>
      </c>
      <c r="F218" s="4" t="str">
        <f>HYPERLINK("http://141.218.60.56/~jnz1568/getInfo.php?workbook=02_02.xlsx&amp;sheet=U0&amp;row=218&amp;col=6&amp;number=4.75&amp;sourceID=28","4.75")</f>
        <v>4.75</v>
      </c>
      <c r="G218" s="4" t="str">
        <f>HYPERLINK("http://141.218.60.56/~jnz1568/getInfo.php?workbook=02_02.xlsx&amp;sheet=U0&amp;row=218&amp;col=7&amp;number=18.15&amp;sourceID=1","18.15")</f>
        <v>18.15</v>
      </c>
      <c r="H218" s="4" t="str">
        <f>HYPERLINK("http://141.218.60.56/~jnz1568/getInfo.php?workbook=02_02.xlsx&amp;sheet=U0&amp;row=218&amp;col=8&amp;number=4.301&amp;sourceID=29","4.301")</f>
        <v>4.301</v>
      </c>
      <c r="I218" s="4" t="str">
        <f>HYPERLINK("http://141.218.60.56/~jnz1568/getInfo.php?workbook=02_02.xlsx&amp;sheet=U0&amp;row=218&amp;col=9&amp;number=10.06&amp;sourceID=1","10.06")</f>
        <v>10.06</v>
      </c>
    </row>
    <row r="219" spans="1:9">
      <c r="A219" s="3"/>
      <c r="B219" s="3"/>
      <c r="C219" s="3"/>
      <c r="D219" s="3"/>
      <c r="E219" s="3">
        <v>6</v>
      </c>
      <c r="F219" s="4" t="str">
        <f>HYPERLINK("http://141.218.60.56/~jnz1568/getInfo.php?workbook=02_02.xlsx&amp;sheet=U0&amp;row=219&amp;col=6&amp;number=5&amp;sourceID=28","5")</f>
        <v>5</v>
      </c>
      <c r="G219" s="4" t="str">
        <f>HYPERLINK("http://141.218.60.56/~jnz1568/getInfo.php?workbook=02_02.xlsx&amp;sheet=U0&amp;row=219&amp;col=7&amp;number=21.77&amp;sourceID=1","21.77")</f>
        <v>21.77</v>
      </c>
      <c r="H219" s="4" t="str">
        <f>HYPERLINK("http://141.218.60.56/~jnz1568/getInfo.php?workbook=02_02.xlsx&amp;sheet=U0&amp;row=219&amp;col=8&amp;number=4.398&amp;sourceID=29","4.398")</f>
        <v>4.398</v>
      </c>
      <c r="I219" s="4" t="str">
        <f>HYPERLINK("http://141.218.60.56/~jnz1568/getInfo.php?workbook=02_02.xlsx&amp;sheet=U0&amp;row=219&amp;col=9&amp;number=11.02&amp;sourceID=1","11.02")</f>
        <v>11.02</v>
      </c>
    </row>
    <row r="220" spans="1:9">
      <c r="A220" s="3"/>
      <c r="B220" s="3"/>
      <c r="C220" s="3"/>
      <c r="D220" s="3"/>
      <c r="E220" s="3">
        <v>7</v>
      </c>
      <c r="F220" s="4" t="str">
        <f>HYPERLINK("http://141.218.60.56/~jnz1568/getInfo.php?workbook=02_02.xlsx&amp;sheet=U0&amp;row=220&amp;col=6&amp;number=5.25&amp;sourceID=28","5.25")</f>
        <v>5.25</v>
      </c>
      <c r="G220" s="4" t="str">
        <f>HYPERLINK("http://141.218.60.56/~jnz1568/getInfo.php?workbook=02_02.xlsx&amp;sheet=U0&amp;row=220&amp;col=7&amp;number=26&amp;sourceID=1","26")</f>
        <v>26</v>
      </c>
      <c r="H220" s="4" t="str">
        <f>HYPERLINK("http://141.218.60.56/~jnz1568/getInfo.php?workbook=02_02.xlsx&amp;sheet=U0&amp;row=220&amp;col=8&amp;number=4.477&amp;sourceID=29","4.477")</f>
        <v>4.477</v>
      </c>
      <c r="I220" s="4" t="str">
        <f>HYPERLINK("http://141.218.60.56/~jnz1568/getInfo.php?workbook=02_02.xlsx&amp;sheet=U0&amp;row=220&amp;col=9&amp;number=11.84&amp;sourceID=1","11.84")</f>
        <v>11.84</v>
      </c>
    </row>
    <row r="221" spans="1:9">
      <c r="A221" s="3"/>
      <c r="B221" s="3"/>
      <c r="C221" s="3"/>
      <c r="D221" s="3"/>
      <c r="E221" s="3">
        <v>8</v>
      </c>
      <c r="F221" s="4" t="str">
        <f>HYPERLINK("http://141.218.60.56/~jnz1568/getInfo.php?workbook=02_02.xlsx&amp;sheet=U0&amp;row=221&amp;col=6&amp;number=5.5&amp;sourceID=28","5.5")</f>
        <v>5.5</v>
      </c>
      <c r="G221" s="4" t="str">
        <f>HYPERLINK("http://141.218.60.56/~jnz1568/getInfo.php?workbook=02_02.xlsx&amp;sheet=U0&amp;row=221&amp;col=7&amp;number=30.31&amp;sourceID=1","30.31")</f>
        <v>30.31</v>
      </c>
      <c r="H221" s="4" t="str">
        <f>HYPERLINK("http://141.218.60.56/~jnz1568/getInfo.php?workbook=02_02.xlsx&amp;sheet=U0&amp;row=221&amp;col=8&amp;number=&amp;sourceID=29","")</f>
        <v/>
      </c>
      <c r="I221" s="4" t="str">
        <f>HYPERLINK("http://141.218.60.56/~jnz1568/getInfo.php?workbook=02_02.xlsx&amp;sheet=U0&amp;row=221&amp;col=9&amp;number=&amp;sourceID=1","")</f>
        <v/>
      </c>
    </row>
    <row r="222" spans="1:9">
      <c r="A222" s="3"/>
      <c r="B222" s="3"/>
      <c r="C222" s="3"/>
      <c r="D222" s="3"/>
      <c r="E222" s="3">
        <v>9</v>
      </c>
      <c r="F222" s="4" t="str">
        <f>HYPERLINK("http://141.218.60.56/~jnz1568/getInfo.php?workbook=02_02.xlsx&amp;sheet=U0&amp;row=222&amp;col=6&amp;number=5.75&amp;sourceID=28","5.75")</f>
        <v>5.75</v>
      </c>
      <c r="G222" s="4" t="str">
        <f>HYPERLINK("http://141.218.60.56/~jnz1568/getInfo.php?workbook=02_02.xlsx&amp;sheet=U0&amp;row=222&amp;col=7&amp;number=34.25&amp;sourceID=1","34.25")</f>
        <v>34.25</v>
      </c>
      <c r="H222" s="4" t="str">
        <f>HYPERLINK("http://141.218.60.56/~jnz1568/getInfo.php?workbook=02_02.xlsx&amp;sheet=U0&amp;row=222&amp;col=8&amp;number=&amp;sourceID=29","")</f>
        <v/>
      </c>
      <c r="I222" s="4" t="str">
        <f>HYPERLINK("http://141.218.60.56/~jnz1568/getInfo.php?workbook=02_02.xlsx&amp;sheet=U0&amp;row=222&amp;col=9&amp;number=&amp;sourceID=1","")</f>
        <v/>
      </c>
    </row>
    <row r="223" spans="1:9">
      <c r="A223" s="3">
        <v>2</v>
      </c>
      <c r="B223" s="3">
        <v>2</v>
      </c>
      <c r="C223" s="3">
        <v>8</v>
      </c>
      <c r="D223" s="3">
        <v>5</v>
      </c>
      <c r="E223" s="3">
        <v>1</v>
      </c>
      <c r="F223" s="4" t="str">
        <f>HYPERLINK("http://141.218.60.56/~jnz1568/getInfo.php?workbook=02_02.xlsx&amp;sheet=U0&amp;row=223&amp;col=6&amp;number=&amp;sourceID=28","")</f>
        <v/>
      </c>
      <c r="G223" s="4" t="str">
        <f>HYPERLINK("http://141.218.60.56/~jnz1568/getInfo.php?workbook=02_02.xlsx&amp;sheet=U0&amp;row=223&amp;col=7&amp;number=&amp;sourceID=1","")</f>
        <v/>
      </c>
      <c r="H223" s="4" t="str">
        <f>HYPERLINK("http://141.218.60.56/~jnz1568/getInfo.php?workbook=02_02.xlsx&amp;sheet=U0&amp;row=223&amp;col=8&amp;number=3.301&amp;sourceID=29","3.301")</f>
        <v>3.301</v>
      </c>
      <c r="I223" s="4" t="str">
        <f>HYPERLINK("http://141.218.60.56/~jnz1568/getInfo.php?workbook=02_02.xlsx&amp;sheet=U0&amp;row=223&amp;col=9&amp;number=1.277&amp;sourceID=1","1.277")</f>
        <v>1.277</v>
      </c>
    </row>
    <row r="224" spans="1:9">
      <c r="A224" s="3"/>
      <c r="B224" s="3"/>
      <c r="C224" s="3"/>
      <c r="D224" s="3"/>
      <c r="E224" s="3">
        <v>2</v>
      </c>
      <c r="F224" s="4" t="str">
        <f>HYPERLINK("http://141.218.60.56/~jnz1568/getInfo.php?workbook=02_02.xlsx&amp;sheet=U0&amp;row=224&amp;col=6&amp;number=&amp;sourceID=28","")</f>
        <v/>
      </c>
      <c r="G224" s="4" t="str">
        <f>HYPERLINK("http://141.218.60.56/~jnz1568/getInfo.php?workbook=02_02.xlsx&amp;sheet=U0&amp;row=224&amp;col=7&amp;number=&amp;sourceID=1","")</f>
        <v/>
      </c>
      <c r="H224" s="4" t="str">
        <f>HYPERLINK("http://141.218.60.56/~jnz1568/getInfo.php?workbook=02_02.xlsx&amp;sheet=U0&amp;row=224&amp;col=8&amp;number=3.699&amp;sourceID=29","3.699")</f>
        <v>3.699</v>
      </c>
      <c r="I224" s="4" t="str">
        <f>HYPERLINK("http://141.218.60.56/~jnz1568/getInfo.php?workbook=02_02.xlsx&amp;sheet=U0&amp;row=224&amp;col=9&amp;number=1.255&amp;sourceID=1","1.255")</f>
        <v>1.255</v>
      </c>
    </row>
    <row r="225" spans="1:9">
      <c r="A225" s="3"/>
      <c r="B225" s="3"/>
      <c r="C225" s="3"/>
      <c r="D225" s="3"/>
      <c r="E225" s="3">
        <v>3</v>
      </c>
      <c r="F225" s="4" t="str">
        <f>HYPERLINK("http://141.218.60.56/~jnz1568/getInfo.php?workbook=02_02.xlsx&amp;sheet=U0&amp;row=225&amp;col=6&amp;number=&amp;sourceID=28","")</f>
        <v/>
      </c>
      <c r="G225" s="4" t="str">
        <f>HYPERLINK("http://141.218.60.56/~jnz1568/getInfo.php?workbook=02_02.xlsx&amp;sheet=U0&amp;row=225&amp;col=7&amp;number=&amp;sourceID=1","")</f>
        <v/>
      </c>
      <c r="H225" s="4" t="str">
        <f>HYPERLINK("http://141.218.60.56/~jnz1568/getInfo.php?workbook=02_02.xlsx&amp;sheet=U0&amp;row=225&amp;col=8&amp;number=4&amp;sourceID=29","4")</f>
        <v>4</v>
      </c>
      <c r="I225" s="4" t="str">
        <f>HYPERLINK("http://141.218.60.56/~jnz1568/getInfo.php?workbook=02_02.xlsx&amp;sheet=U0&amp;row=225&amp;col=9&amp;number=1.184&amp;sourceID=1","1.184")</f>
        <v>1.184</v>
      </c>
    </row>
    <row r="226" spans="1:9">
      <c r="A226" s="3"/>
      <c r="B226" s="3"/>
      <c r="C226" s="3"/>
      <c r="D226" s="3"/>
      <c r="E226" s="3">
        <v>4</v>
      </c>
      <c r="F226" s="4" t="str">
        <f>HYPERLINK("http://141.218.60.56/~jnz1568/getInfo.php?workbook=02_02.xlsx&amp;sheet=U0&amp;row=226&amp;col=6&amp;number=&amp;sourceID=28","")</f>
        <v/>
      </c>
      <c r="G226" s="4" t="str">
        <f>HYPERLINK("http://141.218.60.56/~jnz1568/getInfo.php?workbook=02_02.xlsx&amp;sheet=U0&amp;row=226&amp;col=7&amp;number=&amp;sourceID=1","")</f>
        <v/>
      </c>
      <c r="H226" s="4" t="str">
        <f>HYPERLINK("http://141.218.60.56/~jnz1568/getInfo.php?workbook=02_02.xlsx&amp;sheet=U0&amp;row=226&amp;col=8&amp;number=4.176&amp;sourceID=29","4.176")</f>
        <v>4.176</v>
      </c>
      <c r="I226" s="4" t="str">
        <f>HYPERLINK("http://141.218.60.56/~jnz1568/getInfo.php?workbook=02_02.xlsx&amp;sheet=U0&amp;row=226&amp;col=9&amp;number=1.115&amp;sourceID=1","1.115")</f>
        <v>1.115</v>
      </c>
    </row>
    <row r="227" spans="1:9">
      <c r="A227" s="3"/>
      <c r="B227" s="3"/>
      <c r="C227" s="3"/>
      <c r="D227" s="3"/>
      <c r="E227" s="3">
        <v>5</v>
      </c>
      <c r="F227" s="4" t="str">
        <f>HYPERLINK("http://141.218.60.56/~jnz1568/getInfo.php?workbook=02_02.xlsx&amp;sheet=U0&amp;row=227&amp;col=6&amp;number=&amp;sourceID=28","")</f>
        <v/>
      </c>
      <c r="G227" s="4" t="str">
        <f>HYPERLINK("http://141.218.60.56/~jnz1568/getInfo.php?workbook=02_02.xlsx&amp;sheet=U0&amp;row=227&amp;col=7&amp;number=&amp;sourceID=1","")</f>
        <v/>
      </c>
      <c r="H227" s="4" t="str">
        <f>HYPERLINK("http://141.218.60.56/~jnz1568/getInfo.php?workbook=02_02.xlsx&amp;sheet=U0&amp;row=227&amp;col=8&amp;number=4.301&amp;sourceID=29","4.301")</f>
        <v>4.301</v>
      </c>
      <c r="I227" s="4" t="str">
        <f>HYPERLINK("http://141.218.60.56/~jnz1568/getInfo.php?workbook=02_02.xlsx&amp;sheet=U0&amp;row=227&amp;col=9&amp;number=1.056&amp;sourceID=1","1.056")</f>
        <v>1.056</v>
      </c>
    </row>
    <row r="228" spans="1:9">
      <c r="A228" s="3"/>
      <c r="B228" s="3"/>
      <c r="C228" s="3"/>
      <c r="D228" s="3"/>
      <c r="E228" s="3">
        <v>6</v>
      </c>
      <c r="F228" s="4" t="str">
        <f>HYPERLINK("http://141.218.60.56/~jnz1568/getInfo.php?workbook=02_02.xlsx&amp;sheet=U0&amp;row=228&amp;col=6&amp;number=&amp;sourceID=28","")</f>
        <v/>
      </c>
      <c r="G228" s="4" t="str">
        <f>HYPERLINK("http://141.218.60.56/~jnz1568/getInfo.php?workbook=02_02.xlsx&amp;sheet=U0&amp;row=228&amp;col=7&amp;number=&amp;sourceID=1","")</f>
        <v/>
      </c>
      <c r="H228" s="4" t="str">
        <f>HYPERLINK("http://141.218.60.56/~jnz1568/getInfo.php?workbook=02_02.xlsx&amp;sheet=U0&amp;row=228&amp;col=8&amp;number=4.398&amp;sourceID=29","4.398")</f>
        <v>4.398</v>
      </c>
      <c r="I228" s="4" t="str">
        <f>HYPERLINK("http://141.218.60.56/~jnz1568/getInfo.php?workbook=02_02.xlsx&amp;sheet=U0&amp;row=228&amp;col=9&amp;number=1.004&amp;sourceID=1","1.004")</f>
        <v>1.004</v>
      </c>
    </row>
    <row r="229" spans="1:9">
      <c r="A229" s="3"/>
      <c r="B229" s="3"/>
      <c r="C229" s="3"/>
      <c r="D229" s="3"/>
      <c r="E229" s="3">
        <v>7</v>
      </c>
      <c r="F229" s="4" t="str">
        <f>HYPERLINK("http://141.218.60.56/~jnz1568/getInfo.php?workbook=02_02.xlsx&amp;sheet=U0&amp;row=229&amp;col=6&amp;number=&amp;sourceID=28","")</f>
        <v/>
      </c>
      <c r="G229" s="4" t="str">
        <f>HYPERLINK("http://141.218.60.56/~jnz1568/getInfo.php?workbook=02_02.xlsx&amp;sheet=U0&amp;row=229&amp;col=7&amp;number=&amp;sourceID=1","")</f>
        <v/>
      </c>
      <c r="H229" s="4" t="str">
        <f>HYPERLINK("http://141.218.60.56/~jnz1568/getInfo.php?workbook=02_02.xlsx&amp;sheet=U0&amp;row=229&amp;col=8&amp;number=4.477&amp;sourceID=29","4.477")</f>
        <v>4.477</v>
      </c>
      <c r="I229" s="4" t="str">
        <f>HYPERLINK("http://141.218.60.56/~jnz1568/getInfo.php?workbook=02_02.xlsx&amp;sheet=U0&amp;row=229&amp;col=9&amp;number=0.9567&amp;sourceID=1","0.9567")</f>
        <v>0.9567</v>
      </c>
    </row>
    <row r="230" spans="1:9">
      <c r="A230" s="3">
        <v>2</v>
      </c>
      <c r="B230" s="3">
        <v>2</v>
      </c>
      <c r="C230" s="3">
        <v>8</v>
      </c>
      <c r="D230" s="3">
        <v>6</v>
      </c>
      <c r="E230" s="3">
        <v>1</v>
      </c>
      <c r="F230" s="4" t="str">
        <f>HYPERLINK("http://141.218.60.56/~jnz1568/getInfo.php?workbook=02_02.xlsx&amp;sheet=U0&amp;row=230&amp;col=6&amp;number=&amp;sourceID=28","")</f>
        <v/>
      </c>
      <c r="G230" s="4" t="str">
        <f>HYPERLINK("http://141.218.60.56/~jnz1568/getInfo.php?workbook=02_02.xlsx&amp;sheet=U0&amp;row=230&amp;col=7&amp;number=&amp;sourceID=1","")</f>
        <v/>
      </c>
      <c r="H230" s="4" t="str">
        <f>HYPERLINK("http://141.218.60.56/~jnz1568/getInfo.php?workbook=02_02.xlsx&amp;sheet=U0&amp;row=230&amp;col=8&amp;number=3.301&amp;sourceID=29","3.301")</f>
        <v>3.301</v>
      </c>
      <c r="I230" s="4" t="str">
        <f>HYPERLINK("http://141.218.60.56/~jnz1568/getInfo.php?workbook=02_02.xlsx&amp;sheet=U0&amp;row=230&amp;col=9&amp;number=33.52&amp;sourceID=1","33.52")</f>
        <v>33.52</v>
      </c>
    </row>
    <row r="231" spans="1:9">
      <c r="A231" s="3"/>
      <c r="B231" s="3"/>
      <c r="C231" s="3"/>
      <c r="D231" s="3"/>
      <c r="E231" s="3">
        <v>2</v>
      </c>
      <c r="F231" s="4" t="str">
        <f>HYPERLINK("http://141.218.60.56/~jnz1568/getInfo.php?workbook=02_02.xlsx&amp;sheet=U0&amp;row=231&amp;col=6&amp;number=&amp;sourceID=28","")</f>
        <v/>
      </c>
      <c r="G231" s="4" t="str">
        <f>HYPERLINK("http://141.218.60.56/~jnz1568/getInfo.php?workbook=02_02.xlsx&amp;sheet=U0&amp;row=231&amp;col=7&amp;number=&amp;sourceID=1","")</f>
        <v/>
      </c>
      <c r="H231" s="4" t="str">
        <f>HYPERLINK("http://141.218.60.56/~jnz1568/getInfo.php?workbook=02_02.xlsx&amp;sheet=U0&amp;row=231&amp;col=8&amp;number=3.699&amp;sourceID=29","3.699")</f>
        <v>3.699</v>
      </c>
      <c r="I231" s="4" t="str">
        <f>HYPERLINK("http://141.218.60.56/~jnz1568/getInfo.php?workbook=02_02.xlsx&amp;sheet=U0&amp;row=231&amp;col=9&amp;number=59.51&amp;sourceID=1","59.51")</f>
        <v>59.51</v>
      </c>
    </row>
    <row r="232" spans="1:9">
      <c r="A232" s="3">
        <v>2</v>
      </c>
      <c r="B232" s="3">
        <v>2</v>
      </c>
      <c r="C232" s="3">
        <v>8</v>
      </c>
      <c r="D232" s="3">
        <v>7</v>
      </c>
      <c r="E232" s="3">
        <v>1</v>
      </c>
      <c r="F232" s="4" t="str">
        <f>HYPERLINK("http://141.218.60.56/~jnz1568/getInfo.php?workbook=02_02.xlsx&amp;sheet=U0&amp;row=232&amp;col=6&amp;number=&amp;sourceID=28","")</f>
        <v/>
      </c>
      <c r="G232" s="4" t="str">
        <f>HYPERLINK("http://141.218.60.56/~jnz1568/getInfo.php?workbook=02_02.xlsx&amp;sheet=U0&amp;row=232&amp;col=7&amp;number=&amp;sourceID=1","")</f>
        <v/>
      </c>
      <c r="H232" s="4" t="str">
        <f>HYPERLINK("http://141.218.60.56/~jnz1568/getInfo.php?workbook=02_02.xlsx&amp;sheet=U0&amp;row=232&amp;col=8&amp;number=3.301&amp;sourceID=29","3.301")</f>
        <v>3.301</v>
      </c>
      <c r="I232" s="4" t="str">
        <f>HYPERLINK("http://141.218.60.56/~jnz1568/getInfo.php?workbook=02_02.xlsx&amp;sheet=U0&amp;row=232&amp;col=9&amp;number=3.894&amp;sourceID=1","3.894")</f>
        <v>3.894</v>
      </c>
    </row>
    <row r="233" spans="1:9">
      <c r="A233" s="3"/>
      <c r="B233" s="3"/>
      <c r="C233" s="3"/>
      <c r="D233" s="3"/>
      <c r="E233" s="3">
        <v>2</v>
      </c>
      <c r="F233" s="4" t="str">
        <f>HYPERLINK("http://141.218.60.56/~jnz1568/getInfo.php?workbook=02_02.xlsx&amp;sheet=U0&amp;row=233&amp;col=6&amp;number=&amp;sourceID=28","")</f>
        <v/>
      </c>
      <c r="G233" s="4" t="str">
        <f>HYPERLINK("http://141.218.60.56/~jnz1568/getInfo.php?workbook=02_02.xlsx&amp;sheet=U0&amp;row=233&amp;col=7&amp;number=&amp;sourceID=1","")</f>
        <v/>
      </c>
      <c r="H233" s="4" t="str">
        <f>HYPERLINK("http://141.218.60.56/~jnz1568/getInfo.php?workbook=02_02.xlsx&amp;sheet=U0&amp;row=233&amp;col=8&amp;number=3.699&amp;sourceID=29","3.699")</f>
        <v>3.699</v>
      </c>
      <c r="I233" s="4" t="str">
        <f>HYPERLINK("http://141.218.60.56/~jnz1568/getInfo.php?workbook=02_02.xlsx&amp;sheet=U0&amp;row=233&amp;col=9&amp;number=3.676&amp;sourceID=1","3.676")</f>
        <v>3.676</v>
      </c>
    </row>
    <row r="234" spans="1:9">
      <c r="A234" s="3"/>
      <c r="B234" s="3"/>
      <c r="C234" s="3"/>
      <c r="D234" s="3"/>
      <c r="E234" s="3">
        <v>3</v>
      </c>
      <c r="F234" s="4" t="str">
        <f>HYPERLINK("http://141.218.60.56/~jnz1568/getInfo.php?workbook=02_02.xlsx&amp;sheet=U0&amp;row=234&amp;col=6&amp;number=&amp;sourceID=28","")</f>
        <v/>
      </c>
      <c r="G234" s="4" t="str">
        <f>HYPERLINK("http://141.218.60.56/~jnz1568/getInfo.php?workbook=02_02.xlsx&amp;sheet=U0&amp;row=234&amp;col=7&amp;number=&amp;sourceID=1","")</f>
        <v/>
      </c>
      <c r="H234" s="4" t="str">
        <f>HYPERLINK("http://141.218.60.56/~jnz1568/getInfo.php?workbook=02_02.xlsx&amp;sheet=U0&amp;row=234&amp;col=8&amp;number=4&amp;sourceID=29","4")</f>
        <v>4</v>
      </c>
      <c r="I234" s="4" t="str">
        <f>HYPERLINK("http://141.218.60.56/~jnz1568/getInfo.php?workbook=02_02.xlsx&amp;sheet=U0&amp;row=234&amp;col=9&amp;number=3.082&amp;sourceID=1","3.082")</f>
        <v>3.082</v>
      </c>
    </row>
    <row r="235" spans="1:9">
      <c r="A235" s="3"/>
      <c r="B235" s="3"/>
      <c r="C235" s="3"/>
      <c r="D235" s="3"/>
      <c r="E235" s="3">
        <v>4</v>
      </c>
      <c r="F235" s="4" t="str">
        <f>HYPERLINK("http://141.218.60.56/~jnz1568/getInfo.php?workbook=02_02.xlsx&amp;sheet=U0&amp;row=235&amp;col=6&amp;number=&amp;sourceID=28","")</f>
        <v/>
      </c>
      <c r="G235" s="4" t="str">
        <f>HYPERLINK("http://141.218.60.56/~jnz1568/getInfo.php?workbook=02_02.xlsx&amp;sheet=U0&amp;row=235&amp;col=7&amp;number=&amp;sourceID=1","")</f>
        <v/>
      </c>
      <c r="H235" s="4" t="str">
        <f>HYPERLINK("http://141.218.60.56/~jnz1568/getInfo.php?workbook=02_02.xlsx&amp;sheet=U0&amp;row=235&amp;col=8&amp;number=4.176&amp;sourceID=29","4.176")</f>
        <v>4.176</v>
      </c>
      <c r="I235" s="4" t="str">
        <f>HYPERLINK("http://141.218.60.56/~jnz1568/getInfo.php?workbook=02_02.xlsx&amp;sheet=U0&amp;row=235&amp;col=9&amp;number=2.66&amp;sourceID=1","2.66")</f>
        <v>2.66</v>
      </c>
    </row>
    <row r="236" spans="1:9">
      <c r="A236" s="3"/>
      <c r="B236" s="3"/>
      <c r="C236" s="3"/>
      <c r="D236" s="3"/>
      <c r="E236" s="3">
        <v>5</v>
      </c>
      <c r="F236" s="4" t="str">
        <f>HYPERLINK("http://141.218.60.56/~jnz1568/getInfo.php?workbook=02_02.xlsx&amp;sheet=U0&amp;row=236&amp;col=6&amp;number=&amp;sourceID=28","")</f>
        <v/>
      </c>
      <c r="G236" s="4" t="str">
        <f>HYPERLINK("http://141.218.60.56/~jnz1568/getInfo.php?workbook=02_02.xlsx&amp;sheet=U0&amp;row=236&amp;col=7&amp;number=&amp;sourceID=1","")</f>
        <v/>
      </c>
      <c r="H236" s="4" t="str">
        <f>HYPERLINK("http://141.218.60.56/~jnz1568/getInfo.php?workbook=02_02.xlsx&amp;sheet=U0&amp;row=236&amp;col=8&amp;number=4.301&amp;sourceID=29","4.301")</f>
        <v>4.301</v>
      </c>
      <c r="I236" s="4" t="str">
        <f>HYPERLINK("http://141.218.60.56/~jnz1568/getInfo.php?workbook=02_02.xlsx&amp;sheet=U0&amp;row=236&amp;col=9&amp;number=2.357&amp;sourceID=1","2.357")</f>
        <v>2.357</v>
      </c>
    </row>
    <row r="237" spans="1:9">
      <c r="A237" s="3"/>
      <c r="B237" s="3"/>
      <c r="C237" s="3"/>
      <c r="D237" s="3"/>
      <c r="E237" s="3">
        <v>6</v>
      </c>
      <c r="F237" s="4" t="str">
        <f>HYPERLINK("http://141.218.60.56/~jnz1568/getInfo.php?workbook=02_02.xlsx&amp;sheet=U0&amp;row=237&amp;col=6&amp;number=&amp;sourceID=28","")</f>
        <v/>
      </c>
      <c r="G237" s="4" t="str">
        <f>HYPERLINK("http://141.218.60.56/~jnz1568/getInfo.php?workbook=02_02.xlsx&amp;sheet=U0&amp;row=237&amp;col=7&amp;number=&amp;sourceID=1","")</f>
        <v/>
      </c>
      <c r="H237" s="4" t="str">
        <f>HYPERLINK("http://141.218.60.56/~jnz1568/getInfo.php?workbook=02_02.xlsx&amp;sheet=U0&amp;row=237&amp;col=8&amp;number=4.398&amp;sourceID=29","4.398")</f>
        <v>4.398</v>
      </c>
      <c r="I237" s="4" t="str">
        <f>HYPERLINK("http://141.218.60.56/~jnz1568/getInfo.php?workbook=02_02.xlsx&amp;sheet=U0&amp;row=237&amp;col=9&amp;number=2.127&amp;sourceID=1","2.127")</f>
        <v>2.127</v>
      </c>
    </row>
    <row r="238" spans="1:9">
      <c r="A238" s="3"/>
      <c r="B238" s="3"/>
      <c r="C238" s="3"/>
      <c r="D238" s="3"/>
      <c r="E238" s="3">
        <v>7</v>
      </c>
      <c r="F238" s="4" t="str">
        <f>HYPERLINK("http://141.218.60.56/~jnz1568/getInfo.php?workbook=02_02.xlsx&amp;sheet=U0&amp;row=238&amp;col=6&amp;number=&amp;sourceID=28","")</f>
        <v/>
      </c>
      <c r="G238" s="4" t="str">
        <f>HYPERLINK("http://141.218.60.56/~jnz1568/getInfo.php?workbook=02_02.xlsx&amp;sheet=U0&amp;row=238&amp;col=7&amp;number=&amp;sourceID=1","")</f>
        <v/>
      </c>
      <c r="H238" s="4" t="str">
        <f>HYPERLINK("http://141.218.60.56/~jnz1568/getInfo.php?workbook=02_02.xlsx&amp;sheet=U0&amp;row=238&amp;col=8&amp;number=4.477&amp;sourceID=29","4.477")</f>
        <v>4.477</v>
      </c>
      <c r="I238" s="4" t="str">
        <f>HYPERLINK("http://141.218.60.56/~jnz1568/getInfo.php?workbook=02_02.xlsx&amp;sheet=U0&amp;row=238&amp;col=9&amp;number=1.942&amp;sourceID=1","1.942")</f>
        <v>1.942</v>
      </c>
    </row>
    <row r="239" spans="1:9">
      <c r="A239" s="3">
        <v>2</v>
      </c>
      <c r="B239" s="3">
        <v>2</v>
      </c>
      <c r="C239" s="3">
        <v>9</v>
      </c>
      <c r="D239" s="3">
        <v>1</v>
      </c>
      <c r="E239" s="3">
        <v>1</v>
      </c>
      <c r="F239" s="4" t="str">
        <f>HYPERLINK("http://141.218.60.56/~jnz1568/getInfo.php?workbook=02_02.xlsx&amp;sheet=U0&amp;row=239&amp;col=6&amp;number=3.75&amp;sourceID=28","3.75")</f>
        <v>3.75</v>
      </c>
      <c r="G239" s="4" t="str">
        <f>HYPERLINK("http://141.218.60.56/~jnz1568/getInfo.php?workbook=02_02.xlsx&amp;sheet=U0&amp;row=239&amp;col=7&amp;number=0.001863&amp;sourceID=1","0.001863")</f>
        <v>0.001863</v>
      </c>
      <c r="H239" s="4" t="str">
        <f>HYPERLINK("http://141.218.60.56/~jnz1568/getInfo.php?workbook=02_02.xlsx&amp;sheet=U0&amp;row=239&amp;col=8&amp;number=3.301&amp;sourceID=29","3.301")</f>
        <v>3.301</v>
      </c>
      <c r="I239" s="4" t="str">
        <f>HYPERLINK("http://141.218.60.56/~jnz1568/getInfo.php?workbook=02_02.xlsx&amp;sheet=U0&amp;row=239&amp;col=9&amp;number=0.001581&amp;sourceID=1","0.001581")</f>
        <v>0.001581</v>
      </c>
    </row>
    <row r="240" spans="1:9">
      <c r="A240" s="3"/>
      <c r="B240" s="3"/>
      <c r="C240" s="3"/>
      <c r="D240" s="3"/>
      <c r="E240" s="3">
        <v>2</v>
      </c>
      <c r="F240" s="4" t="str">
        <f>HYPERLINK("http://141.218.60.56/~jnz1568/getInfo.php?workbook=02_02.xlsx&amp;sheet=U0&amp;row=240&amp;col=6&amp;number=4&amp;sourceID=28","4")</f>
        <v>4</v>
      </c>
      <c r="G240" s="4" t="str">
        <f>HYPERLINK("http://141.218.60.56/~jnz1568/getInfo.php?workbook=02_02.xlsx&amp;sheet=U0&amp;row=240&amp;col=7&amp;number=0.00206&amp;sourceID=1","0.00206")</f>
        <v>0.00206</v>
      </c>
      <c r="H240" s="4" t="str">
        <f>HYPERLINK("http://141.218.60.56/~jnz1568/getInfo.php?workbook=02_02.xlsx&amp;sheet=U0&amp;row=240&amp;col=8&amp;number=3.699&amp;sourceID=29","3.699")</f>
        <v>3.699</v>
      </c>
      <c r="I240" s="4" t="str">
        <f>HYPERLINK("http://141.218.60.56/~jnz1568/getInfo.php?workbook=02_02.xlsx&amp;sheet=U0&amp;row=240&amp;col=9&amp;number=0.002176&amp;sourceID=1","0.002176")</f>
        <v>0.002176</v>
      </c>
    </row>
    <row r="241" spans="1:9">
      <c r="A241" s="3"/>
      <c r="B241" s="3"/>
      <c r="C241" s="3"/>
      <c r="D241" s="3"/>
      <c r="E241" s="3">
        <v>3</v>
      </c>
      <c r="F241" s="4" t="str">
        <f>HYPERLINK("http://141.218.60.56/~jnz1568/getInfo.php?workbook=02_02.xlsx&amp;sheet=U0&amp;row=241&amp;col=6&amp;number=4.25&amp;sourceID=28","4.25")</f>
        <v>4.25</v>
      </c>
      <c r="G241" s="4" t="str">
        <f>HYPERLINK("http://141.218.60.56/~jnz1568/getInfo.php?workbook=02_02.xlsx&amp;sheet=U0&amp;row=241&amp;col=7&amp;number=0.002202&amp;sourceID=1","0.002202")</f>
        <v>0.002202</v>
      </c>
      <c r="H241" s="4" t="str">
        <f>HYPERLINK("http://141.218.60.56/~jnz1568/getInfo.php?workbook=02_02.xlsx&amp;sheet=U0&amp;row=241&amp;col=8&amp;number=4&amp;sourceID=29","4")</f>
        <v>4</v>
      </c>
      <c r="I241" s="4" t="str">
        <f>HYPERLINK("http://141.218.60.56/~jnz1568/getInfo.php?workbook=02_02.xlsx&amp;sheet=U0&amp;row=241&amp;col=9&amp;number=0.002297&amp;sourceID=1","0.002297")</f>
        <v>0.002297</v>
      </c>
    </row>
    <row r="242" spans="1:9">
      <c r="A242" s="3"/>
      <c r="B242" s="3"/>
      <c r="C242" s="3"/>
      <c r="D242" s="3"/>
      <c r="E242" s="3">
        <v>4</v>
      </c>
      <c r="F242" s="4" t="str">
        <f>HYPERLINK("http://141.218.60.56/~jnz1568/getInfo.php?workbook=02_02.xlsx&amp;sheet=U0&amp;row=242&amp;col=6&amp;number=4.5&amp;sourceID=28","4.5")</f>
        <v>4.5</v>
      </c>
      <c r="G242" s="4" t="str">
        <f>HYPERLINK("http://141.218.60.56/~jnz1568/getInfo.php?workbook=02_02.xlsx&amp;sheet=U0&amp;row=242&amp;col=7&amp;number=0.002322&amp;sourceID=1","0.002322")</f>
        <v>0.002322</v>
      </c>
      <c r="H242" s="4" t="str">
        <f>HYPERLINK("http://141.218.60.56/~jnz1568/getInfo.php?workbook=02_02.xlsx&amp;sheet=U0&amp;row=242&amp;col=8&amp;number=4.176&amp;sourceID=29","4.176")</f>
        <v>4.176</v>
      </c>
      <c r="I242" s="4" t="str">
        <f>HYPERLINK("http://141.218.60.56/~jnz1568/getInfo.php?workbook=02_02.xlsx&amp;sheet=U0&amp;row=242&amp;col=9&amp;number=0.00239&amp;sourceID=1","0.00239")</f>
        <v>0.00239</v>
      </c>
    </row>
    <row r="243" spans="1:9">
      <c r="A243" s="3"/>
      <c r="B243" s="3"/>
      <c r="C243" s="3"/>
      <c r="D243" s="3"/>
      <c r="E243" s="3">
        <v>5</v>
      </c>
      <c r="F243" s="4" t="str">
        <f>HYPERLINK("http://141.218.60.56/~jnz1568/getInfo.php?workbook=02_02.xlsx&amp;sheet=U0&amp;row=243&amp;col=6&amp;number=4.75&amp;sourceID=28","4.75")</f>
        <v>4.75</v>
      </c>
      <c r="G243" s="4" t="str">
        <f>HYPERLINK("http://141.218.60.56/~jnz1568/getInfo.php?workbook=02_02.xlsx&amp;sheet=U0&amp;row=243&amp;col=7&amp;number=0.002396&amp;sourceID=1","0.002396")</f>
        <v>0.002396</v>
      </c>
      <c r="H243" s="4" t="str">
        <f>HYPERLINK("http://141.218.60.56/~jnz1568/getInfo.php?workbook=02_02.xlsx&amp;sheet=U0&amp;row=243&amp;col=8&amp;number=4.301&amp;sourceID=29","4.301")</f>
        <v>4.301</v>
      </c>
      <c r="I243" s="4" t="str">
        <f>HYPERLINK("http://141.218.60.56/~jnz1568/getInfo.php?workbook=02_02.xlsx&amp;sheet=U0&amp;row=243&amp;col=9&amp;number=0.002481&amp;sourceID=1","0.002481")</f>
        <v>0.002481</v>
      </c>
    </row>
    <row r="244" spans="1:9">
      <c r="A244" s="3"/>
      <c r="B244" s="3"/>
      <c r="C244" s="3"/>
      <c r="D244" s="3"/>
      <c r="E244" s="3">
        <v>6</v>
      </c>
      <c r="F244" s="4" t="str">
        <f>HYPERLINK("http://141.218.60.56/~jnz1568/getInfo.php?workbook=02_02.xlsx&amp;sheet=U0&amp;row=244&amp;col=6&amp;number=5&amp;sourceID=28","5")</f>
        <v>5</v>
      </c>
      <c r="G244" s="4" t="str">
        <f>HYPERLINK("http://141.218.60.56/~jnz1568/getInfo.php?workbook=02_02.xlsx&amp;sheet=U0&amp;row=244&amp;col=7&amp;number=0.002372&amp;sourceID=1","0.002372")</f>
        <v>0.002372</v>
      </c>
      <c r="H244" s="4" t="str">
        <f>HYPERLINK("http://141.218.60.56/~jnz1568/getInfo.php?workbook=02_02.xlsx&amp;sheet=U0&amp;row=244&amp;col=8&amp;number=4.398&amp;sourceID=29","4.398")</f>
        <v>4.398</v>
      </c>
      <c r="I244" s="4" t="str">
        <f>HYPERLINK("http://141.218.60.56/~jnz1568/getInfo.php?workbook=02_02.xlsx&amp;sheet=U0&amp;row=244&amp;col=9&amp;number=0.002557&amp;sourceID=1","0.002557")</f>
        <v>0.002557</v>
      </c>
    </row>
    <row r="245" spans="1:9">
      <c r="A245" s="3"/>
      <c r="B245" s="3"/>
      <c r="C245" s="3"/>
      <c r="D245" s="3"/>
      <c r="E245" s="3">
        <v>7</v>
      </c>
      <c r="F245" s="4" t="str">
        <f>HYPERLINK("http://141.218.60.56/~jnz1568/getInfo.php?workbook=02_02.xlsx&amp;sheet=U0&amp;row=245&amp;col=6&amp;number=5.25&amp;sourceID=28","5.25")</f>
        <v>5.25</v>
      </c>
      <c r="G245" s="4" t="str">
        <f>HYPERLINK("http://141.218.60.56/~jnz1568/getInfo.php?workbook=02_02.xlsx&amp;sheet=U0&amp;row=245&amp;col=7&amp;number=0.002195&amp;sourceID=1","0.002195")</f>
        <v>0.002195</v>
      </c>
      <c r="H245" s="4" t="str">
        <f>HYPERLINK("http://141.218.60.56/~jnz1568/getInfo.php?workbook=02_02.xlsx&amp;sheet=U0&amp;row=245&amp;col=8&amp;number=4.477&amp;sourceID=29","4.477")</f>
        <v>4.477</v>
      </c>
      <c r="I245" s="4" t="str">
        <f>HYPERLINK("http://141.218.60.56/~jnz1568/getInfo.php?workbook=02_02.xlsx&amp;sheet=U0&amp;row=245&amp;col=9&amp;number=0.002611&amp;sourceID=1","0.002611")</f>
        <v>0.002611</v>
      </c>
    </row>
    <row r="246" spans="1:9">
      <c r="A246" s="3"/>
      <c r="B246" s="3"/>
      <c r="C246" s="3"/>
      <c r="D246" s="3"/>
      <c r="E246" s="3">
        <v>8</v>
      </c>
      <c r="F246" s="4" t="str">
        <f>HYPERLINK("http://141.218.60.56/~jnz1568/getInfo.php?workbook=02_02.xlsx&amp;sheet=U0&amp;row=246&amp;col=6&amp;number=5.5&amp;sourceID=28","5.5")</f>
        <v>5.5</v>
      </c>
      <c r="G246" s="4" t="str">
        <f>HYPERLINK("http://141.218.60.56/~jnz1568/getInfo.php?workbook=02_02.xlsx&amp;sheet=U0&amp;row=246&amp;col=7&amp;number=0.00186&amp;sourceID=1","0.00186")</f>
        <v>0.00186</v>
      </c>
      <c r="H246" s="4" t="str">
        <f>HYPERLINK("http://141.218.60.56/~jnz1568/getInfo.php?workbook=02_02.xlsx&amp;sheet=U0&amp;row=246&amp;col=8&amp;number=&amp;sourceID=29","")</f>
        <v/>
      </c>
      <c r="I246" s="4" t="str">
        <f>HYPERLINK("http://141.218.60.56/~jnz1568/getInfo.php?workbook=02_02.xlsx&amp;sheet=U0&amp;row=246&amp;col=9&amp;number=&amp;sourceID=1","")</f>
        <v/>
      </c>
    </row>
    <row r="247" spans="1:9">
      <c r="A247" s="3"/>
      <c r="B247" s="3"/>
      <c r="C247" s="3"/>
      <c r="D247" s="3"/>
      <c r="E247" s="3">
        <v>9</v>
      </c>
      <c r="F247" s="4" t="str">
        <f>HYPERLINK("http://141.218.60.56/~jnz1568/getInfo.php?workbook=02_02.xlsx&amp;sheet=U0&amp;row=247&amp;col=6&amp;number=5.75&amp;sourceID=28","5.75")</f>
        <v>5.75</v>
      </c>
      <c r="G247" s="4" t="str">
        <f>HYPERLINK("http://141.218.60.56/~jnz1568/getInfo.php?workbook=02_02.xlsx&amp;sheet=U0&amp;row=247&amp;col=7&amp;number=0.001434&amp;sourceID=1","0.001434")</f>
        <v>0.001434</v>
      </c>
      <c r="H247" s="4" t="str">
        <f>HYPERLINK("http://141.218.60.56/~jnz1568/getInfo.php?workbook=02_02.xlsx&amp;sheet=U0&amp;row=247&amp;col=8&amp;number=&amp;sourceID=29","")</f>
        <v/>
      </c>
      <c r="I247" s="4" t="str">
        <f>HYPERLINK("http://141.218.60.56/~jnz1568/getInfo.php?workbook=02_02.xlsx&amp;sheet=U0&amp;row=247&amp;col=9&amp;number=&amp;sourceID=1","")</f>
        <v/>
      </c>
    </row>
    <row r="248" spans="1:9">
      <c r="A248" s="3">
        <v>2</v>
      </c>
      <c r="B248" s="3">
        <v>2</v>
      </c>
      <c r="C248" s="3">
        <v>9</v>
      </c>
      <c r="D248" s="3">
        <v>2</v>
      </c>
      <c r="E248" s="3">
        <v>1</v>
      </c>
      <c r="F248" s="4" t="str">
        <f>HYPERLINK("http://141.218.60.56/~jnz1568/getInfo.php?workbook=02_02.xlsx&amp;sheet=U0&amp;row=248&amp;col=6&amp;number=3.75&amp;sourceID=28","3.75")</f>
        <v>3.75</v>
      </c>
      <c r="G248" s="4" t="str">
        <f>HYPERLINK("http://141.218.60.56/~jnz1568/getInfo.php?workbook=02_02.xlsx&amp;sheet=U0&amp;row=248&amp;col=7&amp;number=1.392&amp;sourceID=1","1.392")</f>
        <v>1.392</v>
      </c>
      <c r="H248" s="4" t="str">
        <f>HYPERLINK("http://141.218.60.56/~jnz1568/getInfo.php?workbook=02_02.xlsx&amp;sheet=U0&amp;row=248&amp;col=8&amp;number=3.301&amp;sourceID=29","3.301")</f>
        <v>3.301</v>
      </c>
      <c r="I248" s="4" t="str">
        <f>HYPERLINK("http://141.218.60.56/~jnz1568/getInfo.php?workbook=02_02.xlsx&amp;sheet=U0&amp;row=248&amp;col=9&amp;number=0.7883&amp;sourceID=1","0.7883")</f>
        <v>0.7883</v>
      </c>
    </row>
    <row r="249" spans="1:9">
      <c r="A249" s="3"/>
      <c r="B249" s="3"/>
      <c r="C249" s="3"/>
      <c r="D249" s="3"/>
      <c r="E249" s="3">
        <v>2</v>
      </c>
      <c r="F249" s="4" t="str">
        <f>HYPERLINK("http://141.218.60.56/~jnz1568/getInfo.php?workbook=02_02.xlsx&amp;sheet=U0&amp;row=249&amp;col=6&amp;number=4&amp;sourceID=28","4")</f>
        <v>4</v>
      </c>
      <c r="G249" s="4" t="str">
        <f>HYPERLINK("http://141.218.60.56/~jnz1568/getInfo.php?workbook=02_02.xlsx&amp;sheet=U0&amp;row=249&amp;col=7&amp;number=1.954&amp;sourceID=1","1.954")</f>
        <v>1.954</v>
      </c>
      <c r="H249" s="4" t="str">
        <f>HYPERLINK("http://141.218.60.56/~jnz1568/getInfo.php?workbook=02_02.xlsx&amp;sheet=U0&amp;row=249&amp;col=8&amp;number=3.699&amp;sourceID=29","3.699")</f>
        <v>3.699</v>
      </c>
      <c r="I249" s="4" t="str">
        <f>HYPERLINK("http://141.218.60.56/~jnz1568/getInfo.php?workbook=02_02.xlsx&amp;sheet=U0&amp;row=249&amp;col=9&amp;number=1.384&amp;sourceID=1","1.384")</f>
        <v>1.384</v>
      </c>
    </row>
    <row r="250" spans="1:9">
      <c r="A250" s="3"/>
      <c r="B250" s="3"/>
      <c r="C250" s="3"/>
      <c r="D250" s="3"/>
      <c r="E250" s="3">
        <v>3</v>
      </c>
      <c r="F250" s="4" t="str">
        <f>HYPERLINK("http://141.218.60.56/~jnz1568/getInfo.php?workbook=02_02.xlsx&amp;sheet=U0&amp;row=250&amp;col=6&amp;number=4.25&amp;sourceID=28","4.25")</f>
        <v>4.25</v>
      </c>
      <c r="G250" s="4" t="str">
        <f>HYPERLINK("http://141.218.60.56/~jnz1568/getInfo.php?workbook=02_02.xlsx&amp;sheet=U0&amp;row=250&amp;col=7&amp;number=2.76&amp;sourceID=1","2.76")</f>
        <v>2.76</v>
      </c>
      <c r="H250" s="4" t="str">
        <f>HYPERLINK("http://141.218.60.56/~jnz1568/getInfo.php?workbook=02_02.xlsx&amp;sheet=U0&amp;row=250&amp;col=8&amp;number=4&amp;sourceID=29","4")</f>
        <v>4</v>
      </c>
      <c r="I250" s="4" t="str">
        <f>HYPERLINK("http://141.218.60.56/~jnz1568/getInfo.php?workbook=02_02.xlsx&amp;sheet=U0&amp;row=250&amp;col=9&amp;number=2.07&amp;sourceID=1","2.07")</f>
        <v>2.07</v>
      </c>
    </row>
    <row r="251" spans="1:9">
      <c r="A251" s="3"/>
      <c r="B251" s="3"/>
      <c r="C251" s="3"/>
      <c r="D251" s="3"/>
      <c r="E251" s="3">
        <v>4</v>
      </c>
      <c r="F251" s="4" t="str">
        <f>HYPERLINK("http://141.218.60.56/~jnz1568/getInfo.php?workbook=02_02.xlsx&amp;sheet=U0&amp;row=251&amp;col=6&amp;number=4.5&amp;sourceID=28","4.5")</f>
        <v>4.5</v>
      </c>
      <c r="G251" s="4" t="str">
        <f>HYPERLINK("http://141.218.60.56/~jnz1568/getInfo.php?workbook=02_02.xlsx&amp;sheet=U0&amp;row=251&amp;col=7&amp;number=3.9&amp;sourceID=1","3.9")</f>
        <v>3.9</v>
      </c>
      <c r="H251" s="4" t="str">
        <f>HYPERLINK("http://141.218.60.56/~jnz1568/getInfo.php?workbook=02_02.xlsx&amp;sheet=U0&amp;row=251&amp;col=8&amp;number=4.176&amp;sourceID=29","4.176")</f>
        <v>4.176</v>
      </c>
      <c r="I251" s="4" t="str">
        <f>HYPERLINK("http://141.218.60.56/~jnz1568/getInfo.php?workbook=02_02.xlsx&amp;sheet=U0&amp;row=251&amp;col=9&amp;number=2.72&amp;sourceID=1","2.72")</f>
        <v>2.72</v>
      </c>
    </row>
    <row r="252" spans="1:9">
      <c r="A252" s="3"/>
      <c r="B252" s="3"/>
      <c r="C252" s="3"/>
      <c r="D252" s="3"/>
      <c r="E252" s="3">
        <v>5</v>
      </c>
      <c r="F252" s="4" t="str">
        <f>HYPERLINK("http://141.218.60.56/~jnz1568/getInfo.php?workbook=02_02.xlsx&amp;sheet=U0&amp;row=252&amp;col=6&amp;number=4.75&amp;sourceID=28","4.75")</f>
        <v>4.75</v>
      </c>
      <c r="G252" s="4" t="str">
        <f>HYPERLINK("http://141.218.60.56/~jnz1568/getInfo.php?workbook=02_02.xlsx&amp;sheet=U0&amp;row=252&amp;col=7&amp;number=5.496&amp;sourceID=1","5.496")</f>
        <v>5.496</v>
      </c>
      <c r="H252" s="4" t="str">
        <f>HYPERLINK("http://141.218.60.56/~jnz1568/getInfo.php?workbook=02_02.xlsx&amp;sheet=U0&amp;row=252&amp;col=8&amp;number=4.301&amp;sourceID=29","4.301")</f>
        <v>4.301</v>
      </c>
      <c r="I252" s="4" t="str">
        <f>HYPERLINK("http://141.218.60.56/~jnz1568/getInfo.php?workbook=02_02.xlsx&amp;sheet=U0&amp;row=252&amp;col=9&amp;number=3.342&amp;sourceID=1","3.342")</f>
        <v>3.342</v>
      </c>
    </row>
    <row r="253" spans="1:9">
      <c r="A253" s="3"/>
      <c r="B253" s="3"/>
      <c r="C253" s="3"/>
      <c r="D253" s="3"/>
      <c r="E253" s="3">
        <v>6</v>
      </c>
      <c r="F253" s="4" t="str">
        <f>HYPERLINK("http://141.218.60.56/~jnz1568/getInfo.php?workbook=02_02.xlsx&amp;sheet=U0&amp;row=253&amp;col=6&amp;number=5&amp;sourceID=28","5")</f>
        <v>5</v>
      </c>
      <c r="G253" s="4" t="str">
        <f>HYPERLINK("http://141.218.60.56/~jnz1568/getInfo.php?workbook=02_02.xlsx&amp;sheet=U0&amp;row=253&amp;col=7&amp;number=7.599&amp;sourceID=1","7.599")</f>
        <v>7.599</v>
      </c>
      <c r="H253" s="4" t="str">
        <f>HYPERLINK("http://141.218.60.56/~jnz1568/getInfo.php?workbook=02_02.xlsx&amp;sheet=U0&amp;row=253&amp;col=8&amp;number=4.398&amp;sourceID=29","4.398")</f>
        <v>4.398</v>
      </c>
      <c r="I253" s="4" t="str">
        <f>HYPERLINK("http://141.218.60.56/~jnz1568/getInfo.php?workbook=02_02.xlsx&amp;sheet=U0&amp;row=253&amp;col=9&amp;number=3.894&amp;sourceID=1","3.894")</f>
        <v>3.894</v>
      </c>
    </row>
    <row r="254" spans="1:9">
      <c r="A254" s="3"/>
      <c r="B254" s="3"/>
      <c r="C254" s="3"/>
      <c r="D254" s="3"/>
      <c r="E254" s="3">
        <v>7</v>
      </c>
      <c r="F254" s="4" t="str">
        <f>HYPERLINK("http://141.218.60.56/~jnz1568/getInfo.php?workbook=02_02.xlsx&amp;sheet=U0&amp;row=254&amp;col=6&amp;number=5.25&amp;sourceID=28","5.25")</f>
        <v>5.25</v>
      </c>
      <c r="G254" s="4" t="str">
        <f>HYPERLINK("http://141.218.60.56/~jnz1568/getInfo.php?workbook=02_02.xlsx&amp;sheet=U0&amp;row=254&amp;col=7&amp;number=9.99&amp;sourceID=1","9.99")</f>
        <v>9.99</v>
      </c>
      <c r="H254" s="4" t="str">
        <f>HYPERLINK("http://141.218.60.56/~jnz1568/getInfo.php?workbook=02_02.xlsx&amp;sheet=U0&amp;row=254&amp;col=8&amp;number=4.477&amp;sourceID=29","4.477")</f>
        <v>4.477</v>
      </c>
      <c r="I254" s="4" t="str">
        <f>HYPERLINK("http://141.218.60.56/~jnz1568/getInfo.php?workbook=02_02.xlsx&amp;sheet=U0&amp;row=254&amp;col=9&amp;number=4.352&amp;sourceID=1","4.352")</f>
        <v>4.352</v>
      </c>
    </row>
    <row r="255" spans="1:9">
      <c r="A255" s="3"/>
      <c r="B255" s="3"/>
      <c r="C255" s="3"/>
      <c r="D255" s="3"/>
      <c r="E255" s="3">
        <v>8</v>
      </c>
      <c r="F255" s="4" t="str">
        <f>HYPERLINK("http://141.218.60.56/~jnz1568/getInfo.php?workbook=02_02.xlsx&amp;sheet=U0&amp;row=255&amp;col=6&amp;number=5.5&amp;sourceID=28","5.5")</f>
        <v>5.5</v>
      </c>
      <c r="G255" s="4" t="str">
        <f>HYPERLINK("http://141.218.60.56/~jnz1568/getInfo.php?workbook=02_02.xlsx&amp;sheet=U0&amp;row=255&amp;col=7&amp;number=12.26&amp;sourceID=1","12.26")</f>
        <v>12.26</v>
      </c>
      <c r="H255" s="4" t="str">
        <f>HYPERLINK("http://141.218.60.56/~jnz1568/getInfo.php?workbook=02_02.xlsx&amp;sheet=U0&amp;row=255&amp;col=8&amp;number=&amp;sourceID=29","")</f>
        <v/>
      </c>
      <c r="I255" s="4" t="str">
        <f>HYPERLINK("http://141.218.60.56/~jnz1568/getInfo.php?workbook=02_02.xlsx&amp;sheet=U0&amp;row=255&amp;col=9&amp;number=&amp;sourceID=1","")</f>
        <v/>
      </c>
    </row>
    <row r="256" spans="1:9">
      <c r="A256" s="3"/>
      <c r="B256" s="3"/>
      <c r="C256" s="3"/>
      <c r="D256" s="3"/>
      <c r="E256" s="3">
        <v>9</v>
      </c>
      <c r="F256" s="4" t="str">
        <f>HYPERLINK("http://141.218.60.56/~jnz1568/getInfo.php?workbook=02_02.xlsx&amp;sheet=U0&amp;row=256&amp;col=6&amp;number=5.75&amp;sourceID=28","5.75")</f>
        <v>5.75</v>
      </c>
      <c r="G256" s="4" t="str">
        <f>HYPERLINK("http://141.218.60.56/~jnz1568/getInfo.php?workbook=02_02.xlsx&amp;sheet=U0&amp;row=256&amp;col=7&amp;number=14.08&amp;sourceID=1","14.08")</f>
        <v>14.08</v>
      </c>
      <c r="H256" s="4" t="str">
        <f>HYPERLINK("http://141.218.60.56/~jnz1568/getInfo.php?workbook=02_02.xlsx&amp;sheet=U0&amp;row=256&amp;col=8&amp;number=&amp;sourceID=29","")</f>
        <v/>
      </c>
      <c r="I256" s="4" t="str">
        <f>HYPERLINK("http://141.218.60.56/~jnz1568/getInfo.php?workbook=02_02.xlsx&amp;sheet=U0&amp;row=256&amp;col=9&amp;number=&amp;sourceID=1","")</f>
        <v/>
      </c>
    </row>
    <row r="257" spans="1:9">
      <c r="A257" s="3">
        <v>2</v>
      </c>
      <c r="B257" s="3">
        <v>2</v>
      </c>
      <c r="C257" s="3">
        <v>9</v>
      </c>
      <c r="D257" s="3">
        <v>3</v>
      </c>
      <c r="E257" s="3">
        <v>1</v>
      </c>
      <c r="F257" s="4" t="str">
        <f>HYPERLINK("http://141.218.60.56/~jnz1568/getInfo.php?workbook=02_02.xlsx&amp;sheet=U0&amp;row=257&amp;col=6&amp;number=3.75&amp;sourceID=28","3.75")</f>
        <v>3.75</v>
      </c>
      <c r="G257" s="4" t="str">
        <f>HYPERLINK("http://141.218.60.56/~jnz1568/getInfo.php?workbook=02_02.xlsx&amp;sheet=U0&amp;row=257&amp;col=7&amp;number=0.2596&amp;sourceID=1","0.2596")</f>
        <v>0.2596</v>
      </c>
      <c r="H257" s="4" t="str">
        <f>HYPERLINK("http://141.218.60.56/~jnz1568/getInfo.php?workbook=02_02.xlsx&amp;sheet=U0&amp;row=257&amp;col=8&amp;number=3.301&amp;sourceID=29","3.301")</f>
        <v>3.301</v>
      </c>
      <c r="I257" s="4" t="str">
        <f>HYPERLINK("http://141.218.60.56/~jnz1568/getInfo.php?workbook=02_02.xlsx&amp;sheet=U0&amp;row=257&amp;col=9&amp;number=0.1697&amp;sourceID=1","0.1697")</f>
        <v>0.1697</v>
      </c>
    </row>
    <row r="258" spans="1:9">
      <c r="A258" s="3"/>
      <c r="B258" s="3"/>
      <c r="C258" s="3"/>
      <c r="D258" s="3"/>
      <c r="E258" s="3">
        <v>2</v>
      </c>
      <c r="F258" s="4" t="str">
        <f>HYPERLINK("http://141.218.60.56/~jnz1568/getInfo.php?workbook=02_02.xlsx&amp;sheet=U0&amp;row=258&amp;col=6&amp;number=4&amp;sourceID=28","4")</f>
        <v>4</v>
      </c>
      <c r="G258" s="4" t="str">
        <f>HYPERLINK("http://141.218.60.56/~jnz1568/getInfo.php?workbook=02_02.xlsx&amp;sheet=U0&amp;row=258&amp;col=7&amp;number=0.305&amp;sourceID=1","0.305")</f>
        <v>0.305</v>
      </c>
      <c r="H258" s="4" t="str">
        <f>HYPERLINK("http://141.218.60.56/~jnz1568/getInfo.php?workbook=02_02.xlsx&amp;sheet=U0&amp;row=258&amp;col=8&amp;number=3.699&amp;sourceID=29","3.699")</f>
        <v>3.699</v>
      </c>
      <c r="I258" s="4" t="str">
        <f>HYPERLINK("http://141.218.60.56/~jnz1568/getInfo.php?workbook=02_02.xlsx&amp;sheet=U0&amp;row=258&amp;col=9&amp;number=0.2678&amp;sourceID=1","0.2678")</f>
        <v>0.2678</v>
      </c>
    </row>
    <row r="259" spans="1:9">
      <c r="A259" s="3"/>
      <c r="B259" s="3"/>
      <c r="C259" s="3"/>
      <c r="D259" s="3"/>
      <c r="E259" s="3">
        <v>3</v>
      </c>
      <c r="F259" s="4" t="str">
        <f>HYPERLINK("http://141.218.60.56/~jnz1568/getInfo.php?workbook=02_02.xlsx&amp;sheet=U0&amp;row=259&amp;col=6&amp;number=4.25&amp;sourceID=28","4.25")</f>
        <v>4.25</v>
      </c>
      <c r="G259" s="4" t="str">
        <f>HYPERLINK("http://141.218.60.56/~jnz1568/getInfo.php?workbook=02_02.xlsx&amp;sheet=U0&amp;row=259&amp;col=7&amp;number=0.3263&amp;sourceID=1","0.3263")</f>
        <v>0.3263</v>
      </c>
      <c r="H259" s="4" t="str">
        <f>HYPERLINK("http://141.218.60.56/~jnz1568/getInfo.php?workbook=02_02.xlsx&amp;sheet=U0&amp;row=259&amp;col=8&amp;number=4&amp;sourceID=29","4")</f>
        <v>4</v>
      </c>
      <c r="I259" s="4" t="str">
        <f>HYPERLINK("http://141.218.60.56/~jnz1568/getInfo.php?workbook=02_02.xlsx&amp;sheet=U0&amp;row=259&amp;col=9&amp;number=0.3328&amp;sourceID=1","0.3328")</f>
        <v>0.3328</v>
      </c>
    </row>
    <row r="260" spans="1:9">
      <c r="A260" s="3"/>
      <c r="B260" s="3"/>
      <c r="C260" s="3"/>
      <c r="D260" s="3"/>
      <c r="E260" s="3">
        <v>4</v>
      </c>
      <c r="F260" s="4" t="str">
        <f>HYPERLINK("http://141.218.60.56/~jnz1568/getInfo.php?workbook=02_02.xlsx&amp;sheet=U0&amp;row=260&amp;col=6&amp;number=4.5&amp;sourceID=28","4.5")</f>
        <v>4.5</v>
      </c>
      <c r="G260" s="4" t="str">
        <f>HYPERLINK("http://141.218.60.56/~jnz1568/getInfo.php?workbook=02_02.xlsx&amp;sheet=U0&amp;row=260&amp;col=7&amp;number=0.3166&amp;sourceID=1","0.3166")</f>
        <v>0.3166</v>
      </c>
      <c r="H260" s="4" t="str">
        <f>HYPERLINK("http://141.218.60.56/~jnz1568/getInfo.php?workbook=02_02.xlsx&amp;sheet=U0&amp;row=260&amp;col=8&amp;number=4.176&amp;sourceID=29","4.176")</f>
        <v>4.176</v>
      </c>
      <c r="I260" s="4" t="str">
        <f>HYPERLINK("http://141.218.60.56/~jnz1568/getInfo.php?workbook=02_02.xlsx&amp;sheet=U0&amp;row=260&amp;col=9&amp;number=0.3719&amp;sourceID=1","0.3719")</f>
        <v>0.3719</v>
      </c>
    </row>
    <row r="261" spans="1:9">
      <c r="A261" s="3"/>
      <c r="B261" s="3"/>
      <c r="C261" s="3"/>
      <c r="D261" s="3"/>
      <c r="E261" s="3">
        <v>5</v>
      </c>
      <c r="F261" s="4" t="str">
        <f>HYPERLINK("http://141.218.60.56/~jnz1568/getInfo.php?workbook=02_02.xlsx&amp;sheet=U0&amp;row=261&amp;col=6&amp;number=4.75&amp;sourceID=28","4.75")</f>
        <v>4.75</v>
      </c>
      <c r="G261" s="4" t="str">
        <f>HYPERLINK("http://141.218.60.56/~jnz1568/getInfo.php?workbook=02_02.xlsx&amp;sheet=U0&amp;row=261&amp;col=7&amp;number=0.2824&amp;sourceID=1","0.2824")</f>
        <v>0.2824</v>
      </c>
      <c r="H261" s="4" t="str">
        <f>HYPERLINK("http://141.218.60.56/~jnz1568/getInfo.php?workbook=02_02.xlsx&amp;sheet=U0&amp;row=261&amp;col=8&amp;number=4.301&amp;sourceID=29","4.301")</f>
        <v>4.301</v>
      </c>
      <c r="I261" s="4" t="str">
        <f>HYPERLINK("http://141.218.60.56/~jnz1568/getInfo.php?workbook=02_02.xlsx&amp;sheet=U0&amp;row=261&amp;col=9&amp;number=0.3986&amp;sourceID=1","0.3986")</f>
        <v>0.3986</v>
      </c>
    </row>
    <row r="262" spans="1:9">
      <c r="A262" s="3"/>
      <c r="B262" s="3"/>
      <c r="C262" s="3"/>
      <c r="D262" s="3"/>
      <c r="E262" s="3">
        <v>6</v>
      </c>
      <c r="F262" s="4" t="str">
        <f>HYPERLINK("http://141.218.60.56/~jnz1568/getInfo.php?workbook=02_02.xlsx&amp;sheet=U0&amp;row=262&amp;col=6&amp;number=5&amp;sourceID=28","5")</f>
        <v>5</v>
      </c>
      <c r="G262" s="4" t="str">
        <f>HYPERLINK("http://141.218.60.56/~jnz1568/getInfo.php?workbook=02_02.xlsx&amp;sheet=U0&amp;row=262&amp;col=7&amp;number=0.2332&amp;sourceID=1","0.2332")</f>
        <v>0.2332</v>
      </c>
      <c r="H262" s="4" t="str">
        <f>HYPERLINK("http://141.218.60.56/~jnz1568/getInfo.php?workbook=02_02.xlsx&amp;sheet=U0&amp;row=262&amp;col=8&amp;number=4.398&amp;sourceID=29","4.398")</f>
        <v>4.398</v>
      </c>
      <c r="I262" s="4" t="str">
        <f>HYPERLINK("http://141.218.60.56/~jnz1568/getInfo.php?workbook=02_02.xlsx&amp;sheet=U0&amp;row=262&amp;col=9&amp;number=0.4154&amp;sourceID=1","0.4154")</f>
        <v>0.4154</v>
      </c>
    </row>
    <row r="263" spans="1:9">
      <c r="A263" s="3"/>
      <c r="B263" s="3"/>
      <c r="C263" s="3"/>
      <c r="D263" s="3"/>
      <c r="E263" s="3">
        <v>7</v>
      </c>
      <c r="F263" s="4" t="str">
        <f>HYPERLINK("http://141.218.60.56/~jnz1568/getInfo.php?workbook=02_02.xlsx&amp;sheet=U0&amp;row=263&amp;col=6&amp;number=5.25&amp;sourceID=28","5.25")</f>
        <v>5.25</v>
      </c>
      <c r="G263" s="4" t="str">
        <f>HYPERLINK("http://141.218.60.56/~jnz1568/getInfo.php?workbook=02_02.xlsx&amp;sheet=U0&amp;row=263&amp;col=7&amp;number=0.1782&amp;sourceID=1","0.1782")</f>
        <v>0.1782</v>
      </c>
      <c r="H263" s="4" t="str">
        <f>HYPERLINK("http://141.218.60.56/~jnz1568/getInfo.php?workbook=02_02.xlsx&amp;sheet=U0&amp;row=263&amp;col=8&amp;number=4.477&amp;sourceID=29","4.477")</f>
        <v>4.477</v>
      </c>
      <c r="I263" s="4" t="str">
        <f>HYPERLINK("http://141.218.60.56/~jnz1568/getInfo.php?workbook=02_02.xlsx&amp;sheet=U0&amp;row=263&amp;col=9&amp;number=0.4243&amp;sourceID=1","0.4243")</f>
        <v>0.4243</v>
      </c>
    </row>
    <row r="264" spans="1:9">
      <c r="A264" s="3"/>
      <c r="B264" s="3"/>
      <c r="C264" s="3"/>
      <c r="D264" s="3"/>
      <c r="E264" s="3">
        <v>8</v>
      </c>
      <c r="F264" s="4" t="str">
        <f>HYPERLINK("http://141.218.60.56/~jnz1568/getInfo.php?workbook=02_02.xlsx&amp;sheet=U0&amp;row=264&amp;col=6&amp;number=5.5&amp;sourceID=28","5.5")</f>
        <v>5.5</v>
      </c>
      <c r="G264" s="4" t="str">
        <f>HYPERLINK("http://141.218.60.56/~jnz1568/getInfo.php?workbook=02_02.xlsx&amp;sheet=U0&amp;row=264&amp;col=7&amp;number=0.1265&amp;sourceID=1","0.1265")</f>
        <v>0.1265</v>
      </c>
      <c r="H264" s="4" t="str">
        <f>HYPERLINK("http://141.218.60.56/~jnz1568/getInfo.php?workbook=02_02.xlsx&amp;sheet=U0&amp;row=264&amp;col=8&amp;number=&amp;sourceID=29","")</f>
        <v/>
      </c>
      <c r="I264" s="4" t="str">
        <f>HYPERLINK("http://141.218.60.56/~jnz1568/getInfo.php?workbook=02_02.xlsx&amp;sheet=U0&amp;row=264&amp;col=9&amp;number=&amp;sourceID=1","")</f>
        <v/>
      </c>
    </row>
    <row r="265" spans="1:9">
      <c r="A265" s="3"/>
      <c r="B265" s="3"/>
      <c r="C265" s="3"/>
      <c r="D265" s="3"/>
      <c r="E265" s="3">
        <v>9</v>
      </c>
      <c r="F265" s="4" t="str">
        <f>HYPERLINK("http://141.218.60.56/~jnz1568/getInfo.php?workbook=02_02.xlsx&amp;sheet=U0&amp;row=265&amp;col=6&amp;number=5.75&amp;sourceID=28","5.75")</f>
        <v>5.75</v>
      </c>
      <c r="G265" s="4" t="str">
        <f>HYPERLINK("http://141.218.60.56/~jnz1568/getInfo.php?workbook=02_02.xlsx&amp;sheet=U0&amp;row=265&amp;col=7&amp;number=0.08433&amp;sourceID=1","0.08433")</f>
        <v>0.08433</v>
      </c>
      <c r="H265" s="4" t="str">
        <f>HYPERLINK("http://141.218.60.56/~jnz1568/getInfo.php?workbook=02_02.xlsx&amp;sheet=U0&amp;row=265&amp;col=8&amp;number=&amp;sourceID=29","")</f>
        <v/>
      </c>
      <c r="I265" s="4" t="str">
        <f>HYPERLINK("http://141.218.60.56/~jnz1568/getInfo.php?workbook=02_02.xlsx&amp;sheet=U0&amp;row=265&amp;col=9&amp;number=&amp;sourceID=1","")</f>
        <v/>
      </c>
    </row>
    <row r="266" spans="1:9">
      <c r="A266" s="3">
        <v>2</v>
      </c>
      <c r="B266" s="3">
        <v>2</v>
      </c>
      <c r="C266" s="3">
        <v>9</v>
      </c>
      <c r="D266" s="3">
        <v>4</v>
      </c>
      <c r="E266" s="3">
        <v>1</v>
      </c>
      <c r="F266" s="4" t="str">
        <f>HYPERLINK("http://141.218.60.56/~jnz1568/getInfo.php?workbook=02_02.xlsx&amp;sheet=U0&amp;row=266&amp;col=6&amp;number=3.75&amp;sourceID=28","3.75")</f>
        <v>3.75</v>
      </c>
      <c r="G266" s="4" t="str">
        <f>HYPERLINK("http://141.218.60.56/~jnz1568/getInfo.php?workbook=02_02.xlsx&amp;sheet=U0&amp;row=266&amp;col=7&amp;number=10.03&amp;sourceID=1","10.03")</f>
        <v>10.03</v>
      </c>
      <c r="H266" s="4" t="str">
        <f>HYPERLINK("http://141.218.60.56/~jnz1568/getInfo.php?workbook=02_02.xlsx&amp;sheet=U0&amp;row=266&amp;col=8&amp;number=3.301&amp;sourceID=29","3.301")</f>
        <v>3.301</v>
      </c>
      <c r="I266" s="4" t="str">
        <f>HYPERLINK("http://141.218.60.56/~jnz1568/getInfo.php?workbook=02_02.xlsx&amp;sheet=U0&amp;row=266&amp;col=9&amp;number=2.288&amp;sourceID=1","2.288")</f>
        <v>2.288</v>
      </c>
    </row>
    <row r="267" spans="1:9">
      <c r="A267" s="3"/>
      <c r="B267" s="3"/>
      <c r="C267" s="3"/>
      <c r="D267" s="3"/>
      <c r="E267" s="3">
        <v>2</v>
      </c>
      <c r="F267" s="4" t="str">
        <f>HYPERLINK("http://141.218.60.56/~jnz1568/getInfo.php?workbook=02_02.xlsx&amp;sheet=U0&amp;row=267&amp;col=6&amp;number=4&amp;sourceID=28","4")</f>
        <v>4</v>
      </c>
      <c r="G267" s="4" t="str">
        <f>HYPERLINK("http://141.218.60.56/~jnz1568/getInfo.php?workbook=02_02.xlsx&amp;sheet=U0&amp;row=267&amp;col=7&amp;number=14.38&amp;sourceID=1","14.38")</f>
        <v>14.38</v>
      </c>
      <c r="H267" s="4" t="str">
        <f>HYPERLINK("http://141.218.60.56/~jnz1568/getInfo.php?workbook=02_02.xlsx&amp;sheet=U0&amp;row=267&amp;col=8&amp;number=3.699&amp;sourceID=29","3.699")</f>
        <v>3.699</v>
      </c>
      <c r="I267" s="4" t="str">
        <f>HYPERLINK("http://141.218.60.56/~jnz1568/getInfo.php?workbook=02_02.xlsx&amp;sheet=U0&amp;row=267&amp;col=9&amp;number=4.508&amp;sourceID=1","4.508")</f>
        <v>4.508</v>
      </c>
    </row>
    <row r="268" spans="1:9">
      <c r="A268" s="3"/>
      <c r="B268" s="3"/>
      <c r="C268" s="3"/>
      <c r="D268" s="3"/>
      <c r="E268" s="3">
        <v>3</v>
      </c>
      <c r="F268" s="4" t="str">
        <f>HYPERLINK("http://141.218.60.56/~jnz1568/getInfo.php?workbook=02_02.xlsx&amp;sheet=U0&amp;row=268&amp;col=6&amp;number=4.25&amp;sourceID=28","4.25")</f>
        <v>4.25</v>
      </c>
      <c r="G268" s="4" t="str">
        <f>HYPERLINK("http://141.218.60.56/~jnz1568/getInfo.php?workbook=02_02.xlsx&amp;sheet=U0&amp;row=268&amp;col=7&amp;number=21.73&amp;sourceID=1","21.73")</f>
        <v>21.73</v>
      </c>
      <c r="H268" s="4" t="str">
        <f>HYPERLINK("http://141.218.60.56/~jnz1568/getInfo.php?workbook=02_02.xlsx&amp;sheet=U0&amp;row=268&amp;col=8&amp;number=4&amp;sourceID=29","4")</f>
        <v>4</v>
      </c>
      <c r="I268" s="4" t="str">
        <f>HYPERLINK("http://141.218.60.56/~jnz1568/getInfo.php?workbook=02_02.xlsx&amp;sheet=U0&amp;row=268&amp;col=9&amp;number=7.73&amp;sourceID=1","7.73")</f>
        <v>7.73</v>
      </c>
    </row>
    <row r="269" spans="1:9">
      <c r="A269" s="3"/>
      <c r="B269" s="3"/>
      <c r="C269" s="3"/>
      <c r="D269" s="3"/>
      <c r="E269" s="3">
        <v>4</v>
      </c>
      <c r="F269" s="4" t="str">
        <f>HYPERLINK("http://141.218.60.56/~jnz1568/getInfo.php?workbook=02_02.xlsx&amp;sheet=U0&amp;row=269&amp;col=6&amp;number=4.5&amp;sourceID=28","4.5")</f>
        <v>4.5</v>
      </c>
      <c r="G269" s="4" t="str">
        <f>HYPERLINK("http://141.218.60.56/~jnz1568/getInfo.php?workbook=02_02.xlsx&amp;sheet=U0&amp;row=269&amp;col=7&amp;number=34.89&amp;sourceID=1","34.89")</f>
        <v>34.89</v>
      </c>
      <c r="H269" s="4" t="str">
        <f>HYPERLINK("http://141.218.60.56/~jnz1568/getInfo.php?workbook=02_02.xlsx&amp;sheet=U0&amp;row=269&amp;col=8&amp;number=4.176&amp;sourceID=29","4.176")</f>
        <v>4.176</v>
      </c>
      <c r="I269" s="4" t="str">
        <f>HYPERLINK("http://141.218.60.56/~jnz1568/getInfo.php?workbook=02_02.xlsx&amp;sheet=U0&amp;row=269&amp;col=9&amp;number=11.28&amp;sourceID=1","11.28")</f>
        <v>11.28</v>
      </c>
    </row>
    <row r="270" spans="1:9">
      <c r="A270" s="3"/>
      <c r="B270" s="3"/>
      <c r="C270" s="3"/>
      <c r="D270" s="3"/>
      <c r="E270" s="3">
        <v>5</v>
      </c>
      <c r="F270" s="4" t="str">
        <f>HYPERLINK("http://141.218.60.56/~jnz1568/getInfo.php?workbook=02_02.xlsx&amp;sheet=U0&amp;row=270&amp;col=6&amp;number=4.75&amp;sourceID=28","4.75")</f>
        <v>4.75</v>
      </c>
      <c r="G270" s="4" t="str">
        <f>HYPERLINK("http://141.218.60.56/~jnz1568/getInfo.php?workbook=02_02.xlsx&amp;sheet=U0&amp;row=270&amp;col=7&amp;number=58.78&amp;sourceID=1","58.78")</f>
        <v>58.78</v>
      </c>
      <c r="H270" s="4" t="str">
        <f>HYPERLINK("http://141.218.60.56/~jnz1568/getInfo.php?workbook=02_02.xlsx&amp;sheet=U0&amp;row=270&amp;col=8&amp;number=4.301&amp;sourceID=29","4.301")</f>
        <v>4.301</v>
      </c>
      <c r="I270" s="4" t="str">
        <f>HYPERLINK("http://141.218.60.56/~jnz1568/getInfo.php?workbook=02_02.xlsx&amp;sheet=U0&amp;row=270&amp;col=9&amp;number=15&amp;sourceID=1","15")</f>
        <v>15</v>
      </c>
    </row>
    <row r="271" spans="1:9">
      <c r="A271" s="3"/>
      <c r="B271" s="3"/>
      <c r="C271" s="3"/>
      <c r="D271" s="3"/>
      <c r="E271" s="3">
        <v>6</v>
      </c>
      <c r="F271" s="4" t="str">
        <f>HYPERLINK("http://141.218.60.56/~jnz1568/getInfo.php?workbook=02_02.xlsx&amp;sheet=U0&amp;row=271&amp;col=6&amp;number=5&amp;sourceID=28","5")</f>
        <v>5</v>
      </c>
      <c r="G271" s="4" t="str">
        <f>HYPERLINK("http://141.218.60.56/~jnz1568/getInfo.php?workbook=02_02.xlsx&amp;sheet=U0&amp;row=271&amp;col=7&amp;number=99.61&amp;sourceID=1","99.61")</f>
        <v>99.61</v>
      </c>
      <c r="H271" s="4" t="str">
        <f>HYPERLINK("http://141.218.60.56/~jnz1568/getInfo.php?workbook=02_02.xlsx&amp;sheet=U0&amp;row=271&amp;col=8&amp;number=4.398&amp;sourceID=29","4.398")</f>
        <v>4.398</v>
      </c>
      <c r="I271" s="4" t="str">
        <f>HYPERLINK("http://141.218.60.56/~jnz1568/getInfo.php?workbook=02_02.xlsx&amp;sheet=U0&amp;row=271&amp;col=9&amp;number=18.52&amp;sourceID=1","18.52")</f>
        <v>18.52</v>
      </c>
    </row>
    <row r="272" spans="1:9">
      <c r="A272" s="3"/>
      <c r="B272" s="3"/>
      <c r="C272" s="3"/>
      <c r="D272" s="3"/>
      <c r="E272" s="3">
        <v>7</v>
      </c>
      <c r="F272" s="4" t="str">
        <f>HYPERLINK("http://141.218.60.56/~jnz1568/getInfo.php?workbook=02_02.xlsx&amp;sheet=U0&amp;row=272&amp;col=6&amp;number=5.25&amp;sourceID=28","5.25")</f>
        <v>5.25</v>
      </c>
      <c r="G272" s="4" t="str">
        <f>HYPERLINK("http://141.218.60.56/~jnz1568/getInfo.php?workbook=02_02.xlsx&amp;sheet=U0&amp;row=272&amp;col=7&amp;number=161&amp;sourceID=1","161")</f>
        <v>161</v>
      </c>
      <c r="H272" s="4" t="str">
        <f>HYPERLINK("http://141.218.60.56/~jnz1568/getInfo.php?workbook=02_02.xlsx&amp;sheet=U0&amp;row=272&amp;col=8&amp;number=4.477&amp;sourceID=29","4.477")</f>
        <v>4.477</v>
      </c>
      <c r="I272" s="4" t="str">
        <f>HYPERLINK("http://141.218.60.56/~jnz1568/getInfo.php?workbook=02_02.xlsx&amp;sheet=U0&amp;row=272&amp;col=9&amp;number=21.59&amp;sourceID=1","21.59")</f>
        <v>21.59</v>
      </c>
    </row>
    <row r="273" spans="1:9">
      <c r="A273" s="3"/>
      <c r="B273" s="3"/>
      <c r="C273" s="3"/>
      <c r="D273" s="3"/>
      <c r="E273" s="3">
        <v>8</v>
      </c>
      <c r="F273" s="4" t="str">
        <f>HYPERLINK("http://141.218.60.56/~jnz1568/getInfo.php?workbook=02_02.xlsx&amp;sheet=U0&amp;row=273&amp;col=6&amp;number=5.5&amp;sourceID=28","5.5")</f>
        <v>5.5</v>
      </c>
      <c r="G273" s="4" t="str">
        <f>HYPERLINK("http://141.218.60.56/~jnz1568/getInfo.php?workbook=02_02.xlsx&amp;sheet=U0&amp;row=273&amp;col=7&amp;number=240.4&amp;sourceID=1","240.4")</f>
        <v>240.4</v>
      </c>
      <c r="H273" s="4" t="str">
        <f>HYPERLINK("http://141.218.60.56/~jnz1568/getInfo.php?workbook=02_02.xlsx&amp;sheet=U0&amp;row=273&amp;col=8&amp;number=&amp;sourceID=29","")</f>
        <v/>
      </c>
      <c r="I273" s="4" t="str">
        <f>HYPERLINK("http://141.218.60.56/~jnz1568/getInfo.php?workbook=02_02.xlsx&amp;sheet=U0&amp;row=273&amp;col=9&amp;number=&amp;sourceID=1","")</f>
        <v/>
      </c>
    </row>
    <row r="274" spans="1:9">
      <c r="A274" s="3"/>
      <c r="B274" s="3"/>
      <c r="C274" s="3"/>
      <c r="D274" s="3"/>
      <c r="E274" s="3">
        <v>9</v>
      </c>
      <c r="F274" s="4" t="str">
        <f>HYPERLINK("http://141.218.60.56/~jnz1568/getInfo.php?workbook=02_02.xlsx&amp;sheet=U0&amp;row=274&amp;col=6&amp;number=5.75&amp;sourceID=28","5.75")</f>
        <v>5.75</v>
      </c>
      <c r="G274" s="4" t="str">
        <f>HYPERLINK("http://141.218.60.56/~jnz1568/getInfo.php?workbook=02_02.xlsx&amp;sheet=U0&amp;row=274&amp;col=7&amp;number=330.9&amp;sourceID=1","330.9")</f>
        <v>330.9</v>
      </c>
      <c r="H274" s="4" t="str">
        <f>HYPERLINK("http://141.218.60.56/~jnz1568/getInfo.php?workbook=02_02.xlsx&amp;sheet=U0&amp;row=274&amp;col=8&amp;number=&amp;sourceID=29","")</f>
        <v/>
      </c>
      <c r="I274" s="4" t="str">
        <f>HYPERLINK("http://141.218.60.56/~jnz1568/getInfo.php?workbook=02_02.xlsx&amp;sheet=U0&amp;row=274&amp;col=9&amp;number=&amp;sourceID=1","")</f>
        <v/>
      </c>
    </row>
    <row r="275" spans="1:9">
      <c r="A275" s="3">
        <v>2</v>
      </c>
      <c r="B275" s="3">
        <v>2</v>
      </c>
      <c r="C275" s="3">
        <v>9</v>
      </c>
      <c r="D275" s="3">
        <v>5</v>
      </c>
      <c r="E275" s="3">
        <v>1</v>
      </c>
      <c r="F275" s="4" t="str">
        <f>HYPERLINK("http://141.218.60.56/~jnz1568/getInfo.php?workbook=02_02.xlsx&amp;sheet=U0&amp;row=275&amp;col=6&amp;number=&amp;sourceID=28","")</f>
        <v/>
      </c>
      <c r="G275" s="4" t="str">
        <f>HYPERLINK("http://141.218.60.56/~jnz1568/getInfo.php?workbook=02_02.xlsx&amp;sheet=U0&amp;row=275&amp;col=7&amp;number=&amp;sourceID=1","")</f>
        <v/>
      </c>
      <c r="H275" s="4" t="str">
        <f>HYPERLINK("http://141.218.60.56/~jnz1568/getInfo.php?workbook=02_02.xlsx&amp;sheet=U0&amp;row=275&amp;col=8&amp;number=3.301&amp;sourceID=29","3.301")</f>
        <v>3.301</v>
      </c>
      <c r="I275" s="4" t="str">
        <f>HYPERLINK("http://141.218.60.56/~jnz1568/getInfo.php?workbook=02_02.xlsx&amp;sheet=U0&amp;row=275&amp;col=9&amp;number=0.422&amp;sourceID=1","0.422")</f>
        <v>0.422</v>
      </c>
    </row>
    <row r="276" spans="1:9">
      <c r="A276" s="3"/>
      <c r="B276" s="3"/>
      <c r="C276" s="3"/>
      <c r="D276" s="3"/>
      <c r="E276" s="3">
        <v>2</v>
      </c>
      <c r="F276" s="4" t="str">
        <f>HYPERLINK("http://141.218.60.56/~jnz1568/getInfo.php?workbook=02_02.xlsx&amp;sheet=U0&amp;row=276&amp;col=6&amp;number=&amp;sourceID=28","")</f>
        <v/>
      </c>
      <c r="G276" s="4" t="str">
        <f>HYPERLINK("http://141.218.60.56/~jnz1568/getInfo.php?workbook=02_02.xlsx&amp;sheet=U0&amp;row=276&amp;col=7&amp;number=&amp;sourceID=1","")</f>
        <v/>
      </c>
      <c r="H276" s="4" t="str">
        <f>HYPERLINK("http://141.218.60.56/~jnz1568/getInfo.php?workbook=02_02.xlsx&amp;sheet=U0&amp;row=276&amp;col=8&amp;number=3.699&amp;sourceID=29","3.699")</f>
        <v>3.699</v>
      </c>
      <c r="I276" s="4" t="str">
        <f>HYPERLINK("http://141.218.60.56/~jnz1568/getInfo.php?workbook=02_02.xlsx&amp;sheet=U0&amp;row=276&amp;col=9&amp;number=0.6496&amp;sourceID=1","0.6496")</f>
        <v>0.6496</v>
      </c>
    </row>
    <row r="277" spans="1:9">
      <c r="A277" s="3"/>
      <c r="B277" s="3"/>
      <c r="C277" s="3"/>
      <c r="D277" s="3"/>
      <c r="E277" s="3">
        <v>3</v>
      </c>
      <c r="F277" s="4" t="str">
        <f>HYPERLINK("http://141.218.60.56/~jnz1568/getInfo.php?workbook=02_02.xlsx&amp;sheet=U0&amp;row=277&amp;col=6&amp;number=&amp;sourceID=28","")</f>
        <v/>
      </c>
      <c r="G277" s="4" t="str">
        <f>HYPERLINK("http://141.218.60.56/~jnz1568/getInfo.php?workbook=02_02.xlsx&amp;sheet=U0&amp;row=277&amp;col=7&amp;number=&amp;sourceID=1","")</f>
        <v/>
      </c>
      <c r="H277" s="4" t="str">
        <f>HYPERLINK("http://141.218.60.56/~jnz1568/getInfo.php?workbook=02_02.xlsx&amp;sheet=U0&amp;row=277&amp;col=8&amp;number=4&amp;sourceID=29","4")</f>
        <v>4</v>
      </c>
      <c r="I277" s="4" t="str">
        <f>HYPERLINK("http://141.218.60.56/~jnz1568/getInfo.php?workbook=02_02.xlsx&amp;sheet=U0&amp;row=277&amp;col=9&amp;number=0.8191&amp;sourceID=1","0.8191")</f>
        <v>0.8191</v>
      </c>
    </row>
    <row r="278" spans="1:9">
      <c r="A278" s="3"/>
      <c r="B278" s="3"/>
      <c r="C278" s="3"/>
      <c r="D278" s="3"/>
      <c r="E278" s="3">
        <v>4</v>
      </c>
      <c r="F278" s="4" t="str">
        <f>HYPERLINK("http://141.218.60.56/~jnz1568/getInfo.php?workbook=02_02.xlsx&amp;sheet=U0&amp;row=278&amp;col=6&amp;number=&amp;sourceID=28","")</f>
        <v/>
      </c>
      <c r="G278" s="4" t="str">
        <f>HYPERLINK("http://141.218.60.56/~jnz1568/getInfo.php?workbook=02_02.xlsx&amp;sheet=U0&amp;row=278&amp;col=7&amp;number=&amp;sourceID=1","")</f>
        <v/>
      </c>
      <c r="H278" s="4" t="str">
        <f>HYPERLINK("http://141.218.60.56/~jnz1568/getInfo.php?workbook=02_02.xlsx&amp;sheet=U0&amp;row=278&amp;col=8&amp;number=4.176&amp;sourceID=29","4.176")</f>
        <v>4.176</v>
      </c>
      <c r="I278" s="4" t="str">
        <f>HYPERLINK("http://141.218.60.56/~jnz1568/getInfo.php?workbook=02_02.xlsx&amp;sheet=U0&amp;row=278&amp;col=9&amp;number=0.9388&amp;sourceID=1","0.9388")</f>
        <v>0.9388</v>
      </c>
    </row>
    <row r="279" spans="1:9">
      <c r="A279" s="3"/>
      <c r="B279" s="3"/>
      <c r="C279" s="3"/>
      <c r="D279" s="3"/>
      <c r="E279" s="3">
        <v>5</v>
      </c>
      <c r="F279" s="4" t="str">
        <f>HYPERLINK("http://141.218.60.56/~jnz1568/getInfo.php?workbook=02_02.xlsx&amp;sheet=U0&amp;row=279&amp;col=6&amp;number=&amp;sourceID=28","")</f>
        <v/>
      </c>
      <c r="G279" s="4" t="str">
        <f>HYPERLINK("http://141.218.60.56/~jnz1568/getInfo.php?workbook=02_02.xlsx&amp;sheet=U0&amp;row=279&amp;col=7&amp;number=&amp;sourceID=1","")</f>
        <v/>
      </c>
      <c r="H279" s="4" t="str">
        <f>HYPERLINK("http://141.218.60.56/~jnz1568/getInfo.php?workbook=02_02.xlsx&amp;sheet=U0&amp;row=279&amp;col=8&amp;number=4.301&amp;sourceID=29","4.301")</f>
        <v>4.301</v>
      </c>
      <c r="I279" s="4" t="str">
        <f>HYPERLINK("http://141.218.60.56/~jnz1568/getInfo.php?workbook=02_02.xlsx&amp;sheet=U0&amp;row=279&amp;col=9&amp;number=1.026&amp;sourceID=1","1.026")</f>
        <v>1.026</v>
      </c>
    </row>
    <row r="280" spans="1:9">
      <c r="A280" s="3"/>
      <c r="B280" s="3"/>
      <c r="C280" s="3"/>
      <c r="D280" s="3"/>
      <c r="E280" s="3">
        <v>6</v>
      </c>
      <c r="F280" s="4" t="str">
        <f>HYPERLINK("http://141.218.60.56/~jnz1568/getInfo.php?workbook=02_02.xlsx&amp;sheet=U0&amp;row=280&amp;col=6&amp;number=&amp;sourceID=28","")</f>
        <v/>
      </c>
      <c r="G280" s="4" t="str">
        <f>HYPERLINK("http://141.218.60.56/~jnz1568/getInfo.php?workbook=02_02.xlsx&amp;sheet=U0&amp;row=280&amp;col=7&amp;number=&amp;sourceID=1","")</f>
        <v/>
      </c>
      <c r="H280" s="4" t="str">
        <f>HYPERLINK("http://141.218.60.56/~jnz1568/getInfo.php?workbook=02_02.xlsx&amp;sheet=U0&amp;row=280&amp;col=8&amp;number=4.398&amp;sourceID=29","4.398")</f>
        <v>4.398</v>
      </c>
      <c r="I280" s="4" t="str">
        <f>HYPERLINK("http://141.218.60.56/~jnz1568/getInfo.php?workbook=02_02.xlsx&amp;sheet=U0&amp;row=280&amp;col=9&amp;number=1.083&amp;sourceID=1","1.083")</f>
        <v>1.083</v>
      </c>
    </row>
    <row r="281" spans="1:9">
      <c r="A281" s="3"/>
      <c r="B281" s="3"/>
      <c r="C281" s="3"/>
      <c r="D281" s="3"/>
      <c r="E281" s="3">
        <v>7</v>
      </c>
      <c r="F281" s="4" t="str">
        <f>HYPERLINK("http://141.218.60.56/~jnz1568/getInfo.php?workbook=02_02.xlsx&amp;sheet=U0&amp;row=281&amp;col=6&amp;number=&amp;sourceID=28","")</f>
        <v/>
      </c>
      <c r="G281" s="4" t="str">
        <f>HYPERLINK("http://141.218.60.56/~jnz1568/getInfo.php?workbook=02_02.xlsx&amp;sheet=U0&amp;row=281&amp;col=7&amp;number=&amp;sourceID=1","")</f>
        <v/>
      </c>
      <c r="H281" s="4" t="str">
        <f>HYPERLINK("http://141.218.60.56/~jnz1568/getInfo.php?workbook=02_02.xlsx&amp;sheet=U0&amp;row=281&amp;col=8&amp;number=4.477&amp;sourceID=29","4.477")</f>
        <v>4.477</v>
      </c>
      <c r="I281" s="4" t="str">
        <f>HYPERLINK("http://141.218.60.56/~jnz1568/getInfo.php?workbook=02_02.xlsx&amp;sheet=U0&amp;row=281&amp;col=9&amp;number=1.116&amp;sourceID=1","1.116")</f>
        <v>1.116</v>
      </c>
    </row>
    <row r="282" spans="1:9">
      <c r="A282" s="3">
        <v>2</v>
      </c>
      <c r="B282" s="3">
        <v>2</v>
      </c>
      <c r="C282" s="3">
        <v>9</v>
      </c>
      <c r="D282" s="3">
        <v>6</v>
      </c>
      <c r="E282" s="3">
        <v>1</v>
      </c>
      <c r="F282" s="4" t="str">
        <f>HYPERLINK("http://141.218.60.56/~jnz1568/getInfo.php?workbook=02_02.xlsx&amp;sheet=U0&amp;row=282&amp;col=6&amp;number=&amp;sourceID=28","")</f>
        <v/>
      </c>
      <c r="G282" s="4" t="str">
        <f>HYPERLINK("http://141.218.60.56/~jnz1568/getInfo.php?workbook=02_02.xlsx&amp;sheet=U0&amp;row=282&amp;col=7&amp;number=&amp;sourceID=1","")</f>
        <v/>
      </c>
      <c r="H282" s="4" t="str">
        <f>HYPERLINK("http://141.218.60.56/~jnz1568/getInfo.php?workbook=02_02.xlsx&amp;sheet=U0&amp;row=282&amp;col=8&amp;number=3.301&amp;sourceID=29","3.301")</f>
        <v>3.301</v>
      </c>
      <c r="I282" s="4" t="str">
        <f>HYPERLINK("http://141.218.60.56/~jnz1568/getInfo.php?workbook=02_02.xlsx&amp;sheet=U0&amp;row=282&amp;col=9&amp;number=32.49&amp;sourceID=1","32.49")</f>
        <v>32.49</v>
      </c>
    </row>
    <row r="283" spans="1:9">
      <c r="A283" s="3"/>
      <c r="B283" s="3"/>
      <c r="C283" s="3"/>
      <c r="D283" s="3"/>
      <c r="E283" s="3">
        <v>2</v>
      </c>
      <c r="F283" s="4" t="str">
        <f>HYPERLINK("http://141.218.60.56/~jnz1568/getInfo.php?workbook=02_02.xlsx&amp;sheet=U0&amp;row=283&amp;col=6&amp;number=&amp;sourceID=28","")</f>
        <v/>
      </c>
      <c r="G283" s="4" t="str">
        <f>HYPERLINK("http://141.218.60.56/~jnz1568/getInfo.php?workbook=02_02.xlsx&amp;sheet=U0&amp;row=283&amp;col=7&amp;number=&amp;sourceID=1","")</f>
        <v/>
      </c>
      <c r="H283" s="4" t="str">
        <f>HYPERLINK("http://141.218.60.56/~jnz1568/getInfo.php?workbook=02_02.xlsx&amp;sheet=U0&amp;row=283&amp;col=8&amp;number=3.699&amp;sourceID=29","3.699")</f>
        <v>3.699</v>
      </c>
      <c r="I283" s="4" t="str">
        <f>HYPERLINK("http://141.218.60.56/~jnz1568/getInfo.php?workbook=02_02.xlsx&amp;sheet=U0&amp;row=283&amp;col=9&amp;number=63.8&amp;sourceID=1","63.8")</f>
        <v>63.8</v>
      </c>
    </row>
    <row r="284" spans="1:9">
      <c r="A284" s="3">
        <v>2</v>
      </c>
      <c r="B284" s="3">
        <v>2</v>
      </c>
      <c r="C284" s="3">
        <v>9</v>
      </c>
      <c r="D284" s="3">
        <v>7</v>
      </c>
      <c r="E284" s="3">
        <v>1</v>
      </c>
      <c r="F284" s="4" t="str">
        <f>HYPERLINK("http://141.218.60.56/~jnz1568/getInfo.php?workbook=02_02.xlsx&amp;sheet=U0&amp;row=284&amp;col=6&amp;number=&amp;sourceID=28","")</f>
        <v/>
      </c>
      <c r="G284" s="4" t="str">
        <f>HYPERLINK("http://141.218.60.56/~jnz1568/getInfo.php?workbook=02_02.xlsx&amp;sheet=U0&amp;row=284&amp;col=7&amp;number=&amp;sourceID=1","")</f>
        <v/>
      </c>
      <c r="H284" s="4" t="str">
        <f>HYPERLINK("http://141.218.60.56/~jnz1568/getInfo.php?workbook=02_02.xlsx&amp;sheet=U0&amp;row=284&amp;col=8&amp;number=3.301&amp;sourceID=29","3.301")</f>
        <v>3.301</v>
      </c>
      <c r="I284" s="4" t="str">
        <f>HYPERLINK("http://141.218.60.56/~jnz1568/getInfo.php?workbook=02_02.xlsx&amp;sheet=U0&amp;row=284&amp;col=9&amp;number=0.881&amp;sourceID=1","0.881")</f>
        <v>0.881</v>
      </c>
    </row>
    <row r="285" spans="1:9">
      <c r="A285" s="3"/>
      <c r="B285" s="3"/>
      <c r="C285" s="3"/>
      <c r="D285" s="3"/>
      <c r="E285" s="3">
        <v>2</v>
      </c>
      <c r="F285" s="4" t="str">
        <f>HYPERLINK("http://141.218.60.56/~jnz1568/getInfo.php?workbook=02_02.xlsx&amp;sheet=U0&amp;row=285&amp;col=6&amp;number=&amp;sourceID=28","")</f>
        <v/>
      </c>
      <c r="G285" s="4" t="str">
        <f>HYPERLINK("http://141.218.60.56/~jnz1568/getInfo.php?workbook=02_02.xlsx&amp;sheet=U0&amp;row=285&amp;col=7&amp;number=&amp;sourceID=1","")</f>
        <v/>
      </c>
      <c r="H285" s="4" t="str">
        <f>HYPERLINK("http://141.218.60.56/~jnz1568/getInfo.php?workbook=02_02.xlsx&amp;sheet=U0&amp;row=285&amp;col=8&amp;number=3.699&amp;sourceID=29","3.699")</f>
        <v>3.699</v>
      </c>
      <c r="I285" s="4" t="str">
        <f>HYPERLINK("http://141.218.60.56/~jnz1568/getInfo.php?workbook=02_02.xlsx&amp;sheet=U0&amp;row=285&amp;col=9&amp;number=1.473&amp;sourceID=1","1.473")</f>
        <v>1.473</v>
      </c>
    </row>
    <row r="286" spans="1:9">
      <c r="A286" s="3"/>
      <c r="B286" s="3"/>
      <c r="C286" s="3"/>
      <c r="D286" s="3"/>
      <c r="E286" s="3">
        <v>3</v>
      </c>
      <c r="F286" s="4" t="str">
        <f>HYPERLINK("http://141.218.60.56/~jnz1568/getInfo.php?workbook=02_02.xlsx&amp;sheet=U0&amp;row=286&amp;col=6&amp;number=&amp;sourceID=28","")</f>
        <v/>
      </c>
      <c r="G286" s="4" t="str">
        <f>HYPERLINK("http://141.218.60.56/~jnz1568/getInfo.php?workbook=02_02.xlsx&amp;sheet=U0&amp;row=286&amp;col=7&amp;number=&amp;sourceID=1","")</f>
        <v/>
      </c>
      <c r="H286" s="4" t="str">
        <f>HYPERLINK("http://141.218.60.56/~jnz1568/getInfo.php?workbook=02_02.xlsx&amp;sheet=U0&amp;row=286&amp;col=8&amp;number=4&amp;sourceID=29","4")</f>
        <v>4</v>
      </c>
      <c r="I286" s="4" t="str">
        <f>HYPERLINK("http://141.218.60.56/~jnz1568/getInfo.php?workbook=02_02.xlsx&amp;sheet=U0&amp;row=286&amp;col=9&amp;number=1.604&amp;sourceID=1","1.604")</f>
        <v>1.604</v>
      </c>
    </row>
    <row r="287" spans="1:9">
      <c r="A287" s="3"/>
      <c r="B287" s="3"/>
      <c r="C287" s="3"/>
      <c r="D287" s="3"/>
      <c r="E287" s="3">
        <v>4</v>
      </c>
      <c r="F287" s="4" t="str">
        <f>HYPERLINK("http://141.218.60.56/~jnz1568/getInfo.php?workbook=02_02.xlsx&amp;sheet=U0&amp;row=287&amp;col=6&amp;number=&amp;sourceID=28","")</f>
        <v/>
      </c>
      <c r="G287" s="4" t="str">
        <f>HYPERLINK("http://141.218.60.56/~jnz1568/getInfo.php?workbook=02_02.xlsx&amp;sheet=U0&amp;row=287&amp;col=7&amp;number=&amp;sourceID=1","")</f>
        <v/>
      </c>
      <c r="H287" s="4" t="str">
        <f>HYPERLINK("http://141.218.60.56/~jnz1568/getInfo.php?workbook=02_02.xlsx&amp;sheet=U0&amp;row=287&amp;col=8&amp;number=4.176&amp;sourceID=29","4.176")</f>
        <v>4.176</v>
      </c>
      <c r="I287" s="4" t="str">
        <f>HYPERLINK("http://141.218.60.56/~jnz1568/getInfo.php?workbook=02_02.xlsx&amp;sheet=U0&amp;row=287&amp;col=9&amp;number=1.571&amp;sourceID=1","1.571")</f>
        <v>1.571</v>
      </c>
    </row>
    <row r="288" spans="1:9">
      <c r="A288" s="3"/>
      <c r="B288" s="3"/>
      <c r="C288" s="3"/>
      <c r="D288" s="3"/>
      <c r="E288" s="3">
        <v>5</v>
      </c>
      <c r="F288" s="4" t="str">
        <f>HYPERLINK("http://141.218.60.56/~jnz1568/getInfo.php?workbook=02_02.xlsx&amp;sheet=U0&amp;row=288&amp;col=6&amp;number=&amp;sourceID=28","")</f>
        <v/>
      </c>
      <c r="G288" s="4" t="str">
        <f>HYPERLINK("http://141.218.60.56/~jnz1568/getInfo.php?workbook=02_02.xlsx&amp;sheet=U0&amp;row=288&amp;col=7&amp;number=&amp;sourceID=1","")</f>
        <v/>
      </c>
      <c r="H288" s="4" t="str">
        <f>HYPERLINK("http://141.218.60.56/~jnz1568/getInfo.php?workbook=02_02.xlsx&amp;sheet=U0&amp;row=288&amp;col=8&amp;number=4.301&amp;sourceID=29","4.301")</f>
        <v>4.301</v>
      </c>
      <c r="I288" s="4" t="str">
        <f>HYPERLINK("http://141.218.60.56/~jnz1568/getInfo.php?workbook=02_02.xlsx&amp;sheet=U0&amp;row=288&amp;col=9&amp;number=1.508&amp;sourceID=1","1.508")</f>
        <v>1.508</v>
      </c>
    </row>
    <row r="289" spans="1:9">
      <c r="A289" s="3"/>
      <c r="B289" s="3"/>
      <c r="C289" s="3"/>
      <c r="D289" s="3"/>
      <c r="E289" s="3">
        <v>6</v>
      </c>
      <c r="F289" s="4" t="str">
        <f>HYPERLINK("http://141.218.60.56/~jnz1568/getInfo.php?workbook=02_02.xlsx&amp;sheet=U0&amp;row=289&amp;col=6&amp;number=&amp;sourceID=28","")</f>
        <v/>
      </c>
      <c r="G289" s="4" t="str">
        <f>HYPERLINK("http://141.218.60.56/~jnz1568/getInfo.php?workbook=02_02.xlsx&amp;sheet=U0&amp;row=289&amp;col=7&amp;number=&amp;sourceID=1","")</f>
        <v/>
      </c>
      <c r="H289" s="4" t="str">
        <f>HYPERLINK("http://141.218.60.56/~jnz1568/getInfo.php?workbook=02_02.xlsx&amp;sheet=U0&amp;row=289&amp;col=8&amp;number=4.398&amp;sourceID=29","4.398")</f>
        <v>4.398</v>
      </c>
      <c r="I289" s="4" t="str">
        <f>HYPERLINK("http://141.218.60.56/~jnz1568/getInfo.php?workbook=02_02.xlsx&amp;sheet=U0&amp;row=289&amp;col=9&amp;number=1.438&amp;sourceID=1","1.438")</f>
        <v>1.438</v>
      </c>
    </row>
    <row r="290" spans="1:9">
      <c r="A290" s="3"/>
      <c r="B290" s="3"/>
      <c r="C290" s="3"/>
      <c r="D290" s="3"/>
      <c r="E290" s="3">
        <v>7</v>
      </c>
      <c r="F290" s="4" t="str">
        <f>HYPERLINK("http://141.218.60.56/~jnz1568/getInfo.php?workbook=02_02.xlsx&amp;sheet=U0&amp;row=290&amp;col=6&amp;number=&amp;sourceID=28","")</f>
        <v/>
      </c>
      <c r="G290" s="4" t="str">
        <f>HYPERLINK("http://141.218.60.56/~jnz1568/getInfo.php?workbook=02_02.xlsx&amp;sheet=U0&amp;row=290&amp;col=7&amp;number=&amp;sourceID=1","")</f>
        <v/>
      </c>
      <c r="H290" s="4" t="str">
        <f>HYPERLINK("http://141.218.60.56/~jnz1568/getInfo.php?workbook=02_02.xlsx&amp;sheet=U0&amp;row=290&amp;col=8&amp;number=4.477&amp;sourceID=29","4.477")</f>
        <v>4.477</v>
      </c>
      <c r="I290" s="4" t="str">
        <f>HYPERLINK("http://141.218.60.56/~jnz1568/getInfo.php?workbook=02_02.xlsx&amp;sheet=U0&amp;row=290&amp;col=9&amp;number=1.368&amp;sourceID=1","1.368")</f>
        <v>1.368</v>
      </c>
    </row>
    <row r="291" spans="1:9">
      <c r="A291" s="3">
        <v>2</v>
      </c>
      <c r="B291" s="3">
        <v>2</v>
      </c>
      <c r="C291" s="3">
        <v>10</v>
      </c>
      <c r="D291" s="3">
        <v>1</v>
      </c>
      <c r="E291" s="3">
        <v>1</v>
      </c>
      <c r="F291" s="4" t="str">
        <f>HYPERLINK("http://141.218.60.56/~jnz1568/getInfo.php?workbook=02_02.xlsx&amp;sheet=U0&amp;row=291&amp;col=6&amp;number=3.75&amp;sourceID=28","3.75")</f>
        <v>3.75</v>
      </c>
      <c r="G291" s="4" t="str">
        <f>HYPERLINK("http://141.218.60.56/~jnz1568/getInfo.php?workbook=02_02.xlsx&amp;sheet=U0&amp;row=291&amp;col=7&amp;number=0.003884&amp;sourceID=1","0.003884")</f>
        <v>0.003884</v>
      </c>
      <c r="H291" s="4" t="str">
        <f>HYPERLINK("http://141.218.60.56/~jnz1568/getInfo.php?workbook=02_02.xlsx&amp;sheet=U0&amp;row=291&amp;col=8&amp;number=3.301&amp;sourceID=29","3.301")</f>
        <v>3.301</v>
      </c>
      <c r="I291" s="4" t="str">
        <f>HYPERLINK("http://141.218.60.56/~jnz1568/getInfo.php?workbook=02_02.xlsx&amp;sheet=U0&amp;row=291&amp;col=9&amp;number=0.004904&amp;sourceID=1","0.004904")</f>
        <v>0.004904</v>
      </c>
    </row>
    <row r="292" spans="1:9">
      <c r="A292" s="3"/>
      <c r="B292" s="3"/>
      <c r="C292" s="3"/>
      <c r="D292" s="3"/>
      <c r="E292" s="3">
        <v>2</v>
      </c>
      <c r="F292" s="4" t="str">
        <f>HYPERLINK("http://141.218.60.56/~jnz1568/getInfo.php?workbook=02_02.xlsx&amp;sheet=U0&amp;row=292&amp;col=6&amp;number=4&amp;sourceID=28","4")</f>
        <v>4</v>
      </c>
      <c r="G292" s="4" t="str">
        <f>HYPERLINK("http://141.218.60.56/~jnz1568/getInfo.php?workbook=02_02.xlsx&amp;sheet=U0&amp;row=292&amp;col=7&amp;number=0.003809&amp;sourceID=1","0.003809")</f>
        <v>0.003809</v>
      </c>
      <c r="H292" s="4" t="str">
        <f>HYPERLINK("http://141.218.60.56/~jnz1568/getInfo.php?workbook=02_02.xlsx&amp;sheet=U0&amp;row=292&amp;col=8&amp;number=3.699&amp;sourceID=29","3.699")</f>
        <v>3.699</v>
      </c>
      <c r="I292" s="4" t="str">
        <f>HYPERLINK("http://141.218.60.56/~jnz1568/getInfo.php?workbook=02_02.xlsx&amp;sheet=U0&amp;row=292&amp;col=9&amp;number=0.004872&amp;sourceID=1","0.004872")</f>
        <v>0.004872</v>
      </c>
    </row>
    <row r="293" spans="1:9">
      <c r="A293" s="3"/>
      <c r="B293" s="3"/>
      <c r="C293" s="3"/>
      <c r="D293" s="3"/>
      <c r="E293" s="3">
        <v>3</v>
      </c>
      <c r="F293" s="4" t="str">
        <f>HYPERLINK("http://141.218.60.56/~jnz1568/getInfo.php?workbook=02_02.xlsx&amp;sheet=U0&amp;row=293&amp;col=6&amp;number=4.25&amp;sourceID=28","4.25")</f>
        <v>4.25</v>
      </c>
      <c r="G293" s="4" t="str">
        <f>HYPERLINK("http://141.218.60.56/~jnz1568/getInfo.php?workbook=02_02.xlsx&amp;sheet=U0&amp;row=293&amp;col=7&amp;number=0.003783&amp;sourceID=1","0.003783")</f>
        <v>0.003783</v>
      </c>
      <c r="H293" s="4" t="str">
        <f>HYPERLINK("http://141.218.60.56/~jnz1568/getInfo.php?workbook=02_02.xlsx&amp;sheet=U0&amp;row=293&amp;col=8&amp;number=4&amp;sourceID=29","4")</f>
        <v>4</v>
      </c>
      <c r="I293" s="4" t="str">
        <f>HYPERLINK("http://141.218.60.56/~jnz1568/getInfo.php?workbook=02_02.xlsx&amp;sheet=U0&amp;row=293&amp;col=9&amp;number=0.004772&amp;sourceID=1","0.004772")</f>
        <v>0.004772</v>
      </c>
    </row>
    <row r="294" spans="1:9">
      <c r="A294" s="3"/>
      <c r="B294" s="3"/>
      <c r="C294" s="3"/>
      <c r="D294" s="3"/>
      <c r="E294" s="3">
        <v>4</v>
      </c>
      <c r="F294" s="4" t="str">
        <f>HYPERLINK("http://141.218.60.56/~jnz1568/getInfo.php?workbook=02_02.xlsx&amp;sheet=U0&amp;row=294&amp;col=6&amp;number=4.5&amp;sourceID=28","4.5")</f>
        <v>4.5</v>
      </c>
      <c r="G294" s="4" t="str">
        <f>HYPERLINK("http://141.218.60.56/~jnz1568/getInfo.php?workbook=02_02.xlsx&amp;sheet=U0&amp;row=294&amp;col=7&amp;number=0.003942&amp;sourceID=1","0.003942")</f>
        <v>0.003942</v>
      </c>
      <c r="H294" s="4" t="str">
        <f>HYPERLINK("http://141.218.60.56/~jnz1568/getInfo.php?workbook=02_02.xlsx&amp;sheet=U0&amp;row=294&amp;col=8&amp;number=4.176&amp;sourceID=29","4.176")</f>
        <v>4.176</v>
      </c>
      <c r="I294" s="4" t="str">
        <f>HYPERLINK("http://141.218.60.56/~jnz1568/getInfo.php?workbook=02_02.xlsx&amp;sheet=U0&amp;row=294&amp;col=9&amp;number=0.005005&amp;sourceID=1","0.005005")</f>
        <v>0.005005</v>
      </c>
    </row>
    <row r="295" spans="1:9">
      <c r="A295" s="3"/>
      <c r="B295" s="3"/>
      <c r="C295" s="3"/>
      <c r="D295" s="3"/>
      <c r="E295" s="3">
        <v>5</v>
      </c>
      <c r="F295" s="4" t="str">
        <f>HYPERLINK("http://141.218.60.56/~jnz1568/getInfo.php?workbook=02_02.xlsx&amp;sheet=U0&amp;row=295&amp;col=6&amp;number=4.75&amp;sourceID=28","4.75")</f>
        <v>4.75</v>
      </c>
      <c r="G295" s="4" t="str">
        <f>HYPERLINK("http://141.218.60.56/~jnz1568/getInfo.php?workbook=02_02.xlsx&amp;sheet=U0&amp;row=295&amp;col=7&amp;number=0.00439&amp;sourceID=1","0.00439")</f>
        <v>0.00439</v>
      </c>
      <c r="H295" s="4" t="str">
        <f>HYPERLINK("http://141.218.60.56/~jnz1568/getInfo.php?workbook=02_02.xlsx&amp;sheet=U0&amp;row=295&amp;col=8&amp;number=4.301&amp;sourceID=29","4.301")</f>
        <v>4.301</v>
      </c>
      <c r="I295" s="4" t="str">
        <f>HYPERLINK("http://141.218.60.56/~jnz1568/getInfo.php?workbook=02_02.xlsx&amp;sheet=U0&amp;row=295&amp;col=9&amp;number=0.005358&amp;sourceID=1","0.005358")</f>
        <v>0.005358</v>
      </c>
    </row>
    <row r="296" spans="1:9">
      <c r="A296" s="3"/>
      <c r="B296" s="3"/>
      <c r="C296" s="3"/>
      <c r="D296" s="3"/>
      <c r="E296" s="3">
        <v>6</v>
      </c>
      <c r="F296" s="4" t="str">
        <f>HYPERLINK("http://141.218.60.56/~jnz1568/getInfo.php?workbook=02_02.xlsx&amp;sheet=U0&amp;row=296&amp;col=6&amp;number=5&amp;sourceID=28","5")</f>
        <v>5</v>
      </c>
      <c r="G296" s="4" t="str">
        <f>HYPERLINK("http://141.218.60.56/~jnz1568/getInfo.php?workbook=02_02.xlsx&amp;sheet=U0&amp;row=296&amp;col=7&amp;number=0.005266&amp;sourceID=1","0.005266")</f>
        <v>0.005266</v>
      </c>
      <c r="H296" s="4" t="str">
        <f>HYPERLINK("http://141.218.60.56/~jnz1568/getInfo.php?workbook=02_02.xlsx&amp;sheet=U0&amp;row=296&amp;col=8&amp;number=4.398&amp;sourceID=29","4.398")</f>
        <v>4.398</v>
      </c>
      <c r="I296" s="4" t="str">
        <f>HYPERLINK("http://141.218.60.56/~jnz1568/getInfo.php?workbook=02_02.xlsx&amp;sheet=U0&amp;row=296&amp;col=9&amp;number=0.005702&amp;sourceID=1","0.005702")</f>
        <v>0.005702</v>
      </c>
    </row>
    <row r="297" spans="1:9">
      <c r="A297" s="3"/>
      <c r="B297" s="3"/>
      <c r="C297" s="3"/>
      <c r="D297" s="3"/>
      <c r="E297" s="3">
        <v>7</v>
      </c>
      <c r="F297" s="4" t="str">
        <f>HYPERLINK("http://141.218.60.56/~jnz1568/getInfo.php?workbook=02_02.xlsx&amp;sheet=U0&amp;row=297&amp;col=6&amp;number=5.25&amp;sourceID=28","5.25")</f>
        <v>5.25</v>
      </c>
      <c r="G297" s="4" t="str">
        <f>HYPERLINK("http://141.218.60.56/~jnz1568/getInfo.php?workbook=02_02.xlsx&amp;sheet=U0&amp;row=297&amp;col=7&amp;number=0.006598&amp;sourceID=1","0.006598")</f>
        <v>0.006598</v>
      </c>
      <c r="H297" s="4" t="str">
        <f>HYPERLINK("http://141.218.60.56/~jnz1568/getInfo.php?workbook=02_02.xlsx&amp;sheet=U0&amp;row=297&amp;col=8&amp;number=4.477&amp;sourceID=29","4.477")</f>
        <v>4.477</v>
      </c>
      <c r="I297" s="4" t="str">
        <f>HYPERLINK("http://141.218.60.56/~jnz1568/getInfo.php?workbook=02_02.xlsx&amp;sheet=U0&amp;row=297&amp;col=9&amp;number=0.005984&amp;sourceID=1","0.005984")</f>
        <v>0.005984</v>
      </c>
    </row>
    <row r="298" spans="1:9">
      <c r="A298" s="3"/>
      <c r="B298" s="3"/>
      <c r="C298" s="3"/>
      <c r="D298" s="3"/>
      <c r="E298" s="3">
        <v>8</v>
      </c>
      <c r="F298" s="4" t="str">
        <f>HYPERLINK("http://141.218.60.56/~jnz1568/getInfo.php?workbook=02_02.xlsx&amp;sheet=U0&amp;row=298&amp;col=6&amp;number=5.5&amp;sourceID=28","5.5")</f>
        <v>5.5</v>
      </c>
      <c r="G298" s="4" t="str">
        <f>HYPERLINK("http://141.218.60.56/~jnz1568/getInfo.php?workbook=02_02.xlsx&amp;sheet=U0&amp;row=298&amp;col=7&amp;number=0.008159&amp;sourceID=1","0.008159")</f>
        <v>0.008159</v>
      </c>
      <c r="H298" s="4" t="str">
        <f>HYPERLINK("http://141.218.60.56/~jnz1568/getInfo.php?workbook=02_02.xlsx&amp;sheet=U0&amp;row=298&amp;col=8&amp;number=&amp;sourceID=29","")</f>
        <v/>
      </c>
      <c r="I298" s="4" t="str">
        <f>HYPERLINK("http://141.218.60.56/~jnz1568/getInfo.php?workbook=02_02.xlsx&amp;sheet=U0&amp;row=298&amp;col=9&amp;number=&amp;sourceID=1","")</f>
        <v/>
      </c>
    </row>
    <row r="299" spans="1:9">
      <c r="A299" s="3"/>
      <c r="B299" s="3"/>
      <c r="C299" s="3"/>
      <c r="D299" s="3"/>
      <c r="E299" s="3">
        <v>9</v>
      </c>
      <c r="F299" s="4" t="str">
        <f>HYPERLINK("http://141.218.60.56/~jnz1568/getInfo.php?workbook=02_02.xlsx&amp;sheet=U0&amp;row=299&amp;col=6&amp;number=5.75&amp;sourceID=28","5.75")</f>
        <v>5.75</v>
      </c>
      <c r="G299" s="4" t="str">
        <f>HYPERLINK("http://141.218.60.56/~jnz1568/getInfo.php?workbook=02_02.xlsx&amp;sheet=U0&amp;row=299&amp;col=7&amp;number=0.009556&amp;sourceID=1","0.009556")</f>
        <v>0.009556</v>
      </c>
      <c r="H299" s="4" t="str">
        <f>HYPERLINK("http://141.218.60.56/~jnz1568/getInfo.php?workbook=02_02.xlsx&amp;sheet=U0&amp;row=299&amp;col=8&amp;number=&amp;sourceID=29","")</f>
        <v/>
      </c>
      <c r="I299" s="4" t="str">
        <f>HYPERLINK("http://141.218.60.56/~jnz1568/getInfo.php?workbook=02_02.xlsx&amp;sheet=U0&amp;row=299&amp;col=9&amp;number=&amp;sourceID=1","")</f>
        <v/>
      </c>
    </row>
    <row r="300" spans="1:9">
      <c r="A300" s="3">
        <v>2</v>
      </c>
      <c r="B300" s="3">
        <v>2</v>
      </c>
      <c r="C300" s="3">
        <v>10</v>
      </c>
      <c r="D300" s="3">
        <v>2</v>
      </c>
      <c r="E300" s="3">
        <v>1</v>
      </c>
      <c r="F300" s="4" t="str">
        <f>HYPERLINK("http://141.218.60.56/~jnz1568/getInfo.php?workbook=02_02.xlsx&amp;sheet=U0&amp;row=300&amp;col=6&amp;number=3.75&amp;sourceID=28","3.75")</f>
        <v>3.75</v>
      </c>
      <c r="G300" s="4" t="str">
        <f>HYPERLINK("http://141.218.60.56/~jnz1568/getInfo.php?workbook=02_02.xlsx&amp;sheet=U0&amp;row=300&amp;col=7&amp;number=0.2479&amp;sourceID=1","0.2479")</f>
        <v>0.2479</v>
      </c>
      <c r="H300" s="4" t="str">
        <f>HYPERLINK("http://141.218.60.56/~jnz1568/getInfo.php?workbook=02_02.xlsx&amp;sheet=U0&amp;row=300&amp;col=8&amp;number=3.301&amp;sourceID=29","3.301")</f>
        <v>3.301</v>
      </c>
      <c r="I300" s="4" t="str">
        <f>HYPERLINK("http://141.218.60.56/~jnz1568/getInfo.php?workbook=02_02.xlsx&amp;sheet=U0&amp;row=300&amp;col=9&amp;number=0.301&amp;sourceID=1","0.301")</f>
        <v>0.301</v>
      </c>
    </row>
    <row r="301" spans="1:9">
      <c r="A301" s="3"/>
      <c r="B301" s="3"/>
      <c r="C301" s="3"/>
      <c r="D301" s="3"/>
      <c r="E301" s="3">
        <v>2</v>
      </c>
      <c r="F301" s="4" t="str">
        <f>HYPERLINK("http://141.218.60.56/~jnz1568/getInfo.php?workbook=02_02.xlsx&amp;sheet=U0&amp;row=301&amp;col=6&amp;number=4&amp;sourceID=28","4")</f>
        <v>4</v>
      </c>
      <c r="G301" s="4" t="str">
        <f>HYPERLINK("http://141.218.60.56/~jnz1568/getInfo.php?workbook=02_02.xlsx&amp;sheet=U0&amp;row=301&amp;col=7&amp;number=0.2591&amp;sourceID=1","0.2591")</f>
        <v>0.2591</v>
      </c>
      <c r="H301" s="4" t="str">
        <f>HYPERLINK("http://141.218.60.56/~jnz1568/getInfo.php?workbook=02_02.xlsx&amp;sheet=U0&amp;row=301&amp;col=8&amp;number=3.699&amp;sourceID=29","3.699")</f>
        <v>3.699</v>
      </c>
      <c r="I301" s="4" t="str">
        <f>HYPERLINK("http://141.218.60.56/~jnz1568/getInfo.php?workbook=02_02.xlsx&amp;sheet=U0&amp;row=301&amp;col=9&amp;number=0.3063&amp;sourceID=1","0.3063")</f>
        <v>0.3063</v>
      </c>
    </row>
    <row r="302" spans="1:9">
      <c r="A302" s="3"/>
      <c r="B302" s="3"/>
      <c r="C302" s="3"/>
      <c r="D302" s="3"/>
      <c r="E302" s="3">
        <v>3</v>
      </c>
      <c r="F302" s="4" t="str">
        <f>HYPERLINK("http://141.218.60.56/~jnz1568/getInfo.php?workbook=02_02.xlsx&amp;sheet=U0&amp;row=302&amp;col=6&amp;number=4.25&amp;sourceID=28","4.25")</f>
        <v>4.25</v>
      </c>
      <c r="G302" s="4" t="str">
        <f>HYPERLINK("http://141.218.60.56/~jnz1568/getInfo.php?workbook=02_02.xlsx&amp;sheet=U0&amp;row=302&amp;col=7&amp;number=0.2558&amp;sourceID=1","0.2558")</f>
        <v>0.2558</v>
      </c>
      <c r="H302" s="4" t="str">
        <f>HYPERLINK("http://141.218.60.56/~jnz1568/getInfo.php?workbook=02_02.xlsx&amp;sheet=U0&amp;row=302&amp;col=8&amp;number=4&amp;sourceID=29","4")</f>
        <v>4</v>
      </c>
      <c r="I302" s="4" t="str">
        <f>HYPERLINK("http://141.218.60.56/~jnz1568/getInfo.php?workbook=02_02.xlsx&amp;sheet=U0&amp;row=302&amp;col=9&amp;number=0.3077&amp;sourceID=1","0.3077")</f>
        <v>0.3077</v>
      </c>
    </row>
    <row r="303" spans="1:9">
      <c r="A303" s="3"/>
      <c r="B303" s="3"/>
      <c r="C303" s="3"/>
      <c r="D303" s="3"/>
      <c r="E303" s="3">
        <v>4</v>
      </c>
      <c r="F303" s="4" t="str">
        <f>HYPERLINK("http://141.218.60.56/~jnz1568/getInfo.php?workbook=02_02.xlsx&amp;sheet=U0&amp;row=303&amp;col=6&amp;number=4.5&amp;sourceID=28","4.5")</f>
        <v>4.5</v>
      </c>
      <c r="G303" s="4" t="str">
        <f>HYPERLINK("http://141.218.60.56/~jnz1568/getInfo.php?workbook=02_02.xlsx&amp;sheet=U0&amp;row=303&amp;col=7&amp;number=0.2375&amp;sourceID=1","0.2375")</f>
        <v>0.2375</v>
      </c>
      <c r="H303" s="4" t="str">
        <f>HYPERLINK("http://141.218.60.56/~jnz1568/getInfo.php?workbook=02_02.xlsx&amp;sheet=U0&amp;row=303&amp;col=8&amp;number=4.176&amp;sourceID=29","4.176")</f>
        <v>4.176</v>
      </c>
      <c r="I303" s="4" t="str">
        <f>HYPERLINK("http://141.218.60.56/~jnz1568/getInfo.php?workbook=02_02.xlsx&amp;sheet=U0&amp;row=303&amp;col=9&amp;number=0.3142&amp;sourceID=1","0.3142")</f>
        <v>0.3142</v>
      </c>
    </row>
    <row r="304" spans="1:9">
      <c r="A304" s="3"/>
      <c r="B304" s="3"/>
      <c r="C304" s="3"/>
      <c r="D304" s="3"/>
      <c r="E304" s="3">
        <v>5</v>
      </c>
      <c r="F304" s="4" t="str">
        <f>HYPERLINK("http://141.218.60.56/~jnz1568/getInfo.php?workbook=02_02.xlsx&amp;sheet=U0&amp;row=304&amp;col=6&amp;number=4.75&amp;sourceID=28","4.75")</f>
        <v>4.75</v>
      </c>
      <c r="G304" s="4" t="str">
        <f>HYPERLINK("http://141.218.60.56/~jnz1568/getInfo.php?workbook=02_02.xlsx&amp;sheet=U0&amp;row=304&amp;col=7&amp;number=0.2071&amp;sourceID=1","0.2071")</f>
        <v>0.2071</v>
      </c>
      <c r="H304" s="4" t="str">
        <f>HYPERLINK("http://141.218.60.56/~jnz1568/getInfo.php?workbook=02_02.xlsx&amp;sheet=U0&amp;row=304&amp;col=8&amp;number=4.301&amp;sourceID=29","4.301")</f>
        <v>4.301</v>
      </c>
      <c r="I304" s="4" t="str">
        <f>HYPERLINK("http://141.218.60.56/~jnz1568/getInfo.php?workbook=02_02.xlsx&amp;sheet=U0&amp;row=304&amp;col=9&amp;number=0.3205&amp;sourceID=1","0.3205")</f>
        <v>0.3205</v>
      </c>
    </row>
    <row r="305" spans="1:9">
      <c r="A305" s="3"/>
      <c r="B305" s="3"/>
      <c r="C305" s="3"/>
      <c r="D305" s="3"/>
      <c r="E305" s="3">
        <v>6</v>
      </c>
      <c r="F305" s="4" t="str">
        <f>HYPERLINK("http://141.218.60.56/~jnz1568/getInfo.php?workbook=02_02.xlsx&amp;sheet=U0&amp;row=305&amp;col=6&amp;number=5&amp;sourceID=28","5")</f>
        <v>5</v>
      </c>
      <c r="G305" s="4" t="str">
        <f>HYPERLINK("http://141.218.60.56/~jnz1568/getInfo.php?workbook=02_02.xlsx&amp;sheet=U0&amp;row=305&amp;col=7&amp;number=0.1694&amp;sourceID=1","0.1694")</f>
        <v>0.1694</v>
      </c>
      <c r="H305" s="4" t="str">
        <f>HYPERLINK("http://141.218.60.56/~jnz1568/getInfo.php?workbook=02_02.xlsx&amp;sheet=U0&amp;row=305&amp;col=8&amp;number=4.398&amp;sourceID=29","4.398")</f>
        <v>4.398</v>
      </c>
      <c r="I305" s="4" t="str">
        <f>HYPERLINK("http://141.218.60.56/~jnz1568/getInfo.php?workbook=02_02.xlsx&amp;sheet=U0&amp;row=305&amp;col=9&amp;number=0.3243&amp;sourceID=1","0.3243")</f>
        <v>0.3243</v>
      </c>
    </row>
    <row r="306" spans="1:9">
      <c r="A306" s="3"/>
      <c r="B306" s="3"/>
      <c r="C306" s="3"/>
      <c r="D306" s="3"/>
      <c r="E306" s="3">
        <v>7</v>
      </c>
      <c r="F306" s="4" t="str">
        <f>HYPERLINK("http://141.218.60.56/~jnz1568/getInfo.php?workbook=02_02.xlsx&amp;sheet=U0&amp;row=306&amp;col=6&amp;number=5.25&amp;sourceID=28","5.25")</f>
        <v>5.25</v>
      </c>
      <c r="G306" s="4" t="str">
        <f>HYPERLINK("http://141.218.60.56/~jnz1568/getInfo.php?workbook=02_02.xlsx&amp;sheet=U0&amp;row=306&amp;col=7&amp;number=0.1292&amp;sourceID=1","0.1292")</f>
        <v>0.1292</v>
      </c>
      <c r="H306" s="4" t="str">
        <f>HYPERLINK("http://141.218.60.56/~jnz1568/getInfo.php?workbook=02_02.xlsx&amp;sheet=U0&amp;row=306&amp;col=8&amp;number=4.477&amp;sourceID=29","4.477")</f>
        <v>4.477</v>
      </c>
      <c r="I306" s="4" t="str">
        <f>HYPERLINK("http://141.218.60.56/~jnz1568/getInfo.php?workbook=02_02.xlsx&amp;sheet=U0&amp;row=306&amp;col=9&amp;number=0.325&amp;sourceID=1","0.325")</f>
        <v>0.325</v>
      </c>
    </row>
    <row r="307" spans="1:9">
      <c r="A307" s="3"/>
      <c r="B307" s="3"/>
      <c r="C307" s="3"/>
      <c r="D307" s="3"/>
      <c r="E307" s="3">
        <v>8</v>
      </c>
      <c r="F307" s="4" t="str">
        <f>HYPERLINK("http://141.218.60.56/~jnz1568/getInfo.php?workbook=02_02.xlsx&amp;sheet=U0&amp;row=307&amp;col=6&amp;number=5.5&amp;sourceID=28","5.5")</f>
        <v>5.5</v>
      </c>
      <c r="G307" s="4" t="str">
        <f>HYPERLINK("http://141.218.60.56/~jnz1568/getInfo.php?workbook=02_02.xlsx&amp;sheet=U0&amp;row=307&amp;col=7&amp;number=0.09188&amp;sourceID=1","0.09188")</f>
        <v>0.09188</v>
      </c>
      <c r="H307" s="4" t="str">
        <f>HYPERLINK("http://141.218.60.56/~jnz1568/getInfo.php?workbook=02_02.xlsx&amp;sheet=U0&amp;row=307&amp;col=8&amp;number=&amp;sourceID=29","")</f>
        <v/>
      </c>
      <c r="I307" s="4" t="str">
        <f>HYPERLINK("http://141.218.60.56/~jnz1568/getInfo.php?workbook=02_02.xlsx&amp;sheet=U0&amp;row=307&amp;col=9&amp;number=&amp;sourceID=1","")</f>
        <v/>
      </c>
    </row>
    <row r="308" spans="1:9">
      <c r="A308" s="3"/>
      <c r="B308" s="3"/>
      <c r="C308" s="3"/>
      <c r="D308" s="3"/>
      <c r="E308" s="3">
        <v>9</v>
      </c>
      <c r="F308" s="4" t="str">
        <f>HYPERLINK("http://141.218.60.56/~jnz1568/getInfo.php?workbook=02_02.xlsx&amp;sheet=U0&amp;row=308&amp;col=6&amp;number=5.75&amp;sourceID=28","5.75")</f>
        <v>5.75</v>
      </c>
      <c r="G308" s="4" t="str">
        <f>HYPERLINK("http://141.218.60.56/~jnz1568/getInfo.php?workbook=02_02.xlsx&amp;sheet=U0&amp;row=308&amp;col=7&amp;number=0.06137&amp;sourceID=1","0.06137")</f>
        <v>0.06137</v>
      </c>
      <c r="H308" s="4" t="str">
        <f>HYPERLINK("http://141.218.60.56/~jnz1568/getInfo.php?workbook=02_02.xlsx&amp;sheet=U0&amp;row=308&amp;col=8&amp;number=&amp;sourceID=29","")</f>
        <v/>
      </c>
      <c r="I308" s="4" t="str">
        <f>HYPERLINK("http://141.218.60.56/~jnz1568/getInfo.php?workbook=02_02.xlsx&amp;sheet=U0&amp;row=308&amp;col=9&amp;number=&amp;sourceID=1","")</f>
        <v/>
      </c>
    </row>
    <row r="309" spans="1:9">
      <c r="A309" s="3">
        <v>2</v>
      </c>
      <c r="B309" s="3">
        <v>2</v>
      </c>
      <c r="C309" s="3">
        <v>10</v>
      </c>
      <c r="D309" s="3">
        <v>3</v>
      </c>
      <c r="E309" s="3">
        <v>1</v>
      </c>
      <c r="F309" s="4" t="str">
        <f>HYPERLINK("http://141.218.60.56/~jnz1568/getInfo.php?workbook=02_02.xlsx&amp;sheet=U0&amp;row=309&amp;col=6&amp;number=3.75&amp;sourceID=28","3.75")</f>
        <v>3.75</v>
      </c>
      <c r="G309" s="4" t="str">
        <f>HYPERLINK("http://141.218.60.56/~jnz1568/getInfo.php?workbook=02_02.xlsx&amp;sheet=U0&amp;row=309&amp;col=7&amp;number=0.8375&amp;sourceID=1","0.8375")</f>
        <v>0.8375</v>
      </c>
      <c r="H309" s="4" t="str">
        <f>HYPERLINK("http://141.218.60.56/~jnz1568/getInfo.php?workbook=02_02.xlsx&amp;sheet=U0&amp;row=309&amp;col=8&amp;number=3.301&amp;sourceID=29","3.301")</f>
        <v>3.301</v>
      </c>
      <c r="I309" s="4" t="str">
        <f>HYPERLINK("http://141.218.60.56/~jnz1568/getInfo.php?workbook=02_02.xlsx&amp;sheet=U0&amp;row=309&amp;col=9&amp;number=0.648&amp;sourceID=1","0.648")</f>
        <v>0.648</v>
      </c>
    </row>
    <row r="310" spans="1:9">
      <c r="A310" s="3"/>
      <c r="B310" s="3"/>
      <c r="C310" s="3"/>
      <c r="D310" s="3"/>
      <c r="E310" s="3">
        <v>2</v>
      </c>
      <c r="F310" s="4" t="str">
        <f>HYPERLINK("http://141.218.60.56/~jnz1568/getInfo.php?workbook=02_02.xlsx&amp;sheet=U0&amp;row=310&amp;col=6&amp;number=4&amp;sourceID=28","4")</f>
        <v>4</v>
      </c>
      <c r="G310" s="4" t="str">
        <f>HYPERLINK("http://141.218.60.56/~jnz1568/getInfo.php?workbook=02_02.xlsx&amp;sheet=U0&amp;row=310&amp;col=7&amp;number=1.167&amp;sourceID=1","1.167")</f>
        <v>1.167</v>
      </c>
      <c r="H310" s="4" t="str">
        <f>HYPERLINK("http://141.218.60.56/~jnz1568/getInfo.php?workbook=02_02.xlsx&amp;sheet=U0&amp;row=310&amp;col=8&amp;number=3.699&amp;sourceID=29","3.699")</f>
        <v>3.699</v>
      </c>
      <c r="I310" s="4" t="str">
        <f>HYPERLINK("http://141.218.60.56/~jnz1568/getInfo.php?workbook=02_02.xlsx&amp;sheet=U0&amp;row=310&amp;col=9&amp;number=0.8805&amp;sourceID=1","0.8805")</f>
        <v>0.8805</v>
      </c>
    </row>
    <row r="311" spans="1:9">
      <c r="A311" s="3"/>
      <c r="B311" s="3"/>
      <c r="C311" s="3"/>
      <c r="D311" s="3"/>
      <c r="E311" s="3">
        <v>3</v>
      </c>
      <c r="F311" s="4" t="str">
        <f>HYPERLINK("http://141.218.60.56/~jnz1568/getInfo.php?workbook=02_02.xlsx&amp;sheet=U0&amp;row=311&amp;col=6&amp;number=4.25&amp;sourceID=28","4.25")</f>
        <v>4.25</v>
      </c>
      <c r="G311" s="4" t="str">
        <f>HYPERLINK("http://141.218.60.56/~jnz1568/getInfo.php?workbook=02_02.xlsx&amp;sheet=U0&amp;row=311&amp;col=7&amp;number=1.675&amp;sourceID=1","1.675")</f>
        <v>1.675</v>
      </c>
      <c r="H311" s="4" t="str">
        <f>HYPERLINK("http://141.218.60.56/~jnz1568/getInfo.php?workbook=02_02.xlsx&amp;sheet=U0&amp;row=311&amp;col=8&amp;number=4&amp;sourceID=29","4")</f>
        <v>4</v>
      </c>
      <c r="I311" s="4" t="str">
        <f>HYPERLINK("http://141.218.60.56/~jnz1568/getInfo.php?workbook=02_02.xlsx&amp;sheet=U0&amp;row=311&amp;col=9&amp;number=1.22&amp;sourceID=1","1.22")</f>
        <v>1.22</v>
      </c>
    </row>
    <row r="312" spans="1:9">
      <c r="A312" s="3"/>
      <c r="B312" s="3"/>
      <c r="C312" s="3"/>
      <c r="D312" s="3"/>
      <c r="E312" s="3">
        <v>4</v>
      </c>
      <c r="F312" s="4" t="str">
        <f>HYPERLINK("http://141.218.60.56/~jnz1568/getInfo.php?workbook=02_02.xlsx&amp;sheet=U0&amp;row=312&amp;col=6&amp;number=4.5&amp;sourceID=28","4.5")</f>
        <v>4.5</v>
      </c>
      <c r="G312" s="4" t="str">
        <f>HYPERLINK("http://141.218.60.56/~jnz1568/getInfo.php?workbook=02_02.xlsx&amp;sheet=U0&amp;row=312&amp;col=7&amp;number=2.438&amp;sourceID=1","2.438")</f>
        <v>2.438</v>
      </c>
      <c r="H312" s="4" t="str">
        <f>HYPERLINK("http://141.218.60.56/~jnz1568/getInfo.php?workbook=02_02.xlsx&amp;sheet=U0&amp;row=312&amp;col=8&amp;number=4.176&amp;sourceID=29","4.176")</f>
        <v>4.176</v>
      </c>
      <c r="I312" s="4" t="str">
        <f>HYPERLINK("http://141.218.60.56/~jnz1568/getInfo.php?workbook=02_02.xlsx&amp;sheet=U0&amp;row=312&amp;col=9&amp;number=1.586&amp;sourceID=1","1.586")</f>
        <v>1.586</v>
      </c>
    </row>
    <row r="313" spans="1:9">
      <c r="A313" s="3"/>
      <c r="B313" s="3"/>
      <c r="C313" s="3"/>
      <c r="D313" s="3"/>
      <c r="E313" s="3">
        <v>5</v>
      </c>
      <c r="F313" s="4" t="str">
        <f>HYPERLINK("http://141.218.60.56/~jnz1568/getInfo.php?workbook=02_02.xlsx&amp;sheet=U0&amp;row=313&amp;col=6&amp;number=4.75&amp;sourceID=28","4.75")</f>
        <v>4.75</v>
      </c>
      <c r="G313" s="4" t="str">
        <f>HYPERLINK("http://141.218.60.56/~jnz1568/getInfo.php?workbook=02_02.xlsx&amp;sheet=U0&amp;row=313&amp;col=7&amp;number=3.529&amp;sourceID=1","3.529")</f>
        <v>3.529</v>
      </c>
      <c r="H313" s="4" t="str">
        <f>HYPERLINK("http://141.218.60.56/~jnz1568/getInfo.php?workbook=02_02.xlsx&amp;sheet=U0&amp;row=313&amp;col=8&amp;number=4.301&amp;sourceID=29","4.301")</f>
        <v>4.301</v>
      </c>
      <c r="I313" s="4" t="str">
        <f>HYPERLINK("http://141.218.60.56/~jnz1568/getInfo.php?workbook=02_02.xlsx&amp;sheet=U0&amp;row=313&amp;col=9&amp;number=1.958&amp;sourceID=1","1.958")</f>
        <v>1.958</v>
      </c>
    </row>
    <row r="314" spans="1:9">
      <c r="A314" s="3"/>
      <c r="B314" s="3"/>
      <c r="C314" s="3"/>
      <c r="D314" s="3"/>
      <c r="E314" s="3">
        <v>6</v>
      </c>
      <c r="F314" s="4" t="str">
        <f>HYPERLINK("http://141.218.60.56/~jnz1568/getInfo.php?workbook=02_02.xlsx&amp;sheet=U0&amp;row=314&amp;col=6&amp;number=5&amp;sourceID=28","5")</f>
        <v>5</v>
      </c>
      <c r="G314" s="4" t="str">
        <f>HYPERLINK("http://141.218.60.56/~jnz1568/getInfo.php?workbook=02_02.xlsx&amp;sheet=U0&amp;row=314&amp;col=7&amp;number=4.941&amp;sourceID=1","4.941")</f>
        <v>4.941</v>
      </c>
      <c r="H314" s="4" t="str">
        <f>HYPERLINK("http://141.218.60.56/~jnz1568/getInfo.php?workbook=02_02.xlsx&amp;sheet=U0&amp;row=314&amp;col=8&amp;number=4.398&amp;sourceID=29","4.398")</f>
        <v>4.398</v>
      </c>
      <c r="I314" s="4" t="str">
        <f>HYPERLINK("http://141.218.60.56/~jnz1568/getInfo.php?workbook=02_02.xlsx&amp;sheet=U0&amp;row=314&amp;col=9&amp;number=2.299&amp;sourceID=1","2.299")</f>
        <v>2.299</v>
      </c>
    </row>
    <row r="315" spans="1:9">
      <c r="A315" s="3"/>
      <c r="B315" s="3"/>
      <c r="C315" s="3"/>
      <c r="D315" s="3"/>
      <c r="E315" s="3">
        <v>7</v>
      </c>
      <c r="F315" s="4" t="str">
        <f>HYPERLINK("http://141.218.60.56/~jnz1568/getInfo.php?workbook=02_02.xlsx&amp;sheet=U0&amp;row=315&amp;col=6&amp;number=5.25&amp;sourceID=28","5.25")</f>
        <v>5.25</v>
      </c>
      <c r="G315" s="4" t="str">
        <f>HYPERLINK("http://141.218.60.56/~jnz1568/getInfo.php?workbook=02_02.xlsx&amp;sheet=U0&amp;row=315&amp;col=7&amp;number=6.494&amp;sourceID=1","6.494")</f>
        <v>6.494</v>
      </c>
      <c r="H315" s="4" t="str">
        <f>HYPERLINK("http://141.218.60.56/~jnz1568/getInfo.php?workbook=02_02.xlsx&amp;sheet=U0&amp;row=315&amp;col=8&amp;number=4.477&amp;sourceID=29","4.477")</f>
        <v>4.477</v>
      </c>
      <c r="I315" s="4" t="str">
        <f>HYPERLINK("http://141.218.60.56/~jnz1568/getInfo.php?workbook=02_02.xlsx&amp;sheet=U0&amp;row=315&amp;col=9&amp;number=2.589&amp;sourceID=1","2.589")</f>
        <v>2.589</v>
      </c>
    </row>
    <row r="316" spans="1:9">
      <c r="A316" s="3"/>
      <c r="B316" s="3"/>
      <c r="C316" s="3"/>
      <c r="D316" s="3"/>
      <c r="E316" s="3">
        <v>8</v>
      </c>
      <c r="F316" s="4" t="str">
        <f>HYPERLINK("http://141.218.60.56/~jnz1568/getInfo.php?workbook=02_02.xlsx&amp;sheet=U0&amp;row=316&amp;col=6&amp;number=5.5&amp;sourceID=28","5.5")</f>
        <v>5.5</v>
      </c>
      <c r="G316" s="4" t="str">
        <f>HYPERLINK("http://141.218.60.56/~jnz1568/getInfo.php?workbook=02_02.xlsx&amp;sheet=U0&amp;row=316&amp;col=7&amp;number=7.93&amp;sourceID=1","7.93")</f>
        <v>7.93</v>
      </c>
      <c r="H316" s="4" t="str">
        <f>HYPERLINK("http://141.218.60.56/~jnz1568/getInfo.php?workbook=02_02.xlsx&amp;sheet=U0&amp;row=316&amp;col=8&amp;number=&amp;sourceID=29","")</f>
        <v/>
      </c>
      <c r="I316" s="4" t="str">
        <f>HYPERLINK("http://141.218.60.56/~jnz1568/getInfo.php?workbook=02_02.xlsx&amp;sheet=U0&amp;row=316&amp;col=9&amp;number=&amp;sourceID=1","")</f>
        <v/>
      </c>
    </row>
    <row r="317" spans="1:9">
      <c r="A317" s="3"/>
      <c r="B317" s="3"/>
      <c r="C317" s="3"/>
      <c r="D317" s="3"/>
      <c r="E317" s="3">
        <v>9</v>
      </c>
      <c r="F317" s="4" t="str">
        <f>HYPERLINK("http://141.218.60.56/~jnz1568/getInfo.php?workbook=02_02.xlsx&amp;sheet=U0&amp;row=317&amp;col=6&amp;number=5.75&amp;sourceID=28","5.75")</f>
        <v>5.75</v>
      </c>
      <c r="G317" s="4" t="str">
        <f>HYPERLINK("http://141.218.60.56/~jnz1568/getInfo.php?workbook=02_02.xlsx&amp;sheet=U0&amp;row=317&amp;col=7&amp;number=9.07&amp;sourceID=1","9.07")</f>
        <v>9.07</v>
      </c>
      <c r="H317" s="4" t="str">
        <f>HYPERLINK("http://141.218.60.56/~jnz1568/getInfo.php?workbook=02_02.xlsx&amp;sheet=U0&amp;row=317&amp;col=8&amp;number=&amp;sourceID=29","")</f>
        <v/>
      </c>
      <c r="I317" s="4" t="str">
        <f>HYPERLINK("http://141.218.60.56/~jnz1568/getInfo.php?workbook=02_02.xlsx&amp;sheet=U0&amp;row=317&amp;col=9&amp;number=&amp;sourceID=1","")</f>
        <v/>
      </c>
    </row>
    <row r="318" spans="1:9">
      <c r="A318" s="3">
        <v>2</v>
      </c>
      <c r="B318" s="3">
        <v>2</v>
      </c>
      <c r="C318" s="3">
        <v>10</v>
      </c>
      <c r="D318" s="3">
        <v>4</v>
      </c>
      <c r="E318" s="3">
        <v>1</v>
      </c>
      <c r="F318" s="4" t="str">
        <f>HYPERLINK("http://141.218.60.56/~jnz1568/getInfo.php?workbook=02_02.xlsx&amp;sheet=U0&amp;row=318&amp;col=6&amp;number=3.75&amp;sourceID=28","3.75")</f>
        <v>3.75</v>
      </c>
      <c r="G318" s="4" t="str">
        <f>HYPERLINK("http://141.218.60.56/~jnz1568/getInfo.php?workbook=02_02.xlsx&amp;sheet=U0&amp;row=318&amp;col=7&amp;number=1.333&amp;sourceID=1","1.333")</f>
        <v>1.333</v>
      </c>
      <c r="H318" s="4" t="str">
        <f>HYPERLINK("http://141.218.60.56/~jnz1568/getInfo.php?workbook=02_02.xlsx&amp;sheet=U0&amp;row=318&amp;col=8&amp;number=3.301&amp;sourceID=29","3.301")</f>
        <v>3.301</v>
      </c>
      <c r="I318" s="4" t="str">
        <f>HYPERLINK("http://141.218.60.56/~jnz1568/getInfo.php?workbook=02_02.xlsx&amp;sheet=U0&amp;row=318&amp;col=9&amp;number=0.8324&amp;sourceID=1","0.8324")</f>
        <v>0.8324</v>
      </c>
    </row>
    <row r="319" spans="1:9">
      <c r="A319" s="3"/>
      <c r="B319" s="3"/>
      <c r="C319" s="3"/>
      <c r="D319" s="3"/>
      <c r="E319" s="3">
        <v>2</v>
      </c>
      <c r="F319" s="4" t="str">
        <f>HYPERLINK("http://141.218.60.56/~jnz1568/getInfo.php?workbook=02_02.xlsx&amp;sheet=U0&amp;row=319&amp;col=6&amp;number=4&amp;sourceID=28","4")</f>
        <v>4</v>
      </c>
      <c r="G319" s="4" t="str">
        <f>HYPERLINK("http://141.218.60.56/~jnz1568/getInfo.php?workbook=02_02.xlsx&amp;sheet=U0&amp;row=319&amp;col=7&amp;number=1.353&amp;sourceID=1","1.353")</f>
        <v>1.353</v>
      </c>
      <c r="H319" s="4" t="str">
        <f>HYPERLINK("http://141.218.60.56/~jnz1568/getInfo.php?workbook=02_02.xlsx&amp;sheet=U0&amp;row=319&amp;col=8&amp;number=3.699&amp;sourceID=29","3.699")</f>
        <v>3.699</v>
      </c>
      <c r="I319" s="4" t="str">
        <f>HYPERLINK("http://141.218.60.56/~jnz1568/getInfo.php?workbook=02_02.xlsx&amp;sheet=U0&amp;row=319&amp;col=9&amp;number=0.8513&amp;sourceID=1","0.8513")</f>
        <v>0.8513</v>
      </c>
    </row>
    <row r="320" spans="1:9">
      <c r="A320" s="3"/>
      <c r="B320" s="3"/>
      <c r="C320" s="3"/>
      <c r="D320" s="3"/>
      <c r="E320" s="3">
        <v>3</v>
      </c>
      <c r="F320" s="4" t="str">
        <f>HYPERLINK("http://141.218.60.56/~jnz1568/getInfo.php?workbook=02_02.xlsx&amp;sheet=U0&amp;row=320&amp;col=6&amp;number=4.25&amp;sourceID=28","4.25")</f>
        <v>4.25</v>
      </c>
      <c r="G320" s="4" t="str">
        <f>HYPERLINK("http://141.218.60.56/~jnz1568/getInfo.php?workbook=02_02.xlsx&amp;sheet=U0&amp;row=320&amp;col=7&amp;number=1.303&amp;sourceID=1","1.303")</f>
        <v>1.303</v>
      </c>
      <c r="H320" s="4" t="str">
        <f>HYPERLINK("http://141.218.60.56/~jnz1568/getInfo.php?workbook=02_02.xlsx&amp;sheet=U0&amp;row=320&amp;col=8&amp;number=4&amp;sourceID=29","4")</f>
        <v>4</v>
      </c>
      <c r="I320" s="4" t="str">
        <f>HYPERLINK("http://141.218.60.56/~jnz1568/getInfo.php?workbook=02_02.xlsx&amp;sheet=U0&amp;row=320&amp;col=9&amp;number=0.8618&amp;sourceID=1","0.8618")</f>
        <v>0.8618</v>
      </c>
    </row>
    <row r="321" spans="1:9">
      <c r="A321" s="3"/>
      <c r="B321" s="3"/>
      <c r="C321" s="3"/>
      <c r="D321" s="3"/>
      <c r="E321" s="3">
        <v>4</v>
      </c>
      <c r="F321" s="4" t="str">
        <f>HYPERLINK("http://141.218.60.56/~jnz1568/getInfo.php?workbook=02_02.xlsx&amp;sheet=U0&amp;row=321&amp;col=6&amp;number=4.5&amp;sourceID=28","4.5")</f>
        <v>4.5</v>
      </c>
      <c r="G321" s="4" t="str">
        <f>HYPERLINK("http://141.218.60.56/~jnz1568/getInfo.php?workbook=02_02.xlsx&amp;sheet=U0&amp;row=321&amp;col=7&amp;number=1.192&amp;sourceID=1","1.192")</f>
        <v>1.192</v>
      </c>
      <c r="H321" s="4" t="str">
        <f>HYPERLINK("http://141.218.60.56/~jnz1568/getInfo.php?workbook=02_02.xlsx&amp;sheet=U0&amp;row=321&amp;col=8&amp;number=4.176&amp;sourceID=29","4.176")</f>
        <v>4.176</v>
      </c>
      <c r="I321" s="4" t="str">
        <f>HYPERLINK("http://141.218.60.56/~jnz1568/getInfo.php?workbook=02_02.xlsx&amp;sheet=U0&amp;row=321&amp;col=9&amp;number=0.9005&amp;sourceID=1","0.9005")</f>
        <v>0.9005</v>
      </c>
    </row>
    <row r="322" spans="1:9">
      <c r="A322" s="3"/>
      <c r="B322" s="3"/>
      <c r="C322" s="3"/>
      <c r="D322" s="3"/>
      <c r="E322" s="3">
        <v>5</v>
      </c>
      <c r="F322" s="4" t="str">
        <f>HYPERLINK("http://141.218.60.56/~jnz1568/getInfo.php?workbook=02_02.xlsx&amp;sheet=U0&amp;row=322&amp;col=6&amp;number=4.75&amp;sourceID=28","4.75")</f>
        <v>4.75</v>
      </c>
      <c r="G322" s="4" t="str">
        <f>HYPERLINK("http://141.218.60.56/~jnz1568/getInfo.php?workbook=02_02.xlsx&amp;sheet=U0&amp;row=322&amp;col=7&amp;number=1.032&amp;sourceID=1","1.032")</f>
        <v>1.032</v>
      </c>
      <c r="H322" s="4" t="str">
        <f>HYPERLINK("http://141.218.60.56/~jnz1568/getInfo.php?workbook=02_02.xlsx&amp;sheet=U0&amp;row=322&amp;col=8&amp;number=4.301&amp;sourceID=29","4.301")</f>
        <v>4.301</v>
      </c>
      <c r="I322" s="4" t="str">
        <f>HYPERLINK("http://141.218.60.56/~jnz1568/getInfo.php?workbook=02_02.xlsx&amp;sheet=U0&amp;row=322&amp;col=9&amp;number=0.9397&amp;sourceID=1","0.9397")</f>
        <v>0.9397</v>
      </c>
    </row>
    <row r="323" spans="1:9">
      <c r="A323" s="3"/>
      <c r="B323" s="3"/>
      <c r="C323" s="3"/>
      <c r="D323" s="3"/>
      <c r="E323" s="3">
        <v>6</v>
      </c>
      <c r="F323" s="4" t="str">
        <f>HYPERLINK("http://141.218.60.56/~jnz1568/getInfo.php?workbook=02_02.xlsx&amp;sheet=U0&amp;row=323&amp;col=6&amp;number=5&amp;sourceID=28","5")</f>
        <v>5</v>
      </c>
      <c r="G323" s="4" t="str">
        <f>HYPERLINK("http://141.218.60.56/~jnz1568/getInfo.php?workbook=02_02.xlsx&amp;sheet=U0&amp;row=323&amp;col=7&amp;number=0.8388&amp;sourceID=1","0.8388")</f>
        <v>0.8388</v>
      </c>
      <c r="H323" s="4" t="str">
        <f>HYPERLINK("http://141.218.60.56/~jnz1568/getInfo.php?workbook=02_02.xlsx&amp;sheet=U0&amp;row=323&amp;col=8&amp;number=4.398&amp;sourceID=29","4.398")</f>
        <v>4.398</v>
      </c>
      <c r="I323" s="4" t="str">
        <f>HYPERLINK("http://141.218.60.56/~jnz1568/getInfo.php?workbook=02_02.xlsx&amp;sheet=U0&amp;row=323&amp;col=9&amp;number=0.9677&amp;sourceID=1","0.9677")</f>
        <v>0.9677</v>
      </c>
    </row>
    <row r="324" spans="1:9">
      <c r="A324" s="3"/>
      <c r="B324" s="3"/>
      <c r="C324" s="3"/>
      <c r="D324" s="3"/>
      <c r="E324" s="3">
        <v>7</v>
      </c>
      <c r="F324" s="4" t="str">
        <f>HYPERLINK("http://141.218.60.56/~jnz1568/getInfo.php?workbook=02_02.xlsx&amp;sheet=U0&amp;row=324&amp;col=6&amp;number=5.25&amp;sourceID=28","5.25")</f>
        <v>5.25</v>
      </c>
      <c r="G324" s="4" t="str">
        <f>HYPERLINK("http://141.218.60.56/~jnz1568/getInfo.php?workbook=02_02.xlsx&amp;sheet=U0&amp;row=324&amp;col=7&amp;number=0.6339&amp;sourceID=1","0.6339")</f>
        <v>0.6339</v>
      </c>
      <c r="H324" s="4" t="str">
        <f>HYPERLINK("http://141.218.60.56/~jnz1568/getInfo.php?workbook=02_02.xlsx&amp;sheet=U0&amp;row=324&amp;col=8&amp;number=4.477&amp;sourceID=29","4.477")</f>
        <v>4.477</v>
      </c>
      <c r="I324" s="4" t="str">
        <f>HYPERLINK("http://141.218.60.56/~jnz1568/getInfo.php?workbook=02_02.xlsx&amp;sheet=U0&amp;row=324&amp;col=9&amp;number=0.9829&amp;sourceID=1","0.9829")</f>
        <v>0.9829</v>
      </c>
    </row>
    <row r="325" spans="1:9">
      <c r="A325" s="3"/>
      <c r="B325" s="3"/>
      <c r="C325" s="3"/>
      <c r="D325" s="3"/>
      <c r="E325" s="3">
        <v>8</v>
      </c>
      <c r="F325" s="4" t="str">
        <f>HYPERLINK("http://141.218.60.56/~jnz1568/getInfo.php?workbook=02_02.xlsx&amp;sheet=U0&amp;row=325&amp;col=6&amp;number=5.5&amp;sourceID=28","5.5")</f>
        <v>5.5</v>
      </c>
      <c r="G325" s="4" t="str">
        <f>HYPERLINK("http://141.218.60.56/~jnz1568/getInfo.php?workbook=02_02.xlsx&amp;sheet=U0&amp;row=325&amp;col=7&amp;number=0.4467&amp;sourceID=1","0.4467")</f>
        <v>0.4467</v>
      </c>
      <c r="H325" s="4" t="str">
        <f>HYPERLINK("http://141.218.60.56/~jnz1568/getInfo.php?workbook=02_02.xlsx&amp;sheet=U0&amp;row=325&amp;col=8&amp;number=&amp;sourceID=29","")</f>
        <v/>
      </c>
      <c r="I325" s="4" t="str">
        <f>HYPERLINK("http://141.218.60.56/~jnz1568/getInfo.php?workbook=02_02.xlsx&amp;sheet=U0&amp;row=325&amp;col=9&amp;number=&amp;sourceID=1","")</f>
        <v/>
      </c>
    </row>
    <row r="326" spans="1:9">
      <c r="A326" s="3"/>
      <c r="B326" s="3"/>
      <c r="C326" s="3"/>
      <c r="D326" s="3"/>
      <c r="E326" s="3">
        <v>9</v>
      </c>
      <c r="F326" s="4" t="str">
        <f>HYPERLINK("http://141.218.60.56/~jnz1568/getInfo.php?workbook=02_02.xlsx&amp;sheet=U0&amp;row=326&amp;col=6&amp;number=5.75&amp;sourceID=28","5.75")</f>
        <v>5.75</v>
      </c>
      <c r="G326" s="4" t="str">
        <f>HYPERLINK("http://141.218.60.56/~jnz1568/getInfo.php?workbook=02_02.xlsx&amp;sheet=U0&amp;row=326&amp;col=7&amp;number=0.2965&amp;sourceID=1","0.2965")</f>
        <v>0.2965</v>
      </c>
      <c r="H326" s="4" t="str">
        <f>HYPERLINK("http://141.218.60.56/~jnz1568/getInfo.php?workbook=02_02.xlsx&amp;sheet=U0&amp;row=326&amp;col=8&amp;number=&amp;sourceID=29","")</f>
        <v/>
      </c>
      <c r="I326" s="4" t="str">
        <f>HYPERLINK("http://141.218.60.56/~jnz1568/getInfo.php?workbook=02_02.xlsx&amp;sheet=U0&amp;row=326&amp;col=9&amp;number=&amp;sourceID=1","")</f>
        <v/>
      </c>
    </row>
    <row r="327" spans="1:9">
      <c r="A327" s="3">
        <v>2</v>
      </c>
      <c r="B327" s="3">
        <v>2</v>
      </c>
      <c r="C327" s="3">
        <v>10</v>
      </c>
      <c r="D327" s="3">
        <v>5</v>
      </c>
      <c r="E327" s="3">
        <v>1</v>
      </c>
      <c r="F327" s="4" t="str">
        <f>HYPERLINK("http://141.218.60.56/~jnz1568/getInfo.php?workbook=02_02.xlsx&amp;sheet=U0&amp;row=327&amp;col=6&amp;number=&amp;sourceID=28","")</f>
        <v/>
      </c>
      <c r="G327" s="4" t="str">
        <f>HYPERLINK("http://141.218.60.56/~jnz1568/getInfo.php?workbook=02_02.xlsx&amp;sheet=U0&amp;row=327&amp;col=7&amp;number=&amp;sourceID=1","")</f>
        <v/>
      </c>
      <c r="H327" s="4" t="str">
        <f>HYPERLINK("http://141.218.60.56/~jnz1568/getInfo.php?workbook=02_02.xlsx&amp;sheet=U0&amp;row=327&amp;col=8&amp;number=3.301&amp;sourceID=29","3.301")</f>
        <v>3.301</v>
      </c>
      <c r="I327" s="4" t="str">
        <f>HYPERLINK("http://141.218.60.56/~jnz1568/getInfo.php?workbook=02_02.xlsx&amp;sheet=U0&amp;row=327&amp;col=9&amp;number=1.779&amp;sourceID=1","1.779")</f>
        <v>1.779</v>
      </c>
    </row>
    <row r="328" spans="1:9">
      <c r="A328" s="3"/>
      <c r="B328" s="3"/>
      <c r="C328" s="3"/>
      <c r="D328" s="3"/>
      <c r="E328" s="3">
        <v>2</v>
      </c>
      <c r="F328" s="4" t="str">
        <f>HYPERLINK("http://141.218.60.56/~jnz1568/getInfo.php?workbook=02_02.xlsx&amp;sheet=U0&amp;row=328&amp;col=6&amp;number=&amp;sourceID=28","")</f>
        <v/>
      </c>
      <c r="G328" s="4" t="str">
        <f>HYPERLINK("http://141.218.60.56/~jnz1568/getInfo.php?workbook=02_02.xlsx&amp;sheet=U0&amp;row=328&amp;col=7&amp;number=&amp;sourceID=1","")</f>
        <v/>
      </c>
      <c r="H328" s="4" t="str">
        <f>HYPERLINK("http://141.218.60.56/~jnz1568/getInfo.php?workbook=02_02.xlsx&amp;sheet=U0&amp;row=328&amp;col=8&amp;number=3.699&amp;sourceID=29","3.699")</f>
        <v>3.699</v>
      </c>
      <c r="I328" s="4" t="str">
        <f>HYPERLINK("http://141.218.60.56/~jnz1568/getInfo.php?workbook=02_02.xlsx&amp;sheet=U0&amp;row=328&amp;col=9&amp;number=2.455&amp;sourceID=1","2.455")</f>
        <v>2.455</v>
      </c>
    </row>
    <row r="329" spans="1:9">
      <c r="A329" s="3"/>
      <c r="B329" s="3"/>
      <c r="C329" s="3"/>
      <c r="D329" s="3"/>
      <c r="E329" s="3">
        <v>3</v>
      </c>
      <c r="F329" s="4" t="str">
        <f>HYPERLINK("http://141.218.60.56/~jnz1568/getInfo.php?workbook=02_02.xlsx&amp;sheet=U0&amp;row=329&amp;col=6&amp;number=&amp;sourceID=28","")</f>
        <v/>
      </c>
      <c r="G329" s="4" t="str">
        <f>HYPERLINK("http://141.218.60.56/~jnz1568/getInfo.php?workbook=02_02.xlsx&amp;sheet=U0&amp;row=329&amp;col=7&amp;number=&amp;sourceID=1","")</f>
        <v/>
      </c>
      <c r="H329" s="4" t="str">
        <f>HYPERLINK("http://141.218.60.56/~jnz1568/getInfo.php?workbook=02_02.xlsx&amp;sheet=U0&amp;row=329&amp;col=8&amp;number=4&amp;sourceID=29","4")</f>
        <v>4</v>
      </c>
      <c r="I329" s="4" t="str">
        <f>HYPERLINK("http://141.218.60.56/~jnz1568/getInfo.php?workbook=02_02.xlsx&amp;sheet=U0&amp;row=329&amp;col=9&amp;number=3.671&amp;sourceID=1","3.671")</f>
        <v>3.671</v>
      </c>
    </row>
    <row r="330" spans="1:9">
      <c r="A330" s="3"/>
      <c r="B330" s="3"/>
      <c r="C330" s="3"/>
      <c r="D330" s="3"/>
      <c r="E330" s="3">
        <v>4</v>
      </c>
      <c r="F330" s="4" t="str">
        <f>HYPERLINK("http://141.218.60.56/~jnz1568/getInfo.php?workbook=02_02.xlsx&amp;sheet=U0&amp;row=330&amp;col=6&amp;number=&amp;sourceID=28","")</f>
        <v/>
      </c>
      <c r="G330" s="4" t="str">
        <f>HYPERLINK("http://141.218.60.56/~jnz1568/getInfo.php?workbook=02_02.xlsx&amp;sheet=U0&amp;row=330&amp;col=7&amp;number=&amp;sourceID=1","")</f>
        <v/>
      </c>
      <c r="H330" s="4" t="str">
        <f>HYPERLINK("http://141.218.60.56/~jnz1568/getInfo.php?workbook=02_02.xlsx&amp;sheet=U0&amp;row=330&amp;col=8&amp;number=4.176&amp;sourceID=29","4.176")</f>
        <v>4.176</v>
      </c>
      <c r="I330" s="4" t="str">
        <f>HYPERLINK("http://141.218.60.56/~jnz1568/getInfo.php?workbook=02_02.xlsx&amp;sheet=U0&amp;row=330&amp;col=9&amp;number=5.134&amp;sourceID=1","5.134")</f>
        <v>5.134</v>
      </c>
    </row>
    <row r="331" spans="1:9">
      <c r="A331" s="3"/>
      <c r="B331" s="3"/>
      <c r="C331" s="3"/>
      <c r="D331" s="3"/>
      <c r="E331" s="3">
        <v>5</v>
      </c>
      <c r="F331" s="4" t="str">
        <f>HYPERLINK("http://141.218.60.56/~jnz1568/getInfo.php?workbook=02_02.xlsx&amp;sheet=U0&amp;row=331&amp;col=6&amp;number=&amp;sourceID=28","")</f>
        <v/>
      </c>
      <c r="G331" s="4" t="str">
        <f>HYPERLINK("http://141.218.60.56/~jnz1568/getInfo.php?workbook=02_02.xlsx&amp;sheet=U0&amp;row=331&amp;col=7&amp;number=&amp;sourceID=1","")</f>
        <v/>
      </c>
      <c r="H331" s="4" t="str">
        <f>HYPERLINK("http://141.218.60.56/~jnz1568/getInfo.php?workbook=02_02.xlsx&amp;sheet=U0&amp;row=331&amp;col=8&amp;number=4.301&amp;sourceID=29","4.301")</f>
        <v>4.301</v>
      </c>
      <c r="I331" s="4" t="str">
        <f>HYPERLINK("http://141.218.60.56/~jnz1568/getInfo.php?workbook=02_02.xlsx&amp;sheet=U0&amp;row=331&amp;col=9&amp;number=6.722&amp;sourceID=1","6.722")</f>
        <v>6.722</v>
      </c>
    </row>
    <row r="332" spans="1:9">
      <c r="A332" s="3"/>
      <c r="B332" s="3"/>
      <c r="C332" s="3"/>
      <c r="D332" s="3"/>
      <c r="E332" s="3">
        <v>6</v>
      </c>
      <c r="F332" s="4" t="str">
        <f>HYPERLINK("http://141.218.60.56/~jnz1568/getInfo.php?workbook=02_02.xlsx&amp;sheet=U0&amp;row=332&amp;col=6&amp;number=&amp;sourceID=28","")</f>
        <v/>
      </c>
      <c r="G332" s="4" t="str">
        <f>HYPERLINK("http://141.218.60.56/~jnz1568/getInfo.php?workbook=02_02.xlsx&amp;sheet=U0&amp;row=332&amp;col=7&amp;number=&amp;sourceID=1","")</f>
        <v/>
      </c>
      <c r="H332" s="4" t="str">
        <f>HYPERLINK("http://141.218.60.56/~jnz1568/getInfo.php?workbook=02_02.xlsx&amp;sheet=U0&amp;row=332&amp;col=8&amp;number=4.398&amp;sourceID=29","4.398")</f>
        <v>4.398</v>
      </c>
      <c r="I332" s="4" t="str">
        <f>HYPERLINK("http://141.218.60.56/~jnz1568/getInfo.php?workbook=02_02.xlsx&amp;sheet=U0&amp;row=332&amp;col=9&amp;number=8.252&amp;sourceID=1","8.252")</f>
        <v>8.252</v>
      </c>
    </row>
    <row r="333" spans="1:9">
      <c r="A333" s="3"/>
      <c r="B333" s="3"/>
      <c r="C333" s="3"/>
      <c r="D333" s="3"/>
      <c r="E333" s="3">
        <v>7</v>
      </c>
      <c r="F333" s="4" t="str">
        <f>HYPERLINK("http://141.218.60.56/~jnz1568/getInfo.php?workbook=02_02.xlsx&amp;sheet=U0&amp;row=333&amp;col=6&amp;number=&amp;sourceID=28","")</f>
        <v/>
      </c>
      <c r="G333" s="4" t="str">
        <f>HYPERLINK("http://141.218.60.56/~jnz1568/getInfo.php?workbook=02_02.xlsx&amp;sheet=U0&amp;row=333&amp;col=7&amp;number=&amp;sourceID=1","")</f>
        <v/>
      </c>
      <c r="H333" s="4" t="str">
        <f>HYPERLINK("http://141.218.60.56/~jnz1568/getInfo.php?workbook=02_02.xlsx&amp;sheet=U0&amp;row=333&amp;col=8&amp;number=4.477&amp;sourceID=29","4.477")</f>
        <v>4.477</v>
      </c>
      <c r="I333" s="4" t="str">
        <f>HYPERLINK("http://141.218.60.56/~jnz1568/getInfo.php?workbook=02_02.xlsx&amp;sheet=U0&amp;row=333&amp;col=9&amp;number=9.601&amp;sourceID=1","9.601")</f>
        <v>9.601</v>
      </c>
    </row>
    <row r="334" spans="1:9">
      <c r="A334" s="3">
        <v>2</v>
      </c>
      <c r="B334" s="3">
        <v>2</v>
      </c>
      <c r="C334" s="3">
        <v>10</v>
      </c>
      <c r="D334" s="3">
        <v>6</v>
      </c>
      <c r="E334" s="3">
        <v>1</v>
      </c>
      <c r="F334" s="4" t="str">
        <f>HYPERLINK("http://141.218.60.56/~jnz1568/getInfo.php?workbook=02_02.xlsx&amp;sheet=U0&amp;row=334&amp;col=6&amp;number=&amp;sourceID=28","")</f>
        <v/>
      </c>
      <c r="G334" s="4" t="str">
        <f>HYPERLINK("http://141.218.60.56/~jnz1568/getInfo.php?workbook=02_02.xlsx&amp;sheet=U0&amp;row=334&amp;col=7&amp;number=&amp;sourceID=1","")</f>
        <v/>
      </c>
      <c r="H334" s="4" t="str">
        <f>HYPERLINK("http://141.218.60.56/~jnz1568/getInfo.php?workbook=02_02.xlsx&amp;sheet=U0&amp;row=334&amp;col=8&amp;number=3.301&amp;sourceID=29","3.301")</f>
        <v>3.301</v>
      </c>
      <c r="I334" s="4" t="str">
        <f>HYPERLINK("http://141.218.60.56/~jnz1568/getInfo.php?workbook=02_02.xlsx&amp;sheet=U0&amp;row=334&amp;col=9&amp;number=3.217&amp;sourceID=1","3.217")</f>
        <v>3.217</v>
      </c>
    </row>
    <row r="335" spans="1:9">
      <c r="A335" s="3"/>
      <c r="B335" s="3"/>
      <c r="C335" s="3"/>
      <c r="D335" s="3"/>
      <c r="E335" s="3">
        <v>2</v>
      </c>
      <c r="F335" s="4" t="str">
        <f>HYPERLINK("http://141.218.60.56/~jnz1568/getInfo.php?workbook=02_02.xlsx&amp;sheet=U0&amp;row=335&amp;col=6&amp;number=&amp;sourceID=28","")</f>
        <v/>
      </c>
      <c r="G335" s="4" t="str">
        <f>HYPERLINK("http://141.218.60.56/~jnz1568/getInfo.php?workbook=02_02.xlsx&amp;sheet=U0&amp;row=335&amp;col=7&amp;number=&amp;sourceID=1","")</f>
        <v/>
      </c>
      <c r="H335" s="4" t="str">
        <f>HYPERLINK("http://141.218.60.56/~jnz1568/getInfo.php?workbook=02_02.xlsx&amp;sheet=U0&amp;row=335&amp;col=8&amp;number=3.699&amp;sourceID=29","3.699")</f>
        <v>3.699</v>
      </c>
      <c r="I335" s="4" t="str">
        <f>HYPERLINK("http://141.218.60.56/~jnz1568/getInfo.php?workbook=02_02.xlsx&amp;sheet=U0&amp;row=335&amp;col=9&amp;number=3.047&amp;sourceID=1","3.047")</f>
        <v>3.047</v>
      </c>
    </row>
    <row r="336" spans="1:9">
      <c r="A336" s="3"/>
      <c r="B336" s="3"/>
      <c r="C336" s="3"/>
      <c r="D336" s="3"/>
      <c r="E336" s="3">
        <v>3</v>
      </c>
      <c r="F336" s="4" t="str">
        <f>HYPERLINK("http://141.218.60.56/~jnz1568/getInfo.php?workbook=02_02.xlsx&amp;sheet=U0&amp;row=336&amp;col=6&amp;number=&amp;sourceID=28","")</f>
        <v/>
      </c>
      <c r="G336" s="4" t="str">
        <f>HYPERLINK("http://141.218.60.56/~jnz1568/getInfo.php?workbook=02_02.xlsx&amp;sheet=U0&amp;row=336&amp;col=7&amp;number=&amp;sourceID=1","")</f>
        <v/>
      </c>
      <c r="H336" s="4" t="str">
        <f>HYPERLINK("http://141.218.60.56/~jnz1568/getInfo.php?workbook=02_02.xlsx&amp;sheet=U0&amp;row=336&amp;col=8&amp;number=4&amp;sourceID=29","4")</f>
        <v>4</v>
      </c>
      <c r="I336" s="4" t="str">
        <f>HYPERLINK("http://141.218.60.56/~jnz1568/getInfo.php?workbook=02_02.xlsx&amp;sheet=U0&amp;row=336&amp;col=9&amp;number=2.669&amp;sourceID=1","2.669")</f>
        <v>2.669</v>
      </c>
    </row>
    <row r="337" spans="1:9">
      <c r="A337" s="3"/>
      <c r="B337" s="3"/>
      <c r="C337" s="3"/>
      <c r="D337" s="3"/>
      <c r="E337" s="3">
        <v>4</v>
      </c>
      <c r="F337" s="4" t="str">
        <f>HYPERLINK("http://141.218.60.56/~jnz1568/getInfo.php?workbook=02_02.xlsx&amp;sheet=U0&amp;row=337&amp;col=6&amp;number=&amp;sourceID=28","")</f>
        <v/>
      </c>
      <c r="G337" s="4" t="str">
        <f>HYPERLINK("http://141.218.60.56/~jnz1568/getInfo.php?workbook=02_02.xlsx&amp;sheet=U0&amp;row=337&amp;col=7&amp;number=&amp;sourceID=1","")</f>
        <v/>
      </c>
      <c r="H337" s="4" t="str">
        <f>HYPERLINK("http://141.218.60.56/~jnz1568/getInfo.php?workbook=02_02.xlsx&amp;sheet=U0&amp;row=337&amp;col=8&amp;number=4.176&amp;sourceID=29","4.176")</f>
        <v>4.176</v>
      </c>
      <c r="I337" s="4" t="str">
        <f>HYPERLINK("http://141.218.60.56/~jnz1568/getInfo.php?workbook=02_02.xlsx&amp;sheet=U0&amp;row=337&amp;col=9&amp;number=2.404&amp;sourceID=1","2.404")</f>
        <v>2.404</v>
      </c>
    </row>
    <row r="338" spans="1:9">
      <c r="A338" s="3"/>
      <c r="B338" s="3"/>
      <c r="C338" s="3"/>
      <c r="D338" s="3"/>
      <c r="E338" s="3">
        <v>5</v>
      </c>
      <c r="F338" s="4" t="str">
        <f>HYPERLINK("http://141.218.60.56/~jnz1568/getInfo.php?workbook=02_02.xlsx&amp;sheet=U0&amp;row=338&amp;col=6&amp;number=&amp;sourceID=28","")</f>
        <v/>
      </c>
      <c r="G338" s="4" t="str">
        <f>HYPERLINK("http://141.218.60.56/~jnz1568/getInfo.php?workbook=02_02.xlsx&amp;sheet=U0&amp;row=338&amp;col=7&amp;number=&amp;sourceID=1","")</f>
        <v/>
      </c>
      <c r="H338" s="4" t="str">
        <f>HYPERLINK("http://141.218.60.56/~jnz1568/getInfo.php?workbook=02_02.xlsx&amp;sheet=U0&amp;row=338&amp;col=8&amp;number=4.301&amp;sourceID=29","4.301")</f>
        <v>4.301</v>
      </c>
      <c r="I338" s="4" t="str">
        <f>HYPERLINK("http://141.218.60.56/~jnz1568/getInfo.php?workbook=02_02.xlsx&amp;sheet=U0&amp;row=338&amp;col=9&amp;number=2.205&amp;sourceID=1","2.205")</f>
        <v>2.205</v>
      </c>
    </row>
    <row r="339" spans="1:9">
      <c r="A339" s="3"/>
      <c r="B339" s="3"/>
      <c r="C339" s="3"/>
      <c r="D339" s="3"/>
      <c r="E339" s="3">
        <v>6</v>
      </c>
      <c r="F339" s="4" t="str">
        <f>HYPERLINK("http://141.218.60.56/~jnz1568/getInfo.php?workbook=02_02.xlsx&amp;sheet=U0&amp;row=339&amp;col=6&amp;number=&amp;sourceID=28","")</f>
        <v/>
      </c>
      <c r="G339" s="4" t="str">
        <f>HYPERLINK("http://141.218.60.56/~jnz1568/getInfo.php?workbook=02_02.xlsx&amp;sheet=U0&amp;row=339&amp;col=7&amp;number=&amp;sourceID=1","")</f>
        <v/>
      </c>
      <c r="H339" s="4" t="str">
        <f>HYPERLINK("http://141.218.60.56/~jnz1568/getInfo.php?workbook=02_02.xlsx&amp;sheet=U0&amp;row=339&amp;col=8&amp;number=4.398&amp;sourceID=29","4.398")</f>
        <v>4.398</v>
      </c>
      <c r="I339" s="4" t="str">
        <f>HYPERLINK("http://141.218.60.56/~jnz1568/getInfo.php?workbook=02_02.xlsx&amp;sheet=U0&amp;row=339&amp;col=9&amp;number=2.043&amp;sourceID=1","2.043")</f>
        <v>2.043</v>
      </c>
    </row>
    <row r="340" spans="1:9">
      <c r="A340" s="3"/>
      <c r="B340" s="3"/>
      <c r="C340" s="3"/>
      <c r="D340" s="3"/>
      <c r="E340" s="3">
        <v>7</v>
      </c>
      <c r="F340" s="4" t="str">
        <f>HYPERLINK("http://141.218.60.56/~jnz1568/getInfo.php?workbook=02_02.xlsx&amp;sheet=U0&amp;row=340&amp;col=6&amp;number=&amp;sourceID=28","")</f>
        <v/>
      </c>
      <c r="G340" s="4" t="str">
        <f>HYPERLINK("http://141.218.60.56/~jnz1568/getInfo.php?workbook=02_02.xlsx&amp;sheet=U0&amp;row=340&amp;col=7&amp;number=&amp;sourceID=1","")</f>
        <v/>
      </c>
      <c r="H340" s="4" t="str">
        <f>HYPERLINK("http://141.218.60.56/~jnz1568/getInfo.php?workbook=02_02.xlsx&amp;sheet=U0&amp;row=340&amp;col=8&amp;number=4.477&amp;sourceID=29","4.477")</f>
        <v>4.477</v>
      </c>
      <c r="I340" s="4" t="str">
        <f>HYPERLINK("http://141.218.60.56/~jnz1568/getInfo.php?workbook=02_02.xlsx&amp;sheet=U0&amp;row=340&amp;col=9&amp;number=1.906&amp;sourceID=1","1.906")</f>
        <v>1.906</v>
      </c>
    </row>
    <row r="341" spans="1:9">
      <c r="A341" s="3">
        <v>2</v>
      </c>
      <c r="B341" s="3">
        <v>2</v>
      </c>
      <c r="C341" s="3">
        <v>10</v>
      </c>
      <c r="D341" s="3">
        <v>8</v>
      </c>
      <c r="E341" s="3">
        <v>1</v>
      </c>
      <c r="F341" s="4" t="str">
        <f>HYPERLINK("http://141.218.60.56/~jnz1568/getInfo.php?workbook=02_02.xlsx&amp;sheet=U0&amp;row=341&amp;col=6&amp;number=&amp;sourceID=28","")</f>
        <v/>
      </c>
      <c r="G341" s="4" t="str">
        <f>HYPERLINK("http://141.218.60.56/~jnz1568/getInfo.php?workbook=02_02.xlsx&amp;sheet=U0&amp;row=341&amp;col=7&amp;number=&amp;sourceID=1","")</f>
        <v/>
      </c>
      <c r="H341" s="4" t="str">
        <f>HYPERLINK("http://141.218.60.56/~jnz1568/getInfo.php?workbook=02_02.xlsx&amp;sheet=U0&amp;row=341&amp;col=8&amp;number=3.301&amp;sourceID=29","3.301")</f>
        <v>3.301</v>
      </c>
      <c r="I341" s="4" t="str">
        <f>HYPERLINK("http://141.218.60.56/~jnz1568/getInfo.php?workbook=02_02.xlsx&amp;sheet=U0&amp;row=341&amp;col=9&amp;number=7.508&amp;sourceID=1","7.508")</f>
        <v>7.508</v>
      </c>
    </row>
    <row r="342" spans="1:9">
      <c r="A342" s="3"/>
      <c r="B342" s="3"/>
      <c r="C342" s="3"/>
      <c r="D342" s="3"/>
      <c r="E342" s="3">
        <v>2</v>
      </c>
      <c r="F342" s="4" t="str">
        <f>HYPERLINK("http://141.218.60.56/~jnz1568/getInfo.php?workbook=02_02.xlsx&amp;sheet=U0&amp;row=342&amp;col=6&amp;number=&amp;sourceID=28","")</f>
        <v/>
      </c>
      <c r="G342" s="4" t="str">
        <f>HYPERLINK("http://141.218.60.56/~jnz1568/getInfo.php?workbook=02_02.xlsx&amp;sheet=U0&amp;row=342&amp;col=7&amp;number=&amp;sourceID=1","")</f>
        <v/>
      </c>
      <c r="H342" s="4" t="str">
        <f>HYPERLINK("http://141.218.60.56/~jnz1568/getInfo.php?workbook=02_02.xlsx&amp;sheet=U0&amp;row=342&amp;col=8&amp;number=3.699&amp;sourceID=29","3.699")</f>
        <v>3.699</v>
      </c>
      <c r="I342" s="4" t="str">
        <f>HYPERLINK("http://141.218.60.56/~jnz1568/getInfo.php?workbook=02_02.xlsx&amp;sheet=U0&amp;row=342&amp;col=9&amp;number=7.581&amp;sourceID=1","7.581")</f>
        <v>7.581</v>
      </c>
    </row>
    <row r="343" spans="1:9">
      <c r="A343" s="3"/>
      <c r="B343" s="3"/>
      <c r="C343" s="3"/>
      <c r="D343" s="3"/>
      <c r="E343" s="3">
        <v>3</v>
      </c>
      <c r="F343" s="4" t="str">
        <f>HYPERLINK("http://141.218.60.56/~jnz1568/getInfo.php?workbook=02_02.xlsx&amp;sheet=U0&amp;row=343&amp;col=6&amp;number=&amp;sourceID=28","")</f>
        <v/>
      </c>
      <c r="G343" s="4" t="str">
        <f>HYPERLINK("http://141.218.60.56/~jnz1568/getInfo.php?workbook=02_02.xlsx&amp;sheet=U0&amp;row=343&amp;col=7&amp;number=&amp;sourceID=1","")</f>
        <v/>
      </c>
      <c r="H343" s="4" t="str">
        <f>HYPERLINK("http://141.218.60.56/~jnz1568/getInfo.php?workbook=02_02.xlsx&amp;sheet=U0&amp;row=343&amp;col=8&amp;number=4&amp;sourceID=29","4")</f>
        <v>4</v>
      </c>
      <c r="I343" s="4" t="str">
        <f>HYPERLINK("http://141.218.60.56/~jnz1568/getInfo.php?workbook=02_02.xlsx&amp;sheet=U0&amp;row=343&amp;col=9&amp;number=6.965&amp;sourceID=1","6.965")</f>
        <v>6.965</v>
      </c>
    </row>
    <row r="344" spans="1:9">
      <c r="A344" s="3"/>
      <c r="B344" s="3"/>
      <c r="C344" s="3"/>
      <c r="D344" s="3"/>
      <c r="E344" s="3">
        <v>4</v>
      </c>
      <c r="F344" s="4" t="str">
        <f>HYPERLINK("http://141.218.60.56/~jnz1568/getInfo.php?workbook=02_02.xlsx&amp;sheet=U0&amp;row=344&amp;col=6&amp;number=&amp;sourceID=28","")</f>
        <v/>
      </c>
      <c r="G344" s="4" t="str">
        <f>HYPERLINK("http://141.218.60.56/~jnz1568/getInfo.php?workbook=02_02.xlsx&amp;sheet=U0&amp;row=344&amp;col=7&amp;number=&amp;sourceID=1","")</f>
        <v/>
      </c>
      <c r="H344" s="4" t="str">
        <f>HYPERLINK("http://141.218.60.56/~jnz1568/getInfo.php?workbook=02_02.xlsx&amp;sheet=U0&amp;row=344&amp;col=8&amp;number=4.176&amp;sourceID=29","4.176")</f>
        <v>4.176</v>
      </c>
      <c r="I344" s="4" t="str">
        <f>HYPERLINK("http://141.218.60.56/~jnz1568/getInfo.php?workbook=02_02.xlsx&amp;sheet=U0&amp;row=344&amp;col=9&amp;number=6.415&amp;sourceID=1","6.415")</f>
        <v>6.415</v>
      </c>
    </row>
    <row r="345" spans="1:9">
      <c r="A345" s="3"/>
      <c r="B345" s="3"/>
      <c r="C345" s="3"/>
      <c r="D345" s="3"/>
      <c r="E345" s="3">
        <v>5</v>
      </c>
      <c r="F345" s="4" t="str">
        <f>HYPERLINK("http://141.218.60.56/~jnz1568/getInfo.php?workbook=02_02.xlsx&amp;sheet=U0&amp;row=345&amp;col=6&amp;number=&amp;sourceID=28","")</f>
        <v/>
      </c>
      <c r="G345" s="4" t="str">
        <f>HYPERLINK("http://141.218.60.56/~jnz1568/getInfo.php?workbook=02_02.xlsx&amp;sheet=U0&amp;row=345&amp;col=7&amp;number=&amp;sourceID=1","")</f>
        <v/>
      </c>
      <c r="H345" s="4" t="str">
        <f>HYPERLINK("http://141.218.60.56/~jnz1568/getInfo.php?workbook=02_02.xlsx&amp;sheet=U0&amp;row=345&amp;col=8&amp;number=4.301&amp;sourceID=29","4.301")</f>
        <v>4.301</v>
      </c>
      <c r="I345" s="4" t="str">
        <f>HYPERLINK("http://141.218.60.56/~jnz1568/getInfo.php?workbook=02_02.xlsx&amp;sheet=U0&amp;row=345&amp;col=9&amp;number=5.96&amp;sourceID=1","5.96")</f>
        <v>5.96</v>
      </c>
    </row>
    <row r="346" spans="1:9">
      <c r="A346" s="3"/>
      <c r="B346" s="3"/>
      <c r="C346" s="3"/>
      <c r="D346" s="3"/>
      <c r="E346" s="3">
        <v>6</v>
      </c>
      <c r="F346" s="4" t="str">
        <f>HYPERLINK("http://141.218.60.56/~jnz1568/getInfo.php?workbook=02_02.xlsx&amp;sheet=U0&amp;row=346&amp;col=6&amp;number=&amp;sourceID=28","")</f>
        <v/>
      </c>
      <c r="G346" s="4" t="str">
        <f>HYPERLINK("http://141.218.60.56/~jnz1568/getInfo.php?workbook=02_02.xlsx&amp;sheet=U0&amp;row=346&amp;col=7&amp;number=&amp;sourceID=1","")</f>
        <v/>
      </c>
      <c r="H346" s="4" t="str">
        <f>HYPERLINK("http://141.218.60.56/~jnz1568/getInfo.php?workbook=02_02.xlsx&amp;sheet=U0&amp;row=346&amp;col=8&amp;number=4.398&amp;sourceID=29","4.398")</f>
        <v>4.398</v>
      </c>
      <c r="I346" s="4" t="str">
        <f>HYPERLINK("http://141.218.60.56/~jnz1568/getInfo.php?workbook=02_02.xlsx&amp;sheet=U0&amp;row=346&amp;col=9&amp;number=5.568&amp;sourceID=1","5.568")</f>
        <v>5.568</v>
      </c>
    </row>
    <row r="347" spans="1:9">
      <c r="A347" s="3"/>
      <c r="B347" s="3"/>
      <c r="C347" s="3"/>
      <c r="D347" s="3"/>
      <c r="E347" s="3">
        <v>7</v>
      </c>
      <c r="F347" s="4" t="str">
        <f>HYPERLINK("http://141.218.60.56/~jnz1568/getInfo.php?workbook=02_02.xlsx&amp;sheet=U0&amp;row=347&amp;col=6&amp;number=&amp;sourceID=28","")</f>
        <v/>
      </c>
      <c r="G347" s="4" t="str">
        <f>HYPERLINK("http://141.218.60.56/~jnz1568/getInfo.php?workbook=02_02.xlsx&amp;sheet=U0&amp;row=347&amp;col=7&amp;number=&amp;sourceID=1","")</f>
        <v/>
      </c>
      <c r="H347" s="4" t="str">
        <f>HYPERLINK("http://141.218.60.56/~jnz1568/getInfo.php?workbook=02_02.xlsx&amp;sheet=U0&amp;row=347&amp;col=8&amp;number=4.477&amp;sourceID=29","4.477")</f>
        <v>4.477</v>
      </c>
      <c r="I347" s="4" t="str">
        <f>HYPERLINK("http://141.218.60.56/~jnz1568/getInfo.php?workbook=02_02.xlsx&amp;sheet=U0&amp;row=347&amp;col=9&amp;number=5.222&amp;sourceID=1","5.222")</f>
        <v>5.222</v>
      </c>
    </row>
    <row r="348" spans="1:9">
      <c r="A348" s="3">
        <v>2</v>
      </c>
      <c r="B348" s="3">
        <v>2</v>
      </c>
      <c r="C348" s="3">
        <v>10</v>
      </c>
      <c r="D348" s="3">
        <v>9</v>
      </c>
      <c r="E348" s="3">
        <v>1</v>
      </c>
      <c r="F348" s="4" t="str">
        <f>HYPERLINK("http://141.218.60.56/~jnz1568/getInfo.php?workbook=02_02.xlsx&amp;sheet=U0&amp;row=348&amp;col=6&amp;number=&amp;sourceID=28","")</f>
        <v/>
      </c>
      <c r="G348" s="4" t="str">
        <f>HYPERLINK("http://141.218.60.56/~jnz1568/getInfo.php?workbook=02_02.xlsx&amp;sheet=U0&amp;row=348&amp;col=7&amp;number=&amp;sourceID=1","")</f>
        <v/>
      </c>
      <c r="H348" s="4" t="str">
        <f>HYPERLINK("http://141.218.60.56/~jnz1568/getInfo.php?workbook=02_02.xlsx&amp;sheet=U0&amp;row=348&amp;col=8&amp;number=3.301&amp;sourceID=29","3.301")</f>
        <v>3.301</v>
      </c>
      <c r="I348" s="4" t="str">
        <f>HYPERLINK("http://141.218.60.56/~jnz1568/getInfo.php?workbook=02_02.xlsx&amp;sheet=U0&amp;row=348&amp;col=9&amp;number=4.671&amp;sourceID=1","4.671")</f>
        <v>4.671</v>
      </c>
    </row>
    <row r="349" spans="1:9">
      <c r="A349" s="3"/>
      <c r="B349" s="3"/>
      <c r="C349" s="3"/>
      <c r="D349" s="3"/>
      <c r="E349" s="3">
        <v>2</v>
      </c>
      <c r="F349" s="4" t="str">
        <f>HYPERLINK("http://141.218.60.56/~jnz1568/getInfo.php?workbook=02_02.xlsx&amp;sheet=U0&amp;row=349&amp;col=6&amp;number=&amp;sourceID=28","")</f>
        <v/>
      </c>
      <c r="G349" s="4" t="str">
        <f>HYPERLINK("http://141.218.60.56/~jnz1568/getInfo.php?workbook=02_02.xlsx&amp;sheet=U0&amp;row=349&amp;col=7&amp;number=&amp;sourceID=1","")</f>
        <v/>
      </c>
      <c r="H349" s="4" t="str">
        <f>HYPERLINK("http://141.218.60.56/~jnz1568/getInfo.php?workbook=02_02.xlsx&amp;sheet=U0&amp;row=349&amp;col=8&amp;number=3.699&amp;sourceID=29","3.699")</f>
        <v>3.699</v>
      </c>
      <c r="I349" s="4" t="str">
        <f>HYPERLINK("http://141.218.60.56/~jnz1568/getInfo.php?workbook=02_02.xlsx&amp;sheet=U0&amp;row=349&amp;col=9&amp;number=6.228&amp;sourceID=1","6.228")</f>
        <v>6.228</v>
      </c>
    </row>
    <row r="350" spans="1:9">
      <c r="A350" s="3"/>
      <c r="B350" s="3"/>
      <c r="C350" s="3"/>
      <c r="D350" s="3"/>
      <c r="E350" s="3">
        <v>3</v>
      </c>
      <c r="F350" s="4" t="str">
        <f>HYPERLINK("http://141.218.60.56/~jnz1568/getInfo.php?workbook=02_02.xlsx&amp;sheet=U0&amp;row=350&amp;col=6&amp;number=&amp;sourceID=28","")</f>
        <v/>
      </c>
      <c r="G350" s="4" t="str">
        <f>HYPERLINK("http://141.218.60.56/~jnz1568/getInfo.php?workbook=02_02.xlsx&amp;sheet=U0&amp;row=350&amp;col=7&amp;number=&amp;sourceID=1","")</f>
        <v/>
      </c>
      <c r="H350" s="4" t="str">
        <f>HYPERLINK("http://141.218.60.56/~jnz1568/getInfo.php?workbook=02_02.xlsx&amp;sheet=U0&amp;row=350&amp;col=8&amp;number=4&amp;sourceID=29","4")</f>
        <v>4</v>
      </c>
      <c r="I350" s="4" t="str">
        <f>HYPERLINK("http://141.218.60.56/~jnz1568/getInfo.php?workbook=02_02.xlsx&amp;sheet=U0&amp;row=350&amp;col=9&amp;number=6.939&amp;sourceID=1","6.939")</f>
        <v>6.939</v>
      </c>
    </row>
    <row r="351" spans="1:9">
      <c r="A351" s="3"/>
      <c r="B351" s="3"/>
      <c r="C351" s="3"/>
      <c r="D351" s="3"/>
      <c r="E351" s="3">
        <v>4</v>
      </c>
      <c r="F351" s="4" t="str">
        <f>HYPERLINK("http://141.218.60.56/~jnz1568/getInfo.php?workbook=02_02.xlsx&amp;sheet=U0&amp;row=351&amp;col=6&amp;number=&amp;sourceID=28","")</f>
        <v/>
      </c>
      <c r="G351" s="4" t="str">
        <f>HYPERLINK("http://141.218.60.56/~jnz1568/getInfo.php?workbook=02_02.xlsx&amp;sheet=U0&amp;row=351&amp;col=7&amp;number=&amp;sourceID=1","")</f>
        <v/>
      </c>
      <c r="H351" s="4" t="str">
        <f>HYPERLINK("http://141.218.60.56/~jnz1568/getInfo.php?workbook=02_02.xlsx&amp;sheet=U0&amp;row=351&amp;col=8&amp;number=4.176&amp;sourceID=29","4.176")</f>
        <v>4.176</v>
      </c>
      <c r="I351" s="4" t="str">
        <f>HYPERLINK("http://141.218.60.56/~jnz1568/getInfo.php?workbook=02_02.xlsx&amp;sheet=U0&amp;row=351&amp;col=9&amp;number=7.152&amp;sourceID=1","7.152")</f>
        <v>7.152</v>
      </c>
    </row>
    <row r="352" spans="1:9">
      <c r="A352" s="3"/>
      <c r="B352" s="3"/>
      <c r="C352" s="3"/>
      <c r="D352" s="3"/>
      <c r="E352" s="3">
        <v>5</v>
      </c>
      <c r="F352" s="4" t="str">
        <f>HYPERLINK("http://141.218.60.56/~jnz1568/getInfo.php?workbook=02_02.xlsx&amp;sheet=U0&amp;row=352&amp;col=6&amp;number=&amp;sourceID=28","")</f>
        <v/>
      </c>
      <c r="G352" s="4" t="str">
        <f>HYPERLINK("http://141.218.60.56/~jnz1568/getInfo.php?workbook=02_02.xlsx&amp;sheet=U0&amp;row=352&amp;col=7&amp;number=&amp;sourceID=1","")</f>
        <v/>
      </c>
      <c r="H352" s="4" t="str">
        <f>HYPERLINK("http://141.218.60.56/~jnz1568/getInfo.php?workbook=02_02.xlsx&amp;sheet=U0&amp;row=352&amp;col=8&amp;number=4.301&amp;sourceID=29","4.301")</f>
        <v>4.301</v>
      </c>
      <c r="I352" s="4" t="str">
        <f>HYPERLINK("http://141.218.60.56/~jnz1568/getInfo.php?workbook=02_02.xlsx&amp;sheet=U0&amp;row=352&amp;col=9&amp;number=7.175&amp;sourceID=1","7.175")</f>
        <v>7.175</v>
      </c>
    </row>
    <row r="353" spans="1:9">
      <c r="A353" s="3"/>
      <c r="B353" s="3"/>
      <c r="C353" s="3"/>
      <c r="D353" s="3"/>
      <c r="E353" s="3">
        <v>6</v>
      </c>
      <c r="F353" s="4" t="str">
        <f>HYPERLINK("http://141.218.60.56/~jnz1568/getInfo.php?workbook=02_02.xlsx&amp;sheet=U0&amp;row=353&amp;col=6&amp;number=&amp;sourceID=28","")</f>
        <v/>
      </c>
      <c r="G353" s="4" t="str">
        <f>HYPERLINK("http://141.218.60.56/~jnz1568/getInfo.php?workbook=02_02.xlsx&amp;sheet=U0&amp;row=353&amp;col=7&amp;number=&amp;sourceID=1","")</f>
        <v/>
      </c>
      <c r="H353" s="4" t="str">
        <f>HYPERLINK("http://141.218.60.56/~jnz1568/getInfo.php?workbook=02_02.xlsx&amp;sheet=U0&amp;row=353&amp;col=8&amp;number=4.398&amp;sourceID=29","4.398")</f>
        <v>4.398</v>
      </c>
      <c r="I353" s="4" t="str">
        <f>HYPERLINK("http://141.218.60.56/~jnz1568/getInfo.php?workbook=02_02.xlsx&amp;sheet=U0&amp;row=353&amp;col=9&amp;number=7.089&amp;sourceID=1","7.089")</f>
        <v>7.089</v>
      </c>
    </row>
    <row r="354" spans="1:9">
      <c r="A354" s="3"/>
      <c r="B354" s="3"/>
      <c r="C354" s="3"/>
      <c r="D354" s="3"/>
      <c r="E354" s="3">
        <v>7</v>
      </c>
      <c r="F354" s="4" t="str">
        <f>HYPERLINK("http://141.218.60.56/~jnz1568/getInfo.php?workbook=02_02.xlsx&amp;sheet=U0&amp;row=354&amp;col=6&amp;number=&amp;sourceID=28","")</f>
        <v/>
      </c>
      <c r="G354" s="4" t="str">
        <f>HYPERLINK("http://141.218.60.56/~jnz1568/getInfo.php?workbook=02_02.xlsx&amp;sheet=U0&amp;row=354&amp;col=7&amp;number=&amp;sourceID=1","")</f>
        <v/>
      </c>
      <c r="H354" s="4" t="str">
        <f>HYPERLINK("http://141.218.60.56/~jnz1568/getInfo.php?workbook=02_02.xlsx&amp;sheet=U0&amp;row=354&amp;col=8&amp;number=4.477&amp;sourceID=29","4.477")</f>
        <v>4.477</v>
      </c>
      <c r="I354" s="4" t="str">
        <f>HYPERLINK("http://141.218.60.56/~jnz1568/getInfo.php?workbook=02_02.xlsx&amp;sheet=U0&amp;row=354&amp;col=9&amp;number=6.939&amp;sourceID=1","6.939")</f>
        <v>6.939</v>
      </c>
    </row>
    <row r="355" spans="1:9">
      <c r="A355" s="3">
        <v>2</v>
      </c>
      <c r="B355" s="3">
        <v>2</v>
      </c>
      <c r="C355" s="3">
        <v>11</v>
      </c>
      <c r="D355" s="3">
        <v>1</v>
      </c>
      <c r="E355" s="3">
        <v>1</v>
      </c>
      <c r="F355" s="4" t="str">
        <f>HYPERLINK("http://141.218.60.56/~jnz1568/getInfo.php?workbook=02_02.xlsx&amp;sheet=U0&amp;row=355&amp;col=6&amp;number=3.75&amp;sourceID=28","3.75")</f>
        <v>3.75</v>
      </c>
      <c r="G355" s="4" t="str">
        <f>HYPERLINK("http://141.218.60.56/~jnz1568/getInfo.php?workbook=02_02.xlsx&amp;sheet=U0&amp;row=355&amp;col=7&amp;number=0.002783&amp;sourceID=1","0.002783")</f>
        <v>0.002783</v>
      </c>
      <c r="H355" s="4" t="str">
        <f>HYPERLINK("http://141.218.60.56/~jnz1568/getInfo.php?workbook=02_02.xlsx&amp;sheet=U0&amp;row=355&amp;col=8&amp;number=3.301&amp;sourceID=29","3.301")</f>
        <v>3.301</v>
      </c>
      <c r="I355" s="4" t="str">
        <f>HYPERLINK("http://141.218.60.56/~jnz1568/getInfo.php?workbook=02_02.xlsx&amp;sheet=U0&amp;row=355&amp;col=9&amp;number=0.001162&amp;sourceID=1","0.001162")</f>
        <v>0.001162</v>
      </c>
    </row>
    <row r="356" spans="1:9">
      <c r="A356" s="3"/>
      <c r="B356" s="3"/>
      <c r="C356" s="3"/>
      <c r="D356" s="3"/>
      <c r="E356" s="3">
        <v>2</v>
      </c>
      <c r="F356" s="4" t="str">
        <f>HYPERLINK("http://141.218.60.56/~jnz1568/getInfo.php?workbook=02_02.xlsx&amp;sheet=U0&amp;row=356&amp;col=6&amp;number=4&amp;sourceID=28","4")</f>
        <v>4</v>
      </c>
      <c r="G356" s="4" t="str">
        <f>HYPERLINK("http://141.218.60.56/~jnz1568/getInfo.php?workbook=02_02.xlsx&amp;sheet=U0&amp;row=356&amp;col=7&amp;number=0.003678&amp;sourceID=1","0.003678")</f>
        <v>0.003678</v>
      </c>
      <c r="H356" s="4" t="str">
        <f>HYPERLINK("http://141.218.60.56/~jnz1568/getInfo.php?workbook=02_02.xlsx&amp;sheet=U0&amp;row=356&amp;col=8&amp;number=3.699&amp;sourceID=29","3.699")</f>
        <v>3.699</v>
      </c>
      <c r="I356" s="4" t="str">
        <f>HYPERLINK("http://141.218.60.56/~jnz1568/getInfo.php?workbook=02_02.xlsx&amp;sheet=U0&amp;row=356&amp;col=9&amp;number=0.002204&amp;sourceID=1","0.002204")</f>
        <v>0.002204</v>
      </c>
    </row>
    <row r="357" spans="1:9">
      <c r="A357" s="3"/>
      <c r="B357" s="3"/>
      <c r="C357" s="3"/>
      <c r="D357" s="3"/>
      <c r="E357" s="3">
        <v>3</v>
      </c>
      <c r="F357" s="4" t="str">
        <f>HYPERLINK("http://141.218.60.56/~jnz1568/getInfo.php?workbook=02_02.xlsx&amp;sheet=U0&amp;row=357&amp;col=6&amp;number=4.25&amp;sourceID=28","4.25")</f>
        <v>4.25</v>
      </c>
      <c r="G357" s="4" t="str">
        <f>HYPERLINK("http://141.218.60.56/~jnz1568/getInfo.php?workbook=02_02.xlsx&amp;sheet=U0&amp;row=357&amp;col=7&amp;number=0.005128&amp;sourceID=1","0.005128")</f>
        <v>0.005128</v>
      </c>
      <c r="H357" s="4" t="str">
        <f>HYPERLINK("http://141.218.60.56/~jnz1568/getInfo.php?workbook=02_02.xlsx&amp;sheet=U0&amp;row=357&amp;col=8&amp;number=4&amp;sourceID=29","4")</f>
        <v>4</v>
      </c>
      <c r="I357" s="4" t="str">
        <f>HYPERLINK("http://141.218.60.56/~jnz1568/getInfo.php?workbook=02_02.xlsx&amp;sheet=U0&amp;row=357&amp;col=9&amp;number=0.003714&amp;sourceID=1","0.003714")</f>
        <v>0.003714</v>
      </c>
    </row>
    <row r="358" spans="1:9">
      <c r="A358" s="3"/>
      <c r="B358" s="3"/>
      <c r="C358" s="3"/>
      <c r="D358" s="3"/>
      <c r="E358" s="3">
        <v>4</v>
      </c>
      <c r="F358" s="4" t="str">
        <f>HYPERLINK("http://141.218.60.56/~jnz1568/getInfo.php?workbook=02_02.xlsx&amp;sheet=U0&amp;row=358&amp;col=6&amp;number=4.5&amp;sourceID=28","4.5")</f>
        <v>4.5</v>
      </c>
      <c r="G358" s="4" t="str">
        <f>HYPERLINK("http://141.218.60.56/~jnz1568/getInfo.php?workbook=02_02.xlsx&amp;sheet=U0&amp;row=358&amp;col=7&amp;number=0.00776&amp;sourceID=1","0.00776")</f>
        <v>0.00776</v>
      </c>
      <c r="H358" s="4" t="str">
        <f>HYPERLINK("http://141.218.60.56/~jnz1568/getInfo.php?workbook=02_02.xlsx&amp;sheet=U0&amp;row=358&amp;col=8&amp;number=4.176&amp;sourceID=29","4.176")</f>
        <v>4.176</v>
      </c>
      <c r="I358" s="4" t="str">
        <f>HYPERLINK("http://141.218.60.56/~jnz1568/getInfo.php?workbook=02_02.xlsx&amp;sheet=U0&amp;row=358&amp;col=9&amp;number=0.005593&amp;sourceID=1","0.005593")</f>
        <v>0.005593</v>
      </c>
    </row>
    <row r="359" spans="1:9">
      <c r="A359" s="3"/>
      <c r="B359" s="3"/>
      <c r="C359" s="3"/>
      <c r="D359" s="3"/>
      <c r="E359" s="3">
        <v>5</v>
      </c>
      <c r="F359" s="4" t="str">
        <f>HYPERLINK("http://141.218.60.56/~jnz1568/getInfo.php?workbook=02_02.xlsx&amp;sheet=U0&amp;row=359&amp;col=6&amp;number=4.75&amp;sourceID=28","4.75")</f>
        <v>4.75</v>
      </c>
      <c r="G359" s="4" t="str">
        <f>HYPERLINK("http://141.218.60.56/~jnz1568/getInfo.php?workbook=02_02.xlsx&amp;sheet=U0&amp;row=359&amp;col=7&amp;number=0.01295&amp;sourceID=1","0.01295")</f>
        <v>0.01295</v>
      </c>
      <c r="H359" s="4" t="str">
        <f>HYPERLINK("http://141.218.60.56/~jnz1568/getInfo.php?workbook=02_02.xlsx&amp;sheet=U0&amp;row=359&amp;col=8&amp;number=4.301&amp;sourceID=29","4.301")</f>
        <v>4.301</v>
      </c>
      <c r="I359" s="4" t="str">
        <f>HYPERLINK("http://141.218.60.56/~jnz1568/getInfo.php?workbook=02_02.xlsx&amp;sheet=U0&amp;row=359&amp;col=9&amp;number=0.007707&amp;sourceID=1","0.007707")</f>
        <v>0.007707</v>
      </c>
    </row>
    <row r="360" spans="1:9">
      <c r="A360" s="3"/>
      <c r="B360" s="3"/>
      <c r="C360" s="3"/>
      <c r="D360" s="3"/>
      <c r="E360" s="3">
        <v>6</v>
      </c>
      <c r="F360" s="4" t="str">
        <f>HYPERLINK("http://141.218.60.56/~jnz1568/getInfo.php?workbook=02_02.xlsx&amp;sheet=U0&amp;row=360&amp;col=6&amp;number=5&amp;sourceID=28","5")</f>
        <v>5</v>
      </c>
      <c r="G360" s="4" t="str">
        <f>HYPERLINK("http://141.218.60.56/~jnz1568/getInfo.php?workbook=02_02.xlsx&amp;sheet=U0&amp;row=360&amp;col=7&amp;number=0.02343&amp;sourceID=1","0.02343")</f>
        <v>0.02343</v>
      </c>
      <c r="H360" s="4" t="str">
        <f>HYPERLINK("http://141.218.60.56/~jnz1568/getInfo.php?workbook=02_02.xlsx&amp;sheet=U0&amp;row=360&amp;col=8&amp;number=4.398&amp;sourceID=29","4.398")</f>
        <v>4.398</v>
      </c>
      <c r="I360" s="4" t="str">
        <f>HYPERLINK("http://141.218.60.56/~jnz1568/getInfo.php?workbook=02_02.xlsx&amp;sheet=U0&amp;row=360&amp;col=9&amp;number=0.009768&amp;sourceID=1","0.009768")</f>
        <v>0.009768</v>
      </c>
    </row>
    <row r="361" spans="1:9">
      <c r="A361" s="3"/>
      <c r="B361" s="3"/>
      <c r="C361" s="3"/>
      <c r="D361" s="3"/>
      <c r="E361" s="3">
        <v>7</v>
      </c>
      <c r="F361" s="4" t="str">
        <f>HYPERLINK("http://141.218.60.56/~jnz1568/getInfo.php?workbook=02_02.xlsx&amp;sheet=U0&amp;row=361&amp;col=6&amp;number=5.25&amp;sourceID=28","5.25")</f>
        <v>5.25</v>
      </c>
      <c r="G361" s="4" t="str">
        <f>HYPERLINK("http://141.218.60.56/~jnz1568/getInfo.php?workbook=02_02.xlsx&amp;sheet=U0&amp;row=361&amp;col=7&amp;number=0.0434&amp;sourceID=1","0.0434")</f>
        <v>0.0434</v>
      </c>
      <c r="H361" s="4" t="str">
        <f>HYPERLINK("http://141.218.60.56/~jnz1568/getInfo.php?workbook=02_02.xlsx&amp;sheet=U0&amp;row=361&amp;col=8&amp;number=4.477&amp;sourceID=29","4.477")</f>
        <v>4.477</v>
      </c>
      <c r="I361" s="4" t="str">
        <f>HYPERLINK("http://141.218.60.56/~jnz1568/getInfo.php?workbook=02_02.xlsx&amp;sheet=U0&amp;row=361&amp;col=9&amp;number=0.01159&amp;sourceID=1","0.01159")</f>
        <v>0.01159</v>
      </c>
    </row>
    <row r="362" spans="1:9">
      <c r="A362" s="3"/>
      <c r="B362" s="3"/>
      <c r="C362" s="3"/>
      <c r="D362" s="3"/>
      <c r="E362" s="3">
        <v>8</v>
      </c>
      <c r="F362" s="4" t="str">
        <f>HYPERLINK("http://141.218.60.56/~jnz1568/getInfo.php?workbook=02_02.xlsx&amp;sheet=U0&amp;row=362&amp;col=6&amp;number=5.5&amp;sourceID=28","5.5")</f>
        <v>5.5</v>
      </c>
      <c r="G362" s="4" t="str">
        <f>HYPERLINK("http://141.218.60.56/~jnz1568/getInfo.php?workbook=02_02.xlsx&amp;sheet=U0&amp;row=362&amp;col=7&amp;number=0.07716&amp;sourceID=1","0.07716")</f>
        <v>0.07716</v>
      </c>
      <c r="H362" s="4" t="str">
        <f>HYPERLINK("http://141.218.60.56/~jnz1568/getInfo.php?workbook=02_02.xlsx&amp;sheet=U0&amp;row=362&amp;col=8&amp;number=&amp;sourceID=29","")</f>
        <v/>
      </c>
      <c r="I362" s="4" t="str">
        <f>HYPERLINK("http://141.218.60.56/~jnz1568/getInfo.php?workbook=02_02.xlsx&amp;sheet=U0&amp;row=362&amp;col=9&amp;number=&amp;sourceID=1","")</f>
        <v/>
      </c>
    </row>
    <row r="363" spans="1:9">
      <c r="A363" s="3"/>
      <c r="B363" s="3"/>
      <c r="C363" s="3"/>
      <c r="D363" s="3"/>
      <c r="E363" s="3">
        <v>9</v>
      </c>
      <c r="F363" s="4" t="str">
        <f>HYPERLINK("http://141.218.60.56/~jnz1568/getInfo.php?workbook=02_02.xlsx&amp;sheet=U0&amp;row=363&amp;col=6&amp;number=5.75&amp;sourceID=28","5.75")</f>
        <v>5.75</v>
      </c>
      <c r="G363" s="4" t="str">
        <f>HYPERLINK("http://141.218.60.56/~jnz1568/getInfo.php?workbook=02_02.xlsx&amp;sheet=U0&amp;row=363&amp;col=7&amp;number=0.1274&amp;sourceID=1","0.1274")</f>
        <v>0.1274</v>
      </c>
      <c r="H363" s="4" t="str">
        <f>HYPERLINK("http://141.218.60.56/~jnz1568/getInfo.php?workbook=02_02.xlsx&amp;sheet=U0&amp;row=363&amp;col=8&amp;number=&amp;sourceID=29","")</f>
        <v/>
      </c>
      <c r="I363" s="4" t="str">
        <f>HYPERLINK("http://141.218.60.56/~jnz1568/getInfo.php?workbook=02_02.xlsx&amp;sheet=U0&amp;row=363&amp;col=9&amp;number=&amp;sourceID=1","")</f>
        <v/>
      </c>
    </row>
    <row r="364" spans="1:9">
      <c r="A364" s="3">
        <v>2</v>
      </c>
      <c r="B364" s="3">
        <v>2</v>
      </c>
      <c r="C364" s="3">
        <v>11</v>
      </c>
      <c r="D364" s="3">
        <v>2</v>
      </c>
      <c r="E364" s="3">
        <v>1</v>
      </c>
      <c r="F364" s="4" t="str">
        <f>HYPERLINK("http://141.218.60.56/~jnz1568/getInfo.php?workbook=02_02.xlsx&amp;sheet=U0&amp;row=364&amp;col=6&amp;number=3.75&amp;sourceID=28","3.75")</f>
        <v>3.75</v>
      </c>
      <c r="G364" s="4" t="str">
        <f>HYPERLINK("http://141.218.60.56/~jnz1568/getInfo.php?workbook=02_02.xlsx&amp;sheet=U0&amp;row=364&amp;col=7&amp;number=0.1306&amp;sourceID=1","0.1306")</f>
        <v>0.1306</v>
      </c>
      <c r="H364" s="4" t="str">
        <f>HYPERLINK("http://141.218.60.56/~jnz1568/getInfo.php?workbook=02_02.xlsx&amp;sheet=U0&amp;row=364&amp;col=8&amp;number=3.301&amp;sourceID=29","3.301")</f>
        <v>3.301</v>
      </c>
      <c r="I364" s="4" t="str">
        <f>HYPERLINK("http://141.218.60.56/~jnz1568/getInfo.php?workbook=02_02.xlsx&amp;sheet=U0&amp;row=364&amp;col=9&amp;number=0.08186&amp;sourceID=1","0.08186")</f>
        <v>0.08186</v>
      </c>
    </row>
    <row r="365" spans="1:9">
      <c r="A365" s="3"/>
      <c r="B365" s="3"/>
      <c r="C365" s="3"/>
      <c r="D365" s="3"/>
      <c r="E365" s="3">
        <v>2</v>
      </c>
      <c r="F365" s="4" t="str">
        <f>HYPERLINK("http://141.218.60.56/~jnz1568/getInfo.php?workbook=02_02.xlsx&amp;sheet=U0&amp;row=365&amp;col=6&amp;number=4&amp;sourceID=28","4")</f>
        <v>4</v>
      </c>
      <c r="G365" s="4" t="str">
        <f>HYPERLINK("http://141.218.60.56/~jnz1568/getInfo.php?workbook=02_02.xlsx&amp;sheet=U0&amp;row=365&amp;col=7&amp;number=0.1499&amp;sourceID=1","0.1499")</f>
        <v>0.1499</v>
      </c>
      <c r="H365" s="4" t="str">
        <f>HYPERLINK("http://141.218.60.56/~jnz1568/getInfo.php?workbook=02_02.xlsx&amp;sheet=U0&amp;row=365&amp;col=8&amp;number=3.699&amp;sourceID=29","3.699")</f>
        <v>3.699</v>
      </c>
      <c r="I365" s="4" t="str">
        <f>HYPERLINK("http://141.218.60.56/~jnz1568/getInfo.php?workbook=02_02.xlsx&amp;sheet=U0&amp;row=365&amp;col=9&amp;number=0.1319&amp;sourceID=1","0.1319")</f>
        <v>0.1319</v>
      </c>
    </row>
    <row r="366" spans="1:9">
      <c r="A366" s="3"/>
      <c r="B366" s="3"/>
      <c r="C366" s="3"/>
      <c r="D366" s="3"/>
      <c r="E366" s="3">
        <v>3</v>
      </c>
      <c r="F366" s="4" t="str">
        <f>HYPERLINK("http://141.218.60.56/~jnz1568/getInfo.php?workbook=02_02.xlsx&amp;sheet=U0&amp;row=366&amp;col=6&amp;number=4.25&amp;sourceID=28","4.25")</f>
        <v>4.25</v>
      </c>
      <c r="G366" s="4" t="str">
        <f>HYPERLINK("http://141.218.60.56/~jnz1568/getInfo.php?workbook=02_02.xlsx&amp;sheet=U0&amp;row=366&amp;col=7&amp;number=0.1543&amp;sourceID=1","0.1543")</f>
        <v>0.1543</v>
      </c>
      <c r="H366" s="4" t="str">
        <f>HYPERLINK("http://141.218.60.56/~jnz1568/getInfo.php?workbook=02_02.xlsx&amp;sheet=U0&amp;row=366&amp;col=8&amp;number=4&amp;sourceID=29","4")</f>
        <v>4</v>
      </c>
      <c r="I366" s="4" t="str">
        <f>HYPERLINK("http://141.218.60.56/~jnz1568/getInfo.php?workbook=02_02.xlsx&amp;sheet=U0&amp;row=366&amp;col=9&amp;number=0.1575&amp;sourceID=1","0.1575")</f>
        <v>0.1575</v>
      </c>
    </row>
    <row r="367" spans="1:9">
      <c r="A367" s="3"/>
      <c r="B367" s="3"/>
      <c r="C367" s="3"/>
      <c r="D367" s="3"/>
      <c r="E367" s="3">
        <v>4</v>
      </c>
      <c r="F367" s="4" t="str">
        <f>HYPERLINK("http://141.218.60.56/~jnz1568/getInfo.php?workbook=02_02.xlsx&amp;sheet=U0&amp;row=367&amp;col=6&amp;number=4.5&amp;sourceID=28","4.5")</f>
        <v>4.5</v>
      </c>
      <c r="G367" s="4" t="str">
        <f>HYPERLINK("http://141.218.60.56/~jnz1568/getInfo.php?workbook=02_02.xlsx&amp;sheet=U0&amp;row=367&amp;col=7&amp;number=0.1439&amp;sourceID=1","0.1439")</f>
        <v>0.1439</v>
      </c>
      <c r="H367" s="4" t="str">
        <f>HYPERLINK("http://141.218.60.56/~jnz1568/getInfo.php?workbook=02_02.xlsx&amp;sheet=U0&amp;row=367&amp;col=8&amp;number=4.176&amp;sourceID=29","4.176")</f>
        <v>4.176</v>
      </c>
      <c r="I367" s="4" t="str">
        <f>HYPERLINK("http://141.218.60.56/~jnz1568/getInfo.php?workbook=02_02.xlsx&amp;sheet=U0&amp;row=367&amp;col=9&amp;number=0.1659&amp;sourceID=1","0.1659")</f>
        <v>0.1659</v>
      </c>
    </row>
    <row r="368" spans="1:9">
      <c r="A368" s="3"/>
      <c r="B368" s="3"/>
      <c r="C368" s="3"/>
      <c r="D368" s="3"/>
      <c r="E368" s="3">
        <v>5</v>
      </c>
      <c r="F368" s="4" t="str">
        <f>HYPERLINK("http://141.218.60.56/~jnz1568/getInfo.php?workbook=02_02.xlsx&amp;sheet=U0&amp;row=368&amp;col=6&amp;number=4.75&amp;sourceID=28","4.75")</f>
        <v>4.75</v>
      </c>
      <c r="G368" s="4" t="str">
        <f>HYPERLINK("http://141.218.60.56/~jnz1568/getInfo.php?workbook=02_02.xlsx&amp;sheet=U0&amp;row=368&amp;col=7&amp;number=0.1234&amp;sourceID=1","0.1234")</f>
        <v>0.1234</v>
      </c>
      <c r="H368" s="4" t="str">
        <f>HYPERLINK("http://141.218.60.56/~jnz1568/getInfo.php?workbook=02_02.xlsx&amp;sheet=U0&amp;row=368&amp;col=8&amp;number=4.301&amp;sourceID=29","4.301")</f>
        <v>4.301</v>
      </c>
      <c r="I368" s="4" t="str">
        <f>HYPERLINK("http://141.218.60.56/~jnz1568/getInfo.php?workbook=02_02.xlsx&amp;sheet=U0&amp;row=368&amp;col=9&amp;number=0.1695&amp;sourceID=1","0.1695")</f>
        <v>0.1695</v>
      </c>
    </row>
    <row r="369" spans="1:9">
      <c r="A369" s="3"/>
      <c r="B369" s="3"/>
      <c r="C369" s="3"/>
      <c r="D369" s="3"/>
      <c r="E369" s="3">
        <v>6</v>
      </c>
      <c r="F369" s="4" t="str">
        <f>HYPERLINK("http://141.218.60.56/~jnz1568/getInfo.php?workbook=02_02.xlsx&amp;sheet=U0&amp;row=369&amp;col=6&amp;number=5&amp;sourceID=28","5")</f>
        <v>5</v>
      </c>
      <c r="G369" s="4" t="str">
        <f>HYPERLINK("http://141.218.60.56/~jnz1568/getInfo.php?workbook=02_02.xlsx&amp;sheet=U0&amp;row=369&amp;col=7&amp;number=0.09896&amp;sourceID=1","0.09896")</f>
        <v>0.09896</v>
      </c>
      <c r="H369" s="4" t="str">
        <f>HYPERLINK("http://141.218.60.56/~jnz1568/getInfo.php?workbook=02_02.xlsx&amp;sheet=U0&amp;row=369&amp;col=8&amp;number=4.398&amp;sourceID=29","4.398")</f>
        <v>4.398</v>
      </c>
      <c r="I369" s="4" t="str">
        <f>HYPERLINK("http://141.218.60.56/~jnz1568/getInfo.php?workbook=02_02.xlsx&amp;sheet=U0&amp;row=369&amp;col=9&amp;number=0.1706&amp;sourceID=1","0.1706")</f>
        <v>0.1706</v>
      </c>
    </row>
    <row r="370" spans="1:9">
      <c r="A370" s="3"/>
      <c r="B370" s="3"/>
      <c r="C370" s="3"/>
      <c r="D370" s="3"/>
      <c r="E370" s="3">
        <v>7</v>
      </c>
      <c r="F370" s="4" t="str">
        <f>HYPERLINK("http://141.218.60.56/~jnz1568/getInfo.php?workbook=02_02.xlsx&amp;sheet=U0&amp;row=370&amp;col=6&amp;number=5.25&amp;sourceID=28","5.25")</f>
        <v>5.25</v>
      </c>
      <c r="G370" s="4" t="str">
        <f>HYPERLINK("http://141.218.60.56/~jnz1568/getInfo.php?workbook=02_02.xlsx&amp;sheet=U0&amp;row=370&amp;col=7&amp;number=0.07494&amp;sourceID=1","0.07494")</f>
        <v>0.07494</v>
      </c>
      <c r="H370" s="4" t="str">
        <f>HYPERLINK("http://141.218.60.56/~jnz1568/getInfo.php?workbook=02_02.xlsx&amp;sheet=U0&amp;row=370&amp;col=8&amp;number=4.477&amp;sourceID=29","4.477")</f>
        <v>4.477</v>
      </c>
      <c r="I370" s="4" t="str">
        <f>HYPERLINK("http://141.218.60.56/~jnz1568/getInfo.php?workbook=02_02.xlsx&amp;sheet=U0&amp;row=370&amp;col=9&amp;number=0.1699&amp;sourceID=1","0.1699")</f>
        <v>0.1699</v>
      </c>
    </row>
    <row r="371" spans="1:9">
      <c r="A371" s="3"/>
      <c r="B371" s="3"/>
      <c r="C371" s="3"/>
      <c r="D371" s="3"/>
      <c r="E371" s="3">
        <v>8</v>
      </c>
      <c r="F371" s="4" t="str">
        <f>HYPERLINK("http://141.218.60.56/~jnz1568/getInfo.php?workbook=02_02.xlsx&amp;sheet=U0&amp;row=371&amp;col=6&amp;number=5.5&amp;sourceID=28","5.5")</f>
        <v>5.5</v>
      </c>
      <c r="G371" s="4" t="str">
        <f>HYPERLINK("http://141.218.60.56/~jnz1568/getInfo.php?workbook=02_02.xlsx&amp;sheet=U0&amp;row=371&amp;col=7&amp;number=0.05367&amp;sourceID=1","0.05367")</f>
        <v>0.05367</v>
      </c>
      <c r="H371" s="4" t="str">
        <f>HYPERLINK("http://141.218.60.56/~jnz1568/getInfo.php?workbook=02_02.xlsx&amp;sheet=U0&amp;row=371&amp;col=8&amp;number=&amp;sourceID=29","")</f>
        <v/>
      </c>
      <c r="I371" s="4" t="str">
        <f>HYPERLINK("http://141.218.60.56/~jnz1568/getInfo.php?workbook=02_02.xlsx&amp;sheet=U0&amp;row=371&amp;col=9&amp;number=&amp;sourceID=1","")</f>
        <v/>
      </c>
    </row>
    <row r="372" spans="1:9">
      <c r="A372" s="3"/>
      <c r="B372" s="3"/>
      <c r="C372" s="3"/>
      <c r="D372" s="3"/>
      <c r="E372" s="3">
        <v>9</v>
      </c>
      <c r="F372" s="4" t="str">
        <f>HYPERLINK("http://141.218.60.56/~jnz1568/getInfo.php?workbook=02_02.xlsx&amp;sheet=U0&amp;row=372&amp;col=6&amp;number=5.75&amp;sourceID=28","5.75")</f>
        <v>5.75</v>
      </c>
      <c r="G372" s="4" t="str">
        <f>HYPERLINK("http://141.218.60.56/~jnz1568/getInfo.php?workbook=02_02.xlsx&amp;sheet=U0&amp;row=372&amp;col=7&amp;number=0.03639&amp;sourceID=1","0.03639")</f>
        <v>0.03639</v>
      </c>
      <c r="H372" s="4" t="str">
        <f>HYPERLINK("http://141.218.60.56/~jnz1568/getInfo.php?workbook=02_02.xlsx&amp;sheet=U0&amp;row=372&amp;col=8&amp;number=&amp;sourceID=29","")</f>
        <v/>
      </c>
      <c r="I372" s="4" t="str">
        <f>HYPERLINK("http://141.218.60.56/~jnz1568/getInfo.php?workbook=02_02.xlsx&amp;sheet=U0&amp;row=372&amp;col=9&amp;number=&amp;sourceID=1","")</f>
        <v/>
      </c>
    </row>
    <row r="373" spans="1:9">
      <c r="A373" s="3">
        <v>2</v>
      </c>
      <c r="B373" s="3">
        <v>2</v>
      </c>
      <c r="C373" s="3">
        <v>11</v>
      </c>
      <c r="D373" s="3">
        <v>3</v>
      </c>
      <c r="E373" s="3">
        <v>1</v>
      </c>
      <c r="F373" s="4" t="str">
        <f>HYPERLINK("http://141.218.60.56/~jnz1568/getInfo.php?workbook=02_02.xlsx&amp;sheet=U0&amp;row=373&amp;col=6&amp;number=3.75&amp;sourceID=28","3.75")</f>
        <v>3.75</v>
      </c>
      <c r="G373" s="4" t="str">
        <f>HYPERLINK("http://141.218.60.56/~jnz1568/getInfo.php?workbook=02_02.xlsx&amp;sheet=U0&amp;row=373&amp;col=7&amp;number=0.2806&amp;sourceID=1","0.2806")</f>
        <v>0.2806</v>
      </c>
      <c r="H373" s="4" t="str">
        <f>HYPERLINK("http://141.218.60.56/~jnz1568/getInfo.php?workbook=02_02.xlsx&amp;sheet=U0&amp;row=373&amp;col=8&amp;number=3.301&amp;sourceID=29","3.301")</f>
        <v>3.301</v>
      </c>
      <c r="I373" s="4" t="str">
        <f>HYPERLINK("http://141.218.60.56/~jnz1568/getInfo.php?workbook=02_02.xlsx&amp;sheet=U0&amp;row=373&amp;col=9&amp;number=0.1926&amp;sourceID=1","0.1926")</f>
        <v>0.1926</v>
      </c>
    </row>
    <row r="374" spans="1:9">
      <c r="A374" s="3"/>
      <c r="B374" s="3"/>
      <c r="C374" s="3"/>
      <c r="D374" s="3"/>
      <c r="E374" s="3">
        <v>2</v>
      </c>
      <c r="F374" s="4" t="str">
        <f>HYPERLINK("http://141.218.60.56/~jnz1568/getInfo.php?workbook=02_02.xlsx&amp;sheet=U0&amp;row=374&amp;col=6&amp;number=4&amp;sourceID=28","4")</f>
        <v>4</v>
      </c>
      <c r="G374" s="4" t="str">
        <f>HYPERLINK("http://141.218.60.56/~jnz1568/getInfo.php?workbook=02_02.xlsx&amp;sheet=U0&amp;row=374&amp;col=7&amp;number=0.3409&amp;sourceID=1","0.3409")</f>
        <v>0.3409</v>
      </c>
      <c r="H374" s="4" t="str">
        <f>HYPERLINK("http://141.218.60.56/~jnz1568/getInfo.php?workbook=02_02.xlsx&amp;sheet=U0&amp;row=374&amp;col=8&amp;number=3.699&amp;sourceID=29","3.699")</f>
        <v>3.699</v>
      </c>
      <c r="I374" s="4" t="str">
        <f>HYPERLINK("http://141.218.60.56/~jnz1568/getInfo.php?workbook=02_02.xlsx&amp;sheet=U0&amp;row=374&amp;col=9&amp;number=0.2781&amp;sourceID=1","0.2781")</f>
        <v>0.2781</v>
      </c>
    </row>
    <row r="375" spans="1:9">
      <c r="A375" s="3"/>
      <c r="B375" s="3"/>
      <c r="C375" s="3"/>
      <c r="D375" s="3"/>
      <c r="E375" s="3">
        <v>3</v>
      </c>
      <c r="F375" s="4" t="str">
        <f>HYPERLINK("http://141.218.60.56/~jnz1568/getInfo.php?workbook=02_02.xlsx&amp;sheet=U0&amp;row=375&amp;col=6&amp;number=4.25&amp;sourceID=28","4.25")</f>
        <v>4.25</v>
      </c>
      <c r="G375" s="4" t="str">
        <f>HYPERLINK("http://141.218.60.56/~jnz1568/getInfo.php?workbook=02_02.xlsx&amp;sheet=U0&amp;row=375&amp;col=7&amp;number=0.4246&amp;sourceID=1","0.4246")</f>
        <v>0.4246</v>
      </c>
      <c r="H375" s="4" t="str">
        <f>HYPERLINK("http://141.218.60.56/~jnz1568/getInfo.php?workbook=02_02.xlsx&amp;sheet=U0&amp;row=375&amp;col=8&amp;number=4&amp;sourceID=29","4")</f>
        <v>4</v>
      </c>
      <c r="I375" s="4" t="str">
        <f>HYPERLINK("http://141.218.60.56/~jnz1568/getInfo.php?workbook=02_02.xlsx&amp;sheet=U0&amp;row=375&amp;col=9&amp;number=0.3435&amp;sourceID=1","0.3435")</f>
        <v>0.3435</v>
      </c>
    </row>
    <row r="376" spans="1:9">
      <c r="A376" s="3"/>
      <c r="B376" s="3"/>
      <c r="C376" s="3"/>
      <c r="D376" s="3"/>
      <c r="E376" s="3">
        <v>4</v>
      </c>
      <c r="F376" s="4" t="str">
        <f>HYPERLINK("http://141.218.60.56/~jnz1568/getInfo.php?workbook=02_02.xlsx&amp;sheet=U0&amp;row=376&amp;col=6&amp;number=4.5&amp;sourceID=28","4.5")</f>
        <v>4.5</v>
      </c>
      <c r="G376" s="4" t="str">
        <f>HYPERLINK("http://141.218.60.56/~jnz1568/getInfo.php?workbook=02_02.xlsx&amp;sheet=U0&amp;row=376&amp;col=7&amp;number=0.5629&amp;sourceID=1","0.5629")</f>
        <v>0.5629</v>
      </c>
      <c r="H376" s="4" t="str">
        <f>HYPERLINK("http://141.218.60.56/~jnz1568/getInfo.php?workbook=02_02.xlsx&amp;sheet=U0&amp;row=376&amp;col=8&amp;number=4.176&amp;sourceID=29","4.176")</f>
        <v>4.176</v>
      </c>
      <c r="I376" s="4" t="str">
        <f>HYPERLINK("http://141.218.60.56/~jnz1568/getInfo.php?workbook=02_02.xlsx&amp;sheet=U0&amp;row=376&amp;col=9&amp;number=0.3923&amp;sourceID=1","0.3923")</f>
        <v>0.3923</v>
      </c>
    </row>
    <row r="377" spans="1:9">
      <c r="A377" s="3"/>
      <c r="B377" s="3"/>
      <c r="C377" s="3"/>
      <c r="D377" s="3"/>
      <c r="E377" s="3">
        <v>5</v>
      </c>
      <c r="F377" s="4" t="str">
        <f>HYPERLINK("http://141.218.60.56/~jnz1568/getInfo.php?workbook=02_02.xlsx&amp;sheet=U0&amp;row=377&amp;col=6&amp;number=4.75&amp;sourceID=28","4.75")</f>
        <v>4.75</v>
      </c>
      <c r="G377" s="4" t="str">
        <f>HYPERLINK("http://141.218.60.56/~jnz1568/getInfo.php?workbook=02_02.xlsx&amp;sheet=U0&amp;row=377&amp;col=7&amp;number=0.8352&amp;sourceID=1","0.8352")</f>
        <v>0.8352</v>
      </c>
      <c r="H377" s="4" t="str">
        <f>HYPERLINK("http://141.218.60.56/~jnz1568/getInfo.php?workbook=02_02.xlsx&amp;sheet=U0&amp;row=377&amp;col=8&amp;number=4.301&amp;sourceID=29","4.301")</f>
        <v>4.301</v>
      </c>
      <c r="I377" s="4" t="str">
        <f>HYPERLINK("http://141.218.60.56/~jnz1568/getInfo.php?workbook=02_02.xlsx&amp;sheet=U0&amp;row=377&amp;col=9&amp;number=0.4377&amp;sourceID=1","0.4377")</f>
        <v>0.4377</v>
      </c>
    </row>
    <row r="378" spans="1:9">
      <c r="A378" s="3"/>
      <c r="B378" s="3"/>
      <c r="C378" s="3"/>
      <c r="D378" s="3"/>
      <c r="E378" s="3">
        <v>6</v>
      </c>
      <c r="F378" s="4" t="str">
        <f>HYPERLINK("http://141.218.60.56/~jnz1568/getInfo.php?workbook=02_02.xlsx&amp;sheet=U0&amp;row=378&amp;col=6&amp;number=5&amp;sourceID=28","5")</f>
        <v>5</v>
      </c>
      <c r="G378" s="4" t="str">
        <f>HYPERLINK("http://141.218.60.56/~jnz1568/getInfo.php?workbook=02_02.xlsx&amp;sheet=U0&amp;row=378&amp;col=7&amp;number=1.374&amp;sourceID=1","1.374")</f>
        <v>1.374</v>
      </c>
      <c r="H378" s="4" t="str">
        <f>HYPERLINK("http://141.218.60.56/~jnz1568/getInfo.php?workbook=02_02.xlsx&amp;sheet=U0&amp;row=378&amp;col=8&amp;number=4.398&amp;sourceID=29","4.398")</f>
        <v>4.398</v>
      </c>
      <c r="I378" s="4" t="str">
        <f>HYPERLINK("http://141.218.60.56/~jnz1568/getInfo.php?workbook=02_02.xlsx&amp;sheet=U0&amp;row=378&amp;col=9&amp;number=0.4785&amp;sourceID=1","0.4785")</f>
        <v>0.4785</v>
      </c>
    </row>
    <row r="379" spans="1:9">
      <c r="A379" s="3"/>
      <c r="B379" s="3"/>
      <c r="C379" s="3"/>
      <c r="D379" s="3"/>
      <c r="E379" s="3">
        <v>7</v>
      </c>
      <c r="F379" s="4" t="str">
        <f>HYPERLINK("http://141.218.60.56/~jnz1568/getInfo.php?workbook=02_02.xlsx&amp;sheet=U0&amp;row=379&amp;col=6&amp;number=5.25&amp;sourceID=28","5.25")</f>
        <v>5.25</v>
      </c>
      <c r="G379" s="4" t="str">
        <f>HYPERLINK("http://141.218.60.56/~jnz1568/getInfo.php?workbook=02_02.xlsx&amp;sheet=U0&amp;row=379&amp;col=7&amp;number=2.301&amp;sourceID=1","2.301")</f>
        <v>2.301</v>
      </c>
      <c r="H379" s="4" t="str">
        <f>HYPERLINK("http://141.218.60.56/~jnz1568/getInfo.php?workbook=02_02.xlsx&amp;sheet=U0&amp;row=379&amp;col=8&amp;number=4.477&amp;sourceID=29","4.477")</f>
        <v>4.477</v>
      </c>
      <c r="I379" s="4" t="str">
        <f>HYPERLINK("http://141.218.60.56/~jnz1568/getInfo.php?workbook=02_02.xlsx&amp;sheet=U0&amp;row=379&amp;col=9&amp;number=0.5123&amp;sourceID=1","0.5123")</f>
        <v>0.5123</v>
      </c>
    </row>
    <row r="380" spans="1:9">
      <c r="A380" s="3"/>
      <c r="B380" s="3"/>
      <c r="C380" s="3"/>
      <c r="D380" s="3"/>
      <c r="E380" s="3">
        <v>8</v>
      </c>
      <c r="F380" s="4" t="str">
        <f>HYPERLINK("http://141.218.60.56/~jnz1568/getInfo.php?workbook=02_02.xlsx&amp;sheet=U0&amp;row=380&amp;col=6&amp;number=5.5&amp;sourceID=28","5.5")</f>
        <v>5.5</v>
      </c>
      <c r="G380" s="4" t="str">
        <f>HYPERLINK("http://141.218.60.56/~jnz1568/getInfo.php?workbook=02_02.xlsx&amp;sheet=U0&amp;row=380&amp;col=7&amp;number=3.638&amp;sourceID=1","3.638")</f>
        <v>3.638</v>
      </c>
      <c r="H380" s="4" t="str">
        <f>HYPERLINK("http://141.218.60.56/~jnz1568/getInfo.php?workbook=02_02.xlsx&amp;sheet=U0&amp;row=380&amp;col=8&amp;number=&amp;sourceID=29","")</f>
        <v/>
      </c>
      <c r="I380" s="4" t="str">
        <f>HYPERLINK("http://141.218.60.56/~jnz1568/getInfo.php?workbook=02_02.xlsx&amp;sheet=U0&amp;row=380&amp;col=9&amp;number=&amp;sourceID=1","")</f>
        <v/>
      </c>
    </row>
    <row r="381" spans="1:9">
      <c r="A381" s="3"/>
      <c r="B381" s="3"/>
      <c r="C381" s="3"/>
      <c r="D381" s="3"/>
      <c r="E381" s="3">
        <v>9</v>
      </c>
      <c r="F381" s="4" t="str">
        <f>HYPERLINK("http://141.218.60.56/~jnz1568/getInfo.php?workbook=02_02.xlsx&amp;sheet=U0&amp;row=381&amp;col=6&amp;number=5.75&amp;sourceID=28","5.75")</f>
        <v>5.75</v>
      </c>
      <c r="G381" s="4" t="str">
        <f>HYPERLINK("http://141.218.60.56/~jnz1568/getInfo.php?workbook=02_02.xlsx&amp;sheet=U0&amp;row=381&amp;col=7&amp;number=5.299&amp;sourceID=1","5.299")</f>
        <v>5.299</v>
      </c>
      <c r="H381" s="4" t="str">
        <f>HYPERLINK("http://141.218.60.56/~jnz1568/getInfo.php?workbook=02_02.xlsx&amp;sheet=U0&amp;row=381&amp;col=8&amp;number=&amp;sourceID=29","")</f>
        <v/>
      </c>
      <c r="I381" s="4" t="str">
        <f>HYPERLINK("http://141.218.60.56/~jnz1568/getInfo.php?workbook=02_02.xlsx&amp;sheet=U0&amp;row=381&amp;col=9&amp;number=&amp;sourceID=1","")</f>
        <v/>
      </c>
    </row>
    <row r="382" spans="1:9">
      <c r="A382" s="3">
        <v>2</v>
      </c>
      <c r="B382" s="3">
        <v>2</v>
      </c>
      <c r="C382" s="3">
        <v>11</v>
      </c>
      <c r="D382" s="3">
        <v>4</v>
      </c>
      <c r="E382" s="3">
        <v>1</v>
      </c>
      <c r="F382" s="4" t="str">
        <f>HYPERLINK("http://141.218.60.56/~jnz1568/getInfo.php?workbook=02_02.xlsx&amp;sheet=U0&amp;row=382&amp;col=6&amp;number=3.75&amp;sourceID=28","3.75")</f>
        <v>3.75</v>
      </c>
      <c r="G382" s="4" t="str">
        <f>HYPERLINK("http://141.218.60.56/~jnz1568/getInfo.php?workbook=02_02.xlsx&amp;sheet=U0&amp;row=382&amp;col=7&amp;number=0.8012&amp;sourceID=1","0.8012")</f>
        <v>0.8012</v>
      </c>
      <c r="H382" s="4" t="str">
        <f>HYPERLINK("http://141.218.60.56/~jnz1568/getInfo.php?workbook=02_02.xlsx&amp;sheet=U0&amp;row=382&amp;col=8&amp;number=3.301&amp;sourceID=29","3.301")</f>
        <v>3.301</v>
      </c>
      <c r="I382" s="4" t="str">
        <f>HYPERLINK("http://141.218.60.56/~jnz1568/getInfo.php?workbook=02_02.xlsx&amp;sheet=U0&amp;row=382&amp;col=9&amp;number=0.2464&amp;sourceID=1","0.2464")</f>
        <v>0.2464</v>
      </c>
    </row>
    <row r="383" spans="1:9">
      <c r="A383" s="3"/>
      <c r="B383" s="3"/>
      <c r="C383" s="3"/>
      <c r="D383" s="3"/>
      <c r="E383" s="3">
        <v>2</v>
      </c>
      <c r="F383" s="4" t="str">
        <f>HYPERLINK("http://141.218.60.56/~jnz1568/getInfo.php?workbook=02_02.xlsx&amp;sheet=U0&amp;row=383&amp;col=6&amp;number=4&amp;sourceID=28","4")</f>
        <v>4</v>
      </c>
      <c r="G383" s="4" t="str">
        <f>HYPERLINK("http://141.218.60.56/~jnz1568/getInfo.php?workbook=02_02.xlsx&amp;sheet=U0&amp;row=383&amp;col=7&amp;number=0.8612&amp;sourceID=1","0.8612")</f>
        <v>0.8612</v>
      </c>
      <c r="H383" s="4" t="str">
        <f>HYPERLINK("http://141.218.60.56/~jnz1568/getInfo.php?workbook=02_02.xlsx&amp;sheet=U0&amp;row=383&amp;col=8&amp;number=3.699&amp;sourceID=29","3.699")</f>
        <v>3.699</v>
      </c>
      <c r="I383" s="4" t="str">
        <f>HYPERLINK("http://141.218.60.56/~jnz1568/getInfo.php?workbook=02_02.xlsx&amp;sheet=U0&amp;row=383&amp;col=9&amp;number=0.4574&amp;sourceID=1","0.4574")</f>
        <v>0.4574</v>
      </c>
    </row>
    <row r="384" spans="1:9">
      <c r="A384" s="3"/>
      <c r="B384" s="3"/>
      <c r="C384" s="3"/>
      <c r="D384" s="3"/>
      <c r="E384" s="3">
        <v>3</v>
      </c>
      <c r="F384" s="4" t="str">
        <f>HYPERLINK("http://141.218.60.56/~jnz1568/getInfo.php?workbook=02_02.xlsx&amp;sheet=U0&amp;row=384&amp;col=6&amp;number=4.25&amp;sourceID=28","4.25")</f>
        <v>4.25</v>
      </c>
      <c r="G384" s="4" t="str">
        <f>HYPERLINK("http://141.218.60.56/~jnz1568/getInfo.php?workbook=02_02.xlsx&amp;sheet=U0&amp;row=384&amp;col=7&amp;number=0.8397&amp;sourceID=1","0.8397")</f>
        <v>0.8397</v>
      </c>
      <c r="H384" s="4" t="str">
        <f>HYPERLINK("http://141.218.60.56/~jnz1568/getInfo.php?workbook=02_02.xlsx&amp;sheet=U0&amp;row=384&amp;col=8&amp;number=4&amp;sourceID=29","4")</f>
        <v>4</v>
      </c>
      <c r="I384" s="4" t="str">
        <f>HYPERLINK("http://141.218.60.56/~jnz1568/getInfo.php?workbook=02_02.xlsx&amp;sheet=U0&amp;row=384&amp;col=9&amp;number=0.5752&amp;sourceID=1","0.5752")</f>
        <v>0.5752</v>
      </c>
    </row>
    <row r="385" spans="1:9">
      <c r="A385" s="3"/>
      <c r="B385" s="3"/>
      <c r="C385" s="3"/>
      <c r="D385" s="3"/>
      <c r="E385" s="3">
        <v>4</v>
      </c>
      <c r="F385" s="4" t="str">
        <f>HYPERLINK("http://141.218.60.56/~jnz1568/getInfo.php?workbook=02_02.xlsx&amp;sheet=U0&amp;row=385&amp;col=6&amp;number=4.5&amp;sourceID=28","4.5")</f>
        <v>4.5</v>
      </c>
      <c r="G385" s="4" t="str">
        <f>HYPERLINK("http://141.218.60.56/~jnz1568/getInfo.php?workbook=02_02.xlsx&amp;sheet=U0&amp;row=385&amp;col=7&amp;number=0.7465&amp;sourceID=1","0.7465")</f>
        <v>0.7465</v>
      </c>
      <c r="H385" s="4" t="str">
        <f>HYPERLINK("http://141.218.60.56/~jnz1568/getInfo.php?workbook=02_02.xlsx&amp;sheet=U0&amp;row=385&amp;col=8&amp;number=4.176&amp;sourceID=29","4.176")</f>
        <v>4.176</v>
      </c>
      <c r="I385" s="4" t="str">
        <f>HYPERLINK("http://141.218.60.56/~jnz1568/getInfo.php?workbook=02_02.xlsx&amp;sheet=U0&amp;row=385&amp;col=9&amp;number=0.6072&amp;sourceID=1","0.6072")</f>
        <v>0.6072</v>
      </c>
    </row>
    <row r="386" spans="1:9">
      <c r="A386" s="3"/>
      <c r="B386" s="3"/>
      <c r="C386" s="3"/>
      <c r="D386" s="3"/>
      <c r="E386" s="3">
        <v>5</v>
      </c>
      <c r="F386" s="4" t="str">
        <f>HYPERLINK("http://141.218.60.56/~jnz1568/getInfo.php?workbook=02_02.xlsx&amp;sheet=U0&amp;row=386&amp;col=6&amp;number=4.75&amp;sourceID=28","4.75")</f>
        <v>4.75</v>
      </c>
      <c r="G386" s="4" t="str">
        <f>HYPERLINK("http://141.218.60.56/~jnz1568/getInfo.php?workbook=02_02.xlsx&amp;sheet=U0&amp;row=386&amp;col=7&amp;number=0.6137&amp;sourceID=1","0.6137")</f>
        <v>0.6137</v>
      </c>
      <c r="H386" s="4" t="str">
        <f>HYPERLINK("http://141.218.60.56/~jnz1568/getInfo.php?workbook=02_02.xlsx&amp;sheet=U0&amp;row=386&amp;col=8&amp;number=4.301&amp;sourceID=29","4.301")</f>
        <v>4.301</v>
      </c>
      <c r="I386" s="4" t="str">
        <f>HYPERLINK("http://141.218.60.56/~jnz1568/getInfo.php?workbook=02_02.xlsx&amp;sheet=U0&amp;row=386&amp;col=9&amp;number=0.6123&amp;sourceID=1","0.6123")</f>
        <v>0.6123</v>
      </c>
    </row>
    <row r="387" spans="1:9">
      <c r="A387" s="3"/>
      <c r="B387" s="3"/>
      <c r="C387" s="3"/>
      <c r="D387" s="3"/>
      <c r="E387" s="3">
        <v>6</v>
      </c>
      <c r="F387" s="4" t="str">
        <f>HYPERLINK("http://141.218.60.56/~jnz1568/getInfo.php?workbook=02_02.xlsx&amp;sheet=U0&amp;row=387&amp;col=6&amp;number=5&amp;sourceID=28","5")</f>
        <v>5</v>
      </c>
      <c r="G387" s="4" t="str">
        <f>HYPERLINK("http://141.218.60.56/~jnz1568/getInfo.php?workbook=02_02.xlsx&amp;sheet=U0&amp;row=387&amp;col=7&amp;number=0.4752&amp;sourceID=1","0.4752")</f>
        <v>0.4752</v>
      </c>
      <c r="H387" s="4" t="str">
        <f>HYPERLINK("http://141.218.60.56/~jnz1568/getInfo.php?workbook=02_02.xlsx&amp;sheet=U0&amp;row=387&amp;col=8&amp;number=4.398&amp;sourceID=29","4.398")</f>
        <v>4.398</v>
      </c>
      <c r="I387" s="4" t="str">
        <f>HYPERLINK("http://141.218.60.56/~jnz1568/getInfo.php?workbook=02_02.xlsx&amp;sheet=U0&amp;row=387&amp;col=9&amp;number=0.6063&amp;sourceID=1","0.6063")</f>
        <v>0.6063</v>
      </c>
    </row>
    <row r="388" spans="1:9">
      <c r="A388" s="3"/>
      <c r="B388" s="3"/>
      <c r="C388" s="3"/>
      <c r="D388" s="3"/>
      <c r="E388" s="3">
        <v>7</v>
      </c>
      <c r="F388" s="4" t="str">
        <f>HYPERLINK("http://141.218.60.56/~jnz1568/getInfo.php?workbook=02_02.xlsx&amp;sheet=U0&amp;row=388&amp;col=6&amp;number=5.25&amp;sourceID=28","5.25")</f>
        <v>5.25</v>
      </c>
      <c r="G388" s="4" t="str">
        <f>HYPERLINK("http://141.218.60.56/~jnz1568/getInfo.php?workbook=02_02.xlsx&amp;sheet=U0&amp;row=388&amp;col=7&amp;number=0.351&amp;sourceID=1","0.351")</f>
        <v>0.351</v>
      </c>
      <c r="H388" s="4" t="str">
        <f>HYPERLINK("http://141.218.60.56/~jnz1568/getInfo.php?workbook=02_02.xlsx&amp;sheet=U0&amp;row=388&amp;col=8&amp;number=4.477&amp;sourceID=29","4.477")</f>
        <v>4.477</v>
      </c>
      <c r="I388" s="4" t="str">
        <f>HYPERLINK("http://141.218.60.56/~jnz1568/getInfo.php?workbook=02_02.xlsx&amp;sheet=U0&amp;row=388&amp;col=9&amp;number=0.5947&amp;sourceID=1","0.5947")</f>
        <v>0.5947</v>
      </c>
    </row>
    <row r="389" spans="1:9">
      <c r="A389" s="3"/>
      <c r="B389" s="3"/>
      <c r="C389" s="3"/>
      <c r="D389" s="3"/>
      <c r="E389" s="3">
        <v>8</v>
      </c>
      <c r="F389" s="4" t="str">
        <f>HYPERLINK("http://141.218.60.56/~jnz1568/getInfo.php?workbook=02_02.xlsx&amp;sheet=U0&amp;row=389&amp;col=6&amp;number=5.5&amp;sourceID=28","5.5")</f>
        <v>5.5</v>
      </c>
      <c r="G389" s="4" t="str">
        <f>HYPERLINK("http://141.218.60.56/~jnz1568/getInfo.php?workbook=02_02.xlsx&amp;sheet=U0&amp;row=389&amp;col=7&amp;number=0.2479&amp;sourceID=1","0.2479")</f>
        <v>0.2479</v>
      </c>
      <c r="H389" s="4" t="str">
        <f>HYPERLINK("http://141.218.60.56/~jnz1568/getInfo.php?workbook=02_02.xlsx&amp;sheet=U0&amp;row=389&amp;col=8&amp;number=&amp;sourceID=29","")</f>
        <v/>
      </c>
      <c r="I389" s="4" t="str">
        <f>HYPERLINK("http://141.218.60.56/~jnz1568/getInfo.php?workbook=02_02.xlsx&amp;sheet=U0&amp;row=389&amp;col=9&amp;number=&amp;sourceID=1","")</f>
        <v/>
      </c>
    </row>
    <row r="390" spans="1:9">
      <c r="A390" s="3"/>
      <c r="B390" s="3"/>
      <c r="C390" s="3"/>
      <c r="D390" s="3"/>
      <c r="E390" s="3">
        <v>9</v>
      </c>
      <c r="F390" s="4" t="str">
        <f>HYPERLINK("http://141.218.60.56/~jnz1568/getInfo.php?workbook=02_02.xlsx&amp;sheet=U0&amp;row=390&amp;col=6&amp;number=5.75&amp;sourceID=28","5.75")</f>
        <v>5.75</v>
      </c>
      <c r="G390" s="4" t="str">
        <f>HYPERLINK("http://141.218.60.56/~jnz1568/getInfo.php?workbook=02_02.xlsx&amp;sheet=U0&amp;row=390&amp;col=7&amp;number=0.1674&amp;sourceID=1","0.1674")</f>
        <v>0.1674</v>
      </c>
      <c r="H390" s="4" t="str">
        <f>HYPERLINK("http://141.218.60.56/~jnz1568/getInfo.php?workbook=02_02.xlsx&amp;sheet=U0&amp;row=390&amp;col=8&amp;number=&amp;sourceID=29","")</f>
        <v/>
      </c>
      <c r="I390" s="4" t="str">
        <f>HYPERLINK("http://141.218.60.56/~jnz1568/getInfo.php?workbook=02_02.xlsx&amp;sheet=U0&amp;row=390&amp;col=9&amp;number=&amp;sourceID=1","")</f>
        <v/>
      </c>
    </row>
    <row r="391" spans="1:9">
      <c r="A391" s="3">
        <v>2</v>
      </c>
      <c r="B391" s="3">
        <v>2</v>
      </c>
      <c r="C391" s="3">
        <v>11</v>
      </c>
      <c r="D391" s="3">
        <v>5</v>
      </c>
      <c r="E391" s="3">
        <v>1</v>
      </c>
      <c r="F391" s="4" t="str">
        <f>HYPERLINK("http://141.218.60.56/~jnz1568/getInfo.php?workbook=02_02.xlsx&amp;sheet=U0&amp;row=391&amp;col=6&amp;number=&amp;sourceID=28","")</f>
        <v/>
      </c>
      <c r="G391" s="4" t="str">
        <f>HYPERLINK("http://141.218.60.56/~jnz1568/getInfo.php?workbook=02_02.xlsx&amp;sheet=U0&amp;row=391&amp;col=7&amp;number=&amp;sourceID=1","")</f>
        <v/>
      </c>
      <c r="H391" s="4" t="str">
        <f>HYPERLINK("http://141.218.60.56/~jnz1568/getInfo.php?workbook=02_02.xlsx&amp;sheet=U0&amp;row=391&amp;col=8&amp;number=3.301&amp;sourceID=29","3.301")</f>
        <v>3.301</v>
      </c>
      <c r="I391" s="4" t="str">
        <f>HYPERLINK("http://141.218.60.56/~jnz1568/getInfo.php?workbook=02_02.xlsx&amp;sheet=U0&amp;row=391&amp;col=9&amp;number=0.4951&amp;sourceID=1","0.4951")</f>
        <v>0.4951</v>
      </c>
    </row>
    <row r="392" spans="1:9">
      <c r="A392" s="3"/>
      <c r="B392" s="3"/>
      <c r="C392" s="3"/>
      <c r="D392" s="3"/>
      <c r="E392" s="3">
        <v>2</v>
      </c>
      <c r="F392" s="4" t="str">
        <f>HYPERLINK("http://141.218.60.56/~jnz1568/getInfo.php?workbook=02_02.xlsx&amp;sheet=U0&amp;row=392&amp;col=6&amp;number=&amp;sourceID=28","")</f>
        <v/>
      </c>
      <c r="G392" s="4" t="str">
        <f>HYPERLINK("http://141.218.60.56/~jnz1568/getInfo.php?workbook=02_02.xlsx&amp;sheet=U0&amp;row=392&amp;col=7&amp;number=&amp;sourceID=1","")</f>
        <v/>
      </c>
      <c r="H392" s="4" t="str">
        <f>HYPERLINK("http://141.218.60.56/~jnz1568/getInfo.php?workbook=02_02.xlsx&amp;sheet=U0&amp;row=392&amp;col=8&amp;number=3.699&amp;sourceID=29","3.699")</f>
        <v>3.699</v>
      </c>
      <c r="I392" s="4" t="str">
        <f>HYPERLINK("http://141.218.60.56/~jnz1568/getInfo.php?workbook=02_02.xlsx&amp;sheet=U0&amp;row=392&amp;col=9&amp;number=0.9313&amp;sourceID=1","0.9313")</f>
        <v>0.9313</v>
      </c>
    </row>
    <row r="393" spans="1:9">
      <c r="A393" s="3"/>
      <c r="B393" s="3"/>
      <c r="C393" s="3"/>
      <c r="D393" s="3"/>
      <c r="E393" s="3">
        <v>3</v>
      </c>
      <c r="F393" s="4" t="str">
        <f>HYPERLINK("http://141.218.60.56/~jnz1568/getInfo.php?workbook=02_02.xlsx&amp;sheet=U0&amp;row=393&amp;col=6&amp;number=&amp;sourceID=28","")</f>
        <v/>
      </c>
      <c r="G393" s="4" t="str">
        <f>HYPERLINK("http://141.218.60.56/~jnz1568/getInfo.php?workbook=02_02.xlsx&amp;sheet=U0&amp;row=393&amp;col=7&amp;number=&amp;sourceID=1","")</f>
        <v/>
      </c>
      <c r="H393" s="4" t="str">
        <f>HYPERLINK("http://141.218.60.56/~jnz1568/getInfo.php?workbook=02_02.xlsx&amp;sheet=U0&amp;row=393&amp;col=8&amp;number=4&amp;sourceID=29","4")</f>
        <v>4</v>
      </c>
      <c r="I393" s="4" t="str">
        <f>HYPERLINK("http://141.218.60.56/~jnz1568/getInfo.php?workbook=02_02.xlsx&amp;sheet=U0&amp;row=393&amp;col=9&amp;number=1.42&amp;sourceID=1","1.42")</f>
        <v>1.42</v>
      </c>
    </row>
    <row r="394" spans="1:9">
      <c r="A394" s="3"/>
      <c r="B394" s="3"/>
      <c r="C394" s="3"/>
      <c r="D394" s="3"/>
      <c r="E394" s="3">
        <v>4</v>
      </c>
      <c r="F394" s="4" t="str">
        <f>HYPERLINK("http://141.218.60.56/~jnz1568/getInfo.php?workbook=02_02.xlsx&amp;sheet=U0&amp;row=394&amp;col=6&amp;number=&amp;sourceID=28","")</f>
        <v/>
      </c>
      <c r="G394" s="4" t="str">
        <f>HYPERLINK("http://141.218.60.56/~jnz1568/getInfo.php?workbook=02_02.xlsx&amp;sheet=U0&amp;row=394&amp;col=7&amp;number=&amp;sourceID=1","")</f>
        <v/>
      </c>
      <c r="H394" s="4" t="str">
        <f>HYPERLINK("http://141.218.60.56/~jnz1568/getInfo.php?workbook=02_02.xlsx&amp;sheet=U0&amp;row=394&amp;col=8&amp;number=4.176&amp;sourceID=29","4.176")</f>
        <v>4.176</v>
      </c>
      <c r="I394" s="4" t="str">
        <f>HYPERLINK("http://141.218.60.56/~jnz1568/getInfo.php?workbook=02_02.xlsx&amp;sheet=U0&amp;row=394&amp;col=9&amp;number=1.85&amp;sourceID=1","1.85")</f>
        <v>1.85</v>
      </c>
    </row>
    <row r="395" spans="1:9">
      <c r="A395" s="3"/>
      <c r="B395" s="3"/>
      <c r="C395" s="3"/>
      <c r="D395" s="3"/>
      <c r="E395" s="3">
        <v>5</v>
      </c>
      <c r="F395" s="4" t="str">
        <f>HYPERLINK("http://141.218.60.56/~jnz1568/getInfo.php?workbook=02_02.xlsx&amp;sheet=U0&amp;row=395&amp;col=6&amp;number=&amp;sourceID=28","")</f>
        <v/>
      </c>
      <c r="G395" s="4" t="str">
        <f>HYPERLINK("http://141.218.60.56/~jnz1568/getInfo.php?workbook=02_02.xlsx&amp;sheet=U0&amp;row=395&amp;col=7&amp;number=&amp;sourceID=1","")</f>
        <v/>
      </c>
      <c r="H395" s="4" t="str">
        <f>HYPERLINK("http://141.218.60.56/~jnz1568/getInfo.php?workbook=02_02.xlsx&amp;sheet=U0&amp;row=395&amp;col=8&amp;number=4.301&amp;sourceID=29","4.301")</f>
        <v>4.301</v>
      </c>
      <c r="I395" s="4" t="str">
        <f>HYPERLINK("http://141.218.60.56/~jnz1568/getInfo.php?workbook=02_02.xlsx&amp;sheet=U0&amp;row=395&amp;col=9&amp;number=2.266&amp;sourceID=1","2.266")</f>
        <v>2.266</v>
      </c>
    </row>
    <row r="396" spans="1:9">
      <c r="A396" s="3"/>
      <c r="B396" s="3"/>
      <c r="C396" s="3"/>
      <c r="D396" s="3"/>
      <c r="E396" s="3">
        <v>6</v>
      </c>
      <c r="F396" s="4" t="str">
        <f>HYPERLINK("http://141.218.60.56/~jnz1568/getInfo.php?workbook=02_02.xlsx&amp;sheet=U0&amp;row=396&amp;col=6&amp;number=&amp;sourceID=28","")</f>
        <v/>
      </c>
      <c r="G396" s="4" t="str">
        <f>HYPERLINK("http://141.218.60.56/~jnz1568/getInfo.php?workbook=02_02.xlsx&amp;sheet=U0&amp;row=396&amp;col=7&amp;number=&amp;sourceID=1","")</f>
        <v/>
      </c>
      <c r="H396" s="4" t="str">
        <f>HYPERLINK("http://141.218.60.56/~jnz1568/getInfo.php?workbook=02_02.xlsx&amp;sheet=U0&amp;row=396&amp;col=8&amp;number=4.398&amp;sourceID=29","4.398")</f>
        <v>4.398</v>
      </c>
      <c r="I396" s="4" t="str">
        <f>HYPERLINK("http://141.218.60.56/~jnz1568/getInfo.php?workbook=02_02.xlsx&amp;sheet=U0&amp;row=396&amp;col=9&amp;number=2.645&amp;sourceID=1","2.645")</f>
        <v>2.645</v>
      </c>
    </row>
    <row r="397" spans="1:9">
      <c r="A397" s="3"/>
      <c r="B397" s="3"/>
      <c r="C397" s="3"/>
      <c r="D397" s="3"/>
      <c r="E397" s="3">
        <v>7</v>
      </c>
      <c r="F397" s="4" t="str">
        <f>HYPERLINK("http://141.218.60.56/~jnz1568/getInfo.php?workbook=02_02.xlsx&amp;sheet=U0&amp;row=397&amp;col=6&amp;number=&amp;sourceID=28","")</f>
        <v/>
      </c>
      <c r="G397" s="4" t="str">
        <f>HYPERLINK("http://141.218.60.56/~jnz1568/getInfo.php?workbook=02_02.xlsx&amp;sheet=U0&amp;row=397&amp;col=7&amp;number=&amp;sourceID=1","")</f>
        <v/>
      </c>
      <c r="H397" s="4" t="str">
        <f>HYPERLINK("http://141.218.60.56/~jnz1568/getInfo.php?workbook=02_02.xlsx&amp;sheet=U0&amp;row=397&amp;col=8&amp;number=4.477&amp;sourceID=29","4.477")</f>
        <v>4.477</v>
      </c>
      <c r="I397" s="4" t="str">
        <f>HYPERLINK("http://141.218.60.56/~jnz1568/getInfo.php?workbook=02_02.xlsx&amp;sheet=U0&amp;row=397&amp;col=9&amp;number=2.966&amp;sourceID=1","2.966")</f>
        <v>2.966</v>
      </c>
    </row>
    <row r="398" spans="1:9">
      <c r="A398" s="3">
        <v>2</v>
      </c>
      <c r="B398" s="3">
        <v>2</v>
      </c>
      <c r="C398" s="3">
        <v>11</v>
      </c>
      <c r="D398" s="3">
        <v>6</v>
      </c>
      <c r="E398" s="3">
        <v>1</v>
      </c>
      <c r="F398" s="4" t="str">
        <f>HYPERLINK("http://141.218.60.56/~jnz1568/getInfo.php?workbook=02_02.xlsx&amp;sheet=U0&amp;row=398&amp;col=6&amp;number=&amp;sourceID=28","")</f>
        <v/>
      </c>
      <c r="G398" s="4" t="str">
        <f>HYPERLINK("http://141.218.60.56/~jnz1568/getInfo.php?workbook=02_02.xlsx&amp;sheet=U0&amp;row=398&amp;col=7&amp;number=&amp;sourceID=1","")</f>
        <v/>
      </c>
      <c r="H398" s="4" t="str">
        <f>HYPERLINK("http://141.218.60.56/~jnz1568/getInfo.php?workbook=02_02.xlsx&amp;sheet=U0&amp;row=398&amp;col=8&amp;number=3.301&amp;sourceID=29","3.301")</f>
        <v>3.301</v>
      </c>
      <c r="I398" s="4" t="str">
        <f>HYPERLINK("http://141.218.60.56/~jnz1568/getInfo.php?workbook=02_02.xlsx&amp;sheet=U0&amp;row=398&amp;col=9&amp;number=1.052&amp;sourceID=1","1.052")</f>
        <v>1.052</v>
      </c>
    </row>
    <row r="399" spans="1:9">
      <c r="A399" s="3"/>
      <c r="B399" s="3"/>
      <c r="C399" s="3"/>
      <c r="D399" s="3"/>
      <c r="E399" s="3">
        <v>2</v>
      </c>
      <c r="F399" s="4" t="str">
        <f>HYPERLINK("http://141.218.60.56/~jnz1568/getInfo.php?workbook=02_02.xlsx&amp;sheet=U0&amp;row=399&amp;col=6&amp;number=&amp;sourceID=28","")</f>
        <v/>
      </c>
      <c r="G399" s="4" t="str">
        <f>HYPERLINK("http://141.218.60.56/~jnz1568/getInfo.php?workbook=02_02.xlsx&amp;sheet=U0&amp;row=399&amp;col=7&amp;number=&amp;sourceID=1","")</f>
        <v/>
      </c>
      <c r="H399" s="4" t="str">
        <f>HYPERLINK("http://141.218.60.56/~jnz1568/getInfo.php?workbook=02_02.xlsx&amp;sheet=U0&amp;row=399&amp;col=8&amp;number=3.699&amp;sourceID=29","3.699")</f>
        <v>3.699</v>
      </c>
      <c r="I399" s="4" t="str">
        <f>HYPERLINK("http://141.218.60.56/~jnz1568/getInfo.php?workbook=02_02.xlsx&amp;sheet=U0&amp;row=399&amp;col=9&amp;number=1.435&amp;sourceID=1","1.435")</f>
        <v>1.435</v>
      </c>
    </row>
    <row r="400" spans="1:9">
      <c r="A400" s="3"/>
      <c r="B400" s="3"/>
      <c r="C400" s="3"/>
      <c r="D400" s="3"/>
      <c r="E400" s="3">
        <v>3</v>
      </c>
      <c r="F400" s="4" t="str">
        <f>HYPERLINK("http://141.218.60.56/~jnz1568/getInfo.php?workbook=02_02.xlsx&amp;sheet=U0&amp;row=400&amp;col=6&amp;number=&amp;sourceID=28","")</f>
        <v/>
      </c>
      <c r="G400" s="4" t="str">
        <f>HYPERLINK("http://141.218.60.56/~jnz1568/getInfo.php?workbook=02_02.xlsx&amp;sheet=U0&amp;row=400&amp;col=7&amp;number=&amp;sourceID=1","")</f>
        <v/>
      </c>
      <c r="H400" s="4" t="str">
        <f>HYPERLINK("http://141.218.60.56/~jnz1568/getInfo.php?workbook=02_02.xlsx&amp;sheet=U0&amp;row=400&amp;col=8&amp;number=4&amp;sourceID=29","4")</f>
        <v>4</v>
      </c>
      <c r="I400" s="4" t="str">
        <f>HYPERLINK("http://141.218.60.56/~jnz1568/getInfo.php?workbook=02_02.xlsx&amp;sheet=U0&amp;row=400&amp;col=9&amp;number=1.458&amp;sourceID=1","1.458")</f>
        <v>1.458</v>
      </c>
    </row>
    <row r="401" spans="1:9">
      <c r="A401" s="3"/>
      <c r="B401" s="3"/>
      <c r="C401" s="3"/>
      <c r="D401" s="3"/>
      <c r="E401" s="3">
        <v>4</v>
      </c>
      <c r="F401" s="4" t="str">
        <f>HYPERLINK("http://141.218.60.56/~jnz1568/getInfo.php?workbook=02_02.xlsx&amp;sheet=U0&amp;row=401&amp;col=6&amp;number=&amp;sourceID=28","")</f>
        <v/>
      </c>
      <c r="G401" s="4" t="str">
        <f>HYPERLINK("http://141.218.60.56/~jnz1568/getInfo.php?workbook=02_02.xlsx&amp;sheet=U0&amp;row=401&amp;col=7&amp;number=&amp;sourceID=1","")</f>
        <v/>
      </c>
      <c r="H401" s="4" t="str">
        <f>HYPERLINK("http://141.218.60.56/~jnz1568/getInfo.php?workbook=02_02.xlsx&amp;sheet=U0&amp;row=401&amp;col=8&amp;number=4.176&amp;sourceID=29","4.176")</f>
        <v>4.176</v>
      </c>
      <c r="I401" s="4" t="str">
        <f>HYPERLINK("http://141.218.60.56/~jnz1568/getInfo.php?workbook=02_02.xlsx&amp;sheet=U0&amp;row=401&amp;col=9&amp;number=1.379&amp;sourceID=1","1.379")</f>
        <v>1.379</v>
      </c>
    </row>
    <row r="402" spans="1:9">
      <c r="A402" s="3"/>
      <c r="B402" s="3"/>
      <c r="C402" s="3"/>
      <c r="D402" s="3"/>
      <c r="E402" s="3">
        <v>5</v>
      </c>
      <c r="F402" s="4" t="str">
        <f>HYPERLINK("http://141.218.60.56/~jnz1568/getInfo.php?workbook=02_02.xlsx&amp;sheet=U0&amp;row=402&amp;col=6&amp;number=&amp;sourceID=28","")</f>
        <v/>
      </c>
      <c r="G402" s="4" t="str">
        <f>HYPERLINK("http://141.218.60.56/~jnz1568/getInfo.php?workbook=02_02.xlsx&amp;sheet=U0&amp;row=402&amp;col=7&amp;number=&amp;sourceID=1","")</f>
        <v/>
      </c>
      <c r="H402" s="4" t="str">
        <f>HYPERLINK("http://141.218.60.56/~jnz1568/getInfo.php?workbook=02_02.xlsx&amp;sheet=U0&amp;row=402&amp;col=8&amp;number=4.301&amp;sourceID=29","4.301")</f>
        <v>4.301</v>
      </c>
      <c r="I402" s="4" t="str">
        <f>HYPERLINK("http://141.218.60.56/~jnz1568/getInfo.php?workbook=02_02.xlsx&amp;sheet=U0&amp;row=402&amp;col=9&amp;number=1.295&amp;sourceID=1","1.295")</f>
        <v>1.295</v>
      </c>
    </row>
    <row r="403" spans="1:9">
      <c r="A403" s="3"/>
      <c r="B403" s="3"/>
      <c r="C403" s="3"/>
      <c r="D403" s="3"/>
      <c r="E403" s="3">
        <v>6</v>
      </c>
      <c r="F403" s="4" t="str">
        <f>HYPERLINK("http://141.218.60.56/~jnz1568/getInfo.php?workbook=02_02.xlsx&amp;sheet=U0&amp;row=403&amp;col=6&amp;number=&amp;sourceID=28","")</f>
        <v/>
      </c>
      <c r="G403" s="4" t="str">
        <f>HYPERLINK("http://141.218.60.56/~jnz1568/getInfo.php?workbook=02_02.xlsx&amp;sheet=U0&amp;row=403&amp;col=7&amp;number=&amp;sourceID=1","")</f>
        <v/>
      </c>
      <c r="H403" s="4" t="str">
        <f>HYPERLINK("http://141.218.60.56/~jnz1568/getInfo.php?workbook=02_02.xlsx&amp;sheet=U0&amp;row=403&amp;col=8&amp;number=4.398&amp;sourceID=29","4.398")</f>
        <v>4.398</v>
      </c>
      <c r="I403" s="4" t="str">
        <f>HYPERLINK("http://141.218.60.56/~jnz1568/getInfo.php?workbook=02_02.xlsx&amp;sheet=U0&amp;row=403&amp;col=9&amp;number=1.211&amp;sourceID=1","1.211")</f>
        <v>1.211</v>
      </c>
    </row>
    <row r="404" spans="1:9">
      <c r="A404" s="3"/>
      <c r="B404" s="3"/>
      <c r="C404" s="3"/>
      <c r="D404" s="3"/>
      <c r="E404" s="3">
        <v>7</v>
      </c>
      <c r="F404" s="4" t="str">
        <f>HYPERLINK("http://141.218.60.56/~jnz1568/getInfo.php?workbook=02_02.xlsx&amp;sheet=U0&amp;row=404&amp;col=6&amp;number=&amp;sourceID=28","")</f>
        <v/>
      </c>
      <c r="G404" s="4" t="str">
        <f>HYPERLINK("http://141.218.60.56/~jnz1568/getInfo.php?workbook=02_02.xlsx&amp;sheet=U0&amp;row=404&amp;col=7&amp;number=&amp;sourceID=1","")</f>
        <v/>
      </c>
      <c r="H404" s="4" t="str">
        <f>HYPERLINK("http://141.218.60.56/~jnz1568/getInfo.php?workbook=02_02.xlsx&amp;sheet=U0&amp;row=404&amp;col=8&amp;number=4.477&amp;sourceID=29","4.477")</f>
        <v>4.477</v>
      </c>
      <c r="I404" s="4" t="str">
        <f>HYPERLINK("http://141.218.60.56/~jnz1568/getInfo.php?workbook=02_02.xlsx&amp;sheet=U0&amp;row=404&amp;col=9&amp;number=1.146&amp;sourceID=1","1.146")</f>
        <v>1.146</v>
      </c>
    </row>
    <row r="405" spans="1:9">
      <c r="A405" s="3">
        <v>2</v>
      </c>
      <c r="B405" s="3">
        <v>2</v>
      </c>
      <c r="C405" s="3">
        <v>11</v>
      </c>
      <c r="D405" s="3">
        <v>8</v>
      </c>
      <c r="E405" s="3">
        <v>1</v>
      </c>
      <c r="F405" s="4" t="str">
        <f>HYPERLINK("http://141.218.60.56/~jnz1568/getInfo.php?workbook=02_02.xlsx&amp;sheet=U0&amp;row=405&amp;col=6&amp;number=&amp;sourceID=28","")</f>
        <v/>
      </c>
      <c r="G405" s="4" t="str">
        <f>HYPERLINK("http://141.218.60.56/~jnz1568/getInfo.php?workbook=02_02.xlsx&amp;sheet=U0&amp;row=405&amp;col=7&amp;number=&amp;sourceID=1","")</f>
        <v/>
      </c>
      <c r="H405" s="4" t="str">
        <f>HYPERLINK("http://141.218.60.56/~jnz1568/getInfo.php?workbook=02_02.xlsx&amp;sheet=U0&amp;row=405&amp;col=8&amp;number=3.301&amp;sourceID=29","3.301")</f>
        <v>3.301</v>
      </c>
      <c r="I405" s="4" t="str">
        <f>HYPERLINK("http://141.218.60.56/~jnz1568/getInfo.php?workbook=02_02.xlsx&amp;sheet=U0&amp;row=405&amp;col=9&amp;number=2.152&amp;sourceID=1","2.152")</f>
        <v>2.152</v>
      </c>
    </row>
    <row r="406" spans="1:9">
      <c r="A406" s="3"/>
      <c r="B406" s="3"/>
      <c r="C406" s="3"/>
      <c r="D406" s="3"/>
      <c r="E406" s="3">
        <v>2</v>
      </c>
      <c r="F406" s="4" t="str">
        <f>HYPERLINK("http://141.218.60.56/~jnz1568/getInfo.php?workbook=02_02.xlsx&amp;sheet=U0&amp;row=406&amp;col=6&amp;number=&amp;sourceID=28","")</f>
        <v/>
      </c>
      <c r="G406" s="4" t="str">
        <f>HYPERLINK("http://141.218.60.56/~jnz1568/getInfo.php?workbook=02_02.xlsx&amp;sheet=U0&amp;row=406&amp;col=7&amp;number=&amp;sourceID=1","")</f>
        <v/>
      </c>
      <c r="H406" s="4" t="str">
        <f>HYPERLINK("http://141.218.60.56/~jnz1568/getInfo.php?workbook=02_02.xlsx&amp;sheet=U0&amp;row=406&amp;col=8&amp;number=3.699&amp;sourceID=29","3.699")</f>
        <v>3.699</v>
      </c>
      <c r="I406" s="4" t="str">
        <f>HYPERLINK("http://141.218.60.56/~jnz1568/getInfo.php?workbook=02_02.xlsx&amp;sheet=U0&amp;row=406&amp;col=9&amp;number=2.997&amp;sourceID=1","2.997")</f>
        <v>2.997</v>
      </c>
    </row>
    <row r="407" spans="1:9">
      <c r="A407" s="3"/>
      <c r="B407" s="3"/>
      <c r="C407" s="3"/>
      <c r="D407" s="3"/>
      <c r="E407" s="3">
        <v>3</v>
      </c>
      <c r="F407" s="4" t="str">
        <f>HYPERLINK("http://141.218.60.56/~jnz1568/getInfo.php?workbook=02_02.xlsx&amp;sheet=U0&amp;row=407&amp;col=6&amp;number=&amp;sourceID=28","")</f>
        <v/>
      </c>
      <c r="G407" s="4" t="str">
        <f>HYPERLINK("http://141.218.60.56/~jnz1568/getInfo.php?workbook=02_02.xlsx&amp;sheet=U0&amp;row=407&amp;col=7&amp;number=&amp;sourceID=1","")</f>
        <v/>
      </c>
      <c r="H407" s="4" t="str">
        <f>HYPERLINK("http://141.218.60.56/~jnz1568/getInfo.php?workbook=02_02.xlsx&amp;sheet=U0&amp;row=407&amp;col=8&amp;number=4&amp;sourceID=29","4")</f>
        <v>4</v>
      </c>
      <c r="I407" s="4" t="str">
        <f>HYPERLINK("http://141.218.60.56/~jnz1568/getInfo.php?workbook=02_02.xlsx&amp;sheet=U0&amp;row=407&amp;col=9&amp;number=3.436&amp;sourceID=1","3.436")</f>
        <v>3.436</v>
      </c>
    </row>
    <row r="408" spans="1:9">
      <c r="A408" s="3"/>
      <c r="B408" s="3"/>
      <c r="C408" s="3"/>
      <c r="D408" s="3"/>
      <c r="E408" s="3">
        <v>4</v>
      </c>
      <c r="F408" s="4" t="str">
        <f>HYPERLINK("http://141.218.60.56/~jnz1568/getInfo.php?workbook=02_02.xlsx&amp;sheet=U0&amp;row=408&amp;col=6&amp;number=&amp;sourceID=28","")</f>
        <v/>
      </c>
      <c r="G408" s="4" t="str">
        <f>HYPERLINK("http://141.218.60.56/~jnz1568/getInfo.php?workbook=02_02.xlsx&amp;sheet=U0&amp;row=408&amp;col=7&amp;number=&amp;sourceID=1","")</f>
        <v/>
      </c>
      <c r="H408" s="4" t="str">
        <f>HYPERLINK("http://141.218.60.56/~jnz1568/getInfo.php?workbook=02_02.xlsx&amp;sheet=U0&amp;row=408&amp;col=8&amp;number=4.176&amp;sourceID=29","4.176")</f>
        <v>4.176</v>
      </c>
      <c r="I408" s="4" t="str">
        <f>HYPERLINK("http://141.218.60.56/~jnz1568/getInfo.php?workbook=02_02.xlsx&amp;sheet=U0&amp;row=408&amp;col=9&amp;number=3.546&amp;sourceID=1","3.546")</f>
        <v>3.546</v>
      </c>
    </row>
    <row r="409" spans="1:9">
      <c r="A409" s="3"/>
      <c r="B409" s="3"/>
      <c r="C409" s="3"/>
      <c r="D409" s="3"/>
      <c r="E409" s="3">
        <v>5</v>
      </c>
      <c r="F409" s="4" t="str">
        <f>HYPERLINK("http://141.218.60.56/~jnz1568/getInfo.php?workbook=02_02.xlsx&amp;sheet=U0&amp;row=409&amp;col=6&amp;number=&amp;sourceID=28","")</f>
        <v/>
      </c>
      <c r="G409" s="4" t="str">
        <f>HYPERLINK("http://141.218.60.56/~jnz1568/getInfo.php?workbook=02_02.xlsx&amp;sheet=U0&amp;row=409&amp;col=7&amp;number=&amp;sourceID=1","")</f>
        <v/>
      </c>
      <c r="H409" s="4" t="str">
        <f>HYPERLINK("http://141.218.60.56/~jnz1568/getInfo.php?workbook=02_02.xlsx&amp;sheet=U0&amp;row=409&amp;col=8&amp;number=4.301&amp;sourceID=29","4.301")</f>
        <v>4.301</v>
      </c>
      <c r="I409" s="4" t="str">
        <f>HYPERLINK("http://141.218.60.56/~jnz1568/getInfo.php?workbook=02_02.xlsx&amp;sheet=U0&amp;row=409&amp;col=9&amp;number=3.522&amp;sourceID=1","3.522")</f>
        <v>3.522</v>
      </c>
    </row>
    <row r="410" spans="1:9">
      <c r="A410" s="3"/>
      <c r="B410" s="3"/>
      <c r="C410" s="3"/>
      <c r="D410" s="3"/>
      <c r="E410" s="3">
        <v>6</v>
      </c>
      <c r="F410" s="4" t="str">
        <f>HYPERLINK("http://141.218.60.56/~jnz1568/getInfo.php?workbook=02_02.xlsx&amp;sheet=U0&amp;row=410&amp;col=6&amp;number=&amp;sourceID=28","")</f>
        <v/>
      </c>
      <c r="G410" s="4" t="str">
        <f>HYPERLINK("http://141.218.60.56/~jnz1568/getInfo.php?workbook=02_02.xlsx&amp;sheet=U0&amp;row=410&amp;col=7&amp;number=&amp;sourceID=1","")</f>
        <v/>
      </c>
      <c r="H410" s="4" t="str">
        <f>HYPERLINK("http://141.218.60.56/~jnz1568/getInfo.php?workbook=02_02.xlsx&amp;sheet=U0&amp;row=410&amp;col=8&amp;number=4.398&amp;sourceID=29","4.398")</f>
        <v>4.398</v>
      </c>
      <c r="I410" s="4" t="str">
        <f>HYPERLINK("http://141.218.60.56/~jnz1568/getInfo.php?workbook=02_02.xlsx&amp;sheet=U0&amp;row=410&amp;col=9&amp;number=3.433&amp;sourceID=1","3.433")</f>
        <v>3.433</v>
      </c>
    </row>
    <row r="411" spans="1:9">
      <c r="A411" s="3"/>
      <c r="B411" s="3"/>
      <c r="C411" s="3"/>
      <c r="D411" s="3"/>
      <c r="E411" s="3">
        <v>7</v>
      </c>
      <c r="F411" s="4" t="str">
        <f>HYPERLINK("http://141.218.60.56/~jnz1568/getInfo.php?workbook=02_02.xlsx&amp;sheet=U0&amp;row=411&amp;col=6&amp;number=&amp;sourceID=28","")</f>
        <v/>
      </c>
      <c r="G411" s="4" t="str">
        <f>HYPERLINK("http://141.218.60.56/~jnz1568/getInfo.php?workbook=02_02.xlsx&amp;sheet=U0&amp;row=411&amp;col=7&amp;number=&amp;sourceID=1","")</f>
        <v/>
      </c>
      <c r="H411" s="4" t="str">
        <f>HYPERLINK("http://141.218.60.56/~jnz1568/getInfo.php?workbook=02_02.xlsx&amp;sheet=U0&amp;row=411&amp;col=8&amp;number=4.477&amp;sourceID=29","4.477")</f>
        <v>4.477</v>
      </c>
      <c r="I411" s="4" t="str">
        <f>HYPERLINK("http://141.218.60.56/~jnz1568/getInfo.php?workbook=02_02.xlsx&amp;sheet=U0&amp;row=411&amp;col=9&amp;number=3.315&amp;sourceID=1","3.315")</f>
        <v>3.315</v>
      </c>
    </row>
    <row r="412" spans="1:9">
      <c r="A412" s="3">
        <v>2</v>
      </c>
      <c r="B412" s="3">
        <v>2</v>
      </c>
      <c r="C412" s="3">
        <v>11</v>
      </c>
      <c r="D412" s="3">
        <v>9</v>
      </c>
      <c r="E412" s="3">
        <v>1</v>
      </c>
      <c r="F412" s="4" t="str">
        <f>HYPERLINK("http://141.218.60.56/~jnz1568/getInfo.php?workbook=02_02.xlsx&amp;sheet=U0&amp;row=412&amp;col=6&amp;number=&amp;sourceID=28","")</f>
        <v/>
      </c>
      <c r="G412" s="4" t="str">
        <f>HYPERLINK("http://141.218.60.56/~jnz1568/getInfo.php?workbook=02_02.xlsx&amp;sheet=U0&amp;row=412&amp;col=7&amp;number=&amp;sourceID=1","")</f>
        <v/>
      </c>
      <c r="H412" s="4" t="str">
        <f>HYPERLINK("http://141.218.60.56/~jnz1568/getInfo.php?workbook=02_02.xlsx&amp;sheet=U0&amp;row=412&amp;col=8&amp;number=3.301&amp;sourceID=29","3.301")</f>
        <v>3.301</v>
      </c>
      <c r="I412" s="4" t="str">
        <f>HYPERLINK("http://141.218.60.56/~jnz1568/getInfo.php?workbook=02_02.xlsx&amp;sheet=U0&amp;row=412&amp;col=9&amp;number=1.563&amp;sourceID=1","1.563")</f>
        <v>1.563</v>
      </c>
    </row>
    <row r="413" spans="1:9">
      <c r="A413" s="3"/>
      <c r="B413" s="3"/>
      <c r="C413" s="3"/>
      <c r="D413" s="3"/>
      <c r="E413" s="3">
        <v>2</v>
      </c>
      <c r="F413" s="4" t="str">
        <f>HYPERLINK("http://141.218.60.56/~jnz1568/getInfo.php?workbook=02_02.xlsx&amp;sheet=U0&amp;row=413&amp;col=6&amp;number=&amp;sourceID=28","")</f>
        <v/>
      </c>
      <c r="G413" s="4" t="str">
        <f>HYPERLINK("http://141.218.60.56/~jnz1568/getInfo.php?workbook=02_02.xlsx&amp;sheet=U0&amp;row=413&amp;col=7&amp;number=&amp;sourceID=1","")</f>
        <v/>
      </c>
      <c r="H413" s="4" t="str">
        <f>HYPERLINK("http://141.218.60.56/~jnz1568/getInfo.php?workbook=02_02.xlsx&amp;sheet=U0&amp;row=413&amp;col=8&amp;number=3.699&amp;sourceID=29","3.699")</f>
        <v>3.699</v>
      </c>
      <c r="I413" s="4" t="str">
        <f>HYPERLINK("http://141.218.60.56/~jnz1568/getInfo.php?workbook=02_02.xlsx&amp;sheet=U0&amp;row=413&amp;col=9&amp;number=2.976&amp;sourceID=1","2.976")</f>
        <v>2.976</v>
      </c>
    </row>
    <row r="414" spans="1:9">
      <c r="A414" s="3"/>
      <c r="B414" s="3"/>
      <c r="C414" s="3"/>
      <c r="D414" s="3"/>
      <c r="E414" s="3">
        <v>3</v>
      </c>
      <c r="F414" s="4" t="str">
        <f>HYPERLINK("http://141.218.60.56/~jnz1568/getInfo.php?workbook=02_02.xlsx&amp;sheet=U0&amp;row=414&amp;col=6&amp;number=&amp;sourceID=28","")</f>
        <v/>
      </c>
      <c r="G414" s="4" t="str">
        <f>HYPERLINK("http://141.218.60.56/~jnz1568/getInfo.php?workbook=02_02.xlsx&amp;sheet=U0&amp;row=414&amp;col=7&amp;number=&amp;sourceID=1","")</f>
        <v/>
      </c>
      <c r="H414" s="4" t="str">
        <f>HYPERLINK("http://141.218.60.56/~jnz1568/getInfo.php?workbook=02_02.xlsx&amp;sheet=U0&amp;row=414&amp;col=8&amp;number=4&amp;sourceID=29","4")</f>
        <v>4</v>
      </c>
      <c r="I414" s="4" t="str">
        <f>HYPERLINK("http://141.218.60.56/~jnz1568/getInfo.php?workbook=02_02.xlsx&amp;sheet=U0&amp;row=414&amp;col=9&amp;number=3.613&amp;sourceID=1","3.613")</f>
        <v>3.613</v>
      </c>
    </row>
    <row r="415" spans="1:9">
      <c r="A415" s="3"/>
      <c r="B415" s="3"/>
      <c r="C415" s="3"/>
      <c r="D415" s="3"/>
      <c r="E415" s="3">
        <v>4</v>
      </c>
      <c r="F415" s="4" t="str">
        <f>HYPERLINK("http://141.218.60.56/~jnz1568/getInfo.php?workbook=02_02.xlsx&amp;sheet=U0&amp;row=415&amp;col=6&amp;number=&amp;sourceID=28","")</f>
        <v/>
      </c>
      <c r="G415" s="4" t="str">
        <f>HYPERLINK("http://141.218.60.56/~jnz1568/getInfo.php?workbook=02_02.xlsx&amp;sheet=U0&amp;row=415&amp;col=7&amp;number=&amp;sourceID=1","")</f>
        <v/>
      </c>
      <c r="H415" s="4" t="str">
        <f>HYPERLINK("http://141.218.60.56/~jnz1568/getInfo.php?workbook=02_02.xlsx&amp;sheet=U0&amp;row=415&amp;col=8&amp;number=4.176&amp;sourceID=29","4.176")</f>
        <v>4.176</v>
      </c>
      <c r="I415" s="4" t="str">
        <f>HYPERLINK("http://141.218.60.56/~jnz1568/getInfo.php?workbook=02_02.xlsx&amp;sheet=U0&amp;row=415&amp;col=9&amp;number=3.739&amp;sourceID=1","3.739")</f>
        <v>3.739</v>
      </c>
    </row>
    <row r="416" spans="1:9">
      <c r="A416" s="3"/>
      <c r="B416" s="3"/>
      <c r="C416" s="3"/>
      <c r="D416" s="3"/>
      <c r="E416" s="3">
        <v>5</v>
      </c>
      <c r="F416" s="4" t="str">
        <f>HYPERLINK("http://141.218.60.56/~jnz1568/getInfo.php?workbook=02_02.xlsx&amp;sheet=U0&amp;row=416&amp;col=6&amp;number=&amp;sourceID=28","")</f>
        <v/>
      </c>
      <c r="G416" s="4" t="str">
        <f>HYPERLINK("http://141.218.60.56/~jnz1568/getInfo.php?workbook=02_02.xlsx&amp;sheet=U0&amp;row=416&amp;col=7&amp;number=&amp;sourceID=1","")</f>
        <v/>
      </c>
      <c r="H416" s="4" t="str">
        <f>HYPERLINK("http://141.218.60.56/~jnz1568/getInfo.php?workbook=02_02.xlsx&amp;sheet=U0&amp;row=416&amp;col=8&amp;number=4.301&amp;sourceID=29","4.301")</f>
        <v>4.301</v>
      </c>
      <c r="I416" s="4" t="str">
        <f>HYPERLINK("http://141.218.60.56/~jnz1568/getInfo.php?workbook=02_02.xlsx&amp;sheet=U0&amp;row=416&amp;col=9&amp;number=3.707&amp;sourceID=1","3.707")</f>
        <v>3.707</v>
      </c>
    </row>
    <row r="417" spans="1:9">
      <c r="A417" s="3"/>
      <c r="B417" s="3"/>
      <c r="C417" s="3"/>
      <c r="D417" s="3"/>
      <c r="E417" s="3">
        <v>6</v>
      </c>
      <c r="F417" s="4" t="str">
        <f>HYPERLINK("http://141.218.60.56/~jnz1568/getInfo.php?workbook=02_02.xlsx&amp;sheet=U0&amp;row=417&amp;col=6&amp;number=&amp;sourceID=28","")</f>
        <v/>
      </c>
      <c r="G417" s="4" t="str">
        <f>HYPERLINK("http://141.218.60.56/~jnz1568/getInfo.php?workbook=02_02.xlsx&amp;sheet=U0&amp;row=417&amp;col=7&amp;number=&amp;sourceID=1","")</f>
        <v/>
      </c>
      <c r="H417" s="4" t="str">
        <f>HYPERLINK("http://141.218.60.56/~jnz1568/getInfo.php?workbook=02_02.xlsx&amp;sheet=U0&amp;row=417&amp;col=8&amp;number=4.398&amp;sourceID=29","4.398")</f>
        <v>4.398</v>
      </c>
      <c r="I417" s="4" t="str">
        <f>HYPERLINK("http://141.218.60.56/~jnz1568/getInfo.php?workbook=02_02.xlsx&amp;sheet=U0&amp;row=417&amp;col=9&amp;number=3.609&amp;sourceID=1","3.609")</f>
        <v>3.609</v>
      </c>
    </row>
    <row r="418" spans="1:9">
      <c r="A418" s="3"/>
      <c r="B418" s="3"/>
      <c r="C418" s="3"/>
      <c r="D418" s="3"/>
      <c r="E418" s="3">
        <v>7</v>
      </c>
      <c r="F418" s="4" t="str">
        <f>HYPERLINK("http://141.218.60.56/~jnz1568/getInfo.php?workbook=02_02.xlsx&amp;sheet=U0&amp;row=418&amp;col=6&amp;number=&amp;sourceID=28","")</f>
        <v/>
      </c>
      <c r="G418" s="4" t="str">
        <f>HYPERLINK("http://141.218.60.56/~jnz1568/getInfo.php?workbook=02_02.xlsx&amp;sheet=U0&amp;row=418&amp;col=7&amp;number=&amp;sourceID=1","")</f>
        <v/>
      </c>
      <c r="H418" s="4" t="str">
        <f>HYPERLINK("http://141.218.60.56/~jnz1568/getInfo.php?workbook=02_02.xlsx&amp;sheet=U0&amp;row=418&amp;col=8&amp;number=4.477&amp;sourceID=29","4.477")</f>
        <v>4.477</v>
      </c>
      <c r="I418" s="4" t="str">
        <f>HYPERLINK("http://141.218.60.56/~jnz1568/getInfo.php?workbook=02_02.xlsx&amp;sheet=U0&amp;row=418&amp;col=9&amp;number=3.482&amp;sourceID=1","3.482")</f>
        <v>3.482</v>
      </c>
    </row>
    <row r="419" spans="1:9">
      <c r="A419" s="3">
        <v>2</v>
      </c>
      <c r="B419" s="3">
        <v>2</v>
      </c>
      <c r="C419" s="3">
        <v>12</v>
      </c>
      <c r="D419" s="3">
        <v>1</v>
      </c>
      <c r="E419" s="3">
        <v>1</v>
      </c>
      <c r="F419" s="4" t="str">
        <f>HYPERLINK("http://141.218.60.56/~jnz1568/getInfo.php?workbook=02_02.xlsx&amp;sheet=U0&amp;row=419&amp;col=6&amp;number=3.75&amp;sourceID=28","3.75")</f>
        <v>3.75</v>
      </c>
      <c r="G419" s="4" t="str">
        <f>HYPERLINK("http://141.218.60.56/~jnz1568/getInfo.php?workbook=02_02.xlsx&amp;sheet=U0&amp;row=419&amp;col=7&amp;number=0.005317&amp;sourceID=1","0.005317")</f>
        <v>0.005317</v>
      </c>
      <c r="H419" s="4" t="str">
        <f>HYPERLINK("http://141.218.60.56/~jnz1568/getInfo.php?workbook=02_02.xlsx&amp;sheet=U0&amp;row=419&amp;col=8&amp;number=3.301&amp;sourceID=29","3.301")</f>
        <v>3.301</v>
      </c>
      <c r="I419" s="4" t="str">
        <f>HYPERLINK("http://141.218.60.56/~jnz1568/getInfo.php?workbook=02_02.xlsx&amp;sheet=U0&amp;row=419&amp;col=9&amp;number=0.006405&amp;sourceID=1","0.006405")</f>
        <v>0.006405</v>
      </c>
    </row>
    <row r="420" spans="1:9">
      <c r="A420" s="3"/>
      <c r="B420" s="3"/>
      <c r="C420" s="3"/>
      <c r="D420" s="3"/>
      <c r="E420" s="3">
        <v>2</v>
      </c>
      <c r="F420" s="4" t="str">
        <f>HYPERLINK("http://141.218.60.56/~jnz1568/getInfo.php?workbook=02_02.xlsx&amp;sheet=U0&amp;row=420&amp;col=6&amp;number=4&amp;sourceID=28","4")</f>
        <v>4</v>
      </c>
      <c r="G420" s="4" t="str">
        <f>HYPERLINK("http://141.218.60.56/~jnz1568/getInfo.php?workbook=02_02.xlsx&amp;sheet=U0&amp;row=420&amp;col=7&amp;number=0.005233&amp;sourceID=1","0.005233")</f>
        <v>0.005233</v>
      </c>
      <c r="H420" s="4" t="str">
        <f>HYPERLINK("http://141.218.60.56/~jnz1568/getInfo.php?workbook=02_02.xlsx&amp;sheet=U0&amp;row=420&amp;col=8&amp;number=3.699&amp;sourceID=29","3.699")</f>
        <v>3.699</v>
      </c>
      <c r="I420" s="4" t="str">
        <f>HYPERLINK("http://141.218.60.56/~jnz1568/getInfo.php?workbook=02_02.xlsx&amp;sheet=U0&amp;row=420&amp;col=9&amp;number=0.006067&amp;sourceID=1","0.006067")</f>
        <v>0.006067</v>
      </c>
    </row>
    <row r="421" spans="1:9">
      <c r="A421" s="3"/>
      <c r="B421" s="3"/>
      <c r="C421" s="3"/>
      <c r="D421" s="3"/>
      <c r="E421" s="3">
        <v>3</v>
      </c>
      <c r="F421" s="4" t="str">
        <f>HYPERLINK("http://141.218.60.56/~jnz1568/getInfo.php?workbook=02_02.xlsx&amp;sheet=U0&amp;row=421&amp;col=6&amp;number=4.25&amp;sourceID=28","4.25")</f>
        <v>4.25</v>
      </c>
      <c r="G421" s="4" t="str">
        <f>HYPERLINK("http://141.218.60.56/~jnz1568/getInfo.php?workbook=02_02.xlsx&amp;sheet=U0&amp;row=421&amp;col=7&amp;number=0.005183&amp;sourceID=1","0.005183")</f>
        <v>0.005183</v>
      </c>
      <c r="H421" s="4" t="str">
        <f>HYPERLINK("http://141.218.60.56/~jnz1568/getInfo.php?workbook=02_02.xlsx&amp;sheet=U0&amp;row=421&amp;col=8&amp;number=4&amp;sourceID=29","4")</f>
        <v>4</v>
      </c>
      <c r="I421" s="4" t="str">
        <f>HYPERLINK("http://141.218.60.56/~jnz1568/getInfo.php?workbook=02_02.xlsx&amp;sheet=U0&amp;row=421&amp;col=9&amp;number=0.006895&amp;sourceID=1","0.006895")</f>
        <v>0.006895</v>
      </c>
    </row>
    <row r="422" spans="1:9">
      <c r="A422" s="3"/>
      <c r="B422" s="3"/>
      <c r="C422" s="3"/>
      <c r="D422" s="3"/>
      <c r="E422" s="3">
        <v>4</v>
      </c>
      <c r="F422" s="4" t="str">
        <f>HYPERLINK("http://141.218.60.56/~jnz1568/getInfo.php?workbook=02_02.xlsx&amp;sheet=U0&amp;row=422&amp;col=6&amp;number=4.5&amp;sourceID=28","4.5")</f>
        <v>4.5</v>
      </c>
      <c r="G422" s="4" t="str">
        <f>HYPERLINK("http://141.218.60.56/~jnz1568/getInfo.php?workbook=02_02.xlsx&amp;sheet=U0&amp;row=422&amp;col=7&amp;number=0.005179&amp;sourceID=1","0.005179")</f>
        <v>0.005179</v>
      </c>
      <c r="H422" s="4" t="str">
        <f>HYPERLINK("http://141.218.60.56/~jnz1568/getInfo.php?workbook=02_02.xlsx&amp;sheet=U0&amp;row=422&amp;col=8&amp;number=4.176&amp;sourceID=29","4.176")</f>
        <v>4.176</v>
      </c>
      <c r="I422" s="4" t="str">
        <f>HYPERLINK("http://141.218.60.56/~jnz1568/getInfo.php?workbook=02_02.xlsx&amp;sheet=U0&amp;row=422&amp;col=9&amp;number=0.007718&amp;sourceID=1","0.007718")</f>
        <v>0.007718</v>
      </c>
    </row>
    <row r="423" spans="1:9">
      <c r="A423" s="3"/>
      <c r="B423" s="3"/>
      <c r="C423" s="3"/>
      <c r="D423" s="3"/>
      <c r="E423" s="3">
        <v>5</v>
      </c>
      <c r="F423" s="4" t="str">
        <f>HYPERLINK("http://141.218.60.56/~jnz1568/getInfo.php?workbook=02_02.xlsx&amp;sheet=U0&amp;row=423&amp;col=6&amp;number=4.75&amp;sourceID=28","4.75")</f>
        <v>4.75</v>
      </c>
      <c r="G423" s="4" t="str">
        <f>HYPERLINK("http://141.218.60.56/~jnz1568/getInfo.php?workbook=02_02.xlsx&amp;sheet=U0&amp;row=423&amp;col=7&amp;number=0.005142&amp;sourceID=1","0.005142")</f>
        <v>0.005142</v>
      </c>
      <c r="H423" s="4" t="str">
        <f>HYPERLINK("http://141.218.60.56/~jnz1568/getInfo.php?workbook=02_02.xlsx&amp;sheet=U0&amp;row=423&amp;col=8&amp;number=4.301&amp;sourceID=29","4.301")</f>
        <v>4.301</v>
      </c>
      <c r="I423" s="4" t="str">
        <f>HYPERLINK("http://141.218.60.56/~jnz1568/getInfo.php?workbook=02_02.xlsx&amp;sheet=U0&amp;row=423&amp;col=9&amp;number=0.008252&amp;sourceID=1","0.008252")</f>
        <v>0.008252</v>
      </c>
    </row>
    <row r="424" spans="1:9">
      <c r="A424" s="3"/>
      <c r="B424" s="3"/>
      <c r="C424" s="3"/>
      <c r="D424" s="3"/>
      <c r="E424" s="3">
        <v>6</v>
      </c>
      <c r="F424" s="4" t="str">
        <f>HYPERLINK("http://141.218.60.56/~jnz1568/getInfo.php?workbook=02_02.xlsx&amp;sheet=U0&amp;row=424&amp;col=6&amp;number=5&amp;sourceID=28","5")</f>
        <v>5</v>
      </c>
      <c r="G424" s="4" t="str">
        <f>HYPERLINK("http://141.218.60.56/~jnz1568/getInfo.php?workbook=02_02.xlsx&amp;sheet=U0&amp;row=424&amp;col=7&amp;number=0.004936&amp;sourceID=1","0.004936")</f>
        <v>0.004936</v>
      </c>
      <c r="H424" s="4" t="str">
        <f>HYPERLINK("http://141.218.60.56/~jnz1568/getInfo.php?workbook=02_02.xlsx&amp;sheet=U0&amp;row=424&amp;col=8&amp;number=4.398&amp;sourceID=29","4.398")</f>
        <v>4.398</v>
      </c>
      <c r="I424" s="4" t="str">
        <f>HYPERLINK("http://141.218.60.56/~jnz1568/getInfo.php?workbook=02_02.xlsx&amp;sheet=U0&amp;row=424&amp;col=9&amp;number=0.008537&amp;sourceID=1","0.008537")</f>
        <v>0.008537</v>
      </c>
    </row>
    <row r="425" spans="1:9">
      <c r="A425" s="3"/>
      <c r="B425" s="3"/>
      <c r="C425" s="3"/>
      <c r="D425" s="3"/>
      <c r="E425" s="3">
        <v>7</v>
      </c>
      <c r="F425" s="4" t="str">
        <f>HYPERLINK("http://141.218.60.56/~jnz1568/getInfo.php?workbook=02_02.xlsx&amp;sheet=U0&amp;row=425&amp;col=6&amp;number=5.25&amp;sourceID=28","5.25")</f>
        <v>5.25</v>
      </c>
      <c r="G425" s="4" t="str">
        <f>HYPERLINK("http://141.218.60.56/~jnz1568/getInfo.php?workbook=02_02.xlsx&amp;sheet=U0&amp;row=425&amp;col=7&amp;number=0.004461&amp;sourceID=1","0.004461")</f>
        <v>0.004461</v>
      </c>
      <c r="H425" s="4" t="str">
        <f>HYPERLINK("http://141.218.60.56/~jnz1568/getInfo.php?workbook=02_02.xlsx&amp;sheet=U0&amp;row=425&amp;col=8&amp;number=4.477&amp;sourceID=29","4.477")</f>
        <v>4.477</v>
      </c>
      <c r="I425" s="4" t="str">
        <f>HYPERLINK("http://141.218.60.56/~jnz1568/getInfo.php?workbook=02_02.xlsx&amp;sheet=U0&amp;row=425&amp;col=9&amp;number=0.008645&amp;sourceID=1","0.008645")</f>
        <v>0.008645</v>
      </c>
    </row>
    <row r="426" spans="1:9">
      <c r="A426" s="3"/>
      <c r="B426" s="3"/>
      <c r="C426" s="3"/>
      <c r="D426" s="3"/>
      <c r="E426" s="3">
        <v>8</v>
      </c>
      <c r="F426" s="4" t="str">
        <f>HYPERLINK("http://141.218.60.56/~jnz1568/getInfo.php?workbook=02_02.xlsx&amp;sheet=U0&amp;row=426&amp;col=6&amp;number=5.5&amp;sourceID=28","5.5")</f>
        <v>5.5</v>
      </c>
      <c r="G426" s="4" t="str">
        <f>HYPERLINK("http://141.218.60.56/~jnz1568/getInfo.php?workbook=02_02.xlsx&amp;sheet=U0&amp;row=426&amp;col=7&amp;number=0.003738&amp;sourceID=1","0.003738")</f>
        <v>0.003738</v>
      </c>
      <c r="H426" s="4" t="str">
        <f>HYPERLINK("http://141.218.60.56/~jnz1568/getInfo.php?workbook=02_02.xlsx&amp;sheet=U0&amp;row=426&amp;col=8&amp;number=&amp;sourceID=29","")</f>
        <v/>
      </c>
      <c r="I426" s="4" t="str">
        <f>HYPERLINK("http://141.218.60.56/~jnz1568/getInfo.php?workbook=02_02.xlsx&amp;sheet=U0&amp;row=426&amp;col=9&amp;number=&amp;sourceID=1","")</f>
        <v/>
      </c>
    </row>
    <row r="427" spans="1:9">
      <c r="A427" s="3"/>
      <c r="B427" s="3"/>
      <c r="C427" s="3"/>
      <c r="D427" s="3"/>
      <c r="E427" s="3">
        <v>9</v>
      </c>
      <c r="F427" s="4" t="str">
        <f>HYPERLINK("http://141.218.60.56/~jnz1568/getInfo.php?workbook=02_02.xlsx&amp;sheet=U0&amp;row=427&amp;col=6&amp;number=5.75&amp;sourceID=28","5.75")</f>
        <v>5.75</v>
      </c>
      <c r="G427" s="4" t="str">
        <f>HYPERLINK("http://141.218.60.56/~jnz1568/getInfo.php?workbook=02_02.xlsx&amp;sheet=U0&amp;row=427&amp;col=7&amp;number=0.002904&amp;sourceID=1","0.002904")</f>
        <v>0.002904</v>
      </c>
      <c r="H427" s="4" t="str">
        <f>HYPERLINK("http://141.218.60.56/~jnz1568/getInfo.php?workbook=02_02.xlsx&amp;sheet=U0&amp;row=427&amp;col=8&amp;number=&amp;sourceID=29","")</f>
        <v/>
      </c>
      <c r="I427" s="4" t="str">
        <f>HYPERLINK("http://141.218.60.56/~jnz1568/getInfo.php?workbook=02_02.xlsx&amp;sheet=U0&amp;row=427&amp;col=9&amp;number=&amp;sourceID=1","")</f>
        <v/>
      </c>
    </row>
    <row r="428" spans="1:9">
      <c r="A428" s="3">
        <v>2</v>
      </c>
      <c r="B428" s="3">
        <v>2</v>
      </c>
      <c r="C428" s="3">
        <v>12</v>
      </c>
      <c r="D428" s="3">
        <v>2</v>
      </c>
      <c r="E428" s="3">
        <v>1</v>
      </c>
      <c r="F428" s="4" t="str">
        <f>HYPERLINK("http://141.218.60.56/~jnz1568/getInfo.php?workbook=02_02.xlsx&amp;sheet=U0&amp;row=428&amp;col=6&amp;number=3.75&amp;sourceID=28","3.75")</f>
        <v>3.75</v>
      </c>
      <c r="G428" s="4" t="str">
        <f>HYPERLINK("http://141.218.60.56/~jnz1568/getInfo.php?workbook=02_02.xlsx&amp;sheet=U0&amp;row=428&amp;col=7&amp;number=0.6651&amp;sourceID=1","0.6651")</f>
        <v>0.6651</v>
      </c>
      <c r="H428" s="4" t="str">
        <f>HYPERLINK("http://141.218.60.56/~jnz1568/getInfo.php?workbook=02_02.xlsx&amp;sheet=U0&amp;row=428&amp;col=8&amp;number=3.301&amp;sourceID=29","3.301")</f>
        <v>3.301</v>
      </c>
      <c r="I428" s="4" t="str">
        <f>HYPERLINK("http://141.218.60.56/~jnz1568/getInfo.php?workbook=02_02.xlsx&amp;sheet=U0&amp;row=428&amp;col=9&amp;number=0.7789&amp;sourceID=1","0.7789")</f>
        <v>0.7789</v>
      </c>
    </row>
    <row r="429" spans="1:9">
      <c r="A429" s="3"/>
      <c r="B429" s="3"/>
      <c r="C429" s="3"/>
      <c r="D429" s="3"/>
      <c r="E429" s="3">
        <v>2</v>
      </c>
      <c r="F429" s="4" t="str">
        <f>HYPERLINK("http://141.218.60.56/~jnz1568/getInfo.php?workbook=02_02.xlsx&amp;sheet=U0&amp;row=429&amp;col=6&amp;number=4&amp;sourceID=28","4")</f>
        <v>4</v>
      </c>
      <c r="G429" s="4" t="str">
        <f>HYPERLINK("http://141.218.60.56/~jnz1568/getInfo.php?workbook=02_02.xlsx&amp;sheet=U0&amp;row=429&amp;col=7&amp;number=0.5911&amp;sourceID=1","0.5911")</f>
        <v>0.5911</v>
      </c>
      <c r="H429" s="4" t="str">
        <f>HYPERLINK("http://141.218.60.56/~jnz1568/getInfo.php?workbook=02_02.xlsx&amp;sheet=U0&amp;row=429&amp;col=8&amp;number=3.699&amp;sourceID=29","3.699")</f>
        <v>3.699</v>
      </c>
      <c r="I429" s="4" t="str">
        <f>HYPERLINK("http://141.218.60.56/~jnz1568/getInfo.php?workbook=02_02.xlsx&amp;sheet=U0&amp;row=429&amp;col=9&amp;number=0.7167&amp;sourceID=1","0.7167")</f>
        <v>0.7167</v>
      </c>
    </row>
    <row r="430" spans="1:9">
      <c r="A430" s="3"/>
      <c r="B430" s="3"/>
      <c r="C430" s="3"/>
      <c r="D430" s="3"/>
      <c r="E430" s="3">
        <v>3</v>
      </c>
      <c r="F430" s="4" t="str">
        <f>HYPERLINK("http://141.218.60.56/~jnz1568/getInfo.php?workbook=02_02.xlsx&amp;sheet=U0&amp;row=430&amp;col=6&amp;number=4.25&amp;sourceID=28","4.25")</f>
        <v>4.25</v>
      </c>
      <c r="G430" s="4" t="str">
        <f>HYPERLINK("http://141.218.60.56/~jnz1568/getInfo.php?workbook=02_02.xlsx&amp;sheet=U0&amp;row=430&amp;col=7&amp;number=0.5383&amp;sourceID=1","0.5383")</f>
        <v>0.5383</v>
      </c>
      <c r="H430" s="4" t="str">
        <f>HYPERLINK("http://141.218.60.56/~jnz1568/getInfo.php?workbook=02_02.xlsx&amp;sheet=U0&amp;row=430&amp;col=8&amp;number=4&amp;sourceID=29","4")</f>
        <v>4</v>
      </c>
      <c r="I430" s="4" t="str">
        <f>HYPERLINK("http://141.218.60.56/~jnz1568/getInfo.php?workbook=02_02.xlsx&amp;sheet=U0&amp;row=430&amp;col=9&amp;number=0.747&amp;sourceID=1","0.747")</f>
        <v>0.747</v>
      </c>
    </row>
    <row r="431" spans="1:9">
      <c r="A431" s="3"/>
      <c r="B431" s="3"/>
      <c r="C431" s="3"/>
      <c r="D431" s="3"/>
      <c r="E431" s="3">
        <v>4</v>
      </c>
      <c r="F431" s="4" t="str">
        <f>HYPERLINK("http://141.218.60.56/~jnz1568/getInfo.php?workbook=02_02.xlsx&amp;sheet=U0&amp;row=431&amp;col=6&amp;number=4.5&amp;sourceID=28","4.5")</f>
        <v>4.5</v>
      </c>
      <c r="G431" s="4" t="str">
        <f>HYPERLINK("http://141.218.60.56/~jnz1568/getInfo.php?workbook=02_02.xlsx&amp;sheet=U0&amp;row=431&amp;col=7&amp;number=0.5328&amp;sourceID=1","0.5328")</f>
        <v>0.5328</v>
      </c>
      <c r="H431" s="4" t="str">
        <f>HYPERLINK("http://141.218.60.56/~jnz1568/getInfo.php?workbook=02_02.xlsx&amp;sheet=U0&amp;row=431&amp;col=8&amp;number=4.176&amp;sourceID=29","4.176")</f>
        <v>4.176</v>
      </c>
      <c r="I431" s="4" t="str">
        <f>HYPERLINK("http://141.218.60.56/~jnz1568/getInfo.php?workbook=02_02.xlsx&amp;sheet=U0&amp;row=431&amp;col=9&amp;number=0.805&amp;sourceID=1","0.805")</f>
        <v>0.805</v>
      </c>
    </row>
    <row r="432" spans="1:9">
      <c r="A432" s="3"/>
      <c r="B432" s="3"/>
      <c r="C432" s="3"/>
      <c r="D432" s="3"/>
      <c r="E432" s="3">
        <v>5</v>
      </c>
      <c r="F432" s="4" t="str">
        <f>HYPERLINK("http://141.218.60.56/~jnz1568/getInfo.php?workbook=02_02.xlsx&amp;sheet=U0&amp;row=432&amp;col=6&amp;number=4.75&amp;sourceID=28","4.75")</f>
        <v>4.75</v>
      </c>
      <c r="G432" s="4" t="str">
        <f>HYPERLINK("http://141.218.60.56/~jnz1568/getInfo.php?workbook=02_02.xlsx&amp;sheet=U0&amp;row=432&amp;col=7&amp;number=0.5919&amp;sourceID=1","0.5919")</f>
        <v>0.5919</v>
      </c>
      <c r="H432" s="4" t="str">
        <f>HYPERLINK("http://141.218.60.56/~jnz1568/getInfo.php?workbook=02_02.xlsx&amp;sheet=U0&amp;row=432&amp;col=8&amp;number=4.301&amp;sourceID=29","4.301")</f>
        <v>4.301</v>
      </c>
      <c r="I432" s="4" t="str">
        <f>HYPERLINK("http://141.218.60.56/~jnz1568/getInfo.php?workbook=02_02.xlsx&amp;sheet=U0&amp;row=432&amp;col=9&amp;number=0.8541&amp;sourceID=1","0.8541")</f>
        <v>0.8541</v>
      </c>
    </row>
    <row r="433" spans="1:9">
      <c r="A433" s="3"/>
      <c r="B433" s="3"/>
      <c r="C433" s="3"/>
      <c r="D433" s="3"/>
      <c r="E433" s="3">
        <v>6</v>
      </c>
      <c r="F433" s="4" t="str">
        <f>HYPERLINK("http://141.218.60.56/~jnz1568/getInfo.php?workbook=02_02.xlsx&amp;sheet=U0&amp;row=433&amp;col=6&amp;number=5&amp;sourceID=28","5")</f>
        <v>5</v>
      </c>
      <c r="G433" s="4" t="str">
        <f>HYPERLINK("http://141.218.60.56/~jnz1568/getInfo.php?workbook=02_02.xlsx&amp;sheet=U0&amp;row=433&amp;col=7&amp;number=0.7092&amp;sourceID=1","0.7092")</f>
        <v>0.7092</v>
      </c>
      <c r="H433" s="4" t="str">
        <f>HYPERLINK("http://141.218.60.56/~jnz1568/getInfo.php?workbook=02_02.xlsx&amp;sheet=U0&amp;row=433&amp;col=8&amp;number=4.398&amp;sourceID=29","4.398")</f>
        <v>4.398</v>
      </c>
      <c r="I433" s="4" t="str">
        <f>HYPERLINK("http://141.218.60.56/~jnz1568/getInfo.php?workbook=02_02.xlsx&amp;sheet=U0&amp;row=433&amp;col=9&amp;number=0.8897&amp;sourceID=1","0.8897")</f>
        <v>0.8897</v>
      </c>
    </row>
    <row r="434" spans="1:9">
      <c r="A434" s="3"/>
      <c r="B434" s="3"/>
      <c r="C434" s="3"/>
      <c r="D434" s="3"/>
      <c r="E434" s="3">
        <v>7</v>
      </c>
      <c r="F434" s="4" t="str">
        <f>HYPERLINK("http://141.218.60.56/~jnz1568/getInfo.php?workbook=02_02.xlsx&amp;sheet=U0&amp;row=434&amp;col=6&amp;number=5.25&amp;sourceID=28","5.25")</f>
        <v>5.25</v>
      </c>
      <c r="G434" s="4" t="str">
        <f>HYPERLINK("http://141.218.60.56/~jnz1568/getInfo.php?workbook=02_02.xlsx&amp;sheet=U0&amp;row=434&amp;col=7&amp;number=0.8591&amp;sourceID=1","0.8591")</f>
        <v>0.8591</v>
      </c>
      <c r="H434" s="4" t="str">
        <f>HYPERLINK("http://141.218.60.56/~jnz1568/getInfo.php?workbook=02_02.xlsx&amp;sheet=U0&amp;row=434&amp;col=8&amp;number=4.477&amp;sourceID=29","4.477")</f>
        <v>4.477</v>
      </c>
      <c r="I434" s="4" t="str">
        <f>HYPERLINK("http://141.218.60.56/~jnz1568/getInfo.php?workbook=02_02.xlsx&amp;sheet=U0&amp;row=434&amp;col=9&amp;number=0.9123&amp;sourceID=1","0.9123")</f>
        <v>0.9123</v>
      </c>
    </row>
    <row r="435" spans="1:9">
      <c r="A435" s="3"/>
      <c r="B435" s="3"/>
      <c r="C435" s="3"/>
      <c r="D435" s="3"/>
      <c r="E435" s="3">
        <v>8</v>
      </c>
      <c r="F435" s="4" t="str">
        <f>HYPERLINK("http://141.218.60.56/~jnz1568/getInfo.php?workbook=02_02.xlsx&amp;sheet=U0&amp;row=435&amp;col=6&amp;number=5.5&amp;sourceID=28","5.5")</f>
        <v>5.5</v>
      </c>
      <c r="G435" s="4" t="str">
        <f>HYPERLINK("http://141.218.60.56/~jnz1568/getInfo.php?workbook=02_02.xlsx&amp;sheet=U0&amp;row=435&amp;col=7&amp;number=1.016&amp;sourceID=1","1.016")</f>
        <v>1.016</v>
      </c>
      <c r="H435" s="4" t="str">
        <f>HYPERLINK("http://141.218.60.56/~jnz1568/getInfo.php?workbook=02_02.xlsx&amp;sheet=U0&amp;row=435&amp;col=8&amp;number=&amp;sourceID=29","")</f>
        <v/>
      </c>
      <c r="I435" s="4" t="str">
        <f>HYPERLINK("http://141.218.60.56/~jnz1568/getInfo.php?workbook=02_02.xlsx&amp;sheet=U0&amp;row=435&amp;col=9&amp;number=&amp;sourceID=1","")</f>
        <v/>
      </c>
    </row>
    <row r="436" spans="1:9">
      <c r="A436" s="3"/>
      <c r="B436" s="3"/>
      <c r="C436" s="3"/>
      <c r="D436" s="3"/>
      <c r="E436" s="3">
        <v>9</v>
      </c>
      <c r="F436" s="4" t="str">
        <f>HYPERLINK("http://141.218.60.56/~jnz1568/getInfo.php?workbook=02_02.xlsx&amp;sheet=U0&amp;row=436&amp;col=6&amp;number=5.75&amp;sourceID=28","5.75")</f>
        <v>5.75</v>
      </c>
      <c r="G436" s="4" t="str">
        <f>HYPERLINK("http://141.218.60.56/~jnz1568/getInfo.php?workbook=02_02.xlsx&amp;sheet=U0&amp;row=436&amp;col=7&amp;number=1.163&amp;sourceID=1","1.163")</f>
        <v>1.163</v>
      </c>
      <c r="H436" s="4" t="str">
        <f>HYPERLINK("http://141.218.60.56/~jnz1568/getInfo.php?workbook=02_02.xlsx&amp;sheet=U0&amp;row=436&amp;col=8&amp;number=&amp;sourceID=29","")</f>
        <v/>
      </c>
      <c r="I436" s="4" t="str">
        <f>HYPERLINK("http://141.218.60.56/~jnz1568/getInfo.php?workbook=02_02.xlsx&amp;sheet=U0&amp;row=436&amp;col=9&amp;number=&amp;sourceID=1","")</f>
        <v/>
      </c>
    </row>
    <row r="437" spans="1:9">
      <c r="A437" s="3">
        <v>2</v>
      </c>
      <c r="B437" s="3">
        <v>2</v>
      </c>
      <c r="C437" s="3">
        <v>12</v>
      </c>
      <c r="D437" s="3">
        <v>3</v>
      </c>
      <c r="E437" s="3">
        <v>1</v>
      </c>
      <c r="F437" s="4" t="str">
        <f>HYPERLINK("http://141.218.60.56/~jnz1568/getInfo.php?workbook=02_02.xlsx&amp;sheet=U0&amp;row=437&amp;col=6&amp;number=3.75&amp;sourceID=28","3.75")</f>
        <v>3.75</v>
      </c>
      <c r="G437" s="4" t="str">
        <f>HYPERLINK("http://141.218.60.56/~jnz1568/getInfo.php?workbook=02_02.xlsx&amp;sheet=U0&amp;row=437&amp;col=7&amp;number=0.2118&amp;sourceID=1","0.2118")</f>
        <v>0.2118</v>
      </c>
      <c r="H437" s="4" t="str">
        <f>HYPERLINK("http://141.218.60.56/~jnz1568/getInfo.php?workbook=02_02.xlsx&amp;sheet=U0&amp;row=437&amp;col=8&amp;number=3.301&amp;sourceID=29","3.301")</f>
        <v>3.301</v>
      </c>
      <c r="I437" s="4" t="str">
        <f>HYPERLINK("http://141.218.60.56/~jnz1568/getInfo.php?workbook=02_02.xlsx&amp;sheet=U0&amp;row=437&amp;col=9&amp;number=0.2625&amp;sourceID=1","0.2625")</f>
        <v>0.2625</v>
      </c>
    </row>
    <row r="438" spans="1:9">
      <c r="A438" s="3"/>
      <c r="B438" s="3"/>
      <c r="C438" s="3"/>
      <c r="D438" s="3"/>
      <c r="E438" s="3">
        <v>2</v>
      </c>
      <c r="F438" s="4" t="str">
        <f>HYPERLINK("http://141.218.60.56/~jnz1568/getInfo.php?workbook=02_02.xlsx&amp;sheet=U0&amp;row=438&amp;col=6&amp;number=4&amp;sourceID=28","4")</f>
        <v>4</v>
      </c>
      <c r="G438" s="4" t="str">
        <f>HYPERLINK("http://141.218.60.56/~jnz1568/getInfo.php?workbook=02_02.xlsx&amp;sheet=U0&amp;row=438&amp;col=7&amp;number=0.1753&amp;sourceID=1","0.1753")</f>
        <v>0.1753</v>
      </c>
      <c r="H438" s="4" t="str">
        <f>HYPERLINK("http://141.218.60.56/~jnz1568/getInfo.php?workbook=02_02.xlsx&amp;sheet=U0&amp;row=438&amp;col=8&amp;number=3.699&amp;sourceID=29","3.699")</f>
        <v>3.699</v>
      </c>
      <c r="I438" s="4" t="str">
        <f>HYPERLINK("http://141.218.60.56/~jnz1568/getInfo.php?workbook=02_02.xlsx&amp;sheet=U0&amp;row=438&amp;col=9&amp;number=0.2223&amp;sourceID=1","0.2223")</f>
        <v>0.2223</v>
      </c>
    </row>
    <row r="439" spans="1:9">
      <c r="A439" s="3"/>
      <c r="B439" s="3"/>
      <c r="C439" s="3"/>
      <c r="D439" s="3"/>
      <c r="E439" s="3">
        <v>3</v>
      </c>
      <c r="F439" s="4" t="str">
        <f>HYPERLINK("http://141.218.60.56/~jnz1568/getInfo.php?workbook=02_02.xlsx&amp;sheet=U0&amp;row=439&amp;col=6&amp;number=4.25&amp;sourceID=28","4.25")</f>
        <v>4.25</v>
      </c>
      <c r="G439" s="4" t="str">
        <f>HYPERLINK("http://141.218.60.56/~jnz1568/getInfo.php?workbook=02_02.xlsx&amp;sheet=U0&amp;row=439&amp;col=7&amp;number=0.1368&amp;sourceID=1","0.1368")</f>
        <v>0.1368</v>
      </c>
      <c r="H439" s="4" t="str">
        <f>HYPERLINK("http://141.218.60.56/~jnz1568/getInfo.php?workbook=02_02.xlsx&amp;sheet=U0&amp;row=439&amp;col=8&amp;number=4&amp;sourceID=29","4")</f>
        <v>4</v>
      </c>
      <c r="I439" s="4" t="str">
        <f>HYPERLINK("http://141.218.60.56/~jnz1568/getInfo.php?workbook=02_02.xlsx&amp;sheet=U0&amp;row=439&amp;col=9&amp;number=0.1958&amp;sourceID=1","0.1958")</f>
        <v>0.1958</v>
      </c>
    </row>
    <row r="440" spans="1:9">
      <c r="A440" s="3"/>
      <c r="B440" s="3"/>
      <c r="C440" s="3"/>
      <c r="D440" s="3"/>
      <c r="E440" s="3">
        <v>4</v>
      </c>
      <c r="F440" s="4" t="str">
        <f>HYPERLINK("http://141.218.60.56/~jnz1568/getInfo.php?workbook=02_02.xlsx&amp;sheet=U0&amp;row=440&amp;col=6&amp;number=4.5&amp;sourceID=28","4.5")</f>
        <v>4.5</v>
      </c>
      <c r="G440" s="4" t="str">
        <f>HYPERLINK("http://141.218.60.56/~jnz1568/getInfo.php?workbook=02_02.xlsx&amp;sheet=U0&amp;row=440&amp;col=7&amp;number=0.1017&amp;sourceID=1","0.1017")</f>
        <v>0.1017</v>
      </c>
      <c r="H440" s="4" t="str">
        <f>HYPERLINK("http://141.218.60.56/~jnz1568/getInfo.php?workbook=02_02.xlsx&amp;sheet=U0&amp;row=440&amp;col=8&amp;number=4.176&amp;sourceID=29","4.176")</f>
        <v>4.176</v>
      </c>
      <c r="I440" s="4" t="str">
        <f>HYPERLINK("http://141.218.60.56/~jnz1568/getInfo.php?workbook=02_02.xlsx&amp;sheet=U0&amp;row=440&amp;col=9&amp;number=0.1819&amp;sourceID=1","0.1819")</f>
        <v>0.1819</v>
      </c>
    </row>
    <row r="441" spans="1:9">
      <c r="A441" s="3"/>
      <c r="B441" s="3"/>
      <c r="C441" s="3"/>
      <c r="D441" s="3"/>
      <c r="E441" s="3">
        <v>5</v>
      </c>
      <c r="F441" s="4" t="str">
        <f>HYPERLINK("http://141.218.60.56/~jnz1568/getInfo.php?workbook=02_02.xlsx&amp;sheet=U0&amp;row=441&amp;col=6&amp;number=4.75&amp;sourceID=28","4.75")</f>
        <v>4.75</v>
      </c>
      <c r="G441" s="4" t="str">
        <f>HYPERLINK("http://141.218.60.56/~jnz1568/getInfo.php?workbook=02_02.xlsx&amp;sheet=U0&amp;row=441&amp;col=7&amp;number=0.0726&amp;sourceID=1","0.0726")</f>
        <v>0.0726</v>
      </c>
      <c r="H441" s="4" t="str">
        <f>HYPERLINK("http://141.218.60.56/~jnz1568/getInfo.php?workbook=02_02.xlsx&amp;sheet=U0&amp;row=441&amp;col=8&amp;number=4.301&amp;sourceID=29","4.301")</f>
        <v>4.301</v>
      </c>
      <c r="I441" s="4" t="str">
        <f>HYPERLINK("http://141.218.60.56/~jnz1568/getInfo.php?workbook=02_02.xlsx&amp;sheet=U0&amp;row=441&amp;col=9&amp;number=0.1705&amp;sourceID=1","0.1705")</f>
        <v>0.1705</v>
      </c>
    </row>
    <row r="442" spans="1:9">
      <c r="A442" s="3"/>
      <c r="B442" s="3"/>
      <c r="C442" s="3"/>
      <c r="D442" s="3"/>
      <c r="E442" s="3">
        <v>6</v>
      </c>
      <c r="F442" s="4" t="str">
        <f>HYPERLINK("http://141.218.60.56/~jnz1568/getInfo.php?workbook=02_02.xlsx&amp;sheet=U0&amp;row=442&amp;col=6&amp;number=5&amp;sourceID=28","5")</f>
        <v>5</v>
      </c>
      <c r="G442" s="4" t="str">
        <f>HYPERLINK("http://141.218.60.56/~jnz1568/getInfo.php?workbook=02_02.xlsx&amp;sheet=U0&amp;row=442&amp;col=7&amp;number=0.04992&amp;sourceID=1","0.04992")</f>
        <v>0.04992</v>
      </c>
      <c r="H442" s="4" t="str">
        <f>HYPERLINK("http://141.218.60.56/~jnz1568/getInfo.php?workbook=02_02.xlsx&amp;sheet=U0&amp;row=442&amp;col=8&amp;number=4.398&amp;sourceID=29","4.398")</f>
        <v>4.398</v>
      </c>
      <c r="I442" s="4" t="str">
        <f>HYPERLINK("http://141.218.60.56/~jnz1568/getInfo.php?workbook=02_02.xlsx&amp;sheet=U0&amp;row=442&amp;col=9&amp;number=0.1602&amp;sourceID=1","0.1602")</f>
        <v>0.1602</v>
      </c>
    </row>
    <row r="443" spans="1:9">
      <c r="A443" s="3"/>
      <c r="B443" s="3"/>
      <c r="C443" s="3"/>
      <c r="D443" s="3"/>
      <c r="E443" s="3">
        <v>7</v>
      </c>
      <c r="F443" s="4" t="str">
        <f>HYPERLINK("http://141.218.60.56/~jnz1568/getInfo.php?workbook=02_02.xlsx&amp;sheet=U0&amp;row=443&amp;col=6&amp;number=5.25&amp;sourceID=28","5.25")</f>
        <v>5.25</v>
      </c>
      <c r="G443" s="4" t="str">
        <f>HYPERLINK("http://141.218.60.56/~jnz1568/getInfo.php?workbook=02_02.xlsx&amp;sheet=U0&amp;row=443&amp;col=7&amp;number=0.03325&amp;sourceID=1","0.03325")</f>
        <v>0.03325</v>
      </c>
      <c r="H443" s="4" t="str">
        <f>HYPERLINK("http://141.218.60.56/~jnz1568/getInfo.php?workbook=02_02.xlsx&amp;sheet=U0&amp;row=443&amp;col=8&amp;number=4.477&amp;sourceID=29","4.477")</f>
        <v>4.477</v>
      </c>
      <c r="I443" s="4" t="str">
        <f>HYPERLINK("http://141.218.60.56/~jnz1568/getInfo.php?workbook=02_02.xlsx&amp;sheet=U0&amp;row=443&amp;col=9&amp;number=0.1508&amp;sourceID=1","0.1508")</f>
        <v>0.1508</v>
      </c>
    </row>
    <row r="444" spans="1:9">
      <c r="A444" s="3"/>
      <c r="B444" s="3"/>
      <c r="C444" s="3"/>
      <c r="D444" s="3"/>
      <c r="E444" s="3">
        <v>8</v>
      </c>
      <c r="F444" s="4" t="str">
        <f>HYPERLINK("http://141.218.60.56/~jnz1568/getInfo.php?workbook=02_02.xlsx&amp;sheet=U0&amp;row=444&amp;col=6&amp;number=5.5&amp;sourceID=28","5.5")</f>
        <v>5.5</v>
      </c>
      <c r="G444" s="4" t="str">
        <f>HYPERLINK("http://141.218.60.56/~jnz1568/getInfo.php?workbook=02_02.xlsx&amp;sheet=U0&amp;row=444&amp;col=7&amp;number=0.02161&amp;sourceID=1","0.02161")</f>
        <v>0.02161</v>
      </c>
      <c r="H444" s="4" t="str">
        <f>HYPERLINK("http://141.218.60.56/~jnz1568/getInfo.php?workbook=02_02.xlsx&amp;sheet=U0&amp;row=444&amp;col=8&amp;number=&amp;sourceID=29","")</f>
        <v/>
      </c>
      <c r="I444" s="4" t="str">
        <f>HYPERLINK("http://141.218.60.56/~jnz1568/getInfo.php?workbook=02_02.xlsx&amp;sheet=U0&amp;row=444&amp;col=9&amp;number=&amp;sourceID=1","")</f>
        <v/>
      </c>
    </row>
    <row r="445" spans="1:9">
      <c r="A445" s="3"/>
      <c r="B445" s="3"/>
      <c r="C445" s="3"/>
      <c r="D445" s="3"/>
      <c r="E445" s="3">
        <v>9</v>
      </c>
      <c r="F445" s="4" t="str">
        <f>HYPERLINK("http://141.218.60.56/~jnz1568/getInfo.php?workbook=02_02.xlsx&amp;sheet=U0&amp;row=445&amp;col=6&amp;number=5.75&amp;sourceID=28","5.75")</f>
        <v>5.75</v>
      </c>
      <c r="G445" s="4" t="str">
        <f>HYPERLINK("http://141.218.60.56/~jnz1568/getInfo.php?workbook=02_02.xlsx&amp;sheet=U0&amp;row=445&amp;col=7&amp;number=0.01378&amp;sourceID=1","0.01378")</f>
        <v>0.01378</v>
      </c>
      <c r="H445" s="4" t="str">
        <f>HYPERLINK("http://141.218.60.56/~jnz1568/getInfo.php?workbook=02_02.xlsx&amp;sheet=U0&amp;row=445&amp;col=8&amp;number=&amp;sourceID=29","")</f>
        <v/>
      </c>
      <c r="I445" s="4" t="str">
        <f>HYPERLINK("http://141.218.60.56/~jnz1568/getInfo.php?workbook=02_02.xlsx&amp;sheet=U0&amp;row=445&amp;col=9&amp;number=&amp;sourceID=1","")</f>
        <v/>
      </c>
    </row>
    <row r="446" spans="1:9">
      <c r="A446" s="3">
        <v>2</v>
      </c>
      <c r="B446" s="3">
        <v>2</v>
      </c>
      <c r="C446" s="3">
        <v>12</v>
      </c>
      <c r="D446" s="3">
        <v>4</v>
      </c>
      <c r="E446" s="3">
        <v>1</v>
      </c>
      <c r="F446" s="4" t="str">
        <f>HYPERLINK("http://141.218.60.56/~jnz1568/getInfo.php?workbook=02_02.xlsx&amp;sheet=U0&amp;row=446&amp;col=6&amp;number=3.75&amp;sourceID=28","3.75")</f>
        <v>3.75</v>
      </c>
      <c r="G446" s="4" t="str">
        <f>HYPERLINK("http://141.218.60.56/~jnz1568/getInfo.php?workbook=02_02.xlsx&amp;sheet=U0&amp;row=446&amp;col=7&amp;number=2.192&amp;sourceID=1","2.192")</f>
        <v>2.192</v>
      </c>
      <c r="H446" s="4" t="str">
        <f>HYPERLINK("http://141.218.60.56/~jnz1568/getInfo.php?workbook=02_02.xlsx&amp;sheet=U0&amp;row=446&amp;col=8&amp;number=3.301&amp;sourceID=29","3.301")</f>
        <v>3.301</v>
      </c>
      <c r="I446" s="4" t="str">
        <f>HYPERLINK("http://141.218.60.56/~jnz1568/getInfo.php?workbook=02_02.xlsx&amp;sheet=U0&amp;row=446&amp;col=9&amp;number=1.681&amp;sourceID=1","1.681")</f>
        <v>1.681</v>
      </c>
    </row>
    <row r="447" spans="1:9">
      <c r="A447" s="3"/>
      <c r="B447" s="3"/>
      <c r="C447" s="3"/>
      <c r="D447" s="3"/>
      <c r="E447" s="3">
        <v>2</v>
      </c>
      <c r="F447" s="4" t="str">
        <f>HYPERLINK("http://141.218.60.56/~jnz1568/getInfo.php?workbook=02_02.xlsx&amp;sheet=U0&amp;row=447&amp;col=6&amp;number=4&amp;sourceID=28","4")</f>
        <v>4</v>
      </c>
      <c r="G447" s="4" t="str">
        <f>HYPERLINK("http://141.218.60.56/~jnz1568/getInfo.php?workbook=02_02.xlsx&amp;sheet=U0&amp;row=447&amp;col=7&amp;number=1.778&amp;sourceID=1","1.778")</f>
        <v>1.778</v>
      </c>
      <c r="H447" s="4" t="str">
        <f>HYPERLINK("http://141.218.60.56/~jnz1568/getInfo.php?workbook=02_02.xlsx&amp;sheet=U0&amp;row=447&amp;col=8&amp;number=3.699&amp;sourceID=29","3.699")</f>
        <v>3.699</v>
      </c>
      <c r="I447" s="4" t="str">
        <f>HYPERLINK("http://141.218.60.56/~jnz1568/getInfo.php?workbook=02_02.xlsx&amp;sheet=U0&amp;row=447&amp;col=9&amp;number=1.6&amp;sourceID=1","1.6")</f>
        <v>1.6</v>
      </c>
    </row>
    <row r="448" spans="1:9">
      <c r="A448" s="3"/>
      <c r="B448" s="3"/>
      <c r="C448" s="3"/>
      <c r="D448" s="3"/>
      <c r="E448" s="3">
        <v>3</v>
      </c>
      <c r="F448" s="4" t="str">
        <f>HYPERLINK("http://141.218.60.56/~jnz1568/getInfo.php?workbook=02_02.xlsx&amp;sheet=U0&amp;row=448&amp;col=6&amp;number=4.25&amp;sourceID=28","4.25")</f>
        <v>4.25</v>
      </c>
      <c r="G448" s="4" t="str">
        <f>HYPERLINK("http://141.218.60.56/~jnz1568/getInfo.php?workbook=02_02.xlsx&amp;sheet=U0&amp;row=448&amp;col=7&amp;number=1.513&amp;sourceID=1","1.513")</f>
        <v>1.513</v>
      </c>
      <c r="H448" s="4" t="str">
        <f>HYPERLINK("http://141.218.60.56/~jnz1568/getInfo.php?workbook=02_02.xlsx&amp;sheet=U0&amp;row=448&amp;col=8&amp;number=4&amp;sourceID=29","4")</f>
        <v>4</v>
      </c>
      <c r="I448" s="4" t="str">
        <f>HYPERLINK("http://141.218.60.56/~jnz1568/getInfo.php?workbook=02_02.xlsx&amp;sheet=U0&amp;row=448&amp;col=9&amp;number=1.714&amp;sourceID=1","1.714")</f>
        <v>1.714</v>
      </c>
    </row>
    <row r="449" spans="1:9">
      <c r="A449" s="3"/>
      <c r="B449" s="3"/>
      <c r="C449" s="3"/>
      <c r="D449" s="3"/>
      <c r="E449" s="3">
        <v>4</v>
      </c>
      <c r="F449" s="4" t="str">
        <f>HYPERLINK("http://141.218.60.56/~jnz1568/getInfo.php?workbook=02_02.xlsx&amp;sheet=U0&amp;row=449&amp;col=6&amp;number=4.5&amp;sourceID=28","4.5")</f>
        <v>4.5</v>
      </c>
      <c r="G449" s="4" t="str">
        <f>HYPERLINK("http://141.218.60.56/~jnz1568/getInfo.php?workbook=02_02.xlsx&amp;sheet=U0&amp;row=449&amp;col=7&amp;number=1.432&amp;sourceID=1","1.432")</f>
        <v>1.432</v>
      </c>
      <c r="H449" s="4" t="str">
        <f>HYPERLINK("http://141.218.60.56/~jnz1568/getInfo.php?workbook=02_02.xlsx&amp;sheet=U0&amp;row=449&amp;col=8&amp;number=4.176&amp;sourceID=29","4.176")</f>
        <v>4.176</v>
      </c>
      <c r="I449" s="4" t="str">
        <f>HYPERLINK("http://141.218.60.56/~jnz1568/getInfo.php?workbook=02_02.xlsx&amp;sheet=U0&amp;row=449&amp;col=9&amp;number=1.86&amp;sourceID=1","1.86")</f>
        <v>1.86</v>
      </c>
    </row>
    <row r="450" spans="1:9">
      <c r="A450" s="3"/>
      <c r="B450" s="3"/>
      <c r="C450" s="3"/>
      <c r="D450" s="3"/>
      <c r="E450" s="3">
        <v>5</v>
      </c>
      <c r="F450" s="4" t="str">
        <f>HYPERLINK("http://141.218.60.56/~jnz1568/getInfo.php?workbook=02_02.xlsx&amp;sheet=U0&amp;row=450&amp;col=6&amp;number=4.75&amp;sourceID=28","4.75")</f>
        <v>4.75</v>
      </c>
      <c r="G450" s="4" t="str">
        <f>HYPERLINK("http://141.218.60.56/~jnz1568/getInfo.php?workbook=02_02.xlsx&amp;sheet=U0&amp;row=450&amp;col=7&amp;number=1.587&amp;sourceID=1","1.587")</f>
        <v>1.587</v>
      </c>
      <c r="H450" s="4" t="str">
        <f>HYPERLINK("http://141.218.60.56/~jnz1568/getInfo.php?workbook=02_02.xlsx&amp;sheet=U0&amp;row=450&amp;col=8&amp;number=4.301&amp;sourceID=29","4.301")</f>
        <v>4.301</v>
      </c>
      <c r="I450" s="4" t="str">
        <f>HYPERLINK("http://141.218.60.56/~jnz1568/getInfo.php?workbook=02_02.xlsx&amp;sheet=U0&amp;row=450&amp;col=9&amp;number=1.974&amp;sourceID=1","1.974")</f>
        <v>1.974</v>
      </c>
    </row>
    <row r="451" spans="1:9">
      <c r="A451" s="3"/>
      <c r="B451" s="3"/>
      <c r="C451" s="3"/>
      <c r="D451" s="3"/>
      <c r="E451" s="3">
        <v>6</v>
      </c>
      <c r="F451" s="4" t="str">
        <f>HYPERLINK("http://141.218.60.56/~jnz1568/getInfo.php?workbook=02_02.xlsx&amp;sheet=U0&amp;row=451&amp;col=6&amp;number=5&amp;sourceID=28","5")</f>
        <v>5</v>
      </c>
      <c r="G451" s="4" t="str">
        <f>HYPERLINK("http://141.218.60.56/~jnz1568/getInfo.php?workbook=02_02.xlsx&amp;sheet=U0&amp;row=451&amp;col=7&amp;number=2.026&amp;sourceID=1","2.026")</f>
        <v>2.026</v>
      </c>
      <c r="H451" s="4" t="str">
        <f>HYPERLINK("http://141.218.60.56/~jnz1568/getInfo.php?workbook=02_02.xlsx&amp;sheet=U0&amp;row=451&amp;col=8&amp;number=4.398&amp;sourceID=29","4.398")</f>
        <v>4.398</v>
      </c>
      <c r="I451" s="4" t="str">
        <f>HYPERLINK("http://141.218.60.56/~jnz1568/getInfo.php?workbook=02_02.xlsx&amp;sheet=U0&amp;row=451&amp;col=9&amp;number=2.051&amp;sourceID=1","2.051")</f>
        <v>2.051</v>
      </c>
    </row>
    <row r="452" spans="1:9">
      <c r="A452" s="3"/>
      <c r="B452" s="3"/>
      <c r="C452" s="3"/>
      <c r="D452" s="3"/>
      <c r="E452" s="3">
        <v>7</v>
      </c>
      <c r="F452" s="4" t="str">
        <f>HYPERLINK("http://141.218.60.56/~jnz1568/getInfo.php?workbook=02_02.xlsx&amp;sheet=U0&amp;row=452&amp;col=6&amp;number=5.25&amp;sourceID=28","5.25")</f>
        <v>5.25</v>
      </c>
      <c r="G452" s="4" t="str">
        <f>HYPERLINK("http://141.218.60.56/~jnz1568/getInfo.php?workbook=02_02.xlsx&amp;sheet=U0&amp;row=452&amp;col=7&amp;number=2.75&amp;sourceID=1","2.75")</f>
        <v>2.75</v>
      </c>
      <c r="H452" s="4" t="str">
        <f>HYPERLINK("http://141.218.60.56/~jnz1568/getInfo.php?workbook=02_02.xlsx&amp;sheet=U0&amp;row=452&amp;col=8&amp;number=4.477&amp;sourceID=29","4.477")</f>
        <v>4.477</v>
      </c>
      <c r="I452" s="4" t="str">
        <f>HYPERLINK("http://141.218.60.56/~jnz1568/getInfo.php?workbook=02_02.xlsx&amp;sheet=U0&amp;row=452&amp;col=9&amp;number=2.098&amp;sourceID=1","2.098")</f>
        <v>2.098</v>
      </c>
    </row>
    <row r="453" spans="1:9">
      <c r="A453" s="3"/>
      <c r="B453" s="3"/>
      <c r="C453" s="3"/>
      <c r="D453" s="3"/>
      <c r="E453" s="3">
        <v>8</v>
      </c>
      <c r="F453" s="4" t="str">
        <f>HYPERLINK("http://141.218.60.56/~jnz1568/getInfo.php?workbook=02_02.xlsx&amp;sheet=U0&amp;row=453&amp;col=6&amp;number=5.5&amp;sourceID=28","5.5")</f>
        <v>5.5</v>
      </c>
      <c r="G453" s="4" t="str">
        <f>HYPERLINK("http://141.218.60.56/~jnz1568/getInfo.php?workbook=02_02.xlsx&amp;sheet=U0&amp;row=453&amp;col=7&amp;number=3.7&amp;sourceID=1","3.7")</f>
        <v>3.7</v>
      </c>
      <c r="H453" s="4" t="str">
        <f>HYPERLINK("http://141.218.60.56/~jnz1568/getInfo.php?workbook=02_02.xlsx&amp;sheet=U0&amp;row=453&amp;col=8&amp;number=&amp;sourceID=29","")</f>
        <v/>
      </c>
      <c r="I453" s="4" t="str">
        <f>HYPERLINK("http://141.218.60.56/~jnz1568/getInfo.php?workbook=02_02.xlsx&amp;sheet=U0&amp;row=453&amp;col=9&amp;number=&amp;sourceID=1","")</f>
        <v/>
      </c>
    </row>
    <row r="454" spans="1:9">
      <c r="A454" s="3"/>
      <c r="B454" s="3"/>
      <c r="C454" s="3"/>
      <c r="D454" s="3"/>
      <c r="E454" s="3">
        <v>9</v>
      </c>
      <c r="F454" s="4" t="str">
        <f>HYPERLINK("http://141.218.60.56/~jnz1568/getInfo.php?workbook=02_02.xlsx&amp;sheet=U0&amp;row=454&amp;col=6&amp;number=5.75&amp;sourceID=28","5.75")</f>
        <v>5.75</v>
      </c>
      <c r="G454" s="4" t="str">
        <f>HYPERLINK("http://141.218.60.56/~jnz1568/getInfo.php?workbook=02_02.xlsx&amp;sheet=U0&amp;row=454&amp;col=7&amp;number=4.797&amp;sourceID=1","4.797")</f>
        <v>4.797</v>
      </c>
      <c r="H454" s="4" t="str">
        <f>HYPERLINK("http://141.218.60.56/~jnz1568/getInfo.php?workbook=02_02.xlsx&amp;sheet=U0&amp;row=454&amp;col=8&amp;number=&amp;sourceID=29","")</f>
        <v/>
      </c>
      <c r="I454" s="4" t="str">
        <f>HYPERLINK("http://141.218.60.56/~jnz1568/getInfo.php?workbook=02_02.xlsx&amp;sheet=U0&amp;row=454&amp;col=9&amp;number=&amp;sourceID=1","")</f>
        <v/>
      </c>
    </row>
    <row r="455" spans="1:9">
      <c r="A455" s="3">
        <v>2</v>
      </c>
      <c r="B455" s="3">
        <v>2</v>
      </c>
      <c r="C455" s="3">
        <v>12</v>
      </c>
      <c r="D455" s="3">
        <v>5</v>
      </c>
      <c r="E455" s="3">
        <v>1</v>
      </c>
      <c r="F455" s="4" t="str">
        <f>HYPERLINK("http://141.218.60.56/~jnz1568/getInfo.php?workbook=02_02.xlsx&amp;sheet=U0&amp;row=455&amp;col=6&amp;number=&amp;sourceID=28","")</f>
        <v/>
      </c>
      <c r="G455" s="4" t="str">
        <f>HYPERLINK("http://141.218.60.56/~jnz1568/getInfo.php?workbook=02_02.xlsx&amp;sheet=U0&amp;row=455&amp;col=7&amp;number=&amp;sourceID=1","")</f>
        <v/>
      </c>
      <c r="H455" s="4" t="str">
        <f>HYPERLINK("http://141.218.60.56/~jnz1568/getInfo.php?workbook=02_02.xlsx&amp;sheet=U0&amp;row=455&amp;col=8&amp;number=3.301&amp;sourceID=29","3.301")</f>
        <v>3.301</v>
      </c>
      <c r="I455" s="4" t="str">
        <f>HYPERLINK("http://141.218.60.56/~jnz1568/getInfo.php?workbook=02_02.xlsx&amp;sheet=U0&amp;row=455&amp;col=9&amp;number=0.4911&amp;sourceID=1","0.4911")</f>
        <v>0.4911</v>
      </c>
    </row>
    <row r="456" spans="1:9">
      <c r="A456" s="3"/>
      <c r="B456" s="3"/>
      <c r="C456" s="3"/>
      <c r="D456" s="3"/>
      <c r="E456" s="3">
        <v>2</v>
      </c>
      <c r="F456" s="4" t="str">
        <f>HYPERLINK("http://141.218.60.56/~jnz1568/getInfo.php?workbook=02_02.xlsx&amp;sheet=U0&amp;row=456&amp;col=6&amp;number=&amp;sourceID=28","")</f>
        <v/>
      </c>
      <c r="G456" s="4" t="str">
        <f>HYPERLINK("http://141.218.60.56/~jnz1568/getInfo.php?workbook=02_02.xlsx&amp;sheet=U0&amp;row=456&amp;col=7&amp;number=&amp;sourceID=1","")</f>
        <v/>
      </c>
      <c r="H456" s="4" t="str">
        <f>HYPERLINK("http://141.218.60.56/~jnz1568/getInfo.php?workbook=02_02.xlsx&amp;sheet=U0&amp;row=456&amp;col=8&amp;number=3.699&amp;sourceID=29","3.699")</f>
        <v>3.699</v>
      </c>
      <c r="I456" s="4" t="str">
        <f>HYPERLINK("http://141.218.60.56/~jnz1568/getInfo.php?workbook=02_02.xlsx&amp;sheet=U0&amp;row=456&amp;col=9&amp;number=0.446&amp;sourceID=1","0.446")</f>
        <v>0.446</v>
      </c>
    </row>
    <row r="457" spans="1:9">
      <c r="A457" s="3"/>
      <c r="B457" s="3"/>
      <c r="C457" s="3"/>
      <c r="D457" s="3"/>
      <c r="E457" s="3">
        <v>3</v>
      </c>
      <c r="F457" s="4" t="str">
        <f>HYPERLINK("http://141.218.60.56/~jnz1568/getInfo.php?workbook=02_02.xlsx&amp;sheet=U0&amp;row=457&amp;col=6&amp;number=&amp;sourceID=28","")</f>
        <v/>
      </c>
      <c r="G457" s="4" t="str">
        <f>HYPERLINK("http://141.218.60.56/~jnz1568/getInfo.php?workbook=02_02.xlsx&amp;sheet=U0&amp;row=457&amp;col=7&amp;number=&amp;sourceID=1","")</f>
        <v/>
      </c>
      <c r="H457" s="4" t="str">
        <f>HYPERLINK("http://141.218.60.56/~jnz1568/getInfo.php?workbook=02_02.xlsx&amp;sheet=U0&amp;row=457&amp;col=8&amp;number=4&amp;sourceID=29","4")</f>
        <v>4</v>
      </c>
      <c r="I457" s="4" t="str">
        <f>HYPERLINK("http://141.218.60.56/~jnz1568/getInfo.php?workbook=02_02.xlsx&amp;sheet=U0&amp;row=457&amp;col=9&amp;number=0.4187&amp;sourceID=1","0.4187")</f>
        <v>0.4187</v>
      </c>
    </row>
    <row r="458" spans="1:9">
      <c r="A458" s="3"/>
      <c r="B458" s="3"/>
      <c r="C458" s="3"/>
      <c r="D458" s="3"/>
      <c r="E458" s="3">
        <v>4</v>
      </c>
      <c r="F458" s="4" t="str">
        <f>HYPERLINK("http://141.218.60.56/~jnz1568/getInfo.php?workbook=02_02.xlsx&amp;sheet=U0&amp;row=458&amp;col=6&amp;number=&amp;sourceID=28","")</f>
        <v/>
      </c>
      <c r="G458" s="4" t="str">
        <f>HYPERLINK("http://141.218.60.56/~jnz1568/getInfo.php?workbook=02_02.xlsx&amp;sheet=U0&amp;row=458&amp;col=7&amp;number=&amp;sourceID=1","")</f>
        <v/>
      </c>
      <c r="H458" s="4" t="str">
        <f>HYPERLINK("http://141.218.60.56/~jnz1568/getInfo.php?workbook=02_02.xlsx&amp;sheet=U0&amp;row=458&amp;col=8&amp;number=4.176&amp;sourceID=29","4.176")</f>
        <v>4.176</v>
      </c>
      <c r="I458" s="4" t="str">
        <f>HYPERLINK("http://141.218.60.56/~jnz1568/getInfo.php?workbook=02_02.xlsx&amp;sheet=U0&amp;row=458&amp;col=9&amp;number=0.4011&amp;sourceID=1","0.4011")</f>
        <v>0.4011</v>
      </c>
    </row>
    <row r="459" spans="1:9">
      <c r="A459" s="3"/>
      <c r="B459" s="3"/>
      <c r="C459" s="3"/>
      <c r="D459" s="3"/>
      <c r="E459" s="3">
        <v>5</v>
      </c>
      <c r="F459" s="4" t="str">
        <f>HYPERLINK("http://141.218.60.56/~jnz1568/getInfo.php?workbook=02_02.xlsx&amp;sheet=U0&amp;row=459&amp;col=6&amp;number=&amp;sourceID=28","")</f>
        <v/>
      </c>
      <c r="G459" s="4" t="str">
        <f>HYPERLINK("http://141.218.60.56/~jnz1568/getInfo.php?workbook=02_02.xlsx&amp;sheet=U0&amp;row=459&amp;col=7&amp;number=&amp;sourceID=1","")</f>
        <v/>
      </c>
      <c r="H459" s="4" t="str">
        <f>HYPERLINK("http://141.218.60.56/~jnz1568/getInfo.php?workbook=02_02.xlsx&amp;sheet=U0&amp;row=459&amp;col=8&amp;number=4.301&amp;sourceID=29","4.301")</f>
        <v>4.301</v>
      </c>
      <c r="I459" s="4" t="str">
        <f>HYPERLINK("http://141.218.60.56/~jnz1568/getInfo.php?workbook=02_02.xlsx&amp;sheet=U0&amp;row=459&amp;col=9&amp;number=0.3824&amp;sourceID=1","0.3824")</f>
        <v>0.3824</v>
      </c>
    </row>
    <row r="460" spans="1:9">
      <c r="A460" s="3"/>
      <c r="B460" s="3"/>
      <c r="C460" s="3"/>
      <c r="D460" s="3"/>
      <c r="E460" s="3">
        <v>6</v>
      </c>
      <c r="F460" s="4" t="str">
        <f>HYPERLINK("http://141.218.60.56/~jnz1568/getInfo.php?workbook=02_02.xlsx&amp;sheet=U0&amp;row=460&amp;col=6&amp;number=&amp;sourceID=28","")</f>
        <v/>
      </c>
      <c r="G460" s="4" t="str">
        <f>HYPERLINK("http://141.218.60.56/~jnz1568/getInfo.php?workbook=02_02.xlsx&amp;sheet=U0&amp;row=460&amp;col=7&amp;number=&amp;sourceID=1","")</f>
        <v/>
      </c>
      <c r="H460" s="4" t="str">
        <f>HYPERLINK("http://141.218.60.56/~jnz1568/getInfo.php?workbook=02_02.xlsx&amp;sheet=U0&amp;row=460&amp;col=8&amp;number=4.398&amp;sourceID=29","4.398")</f>
        <v>4.398</v>
      </c>
      <c r="I460" s="4" t="str">
        <f>HYPERLINK("http://141.218.60.56/~jnz1568/getInfo.php?workbook=02_02.xlsx&amp;sheet=U0&amp;row=460&amp;col=9&amp;number=0.3631&amp;sourceID=1","0.3631")</f>
        <v>0.3631</v>
      </c>
    </row>
    <row r="461" spans="1:9">
      <c r="A461" s="3"/>
      <c r="B461" s="3"/>
      <c r="C461" s="3"/>
      <c r="D461" s="3"/>
      <c r="E461" s="3">
        <v>7</v>
      </c>
      <c r="F461" s="4" t="str">
        <f>HYPERLINK("http://141.218.60.56/~jnz1568/getInfo.php?workbook=02_02.xlsx&amp;sheet=U0&amp;row=461&amp;col=6&amp;number=&amp;sourceID=28","")</f>
        <v/>
      </c>
      <c r="G461" s="4" t="str">
        <f>HYPERLINK("http://141.218.60.56/~jnz1568/getInfo.php?workbook=02_02.xlsx&amp;sheet=U0&amp;row=461&amp;col=7&amp;number=&amp;sourceID=1","")</f>
        <v/>
      </c>
      <c r="H461" s="4" t="str">
        <f>HYPERLINK("http://141.218.60.56/~jnz1568/getInfo.php?workbook=02_02.xlsx&amp;sheet=U0&amp;row=461&amp;col=8&amp;number=4.477&amp;sourceID=29","4.477")</f>
        <v>4.477</v>
      </c>
      <c r="I461" s="4" t="str">
        <f>HYPERLINK("http://141.218.60.56/~jnz1568/getInfo.php?workbook=02_02.xlsx&amp;sheet=U0&amp;row=461&amp;col=9&amp;number=0.3442&amp;sourceID=1","0.3442")</f>
        <v>0.3442</v>
      </c>
    </row>
    <row r="462" spans="1:9">
      <c r="A462" s="3">
        <v>2</v>
      </c>
      <c r="B462" s="3">
        <v>2</v>
      </c>
      <c r="C462" s="3">
        <v>12</v>
      </c>
      <c r="D462" s="3">
        <v>6</v>
      </c>
      <c r="E462" s="3">
        <v>1</v>
      </c>
      <c r="F462" s="4" t="str">
        <f>HYPERLINK("http://141.218.60.56/~jnz1568/getInfo.php?workbook=02_02.xlsx&amp;sheet=U0&amp;row=462&amp;col=6&amp;number=&amp;sourceID=28","")</f>
        <v/>
      </c>
      <c r="G462" s="4" t="str">
        <f>HYPERLINK("http://141.218.60.56/~jnz1568/getInfo.php?workbook=02_02.xlsx&amp;sheet=U0&amp;row=462&amp;col=7&amp;number=&amp;sourceID=1","")</f>
        <v/>
      </c>
      <c r="H462" s="4" t="str">
        <f>HYPERLINK("http://141.218.60.56/~jnz1568/getInfo.php?workbook=02_02.xlsx&amp;sheet=U0&amp;row=462&amp;col=8&amp;number=3.301&amp;sourceID=29","3.301")</f>
        <v>3.301</v>
      </c>
      <c r="I462" s="4" t="str">
        <f>HYPERLINK("http://141.218.60.56/~jnz1568/getInfo.php?workbook=02_02.xlsx&amp;sheet=U0&amp;row=462&amp;col=9&amp;number=9.683&amp;sourceID=1","9.683")</f>
        <v>9.683</v>
      </c>
    </row>
    <row r="463" spans="1:9">
      <c r="A463" s="3"/>
      <c r="B463" s="3"/>
      <c r="C463" s="3"/>
      <c r="D463" s="3"/>
      <c r="E463" s="3">
        <v>2</v>
      </c>
      <c r="F463" s="4" t="str">
        <f>HYPERLINK("http://141.218.60.56/~jnz1568/getInfo.php?workbook=02_02.xlsx&amp;sheet=U0&amp;row=463&amp;col=6&amp;number=&amp;sourceID=28","")</f>
        <v/>
      </c>
      <c r="G463" s="4" t="str">
        <f>HYPERLINK("http://141.218.60.56/~jnz1568/getInfo.php?workbook=02_02.xlsx&amp;sheet=U0&amp;row=463&amp;col=7&amp;number=&amp;sourceID=1","")</f>
        <v/>
      </c>
      <c r="H463" s="4" t="str">
        <f>HYPERLINK("http://141.218.60.56/~jnz1568/getInfo.php?workbook=02_02.xlsx&amp;sheet=U0&amp;row=463&amp;col=8&amp;number=3.699&amp;sourceID=29","3.699")</f>
        <v>3.699</v>
      </c>
      <c r="I463" s="4" t="str">
        <f>HYPERLINK("http://141.218.60.56/~jnz1568/getInfo.php?workbook=02_02.xlsx&amp;sheet=U0&amp;row=463&amp;col=9&amp;number=8.101&amp;sourceID=1","8.101")</f>
        <v>8.101</v>
      </c>
    </row>
    <row r="464" spans="1:9">
      <c r="A464" s="3"/>
      <c r="B464" s="3"/>
      <c r="C464" s="3"/>
      <c r="D464" s="3"/>
      <c r="E464" s="3">
        <v>3</v>
      </c>
      <c r="F464" s="4" t="str">
        <f>HYPERLINK("http://141.218.60.56/~jnz1568/getInfo.php?workbook=02_02.xlsx&amp;sheet=U0&amp;row=464&amp;col=6&amp;number=&amp;sourceID=28","")</f>
        <v/>
      </c>
      <c r="G464" s="4" t="str">
        <f>HYPERLINK("http://141.218.60.56/~jnz1568/getInfo.php?workbook=02_02.xlsx&amp;sheet=U0&amp;row=464&amp;col=7&amp;number=&amp;sourceID=1","")</f>
        <v/>
      </c>
      <c r="H464" s="4" t="str">
        <f>HYPERLINK("http://141.218.60.56/~jnz1568/getInfo.php?workbook=02_02.xlsx&amp;sheet=U0&amp;row=464&amp;col=8&amp;number=4&amp;sourceID=29","4")</f>
        <v>4</v>
      </c>
      <c r="I464" s="4" t="str">
        <f>HYPERLINK("http://141.218.60.56/~jnz1568/getInfo.php?workbook=02_02.xlsx&amp;sheet=U0&amp;row=464&amp;col=9&amp;number=7.683&amp;sourceID=1","7.683")</f>
        <v>7.683</v>
      </c>
    </row>
    <row r="465" spans="1:9">
      <c r="A465" s="3"/>
      <c r="B465" s="3"/>
      <c r="C465" s="3"/>
      <c r="D465" s="3"/>
      <c r="E465" s="3">
        <v>4</v>
      </c>
      <c r="F465" s="4" t="str">
        <f>HYPERLINK("http://141.218.60.56/~jnz1568/getInfo.php?workbook=02_02.xlsx&amp;sheet=U0&amp;row=465&amp;col=6&amp;number=&amp;sourceID=28","")</f>
        <v/>
      </c>
      <c r="G465" s="4" t="str">
        <f>HYPERLINK("http://141.218.60.56/~jnz1568/getInfo.php?workbook=02_02.xlsx&amp;sheet=U0&amp;row=465&amp;col=7&amp;number=&amp;sourceID=1","")</f>
        <v/>
      </c>
      <c r="H465" s="4" t="str">
        <f>HYPERLINK("http://141.218.60.56/~jnz1568/getInfo.php?workbook=02_02.xlsx&amp;sheet=U0&amp;row=465&amp;col=8&amp;number=4.176&amp;sourceID=29","4.176")</f>
        <v>4.176</v>
      </c>
      <c r="I465" s="4" t="str">
        <f>HYPERLINK("http://141.218.60.56/~jnz1568/getInfo.php?workbook=02_02.xlsx&amp;sheet=U0&amp;row=465&amp;col=9&amp;number=8.394&amp;sourceID=1","8.394")</f>
        <v>8.394</v>
      </c>
    </row>
    <row r="466" spans="1:9">
      <c r="A466" s="3"/>
      <c r="B466" s="3"/>
      <c r="C466" s="3"/>
      <c r="D466" s="3"/>
      <c r="E466" s="3">
        <v>5</v>
      </c>
      <c r="F466" s="4" t="str">
        <f>HYPERLINK("http://141.218.60.56/~jnz1568/getInfo.php?workbook=02_02.xlsx&amp;sheet=U0&amp;row=466&amp;col=6&amp;number=&amp;sourceID=28","")</f>
        <v/>
      </c>
      <c r="G466" s="4" t="str">
        <f>HYPERLINK("http://141.218.60.56/~jnz1568/getInfo.php?workbook=02_02.xlsx&amp;sheet=U0&amp;row=466&amp;col=7&amp;number=&amp;sourceID=1","")</f>
        <v/>
      </c>
      <c r="H466" s="4" t="str">
        <f>HYPERLINK("http://141.218.60.56/~jnz1568/getInfo.php?workbook=02_02.xlsx&amp;sheet=U0&amp;row=466&amp;col=8&amp;number=4.301&amp;sourceID=29","4.301")</f>
        <v>4.301</v>
      </c>
      <c r="I466" s="4" t="str">
        <f>HYPERLINK("http://141.218.60.56/~jnz1568/getInfo.php?workbook=02_02.xlsx&amp;sheet=U0&amp;row=466&amp;col=9&amp;number=9.353&amp;sourceID=1","9.353")</f>
        <v>9.353</v>
      </c>
    </row>
    <row r="467" spans="1:9">
      <c r="A467" s="3"/>
      <c r="B467" s="3"/>
      <c r="C467" s="3"/>
      <c r="D467" s="3"/>
      <c r="E467" s="3">
        <v>6</v>
      </c>
      <c r="F467" s="4" t="str">
        <f>HYPERLINK("http://141.218.60.56/~jnz1568/getInfo.php?workbook=02_02.xlsx&amp;sheet=U0&amp;row=467&amp;col=6&amp;number=&amp;sourceID=28","")</f>
        <v/>
      </c>
      <c r="G467" s="4" t="str">
        <f>HYPERLINK("http://141.218.60.56/~jnz1568/getInfo.php?workbook=02_02.xlsx&amp;sheet=U0&amp;row=467&amp;col=7&amp;number=&amp;sourceID=1","")</f>
        <v/>
      </c>
      <c r="H467" s="4" t="str">
        <f>HYPERLINK("http://141.218.60.56/~jnz1568/getInfo.php?workbook=02_02.xlsx&amp;sheet=U0&amp;row=467&amp;col=8&amp;number=4.398&amp;sourceID=29","4.398")</f>
        <v>4.398</v>
      </c>
      <c r="I467" s="4" t="str">
        <f>HYPERLINK("http://141.218.60.56/~jnz1568/getInfo.php?workbook=02_02.xlsx&amp;sheet=U0&amp;row=467&amp;col=9&amp;number=10.24&amp;sourceID=1","10.24")</f>
        <v>10.24</v>
      </c>
    </row>
    <row r="468" spans="1:9">
      <c r="A468" s="3"/>
      <c r="B468" s="3"/>
      <c r="C468" s="3"/>
      <c r="D468" s="3"/>
      <c r="E468" s="3">
        <v>7</v>
      </c>
      <c r="F468" s="4" t="str">
        <f>HYPERLINK("http://141.218.60.56/~jnz1568/getInfo.php?workbook=02_02.xlsx&amp;sheet=U0&amp;row=468&amp;col=6&amp;number=&amp;sourceID=28","")</f>
        <v/>
      </c>
      <c r="G468" s="4" t="str">
        <f>HYPERLINK("http://141.218.60.56/~jnz1568/getInfo.php?workbook=02_02.xlsx&amp;sheet=U0&amp;row=468&amp;col=7&amp;number=&amp;sourceID=1","")</f>
        <v/>
      </c>
      <c r="H468" s="4" t="str">
        <f>HYPERLINK("http://141.218.60.56/~jnz1568/getInfo.php?workbook=02_02.xlsx&amp;sheet=U0&amp;row=468&amp;col=8&amp;number=4.477&amp;sourceID=29","4.477")</f>
        <v>4.477</v>
      </c>
      <c r="I468" s="4" t="str">
        <f>HYPERLINK("http://141.218.60.56/~jnz1568/getInfo.php?workbook=02_02.xlsx&amp;sheet=U0&amp;row=468&amp;col=9&amp;number=10.96&amp;sourceID=1","10.96")</f>
        <v>10.96</v>
      </c>
    </row>
    <row r="469" spans="1:9">
      <c r="A469" s="3">
        <v>2</v>
      </c>
      <c r="B469" s="3">
        <v>2</v>
      </c>
      <c r="C469" s="3">
        <v>12</v>
      </c>
      <c r="D469" s="3">
        <v>7</v>
      </c>
      <c r="E469" s="3">
        <v>1</v>
      </c>
      <c r="F469" s="4" t="str">
        <f>HYPERLINK("http://141.218.60.56/~jnz1568/getInfo.php?workbook=02_02.xlsx&amp;sheet=U0&amp;row=469&amp;col=6&amp;number=&amp;sourceID=28","")</f>
        <v/>
      </c>
      <c r="G469" s="4" t="str">
        <f>HYPERLINK("http://141.218.60.56/~jnz1568/getInfo.php?workbook=02_02.xlsx&amp;sheet=U0&amp;row=469&amp;col=7&amp;number=&amp;sourceID=1","")</f>
        <v/>
      </c>
      <c r="H469" s="4" t="str">
        <f>HYPERLINK("http://141.218.60.56/~jnz1568/getInfo.php?workbook=02_02.xlsx&amp;sheet=U0&amp;row=469&amp;col=8&amp;number=3.301&amp;sourceID=29","3.301")</f>
        <v>3.301</v>
      </c>
      <c r="I469" s="4" t="str">
        <f>HYPERLINK("http://141.218.60.56/~jnz1568/getInfo.php?workbook=02_02.xlsx&amp;sheet=U0&amp;row=469&amp;col=9&amp;number=1.535&amp;sourceID=1","1.535")</f>
        <v>1.535</v>
      </c>
    </row>
    <row r="470" spans="1:9">
      <c r="A470" s="3"/>
      <c r="B470" s="3"/>
      <c r="C470" s="3"/>
      <c r="D470" s="3"/>
      <c r="E470" s="3">
        <v>2</v>
      </c>
      <c r="F470" s="4" t="str">
        <f>HYPERLINK("http://141.218.60.56/~jnz1568/getInfo.php?workbook=02_02.xlsx&amp;sheet=U0&amp;row=470&amp;col=6&amp;number=&amp;sourceID=28","")</f>
        <v/>
      </c>
      <c r="G470" s="4" t="str">
        <f>HYPERLINK("http://141.218.60.56/~jnz1568/getInfo.php?workbook=02_02.xlsx&amp;sheet=U0&amp;row=470&amp;col=7&amp;number=&amp;sourceID=1","")</f>
        <v/>
      </c>
      <c r="H470" s="4" t="str">
        <f>HYPERLINK("http://141.218.60.56/~jnz1568/getInfo.php?workbook=02_02.xlsx&amp;sheet=U0&amp;row=470&amp;col=8&amp;number=3.699&amp;sourceID=29","3.699")</f>
        <v>3.699</v>
      </c>
      <c r="I470" s="4" t="str">
        <f>HYPERLINK("http://141.218.60.56/~jnz1568/getInfo.php?workbook=02_02.xlsx&amp;sheet=U0&amp;row=470&amp;col=9&amp;number=1.075&amp;sourceID=1","1.075")</f>
        <v>1.075</v>
      </c>
    </row>
    <row r="471" spans="1:9">
      <c r="A471" s="3"/>
      <c r="B471" s="3"/>
      <c r="C471" s="3"/>
      <c r="D471" s="3"/>
      <c r="E471" s="3">
        <v>3</v>
      </c>
      <c r="F471" s="4" t="str">
        <f>HYPERLINK("http://141.218.60.56/~jnz1568/getInfo.php?workbook=02_02.xlsx&amp;sheet=U0&amp;row=471&amp;col=6&amp;number=&amp;sourceID=28","")</f>
        <v/>
      </c>
      <c r="G471" s="4" t="str">
        <f>HYPERLINK("http://141.218.60.56/~jnz1568/getInfo.php?workbook=02_02.xlsx&amp;sheet=U0&amp;row=471&amp;col=7&amp;number=&amp;sourceID=1","")</f>
        <v/>
      </c>
      <c r="H471" s="4" t="str">
        <f>HYPERLINK("http://141.218.60.56/~jnz1568/getInfo.php?workbook=02_02.xlsx&amp;sheet=U0&amp;row=471&amp;col=8&amp;number=4&amp;sourceID=29","4")</f>
        <v>4</v>
      </c>
      <c r="I471" s="4" t="str">
        <f>HYPERLINK("http://141.218.60.56/~jnz1568/getInfo.php?workbook=02_02.xlsx&amp;sheet=U0&amp;row=471&amp;col=9&amp;number=0.7359&amp;sourceID=1","0.7359")</f>
        <v>0.7359</v>
      </c>
    </row>
    <row r="472" spans="1:9">
      <c r="A472" s="3"/>
      <c r="B472" s="3"/>
      <c r="C472" s="3"/>
      <c r="D472" s="3"/>
      <c r="E472" s="3">
        <v>4</v>
      </c>
      <c r="F472" s="4" t="str">
        <f>HYPERLINK("http://141.218.60.56/~jnz1568/getInfo.php?workbook=02_02.xlsx&amp;sheet=U0&amp;row=472&amp;col=6&amp;number=&amp;sourceID=28","")</f>
        <v/>
      </c>
      <c r="G472" s="4" t="str">
        <f>HYPERLINK("http://141.218.60.56/~jnz1568/getInfo.php?workbook=02_02.xlsx&amp;sheet=U0&amp;row=472&amp;col=7&amp;number=&amp;sourceID=1","")</f>
        <v/>
      </c>
      <c r="H472" s="4" t="str">
        <f>HYPERLINK("http://141.218.60.56/~jnz1568/getInfo.php?workbook=02_02.xlsx&amp;sheet=U0&amp;row=472&amp;col=8&amp;number=4.176&amp;sourceID=29","4.176")</f>
        <v>4.176</v>
      </c>
      <c r="I472" s="4" t="str">
        <f>HYPERLINK("http://141.218.60.56/~jnz1568/getInfo.php?workbook=02_02.xlsx&amp;sheet=U0&amp;row=472&amp;col=9&amp;number=0.5753&amp;sourceID=1","0.5753")</f>
        <v>0.5753</v>
      </c>
    </row>
    <row r="473" spans="1:9">
      <c r="A473" s="3"/>
      <c r="B473" s="3"/>
      <c r="C473" s="3"/>
      <c r="D473" s="3"/>
      <c r="E473" s="3">
        <v>5</v>
      </c>
      <c r="F473" s="4" t="str">
        <f>HYPERLINK("http://141.218.60.56/~jnz1568/getInfo.php?workbook=02_02.xlsx&amp;sheet=U0&amp;row=473&amp;col=6&amp;number=&amp;sourceID=28","")</f>
        <v/>
      </c>
      <c r="G473" s="4" t="str">
        <f>HYPERLINK("http://141.218.60.56/~jnz1568/getInfo.php?workbook=02_02.xlsx&amp;sheet=U0&amp;row=473&amp;col=7&amp;number=&amp;sourceID=1","")</f>
        <v/>
      </c>
      <c r="H473" s="4" t="str">
        <f>HYPERLINK("http://141.218.60.56/~jnz1568/getInfo.php?workbook=02_02.xlsx&amp;sheet=U0&amp;row=473&amp;col=8&amp;number=4.301&amp;sourceID=29","4.301")</f>
        <v>4.301</v>
      </c>
      <c r="I473" s="4" t="str">
        <f>HYPERLINK("http://141.218.60.56/~jnz1568/getInfo.php?workbook=02_02.xlsx&amp;sheet=U0&amp;row=473&amp;col=9&amp;number=0.4791&amp;sourceID=1","0.4791")</f>
        <v>0.4791</v>
      </c>
    </row>
    <row r="474" spans="1:9">
      <c r="A474" s="3"/>
      <c r="B474" s="3"/>
      <c r="C474" s="3"/>
      <c r="D474" s="3"/>
      <c r="E474" s="3">
        <v>6</v>
      </c>
      <c r="F474" s="4" t="str">
        <f>HYPERLINK("http://141.218.60.56/~jnz1568/getInfo.php?workbook=02_02.xlsx&amp;sheet=U0&amp;row=474&amp;col=6&amp;number=&amp;sourceID=28","")</f>
        <v/>
      </c>
      <c r="G474" s="4" t="str">
        <f>HYPERLINK("http://141.218.60.56/~jnz1568/getInfo.php?workbook=02_02.xlsx&amp;sheet=U0&amp;row=474&amp;col=7&amp;number=&amp;sourceID=1","")</f>
        <v/>
      </c>
      <c r="H474" s="4" t="str">
        <f>HYPERLINK("http://141.218.60.56/~jnz1568/getInfo.php?workbook=02_02.xlsx&amp;sheet=U0&amp;row=474&amp;col=8&amp;number=4.398&amp;sourceID=29","4.398")</f>
        <v>4.398</v>
      </c>
      <c r="I474" s="4" t="str">
        <f>HYPERLINK("http://141.218.60.56/~jnz1568/getInfo.php?workbook=02_02.xlsx&amp;sheet=U0&amp;row=474&amp;col=9&amp;number=0.4139&amp;sourceID=1","0.4139")</f>
        <v>0.4139</v>
      </c>
    </row>
    <row r="475" spans="1:9">
      <c r="A475" s="3"/>
      <c r="B475" s="3"/>
      <c r="C475" s="3"/>
      <c r="D475" s="3"/>
      <c r="E475" s="3">
        <v>7</v>
      </c>
      <c r="F475" s="4" t="str">
        <f>HYPERLINK("http://141.218.60.56/~jnz1568/getInfo.php?workbook=02_02.xlsx&amp;sheet=U0&amp;row=475&amp;col=6&amp;number=&amp;sourceID=28","")</f>
        <v/>
      </c>
      <c r="G475" s="4" t="str">
        <f>HYPERLINK("http://141.218.60.56/~jnz1568/getInfo.php?workbook=02_02.xlsx&amp;sheet=U0&amp;row=475&amp;col=7&amp;number=&amp;sourceID=1","")</f>
        <v/>
      </c>
      <c r="H475" s="4" t="str">
        <f>HYPERLINK("http://141.218.60.56/~jnz1568/getInfo.php?workbook=02_02.xlsx&amp;sheet=U0&amp;row=475&amp;col=8&amp;number=4.477&amp;sourceID=29","4.477")</f>
        <v>4.477</v>
      </c>
      <c r="I475" s="4" t="str">
        <f>HYPERLINK("http://141.218.60.56/~jnz1568/getInfo.php?workbook=02_02.xlsx&amp;sheet=U0&amp;row=475&amp;col=9&amp;number=0.3662&amp;sourceID=1","0.3662")</f>
        <v>0.3662</v>
      </c>
    </row>
    <row r="476" spans="1:9">
      <c r="A476" s="3">
        <v>2</v>
      </c>
      <c r="B476" s="3">
        <v>2</v>
      </c>
      <c r="C476" s="3">
        <v>12</v>
      </c>
      <c r="D476" s="3">
        <v>8</v>
      </c>
      <c r="E476" s="3">
        <v>1</v>
      </c>
      <c r="F476" s="4" t="str">
        <f>HYPERLINK("http://141.218.60.56/~jnz1568/getInfo.php?workbook=02_02.xlsx&amp;sheet=U0&amp;row=476&amp;col=6&amp;number=&amp;sourceID=28","")</f>
        <v/>
      </c>
      <c r="G476" s="4" t="str">
        <f>HYPERLINK("http://141.218.60.56/~jnz1568/getInfo.php?workbook=02_02.xlsx&amp;sheet=U0&amp;row=476&amp;col=7&amp;number=&amp;sourceID=1","")</f>
        <v/>
      </c>
      <c r="H476" s="4" t="str">
        <f>HYPERLINK("http://141.218.60.56/~jnz1568/getInfo.php?workbook=02_02.xlsx&amp;sheet=U0&amp;row=476&amp;col=8&amp;number=3.301&amp;sourceID=29","3.301")</f>
        <v>3.301</v>
      </c>
      <c r="I476" s="4" t="str">
        <f>HYPERLINK("http://141.218.60.56/~jnz1568/getInfo.php?workbook=02_02.xlsx&amp;sheet=U0&amp;row=476&amp;col=9&amp;number=10.16&amp;sourceID=1","10.16")</f>
        <v>10.16</v>
      </c>
    </row>
    <row r="477" spans="1:9">
      <c r="A477" s="3"/>
      <c r="B477" s="3"/>
      <c r="C477" s="3"/>
      <c r="D477" s="3"/>
      <c r="E477" s="3">
        <v>2</v>
      </c>
      <c r="F477" s="4" t="str">
        <f>HYPERLINK("http://141.218.60.56/~jnz1568/getInfo.php?workbook=02_02.xlsx&amp;sheet=U0&amp;row=477&amp;col=6&amp;number=&amp;sourceID=28","")</f>
        <v/>
      </c>
      <c r="G477" s="4" t="str">
        <f>HYPERLINK("http://141.218.60.56/~jnz1568/getInfo.php?workbook=02_02.xlsx&amp;sheet=U0&amp;row=477&amp;col=7&amp;number=&amp;sourceID=1","")</f>
        <v/>
      </c>
      <c r="H477" s="4" t="str">
        <f>HYPERLINK("http://141.218.60.56/~jnz1568/getInfo.php?workbook=02_02.xlsx&amp;sheet=U0&amp;row=477&amp;col=8&amp;number=3.699&amp;sourceID=29","3.699")</f>
        <v>3.699</v>
      </c>
      <c r="I477" s="4" t="str">
        <f>HYPERLINK("http://141.218.60.56/~jnz1568/getInfo.php?workbook=02_02.xlsx&amp;sheet=U0&amp;row=477&amp;col=9&amp;number=11.35&amp;sourceID=1","11.35")</f>
        <v>11.35</v>
      </c>
    </row>
    <row r="478" spans="1:9">
      <c r="A478" s="3"/>
      <c r="B478" s="3"/>
      <c r="C478" s="3"/>
      <c r="D478" s="3"/>
      <c r="E478" s="3">
        <v>3</v>
      </c>
      <c r="F478" s="4" t="str">
        <f>HYPERLINK("http://141.218.60.56/~jnz1568/getInfo.php?workbook=02_02.xlsx&amp;sheet=U0&amp;row=478&amp;col=6&amp;number=&amp;sourceID=28","")</f>
        <v/>
      </c>
      <c r="G478" s="4" t="str">
        <f>HYPERLINK("http://141.218.60.56/~jnz1568/getInfo.php?workbook=02_02.xlsx&amp;sheet=U0&amp;row=478&amp;col=7&amp;number=&amp;sourceID=1","")</f>
        <v/>
      </c>
      <c r="H478" s="4" t="str">
        <f>HYPERLINK("http://141.218.60.56/~jnz1568/getInfo.php?workbook=02_02.xlsx&amp;sheet=U0&amp;row=478&amp;col=8&amp;number=4&amp;sourceID=29","4")</f>
        <v>4</v>
      </c>
      <c r="I478" s="4" t="str">
        <f>HYPERLINK("http://141.218.60.56/~jnz1568/getInfo.php?workbook=02_02.xlsx&amp;sheet=U0&amp;row=478&amp;col=9&amp;number=14.81&amp;sourceID=1","14.81")</f>
        <v>14.81</v>
      </c>
    </row>
    <row r="479" spans="1:9">
      <c r="A479" s="3"/>
      <c r="B479" s="3"/>
      <c r="C479" s="3"/>
      <c r="D479" s="3"/>
      <c r="E479" s="3">
        <v>4</v>
      </c>
      <c r="F479" s="4" t="str">
        <f>HYPERLINK("http://141.218.60.56/~jnz1568/getInfo.php?workbook=02_02.xlsx&amp;sheet=U0&amp;row=479&amp;col=6&amp;number=&amp;sourceID=28","")</f>
        <v/>
      </c>
      <c r="G479" s="4" t="str">
        <f>HYPERLINK("http://141.218.60.56/~jnz1568/getInfo.php?workbook=02_02.xlsx&amp;sheet=U0&amp;row=479&amp;col=7&amp;number=&amp;sourceID=1","")</f>
        <v/>
      </c>
      <c r="H479" s="4" t="str">
        <f>HYPERLINK("http://141.218.60.56/~jnz1568/getInfo.php?workbook=02_02.xlsx&amp;sheet=U0&amp;row=479&amp;col=8&amp;number=4.176&amp;sourceID=29","4.176")</f>
        <v>4.176</v>
      </c>
      <c r="I479" s="4" t="str">
        <f>HYPERLINK("http://141.218.60.56/~jnz1568/getInfo.php?workbook=02_02.xlsx&amp;sheet=U0&amp;row=479&amp;col=9&amp;number=18.32&amp;sourceID=1","18.32")</f>
        <v>18.32</v>
      </c>
    </row>
    <row r="480" spans="1:9">
      <c r="A480" s="3"/>
      <c r="B480" s="3"/>
      <c r="C480" s="3"/>
      <c r="D480" s="3"/>
      <c r="E480" s="3">
        <v>5</v>
      </c>
      <c r="F480" s="4" t="str">
        <f>HYPERLINK("http://141.218.60.56/~jnz1568/getInfo.php?workbook=02_02.xlsx&amp;sheet=U0&amp;row=480&amp;col=6&amp;number=&amp;sourceID=28","")</f>
        <v/>
      </c>
      <c r="G480" s="4" t="str">
        <f>HYPERLINK("http://141.218.60.56/~jnz1568/getInfo.php?workbook=02_02.xlsx&amp;sheet=U0&amp;row=480&amp;col=7&amp;number=&amp;sourceID=1","")</f>
        <v/>
      </c>
      <c r="H480" s="4" t="str">
        <f>HYPERLINK("http://141.218.60.56/~jnz1568/getInfo.php?workbook=02_02.xlsx&amp;sheet=U0&amp;row=480&amp;col=8&amp;number=4.301&amp;sourceID=29","4.301")</f>
        <v>4.301</v>
      </c>
      <c r="I480" s="4" t="str">
        <f>HYPERLINK("http://141.218.60.56/~jnz1568/getInfo.php?workbook=02_02.xlsx&amp;sheet=U0&amp;row=480&amp;col=9&amp;number=21.43&amp;sourceID=1","21.43")</f>
        <v>21.43</v>
      </c>
    </row>
    <row r="481" spans="1:9">
      <c r="A481" s="3">
        <v>2</v>
      </c>
      <c r="B481" s="3">
        <v>2</v>
      </c>
      <c r="C481" s="3">
        <v>12</v>
      </c>
      <c r="D481" s="3">
        <v>9</v>
      </c>
      <c r="E481" s="3">
        <v>1</v>
      </c>
      <c r="F481" s="4" t="str">
        <f>HYPERLINK("http://141.218.60.56/~jnz1568/getInfo.php?workbook=02_02.xlsx&amp;sheet=U0&amp;row=481&amp;col=6&amp;number=&amp;sourceID=28","")</f>
        <v/>
      </c>
      <c r="G481" s="4" t="str">
        <f>HYPERLINK("http://141.218.60.56/~jnz1568/getInfo.php?workbook=02_02.xlsx&amp;sheet=U0&amp;row=481&amp;col=7&amp;number=&amp;sourceID=1","")</f>
        <v/>
      </c>
      <c r="H481" s="4" t="str">
        <f>HYPERLINK("http://141.218.60.56/~jnz1568/getInfo.php?workbook=02_02.xlsx&amp;sheet=U0&amp;row=481&amp;col=8&amp;number=3.301&amp;sourceID=29","3.301")</f>
        <v>3.301</v>
      </c>
      <c r="I481" s="4" t="str">
        <f>HYPERLINK("http://141.218.60.56/~jnz1568/getInfo.php?workbook=02_02.xlsx&amp;sheet=U0&amp;row=481&amp;col=9&amp;number=15.54&amp;sourceID=1","15.54")</f>
        <v>15.54</v>
      </c>
    </row>
    <row r="482" spans="1:9">
      <c r="A482" s="3"/>
      <c r="B482" s="3"/>
      <c r="C482" s="3"/>
      <c r="D482" s="3"/>
      <c r="E482" s="3">
        <v>2</v>
      </c>
      <c r="F482" s="4" t="str">
        <f>HYPERLINK("http://141.218.60.56/~jnz1568/getInfo.php?workbook=02_02.xlsx&amp;sheet=U0&amp;row=482&amp;col=6&amp;number=&amp;sourceID=28","")</f>
        <v/>
      </c>
      <c r="G482" s="4" t="str">
        <f>HYPERLINK("http://141.218.60.56/~jnz1568/getInfo.php?workbook=02_02.xlsx&amp;sheet=U0&amp;row=482&amp;col=7&amp;number=&amp;sourceID=1","")</f>
        <v/>
      </c>
      <c r="H482" s="4" t="str">
        <f>HYPERLINK("http://141.218.60.56/~jnz1568/getInfo.php?workbook=02_02.xlsx&amp;sheet=U0&amp;row=482&amp;col=8&amp;number=3.699&amp;sourceID=29","3.699")</f>
        <v>3.699</v>
      </c>
      <c r="I482" s="4" t="str">
        <f>HYPERLINK("http://141.218.60.56/~jnz1568/getInfo.php?workbook=02_02.xlsx&amp;sheet=U0&amp;row=482&amp;col=9&amp;number=14.84&amp;sourceID=1","14.84")</f>
        <v>14.84</v>
      </c>
    </row>
    <row r="483" spans="1:9">
      <c r="A483" s="3"/>
      <c r="B483" s="3"/>
      <c r="C483" s="3"/>
      <c r="D483" s="3"/>
      <c r="E483" s="3">
        <v>3</v>
      </c>
      <c r="F483" s="4" t="str">
        <f>HYPERLINK("http://141.218.60.56/~jnz1568/getInfo.php?workbook=02_02.xlsx&amp;sheet=U0&amp;row=483&amp;col=6&amp;number=&amp;sourceID=28","")</f>
        <v/>
      </c>
      <c r="G483" s="4" t="str">
        <f>HYPERLINK("http://141.218.60.56/~jnz1568/getInfo.php?workbook=02_02.xlsx&amp;sheet=U0&amp;row=483&amp;col=7&amp;number=&amp;sourceID=1","")</f>
        <v/>
      </c>
      <c r="H483" s="4" t="str">
        <f>HYPERLINK("http://141.218.60.56/~jnz1568/getInfo.php?workbook=02_02.xlsx&amp;sheet=U0&amp;row=483&amp;col=8&amp;number=4&amp;sourceID=29","4")</f>
        <v>4</v>
      </c>
      <c r="I483" s="4" t="str">
        <f>HYPERLINK("http://141.218.60.56/~jnz1568/getInfo.php?workbook=02_02.xlsx&amp;sheet=U0&amp;row=483&amp;col=9&amp;number=14.5&amp;sourceID=1","14.5")</f>
        <v>14.5</v>
      </c>
    </row>
    <row r="484" spans="1:9">
      <c r="A484" s="3"/>
      <c r="B484" s="3"/>
      <c r="C484" s="3"/>
      <c r="D484" s="3"/>
      <c r="E484" s="3">
        <v>4</v>
      </c>
      <c r="F484" s="4" t="str">
        <f>HYPERLINK("http://141.218.60.56/~jnz1568/getInfo.php?workbook=02_02.xlsx&amp;sheet=U0&amp;row=484&amp;col=6&amp;number=&amp;sourceID=28","")</f>
        <v/>
      </c>
      <c r="G484" s="4" t="str">
        <f>HYPERLINK("http://141.218.60.56/~jnz1568/getInfo.php?workbook=02_02.xlsx&amp;sheet=U0&amp;row=484&amp;col=7&amp;number=&amp;sourceID=1","")</f>
        <v/>
      </c>
      <c r="H484" s="4" t="str">
        <f>HYPERLINK("http://141.218.60.56/~jnz1568/getInfo.php?workbook=02_02.xlsx&amp;sheet=U0&amp;row=484&amp;col=8&amp;number=4.176&amp;sourceID=29","4.176")</f>
        <v>4.176</v>
      </c>
      <c r="I484" s="4" t="str">
        <f>HYPERLINK("http://141.218.60.56/~jnz1568/getInfo.php?workbook=02_02.xlsx&amp;sheet=U0&amp;row=484&amp;col=9&amp;number=14.69&amp;sourceID=1","14.69")</f>
        <v>14.69</v>
      </c>
    </row>
    <row r="485" spans="1:9">
      <c r="A485" s="3"/>
      <c r="B485" s="3"/>
      <c r="C485" s="3"/>
      <c r="D485" s="3"/>
      <c r="E485" s="3">
        <v>5</v>
      </c>
      <c r="F485" s="4" t="str">
        <f>HYPERLINK("http://141.218.60.56/~jnz1568/getInfo.php?workbook=02_02.xlsx&amp;sheet=U0&amp;row=485&amp;col=6&amp;number=&amp;sourceID=28","")</f>
        <v/>
      </c>
      <c r="G485" s="4" t="str">
        <f>HYPERLINK("http://141.218.60.56/~jnz1568/getInfo.php?workbook=02_02.xlsx&amp;sheet=U0&amp;row=485&amp;col=7&amp;number=&amp;sourceID=1","")</f>
        <v/>
      </c>
      <c r="H485" s="4" t="str">
        <f>HYPERLINK("http://141.218.60.56/~jnz1568/getInfo.php?workbook=02_02.xlsx&amp;sheet=U0&amp;row=485&amp;col=8&amp;number=4.301&amp;sourceID=29","4.301")</f>
        <v>4.301</v>
      </c>
      <c r="I485" s="4" t="str">
        <f>HYPERLINK("http://141.218.60.56/~jnz1568/getInfo.php?workbook=02_02.xlsx&amp;sheet=U0&amp;row=485&amp;col=9&amp;number=14.97&amp;sourceID=1","14.97")</f>
        <v>14.97</v>
      </c>
    </row>
    <row r="486" spans="1:9">
      <c r="A486" s="3">
        <v>2</v>
      </c>
      <c r="B486" s="3">
        <v>2</v>
      </c>
      <c r="C486" s="3">
        <v>12</v>
      </c>
      <c r="D486" s="3">
        <v>10</v>
      </c>
      <c r="E486" s="3">
        <v>1</v>
      </c>
      <c r="F486" s="4" t="str">
        <f>HYPERLINK("http://141.218.60.56/~jnz1568/getInfo.php?workbook=02_02.xlsx&amp;sheet=U0&amp;row=486&amp;col=6&amp;number=&amp;sourceID=28","")</f>
        <v/>
      </c>
      <c r="G486" s="4" t="str">
        <f>HYPERLINK("http://141.218.60.56/~jnz1568/getInfo.php?workbook=02_02.xlsx&amp;sheet=U0&amp;row=486&amp;col=7&amp;number=&amp;sourceID=1","")</f>
        <v/>
      </c>
      <c r="H486" s="4" t="str">
        <f>HYPERLINK("http://141.218.60.56/~jnz1568/getInfo.php?workbook=02_02.xlsx&amp;sheet=U0&amp;row=486&amp;col=8&amp;number=3.301&amp;sourceID=29","3.301")</f>
        <v>3.301</v>
      </c>
      <c r="I486" s="4" t="str">
        <f>HYPERLINK("http://141.218.60.56/~jnz1568/getInfo.php?workbook=02_02.xlsx&amp;sheet=U0&amp;row=486&amp;col=9&amp;number=2.081&amp;sourceID=1","2.081")</f>
        <v>2.081</v>
      </c>
    </row>
    <row r="487" spans="1:9">
      <c r="A487" s="3"/>
      <c r="B487" s="3"/>
      <c r="C487" s="3"/>
      <c r="D487" s="3"/>
      <c r="E487" s="3">
        <v>2</v>
      </c>
      <c r="F487" s="4" t="str">
        <f>HYPERLINK("http://141.218.60.56/~jnz1568/getInfo.php?workbook=02_02.xlsx&amp;sheet=U0&amp;row=487&amp;col=6&amp;number=&amp;sourceID=28","")</f>
        <v/>
      </c>
      <c r="G487" s="4" t="str">
        <f>HYPERLINK("http://141.218.60.56/~jnz1568/getInfo.php?workbook=02_02.xlsx&amp;sheet=U0&amp;row=487&amp;col=7&amp;number=&amp;sourceID=1","")</f>
        <v/>
      </c>
      <c r="H487" s="4" t="str">
        <f>HYPERLINK("http://141.218.60.56/~jnz1568/getInfo.php?workbook=02_02.xlsx&amp;sheet=U0&amp;row=487&amp;col=8&amp;number=3.699&amp;sourceID=29","3.699")</f>
        <v>3.699</v>
      </c>
      <c r="I487" s="4" t="str">
        <f>HYPERLINK("http://141.218.60.56/~jnz1568/getInfo.php?workbook=02_02.xlsx&amp;sheet=U0&amp;row=487&amp;col=9&amp;number=1.699&amp;sourceID=1","1.699")</f>
        <v>1.699</v>
      </c>
    </row>
    <row r="488" spans="1:9">
      <c r="A488" s="3"/>
      <c r="B488" s="3"/>
      <c r="C488" s="3"/>
      <c r="D488" s="3"/>
      <c r="E488" s="3">
        <v>3</v>
      </c>
      <c r="F488" s="4" t="str">
        <f>HYPERLINK("http://141.218.60.56/~jnz1568/getInfo.php?workbook=02_02.xlsx&amp;sheet=U0&amp;row=488&amp;col=6&amp;number=&amp;sourceID=28","")</f>
        <v/>
      </c>
      <c r="G488" s="4" t="str">
        <f>HYPERLINK("http://141.218.60.56/~jnz1568/getInfo.php?workbook=02_02.xlsx&amp;sheet=U0&amp;row=488&amp;col=7&amp;number=&amp;sourceID=1","")</f>
        <v/>
      </c>
      <c r="H488" s="4" t="str">
        <f>HYPERLINK("http://141.218.60.56/~jnz1568/getInfo.php?workbook=02_02.xlsx&amp;sheet=U0&amp;row=488&amp;col=8&amp;number=4&amp;sourceID=29","4")</f>
        <v>4</v>
      </c>
      <c r="I488" s="4" t="str">
        <f>HYPERLINK("http://141.218.60.56/~jnz1568/getInfo.php?workbook=02_02.xlsx&amp;sheet=U0&amp;row=488&amp;col=9&amp;number=1.399&amp;sourceID=1","1.399")</f>
        <v>1.399</v>
      </c>
    </row>
    <row r="489" spans="1:9">
      <c r="A489" s="3"/>
      <c r="B489" s="3"/>
      <c r="C489" s="3"/>
      <c r="D489" s="3"/>
      <c r="E489" s="3">
        <v>4</v>
      </c>
      <c r="F489" s="4" t="str">
        <f>HYPERLINK("http://141.218.60.56/~jnz1568/getInfo.php?workbook=02_02.xlsx&amp;sheet=U0&amp;row=489&amp;col=6&amp;number=&amp;sourceID=28","")</f>
        <v/>
      </c>
      <c r="G489" s="4" t="str">
        <f>HYPERLINK("http://141.218.60.56/~jnz1568/getInfo.php?workbook=02_02.xlsx&amp;sheet=U0&amp;row=489&amp;col=7&amp;number=&amp;sourceID=1","")</f>
        <v/>
      </c>
      <c r="H489" s="4" t="str">
        <f>HYPERLINK("http://141.218.60.56/~jnz1568/getInfo.php?workbook=02_02.xlsx&amp;sheet=U0&amp;row=489&amp;col=8&amp;number=4.176&amp;sourceID=29","4.176")</f>
        <v>4.176</v>
      </c>
      <c r="I489" s="4" t="str">
        <f>HYPERLINK("http://141.218.60.56/~jnz1568/getInfo.php?workbook=02_02.xlsx&amp;sheet=U0&amp;row=489&amp;col=9&amp;number=1.231&amp;sourceID=1","1.231")</f>
        <v>1.231</v>
      </c>
    </row>
    <row r="490" spans="1:9">
      <c r="A490" s="3"/>
      <c r="B490" s="3"/>
      <c r="C490" s="3"/>
      <c r="D490" s="3"/>
      <c r="E490" s="3">
        <v>5</v>
      </c>
      <c r="F490" s="4" t="str">
        <f>HYPERLINK("http://141.218.60.56/~jnz1568/getInfo.php?workbook=02_02.xlsx&amp;sheet=U0&amp;row=490&amp;col=6&amp;number=&amp;sourceID=28","")</f>
        <v/>
      </c>
      <c r="G490" s="4" t="str">
        <f>HYPERLINK("http://141.218.60.56/~jnz1568/getInfo.php?workbook=02_02.xlsx&amp;sheet=U0&amp;row=490&amp;col=7&amp;number=&amp;sourceID=1","")</f>
        <v/>
      </c>
      <c r="H490" s="4" t="str">
        <f>HYPERLINK("http://141.218.60.56/~jnz1568/getInfo.php?workbook=02_02.xlsx&amp;sheet=U0&amp;row=490&amp;col=8&amp;number=4.301&amp;sourceID=29","4.301")</f>
        <v>4.301</v>
      </c>
      <c r="I490" s="4" t="str">
        <f>HYPERLINK("http://141.218.60.56/~jnz1568/getInfo.php?workbook=02_02.xlsx&amp;sheet=U0&amp;row=490&amp;col=9&amp;number=1.108&amp;sourceID=1","1.108")</f>
        <v>1.108</v>
      </c>
    </row>
    <row r="491" spans="1:9">
      <c r="A491" s="3"/>
      <c r="B491" s="3"/>
      <c r="C491" s="3"/>
      <c r="D491" s="3"/>
      <c r="E491" s="3">
        <v>6</v>
      </c>
      <c r="F491" s="4" t="str">
        <f>HYPERLINK("http://141.218.60.56/~jnz1568/getInfo.php?workbook=02_02.xlsx&amp;sheet=U0&amp;row=491&amp;col=6&amp;number=&amp;sourceID=28","")</f>
        <v/>
      </c>
      <c r="G491" s="4" t="str">
        <f>HYPERLINK("http://141.218.60.56/~jnz1568/getInfo.php?workbook=02_02.xlsx&amp;sheet=U0&amp;row=491&amp;col=7&amp;number=&amp;sourceID=1","")</f>
        <v/>
      </c>
      <c r="H491" s="4" t="str">
        <f>HYPERLINK("http://141.218.60.56/~jnz1568/getInfo.php?workbook=02_02.xlsx&amp;sheet=U0&amp;row=491&amp;col=8&amp;number=4.398&amp;sourceID=29","4.398")</f>
        <v>4.398</v>
      </c>
      <c r="I491" s="4" t="str">
        <f>HYPERLINK("http://141.218.60.56/~jnz1568/getInfo.php?workbook=02_02.xlsx&amp;sheet=U0&amp;row=491&amp;col=9&amp;number=1.009&amp;sourceID=1","1.009")</f>
        <v>1.009</v>
      </c>
    </row>
    <row r="492" spans="1:9">
      <c r="A492" s="3"/>
      <c r="B492" s="3"/>
      <c r="C492" s="3"/>
      <c r="D492" s="3"/>
      <c r="E492" s="3">
        <v>7</v>
      </c>
      <c r="F492" s="4" t="str">
        <f>HYPERLINK("http://141.218.60.56/~jnz1568/getInfo.php?workbook=02_02.xlsx&amp;sheet=U0&amp;row=492&amp;col=6&amp;number=&amp;sourceID=28","")</f>
        <v/>
      </c>
      <c r="G492" s="4" t="str">
        <f>HYPERLINK("http://141.218.60.56/~jnz1568/getInfo.php?workbook=02_02.xlsx&amp;sheet=U0&amp;row=492&amp;col=7&amp;number=&amp;sourceID=1","")</f>
        <v/>
      </c>
      <c r="H492" s="4" t="str">
        <f>HYPERLINK("http://141.218.60.56/~jnz1568/getInfo.php?workbook=02_02.xlsx&amp;sheet=U0&amp;row=492&amp;col=8&amp;number=4.477&amp;sourceID=29","4.477")</f>
        <v>4.477</v>
      </c>
      <c r="I492" s="4" t="str">
        <f>HYPERLINK("http://141.218.60.56/~jnz1568/getInfo.php?workbook=02_02.xlsx&amp;sheet=U0&amp;row=492&amp;col=9&amp;number=0.9272&amp;sourceID=1","0.9272")</f>
        <v>0.9272</v>
      </c>
    </row>
    <row r="493" spans="1:9">
      <c r="A493" s="3">
        <v>2</v>
      </c>
      <c r="B493" s="3">
        <v>2</v>
      </c>
      <c r="C493" s="3">
        <v>12</v>
      </c>
      <c r="D493" s="3">
        <v>11</v>
      </c>
      <c r="E493" s="3">
        <v>1</v>
      </c>
      <c r="F493" s="4" t="str">
        <f>HYPERLINK("http://141.218.60.56/~jnz1568/getInfo.php?workbook=02_02.xlsx&amp;sheet=U0&amp;row=493&amp;col=6&amp;number=&amp;sourceID=28","")</f>
        <v/>
      </c>
      <c r="G493" s="4" t="str">
        <f>HYPERLINK("http://141.218.60.56/~jnz1568/getInfo.php?workbook=02_02.xlsx&amp;sheet=U0&amp;row=493&amp;col=7&amp;number=&amp;sourceID=1","")</f>
        <v/>
      </c>
      <c r="H493" s="4" t="str">
        <f>HYPERLINK("http://141.218.60.56/~jnz1568/getInfo.php?workbook=02_02.xlsx&amp;sheet=U0&amp;row=493&amp;col=8&amp;number=3.301&amp;sourceID=29","3.301")</f>
        <v>3.301</v>
      </c>
      <c r="I493" s="4" t="str">
        <f>HYPERLINK("http://141.218.60.56/~jnz1568/getInfo.php?workbook=02_02.xlsx&amp;sheet=U0&amp;row=493&amp;col=9&amp;number=1.323&amp;sourceID=1","1.323")</f>
        <v>1.323</v>
      </c>
    </row>
    <row r="494" spans="1:9">
      <c r="A494" s="3"/>
      <c r="B494" s="3"/>
      <c r="C494" s="3"/>
      <c r="D494" s="3"/>
      <c r="E494" s="3">
        <v>2</v>
      </c>
      <c r="F494" s="4" t="str">
        <f>HYPERLINK("http://141.218.60.56/~jnz1568/getInfo.php?workbook=02_02.xlsx&amp;sheet=U0&amp;row=494&amp;col=6&amp;number=&amp;sourceID=28","")</f>
        <v/>
      </c>
      <c r="G494" s="4" t="str">
        <f>HYPERLINK("http://141.218.60.56/~jnz1568/getInfo.php?workbook=02_02.xlsx&amp;sheet=U0&amp;row=494&amp;col=7&amp;number=&amp;sourceID=1","")</f>
        <v/>
      </c>
      <c r="H494" s="4" t="str">
        <f>HYPERLINK("http://141.218.60.56/~jnz1568/getInfo.php?workbook=02_02.xlsx&amp;sheet=U0&amp;row=494&amp;col=8&amp;number=3.699&amp;sourceID=29","3.699")</f>
        <v>3.699</v>
      </c>
      <c r="I494" s="4" t="str">
        <f>HYPERLINK("http://141.218.60.56/~jnz1568/getInfo.php?workbook=02_02.xlsx&amp;sheet=U0&amp;row=494&amp;col=9&amp;number=1.125&amp;sourceID=1","1.125")</f>
        <v>1.125</v>
      </c>
    </row>
    <row r="495" spans="1:9">
      <c r="A495" s="3"/>
      <c r="B495" s="3"/>
      <c r="C495" s="3"/>
      <c r="D495" s="3"/>
      <c r="E495" s="3">
        <v>3</v>
      </c>
      <c r="F495" s="4" t="str">
        <f>HYPERLINK("http://141.218.60.56/~jnz1568/getInfo.php?workbook=02_02.xlsx&amp;sheet=U0&amp;row=495&amp;col=6&amp;number=&amp;sourceID=28","")</f>
        <v/>
      </c>
      <c r="G495" s="4" t="str">
        <f>HYPERLINK("http://141.218.60.56/~jnz1568/getInfo.php?workbook=02_02.xlsx&amp;sheet=U0&amp;row=495&amp;col=7&amp;number=&amp;sourceID=1","")</f>
        <v/>
      </c>
      <c r="H495" s="4" t="str">
        <f>HYPERLINK("http://141.218.60.56/~jnz1568/getInfo.php?workbook=02_02.xlsx&amp;sheet=U0&amp;row=495&amp;col=8&amp;number=4&amp;sourceID=29","4")</f>
        <v>4</v>
      </c>
      <c r="I495" s="4" t="str">
        <f>HYPERLINK("http://141.218.60.56/~jnz1568/getInfo.php?workbook=02_02.xlsx&amp;sheet=U0&amp;row=495&amp;col=9&amp;number=0.9664&amp;sourceID=1","0.9664")</f>
        <v>0.9664</v>
      </c>
    </row>
    <row r="496" spans="1:9">
      <c r="A496" s="3"/>
      <c r="B496" s="3"/>
      <c r="C496" s="3"/>
      <c r="D496" s="3"/>
      <c r="E496" s="3">
        <v>4</v>
      </c>
      <c r="F496" s="4" t="str">
        <f>HYPERLINK("http://141.218.60.56/~jnz1568/getInfo.php?workbook=02_02.xlsx&amp;sheet=U0&amp;row=496&amp;col=6&amp;number=&amp;sourceID=28","")</f>
        <v/>
      </c>
      <c r="G496" s="4" t="str">
        <f>HYPERLINK("http://141.218.60.56/~jnz1568/getInfo.php?workbook=02_02.xlsx&amp;sheet=U0&amp;row=496&amp;col=7&amp;number=&amp;sourceID=1","")</f>
        <v/>
      </c>
      <c r="H496" s="4" t="str">
        <f>HYPERLINK("http://141.218.60.56/~jnz1568/getInfo.php?workbook=02_02.xlsx&amp;sheet=U0&amp;row=496&amp;col=8&amp;number=4.176&amp;sourceID=29","4.176")</f>
        <v>4.176</v>
      </c>
      <c r="I496" s="4" t="str">
        <f>HYPERLINK("http://141.218.60.56/~jnz1568/getInfo.php?workbook=02_02.xlsx&amp;sheet=U0&amp;row=496&amp;col=9&amp;number=0.8643&amp;sourceID=1","0.8643")</f>
        <v>0.8643</v>
      </c>
    </row>
    <row r="497" spans="1:9">
      <c r="A497" s="3"/>
      <c r="B497" s="3"/>
      <c r="C497" s="3"/>
      <c r="D497" s="3"/>
      <c r="E497" s="3">
        <v>5</v>
      </c>
      <c r="F497" s="4" t="str">
        <f>HYPERLINK("http://141.218.60.56/~jnz1568/getInfo.php?workbook=02_02.xlsx&amp;sheet=U0&amp;row=497&amp;col=6&amp;number=&amp;sourceID=28","")</f>
        <v/>
      </c>
      <c r="G497" s="4" t="str">
        <f>HYPERLINK("http://141.218.60.56/~jnz1568/getInfo.php?workbook=02_02.xlsx&amp;sheet=U0&amp;row=497&amp;col=7&amp;number=&amp;sourceID=1","")</f>
        <v/>
      </c>
      <c r="H497" s="4" t="str">
        <f>HYPERLINK("http://141.218.60.56/~jnz1568/getInfo.php?workbook=02_02.xlsx&amp;sheet=U0&amp;row=497&amp;col=8&amp;number=4.301&amp;sourceID=29","4.301")</f>
        <v>4.301</v>
      </c>
      <c r="I497" s="4" t="str">
        <f>HYPERLINK("http://141.218.60.56/~jnz1568/getInfo.php?workbook=02_02.xlsx&amp;sheet=U0&amp;row=497&amp;col=9&amp;number=0.7832&amp;sourceID=1","0.7832")</f>
        <v>0.7832</v>
      </c>
    </row>
    <row r="498" spans="1:9">
      <c r="A498" s="3"/>
      <c r="B498" s="3"/>
      <c r="C498" s="3"/>
      <c r="D498" s="3"/>
      <c r="E498" s="3">
        <v>6</v>
      </c>
      <c r="F498" s="4" t="str">
        <f>HYPERLINK("http://141.218.60.56/~jnz1568/getInfo.php?workbook=02_02.xlsx&amp;sheet=U0&amp;row=498&amp;col=6&amp;number=&amp;sourceID=28","")</f>
        <v/>
      </c>
      <c r="G498" s="4" t="str">
        <f>HYPERLINK("http://141.218.60.56/~jnz1568/getInfo.php?workbook=02_02.xlsx&amp;sheet=U0&amp;row=498&amp;col=7&amp;number=&amp;sourceID=1","")</f>
        <v/>
      </c>
      <c r="H498" s="4" t="str">
        <f>HYPERLINK("http://141.218.60.56/~jnz1568/getInfo.php?workbook=02_02.xlsx&amp;sheet=U0&amp;row=498&amp;col=8&amp;number=4.398&amp;sourceID=29","4.398")</f>
        <v>4.398</v>
      </c>
      <c r="I498" s="4" t="str">
        <f>HYPERLINK("http://141.218.60.56/~jnz1568/getInfo.php?workbook=02_02.xlsx&amp;sheet=U0&amp;row=498&amp;col=9&amp;number=0.7161&amp;sourceID=1","0.7161")</f>
        <v>0.7161</v>
      </c>
    </row>
    <row r="499" spans="1:9">
      <c r="A499" s="3"/>
      <c r="B499" s="3"/>
      <c r="C499" s="3"/>
      <c r="D499" s="3"/>
      <c r="E499" s="3">
        <v>7</v>
      </c>
      <c r="F499" s="4" t="str">
        <f>HYPERLINK("http://141.218.60.56/~jnz1568/getInfo.php?workbook=02_02.xlsx&amp;sheet=U0&amp;row=499&amp;col=6&amp;number=&amp;sourceID=28","")</f>
        <v/>
      </c>
      <c r="G499" s="4" t="str">
        <f>HYPERLINK("http://141.218.60.56/~jnz1568/getInfo.php?workbook=02_02.xlsx&amp;sheet=U0&amp;row=499&amp;col=7&amp;number=&amp;sourceID=1","")</f>
        <v/>
      </c>
      <c r="H499" s="4" t="str">
        <f>HYPERLINK("http://141.218.60.56/~jnz1568/getInfo.php?workbook=02_02.xlsx&amp;sheet=U0&amp;row=499&amp;col=8&amp;number=4.477&amp;sourceID=29","4.477")</f>
        <v>4.477</v>
      </c>
      <c r="I499" s="4" t="str">
        <f>HYPERLINK("http://141.218.60.56/~jnz1568/getInfo.php?workbook=02_02.xlsx&amp;sheet=U0&amp;row=499&amp;col=9&amp;number=0.6594&amp;sourceID=1","0.6594")</f>
        <v>0.6594</v>
      </c>
    </row>
    <row r="500" spans="1:9">
      <c r="A500" s="3">
        <v>2</v>
      </c>
      <c r="B500" s="3">
        <v>2</v>
      </c>
      <c r="C500" s="3">
        <v>13</v>
      </c>
      <c r="D500" s="3">
        <v>1</v>
      </c>
      <c r="E500" s="3">
        <v>1</v>
      </c>
      <c r="F500" s="4" t="str">
        <f>HYPERLINK("http://141.218.60.56/~jnz1568/getInfo.php?workbook=02_02.xlsx&amp;sheet=U0&amp;row=500&amp;col=6&amp;number=3.75&amp;sourceID=28","3.75")</f>
        <v>3.75</v>
      </c>
      <c r="G500" s="4" t="str">
        <f>HYPERLINK("http://141.218.60.56/~jnz1568/getInfo.php?workbook=02_02.xlsx&amp;sheet=U0&amp;row=500&amp;col=7&amp;number=0.002397&amp;sourceID=1","0.002397")</f>
        <v>0.002397</v>
      </c>
      <c r="H500" s="4" t="str">
        <f>HYPERLINK("http://141.218.60.56/~jnz1568/getInfo.php?workbook=02_02.xlsx&amp;sheet=U0&amp;row=500&amp;col=8&amp;number=3.301&amp;sourceID=29","3.301")</f>
        <v>3.301</v>
      </c>
      <c r="I500" s="4" t="str">
        <f>HYPERLINK("http://141.218.60.56/~jnz1568/getInfo.php?workbook=02_02.xlsx&amp;sheet=U0&amp;row=500&amp;col=9&amp;number=0.002941&amp;sourceID=1","0.002941")</f>
        <v>0.002941</v>
      </c>
    </row>
    <row r="501" spans="1:9">
      <c r="A501" s="3"/>
      <c r="B501" s="3"/>
      <c r="C501" s="3"/>
      <c r="D501" s="3"/>
      <c r="E501" s="3">
        <v>2</v>
      </c>
      <c r="F501" s="4" t="str">
        <f>HYPERLINK("http://141.218.60.56/~jnz1568/getInfo.php?workbook=02_02.xlsx&amp;sheet=U0&amp;row=501&amp;col=6&amp;number=4&amp;sourceID=28","4")</f>
        <v>4</v>
      </c>
      <c r="G501" s="4" t="str">
        <f>HYPERLINK("http://141.218.60.56/~jnz1568/getInfo.php?workbook=02_02.xlsx&amp;sheet=U0&amp;row=501&amp;col=7&amp;number=0.002505&amp;sourceID=1","0.002505")</f>
        <v>0.002505</v>
      </c>
      <c r="H501" s="4" t="str">
        <f>HYPERLINK("http://141.218.60.56/~jnz1568/getInfo.php?workbook=02_02.xlsx&amp;sheet=U0&amp;row=501&amp;col=8&amp;number=3.699&amp;sourceID=29","3.699")</f>
        <v>3.699</v>
      </c>
      <c r="I501" s="4" t="str">
        <f>HYPERLINK("http://141.218.60.56/~jnz1568/getInfo.php?workbook=02_02.xlsx&amp;sheet=U0&amp;row=501&amp;col=9&amp;number=0.002801&amp;sourceID=1","0.002801")</f>
        <v>0.002801</v>
      </c>
    </row>
    <row r="502" spans="1:9">
      <c r="A502" s="3"/>
      <c r="B502" s="3"/>
      <c r="C502" s="3"/>
      <c r="D502" s="3"/>
      <c r="E502" s="3">
        <v>3</v>
      </c>
      <c r="F502" s="4" t="str">
        <f>HYPERLINK("http://141.218.60.56/~jnz1568/getInfo.php?workbook=02_02.xlsx&amp;sheet=U0&amp;row=502&amp;col=6&amp;number=4.25&amp;sourceID=28","4.25")</f>
        <v>4.25</v>
      </c>
      <c r="G502" s="4" t="str">
        <f>HYPERLINK("http://141.218.60.56/~jnz1568/getInfo.php?workbook=02_02.xlsx&amp;sheet=U0&amp;row=502&amp;col=7&amp;number=0.002642&amp;sourceID=1","0.002642")</f>
        <v>0.002642</v>
      </c>
      <c r="H502" s="4" t="str">
        <f>HYPERLINK("http://141.218.60.56/~jnz1568/getInfo.php?workbook=02_02.xlsx&amp;sheet=U0&amp;row=502&amp;col=8&amp;number=4&amp;sourceID=29","4")</f>
        <v>4</v>
      </c>
      <c r="I502" s="4" t="str">
        <f>HYPERLINK("http://141.218.60.56/~jnz1568/getInfo.php?workbook=02_02.xlsx&amp;sheet=U0&amp;row=502&amp;col=9&amp;number=0.003514&amp;sourceID=1","0.003514")</f>
        <v>0.003514</v>
      </c>
    </row>
    <row r="503" spans="1:9">
      <c r="A503" s="3"/>
      <c r="B503" s="3"/>
      <c r="C503" s="3"/>
      <c r="D503" s="3"/>
      <c r="E503" s="3">
        <v>4</v>
      </c>
      <c r="F503" s="4" t="str">
        <f>HYPERLINK("http://141.218.60.56/~jnz1568/getInfo.php?workbook=02_02.xlsx&amp;sheet=U0&amp;row=503&amp;col=6&amp;number=4.5&amp;sourceID=28","4.5")</f>
        <v>4.5</v>
      </c>
      <c r="G503" s="4" t="str">
        <f>HYPERLINK("http://141.218.60.56/~jnz1568/getInfo.php?workbook=02_02.xlsx&amp;sheet=U0&amp;row=503&amp;col=7&amp;number=0.002856&amp;sourceID=1","0.002856")</f>
        <v>0.002856</v>
      </c>
      <c r="H503" s="4" t="str">
        <f>HYPERLINK("http://141.218.60.56/~jnz1568/getInfo.php?workbook=02_02.xlsx&amp;sheet=U0&amp;row=503&amp;col=8&amp;number=4.176&amp;sourceID=29","4.176")</f>
        <v>4.176</v>
      </c>
      <c r="I503" s="4" t="str">
        <f>HYPERLINK("http://141.218.60.56/~jnz1568/getInfo.php?workbook=02_02.xlsx&amp;sheet=U0&amp;row=503&amp;col=9&amp;number=0.004365&amp;sourceID=1","0.004365")</f>
        <v>0.004365</v>
      </c>
    </row>
    <row r="504" spans="1:9">
      <c r="A504" s="3"/>
      <c r="B504" s="3"/>
      <c r="C504" s="3"/>
      <c r="D504" s="3"/>
      <c r="E504" s="3">
        <v>5</v>
      </c>
      <c r="F504" s="4" t="str">
        <f>HYPERLINK("http://141.218.60.56/~jnz1568/getInfo.php?workbook=02_02.xlsx&amp;sheet=U0&amp;row=504&amp;col=6&amp;number=4.75&amp;sourceID=28","4.75")</f>
        <v>4.75</v>
      </c>
      <c r="G504" s="4" t="str">
        <f>HYPERLINK("http://141.218.60.56/~jnz1568/getInfo.php?workbook=02_02.xlsx&amp;sheet=U0&amp;row=504&amp;col=7&amp;number=0.003178&amp;sourceID=1","0.003178")</f>
        <v>0.003178</v>
      </c>
      <c r="H504" s="4" t="str">
        <f>HYPERLINK("http://141.218.60.56/~jnz1568/getInfo.php?workbook=02_02.xlsx&amp;sheet=U0&amp;row=504&amp;col=8&amp;number=4.301&amp;sourceID=29","4.301")</f>
        <v>4.301</v>
      </c>
      <c r="I504" s="4" t="str">
        <f>HYPERLINK("http://141.218.60.56/~jnz1568/getInfo.php?workbook=02_02.xlsx&amp;sheet=U0&amp;row=504&amp;col=9&amp;number=0.005049&amp;sourceID=1","0.005049")</f>
        <v>0.005049</v>
      </c>
    </row>
    <row r="505" spans="1:9">
      <c r="A505" s="3"/>
      <c r="B505" s="3"/>
      <c r="C505" s="3"/>
      <c r="D505" s="3"/>
      <c r="E505" s="3">
        <v>6</v>
      </c>
      <c r="F505" s="4" t="str">
        <f>HYPERLINK("http://141.218.60.56/~jnz1568/getInfo.php?workbook=02_02.xlsx&amp;sheet=U0&amp;row=505&amp;col=6&amp;number=5&amp;sourceID=28","5")</f>
        <v>5</v>
      </c>
      <c r="G505" s="4" t="str">
        <f>HYPERLINK("http://141.218.60.56/~jnz1568/getInfo.php?workbook=02_02.xlsx&amp;sheet=U0&amp;row=505&amp;col=7&amp;number=0.003628&amp;sourceID=1","0.003628")</f>
        <v>0.003628</v>
      </c>
      <c r="H505" s="4" t="str">
        <f>HYPERLINK("http://141.218.60.56/~jnz1568/getInfo.php?workbook=02_02.xlsx&amp;sheet=U0&amp;row=505&amp;col=8&amp;number=4.398&amp;sourceID=29","4.398")</f>
        <v>4.398</v>
      </c>
      <c r="I505" s="4" t="str">
        <f>HYPERLINK("http://141.218.60.56/~jnz1568/getInfo.php?workbook=02_02.xlsx&amp;sheet=U0&amp;row=505&amp;col=9&amp;number=0.005543&amp;sourceID=1","0.005543")</f>
        <v>0.005543</v>
      </c>
    </row>
    <row r="506" spans="1:9">
      <c r="A506" s="3"/>
      <c r="B506" s="3"/>
      <c r="C506" s="3"/>
      <c r="D506" s="3"/>
      <c r="E506" s="3">
        <v>7</v>
      </c>
      <c r="F506" s="4" t="str">
        <f>HYPERLINK("http://141.218.60.56/~jnz1568/getInfo.php?workbook=02_02.xlsx&amp;sheet=U0&amp;row=506&amp;col=6&amp;number=5.25&amp;sourceID=28","5.25")</f>
        <v>5.25</v>
      </c>
      <c r="G506" s="4" t="str">
        <f>HYPERLINK("http://141.218.60.56/~jnz1568/getInfo.php?workbook=02_02.xlsx&amp;sheet=U0&amp;row=506&amp;col=7&amp;number=0.00421&amp;sourceID=1","0.00421")</f>
        <v>0.00421</v>
      </c>
      <c r="H506" s="4" t="str">
        <f>HYPERLINK("http://141.218.60.56/~jnz1568/getInfo.php?workbook=02_02.xlsx&amp;sheet=U0&amp;row=506&amp;col=8&amp;number=4.477&amp;sourceID=29","4.477")</f>
        <v>4.477</v>
      </c>
      <c r="I506" s="4" t="str">
        <f>HYPERLINK("http://141.218.60.56/~jnz1568/getInfo.php?workbook=02_02.xlsx&amp;sheet=U0&amp;row=506&amp;col=9&amp;number=0.005875&amp;sourceID=1","0.005875")</f>
        <v>0.005875</v>
      </c>
    </row>
    <row r="507" spans="1:9">
      <c r="A507" s="3"/>
      <c r="B507" s="3"/>
      <c r="C507" s="3"/>
      <c r="D507" s="3"/>
      <c r="E507" s="3">
        <v>8</v>
      </c>
      <c r="F507" s="4" t="str">
        <f>HYPERLINK("http://141.218.60.56/~jnz1568/getInfo.php?workbook=02_02.xlsx&amp;sheet=U0&amp;row=507&amp;col=6&amp;number=5.5&amp;sourceID=28","5.5")</f>
        <v>5.5</v>
      </c>
      <c r="G507" s="4" t="str">
        <f>HYPERLINK("http://141.218.60.56/~jnz1568/getInfo.php?workbook=02_02.xlsx&amp;sheet=U0&amp;row=507&amp;col=7&amp;number=0.004941&amp;sourceID=1","0.004941")</f>
        <v>0.004941</v>
      </c>
      <c r="H507" s="4" t="str">
        <f>HYPERLINK("http://141.218.60.56/~jnz1568/getInfo.php?workbook=02_02.xlsx&amp;sheet=U0&amp;row=507&amp;col=8&amp;number=&amp;sourceID=29","")</f>
        <v/>
      </c>
      <c r="I507" s="4" t="str">
        <f>HYPERLINK("http://141.218.60.56/~jnz1568/getInfo.php?workbook=02_02.xlsx&amp;sheet=U0&amp;row=507&amp;col=9&amp;number=&amp;sourceID=1","")</f>
        <v/>
      </c>
    </row>
    <row r="508" spans="1:9">
      <c r="A508" s="3"/>
      <c r="B508" s="3"/>
      <c r="C508" s="3"/>
      <c r="D508" s="3"/>
      <c r="E508" s="3">
        <v>9</v>
      </c>
      <c r="F508" s="4" t="str">
        <f>HYPERLINK("http://141.218.60.56/~jnz1568/getInfo.php?workbook=02_02.xlsx&amp;sheet=U0&amp;row=508&amp;col=6&amp;number=5.75&amp;sourceID=28","5.75")</f>
        <v>5.75</v>
      </c>
      <c r="G508" s="4" t="str">
        <f>HYPERLINK("http://141.218.60.56/~jnz1568/getInfo.php?workbook=02_02.xlsx&amp;sheet=U0&amp;row=508&amp;col=7&amp;number=0.005888&amp;sourceID=1","0.005888")</f>
        <v>0.005888</v>
      </c>
      <c r="H508" s="4" t="str">
        <f>HYPERLINK("http://141.218.60.56/~jnz1568/getInfo.php?workbook=02_02.xlsx&amp;sheet=U0&amp;row=508&amp;col=8&amp;number=&amp;sourceID=29","")</f>
        <v/>
      </c>
      <c r="I508" s="4" t="str">
        <f>HYPERLINK("http://141.218.60.56/~jnz1568/getInfo.php?workbook=02_02.xlsx&amp;sheet=U0&amp;row=508&amp;col=9&amp;number=&amp;sourceID=1","")</f>
        <v/>
      </c>
    </row>
    <row r="509" spans="1:9">
      <c r="A509" s="3">
        <v>2</v>
      </c>
      <c r="B509" s="3">
        <v>2</v>
      </c>
      <c r="C509" s="3">
        <v>13</v>
      </c>
      <c r="D509" s="3">
        <v>2</v>
      </c>
      <c r="E509" s="3">
        <v>1</v>
      </c>
      <c r="F509" s="4" t="str">
        <f>HYPERLINK("http://141.218.60.56/~jnz1568/getInfo.php?workbook=02_02.xlsx&amp;sheet=U0&amp;row=509&amp;col=6&amp;number=3.75&amp;sourceID=28","3.75")</f>
        <v>3.75</v>
      </c>
      <c r="G509" s="4" t="str">
        <f>HYPERLINK("http://141.218.60.56/~jnz1568/getInfo.php?workbook=02_02.xlsx&amp;sheet=U0&amp;row=509&amp;col=7&amp;number=0.1199&amp;sourceID=1","0.1199")</f>
        <v>0.1199</v>
      </c>
      <c r="H509" s="4" t="str">
        <f>HYPERLINK("http://141.218.60.56/~jnz1568/getInfo.php?workbook=02_02.xlsx&amp;sheet=U0&amp;row=509&amp;col=8&amp;number=3.301&amp;sourceID=29","3.301")</f>
        <v>3.301</v>
      </c>
      <c r="I509" s="4" t="str">
        <f>HYPERLINK("http://141.218.60.56/~jnz1568/getInfo.php?workbook=02_02.xlsx&amp;sheet=U0&amp;row=509&amp;col=9&amp;number=0.172&amp;sourceID=1","0.172")</f>
        <v>0.172</v>
      </c>
    </row>
    <row r="510" spans="1:9">
      <c r="A510" s="3"/>
      <c r="B510" s="3"/>
      <c r="C510" s="3"/>
      <c r="D510" s="3"/>
      <c r="E510" s="3">
        <v>2</v>
      </c>
      <c r="F510" s="4" t="str">
        <f>HYPERLINK("http://141.218.60.56/~jnz1568/getInfo.php?workbook=02_02.xlsx&amp;sheet=U0&amp;row=510&amp;col=6&amp;number=4&amp;sourceID=28","4")</f>
        <v>4</v>
      </c>
      <c r="G510" s="4" t="str">
        <f>HYPERLINK("http://141.218.60.56/~jnz1568/getInfo.php?workbook=02_02.xlsx&amp;sheet=U0&amp;row=510&amp;col=7&amp;number=0.1062&amp;sourceID=1","0.1062")</f>
        <v>0.1062</v>
      </c>
      <c r="H510" s="4" t="str">
        <f>HYPERLINK("http://141.218.60.56/~jnz1568/getInfo.php?workbook=02_02.xlsx&amp;sheet=U0&amp;row=510&amp;col=8&amp;number=3.699&amp;sourceID=29","3.699")</f>
        <v>3.699</v>
      </c>
      <c r="I510" s="4" t="str">
        <f>HYPERLINK("http://141.218.60.56/~jnz1568/getInfo.php?workbook=02_02.xlsx&amp;sheet=U0&amp;row=510&amp;col=9&amp;number=0.1439&amp;sourceID=1","0.1439")</f>
        <v>0.1439</v>
      </c>
    </row>
    <row r="511" spans="1:9">
      <c r="A511" s="3"/>
      <c r="B511" s="3"/>
      <c r="C511" s="3"/>
      <c r="D511" s="3"/>
      <c r="E511" s="3">
        <v>3</v>
      </c>
      <c r="F511" s="4" t="str">
        <f>HYPERLINK("http://141.218.60.56/~jnz1568/getInfo.php?workbook=02_02.xlsx&amp;sheet=U0&amp;row=511&amp;col=6&amp;number=4.25&amp;sourceID=28","4.25")</f>
        <v>4.25</v>
      </c>
      <c r="G511" s="4" t="str">
        <f>HYPERLINK("http://141.218.60.56/~jnz1568/getInfo.php?workbook=02_02.xlsx&amp;sheet=U0&amp;row=511&amp;col=7&amp;number=0.08877&amp;sourceID=1","0.08877")</f>
        <v>0.08877</v>
      </c>
      <c r="H511" s="4" t="str">
        <f>HYPERLINK("http://141.218.60.56/~jnz1568/getInfo.php?workbook=02_02.xlsx&amp;sheet=U0&amp;row=511&amp;col=8&amp;number=4&amp;sourceID=29","4")</f>
        <v>4</v>
      </c>
      <c r="I511" s="4" t="str">
        <f>HYPERLINK("http://141.218.60.56/~jnz1568/getInfo.php?workbook=02_02.xlsx&amp;sheet=U0&amp;row=511&amp;col=9&amp;number=0.1321&amp;sourceID=1","0.1321")</f>
        <v>0.1321</v>
      </c>
    </row>
    <row r="512" spans="1:9">
      <c r="A512" s="3"/>
      <c r="B512" s="3"/>
      <c r="C512" s="3"/>
      <c r="D512" s="3"/>
      <c r="E512" s="3">
        <v>4</v>
      </c>
      <c r="F512" s="4" t="str">
        <f>HYPERLINK("http://141.218.60.56/~jnz1568/getInfo.php?workbook=02_02.xlsx&amp;sheet=U0&amp;row=512&amp;col=6&amp;number=4.5&amp;sourceID=28","4.5")</f>
        <v>4.5</v>
      </c>
      <c r="G512" s="4" t="str">
        <f>HYPERLINK("http://141.218.60.56/~jnz1568/getInfo.php?workbook=02_02.xlsx&amp;sheet=U0&amp;row=512&amp;col=7&amp;number=0.07059&amp;sourceID=1","0.07059")</f>
        <v>0.07059</v>
      </c>
      <c r="H512" s="4" t="str">
        <f>HYPERLINK("http://141.218.60.56/~jnz1568/getInfo.php?workbook=02_02.xlsx&amp;sheet=U0&amp;row=512&amp;col=8&amp;number=4.176&amp;sourceID=29","4.176")</f>
        <v>4.176</v>
      </c>
      <c r="I512" s="4" t="str">
        <f>HYPERLINK("http://141.218.60.56/~jnz1568/getInfo.php?workbook=02_02.xlsx&amp;sheet=U0&amp;row=512&amp;col=9&amp;number=0.129&amp;sourceID=1","0.129")</f>
        <v>0.129</v>
      </c>
    </row>
    <row r="513" spans="1:9">
      <c r="A513" s="3"/>
      <c r="B513" s="3"/>
      <c r="C513" s="3"/>
      <c r="D513" s="3"/>
      <c r="E513" s="3">
        <v>5</v>
      </c>
      <c r="F513" s="4" t="str">
        <f>HYPERLINK("http://141.218.60.56/~jnz1568/getInfo.php?workbook=02_02.xlsx&amp;sheet=U0&amp;row=513&amp;col=6&amp;number=4.75&amp;sourceID=28","4.75")</f>
        <v>4.75</v>
      </c>
      <c r="G513" s="4" t="str">
        <f>HYPERLINK("http://141.218.60.56/~jnz1568/getInfo.php?workbook=02_02.xlsx&amp;sheet=U0&amp;row=513&amp;col=7&amp;number=0.05351&amp;sourceID=1","0.05351")</f>
        <v>0.05351</v>
      </c>
      <c r="H513" s="4" t="str">
        <f>HYPERLINK("http://141.218.60.56/~jnz1568/getInfo.php?workbook=02_02.xlsx&amp;sheet=U0&amp;row=513&amp;col=8&amp;number=4.301&amp;sourceID=29","4.301")</f>
        <v>4.301</v>
      </c>
      <c r="I513" s="4" t="str">
        <f>HYPERLINK("http://141.218.60.56/~jnz1568/getInfo.php?workbook=02_02.xlsx&amp;sheet=U0&amp;row=513&amp;col=9&amp;number=0.1262&amp;sourceID=1","0.1262")</f>
        <v>0.1262</v>
      </c>
    </row>
    <row r="514" spans="1:9">
      <c r="A514" s="3"/>
      <c r="B514" s="3"/>
      <c r="C514" s="3"/>
      <c r="D514" s="3"/>
      <c r="E514" s="3">
        <v>6</v>
      </c>
      <c r="F514" s="4" t="str">
        <f>HYPERLINK("http://141.218.60.56/~jnz1568/getInfo.php?workbook=02_02.xlsx&amp;sheet=U0&amp;row=514&amp;col=6&amp;number=5&amp;sourceID=28","5")</f>
        <v>5</v>
      </c>
      <c r="G514" s="4" t="str">
        <f>HYPERLINK("http://141.218.60.56/~jnz1568/getInfo.php?workbook=02_02.xlsx&amp;sheet=U0&amp;row=514&amp;col=7&amp;number=0.0387&amp;sourceID=1","0.0387")</f>
        <v>0.0387</v>
      </c>
      <c r="H514" s="4" t="str">
        <f>HYPERLINK("http://141.218.60.56/~jnz1568/getInfo.php?workbook=02_02.xlsx&amp;sheet=U0&amp;row=514&amp;col=8&amp;number=4.398&amp;sourceID=29","4.398")</f>
        <v>4.398</v>
      </c>
      <c r="I514" s="4" t="str">
        <f>HYPERLINK("http://141.218.60.56/~jnz1568/getInfo.php?workbook=02_02.xlsx&amp;sheet=U0&amp;row=514&amp;col=9&amp;number=0.1227&amp;sourceID=1","0.1227")</f>
        <v>0.1227</v>
      </c>
    </row>
    <row r="515" spans="1:9">
      <c r="A515" s="3"/>
      <c r="B515" s="3"/>
      <c r="C515" s="3"/>
      <c r="D515" s="3"/>
      <c r="E515" s="3">
        <v>7</v>
      </c>
      <c r="F515" s="4" t="str">
        <f>HYPERLINK("http://141.218.60.56/~jnz1568/getInfo.php?workbook=02_02.xlsx&amp;sheet=U0&amp;row=515&amp;col=6&amp;number=5.25&amp;sourceID=28","5.25")</f>
        <v>5.25</v>
      </c>
      <c r="G515" s="4" t="str">
        <f>HYPERLINK("http://141.218.60.56/~jnz1568/getInfo.php?workbook=02_02.xlsx&amp;sheet=U0&amp;row=515&amp;col=7&amp;number=0.02682&amp;sourceID=1","0.02682")</f>
        <v>0.02682</v>
      </c>
      <c r="H515" s="4" t="str">
        <f>HYPERLINK("http://141.218.60.56/~jnz1568/getInfo.php?workbook=02_02.xlsx&amp;sheet=U0&amp;row=515&amp;col=8&amp;number=4.477&amp;sourceID=29","4.477")</f>
        <v>4.477</v>
      </c>
      <c r="I515" s="4" t="str">
        <f>HYPERLINK("http://141.218.60.56/~jnz1568/getInfo.php?workbook=02_02.xlsx&amp;sheet=U0&amp;row=515&amp;col=9&amp;number=0.1188&amp;sourceID=1","0.1188")</f>
        <v>0.1188</v>
      </c>
    </row>
    <row r="516" spans="1:9">
      <c r="A516" s="3"/>
      <c r="B516" s="3"/>
      <c r="C516" s="3"/>
      <c r="D516" s="3"/>
      <c r="E516" s="3">
        <v>8</v>
      </c>
      <c r="F516" s="4" t="str">
        <f>HYPERLINK("http://141.218.60.56/~jnz1568/getInfo.php?workbook=02_02.xlsx&amp;sheet=U0&amp;row=516&amp;col=6&amp;number=5.5&amp;sourceID=28","5.5")</f>
        <v>5.5</v>
      </c>
      <c r="G516" s="4" t="str">
        <f>HYPERLINK("http://141.218.60.56/~jnz1568/getInfo.php?workbook=02_02.xlsx&amp;sheet=U0&amp;row=516&amp;col=7&amp;number=0.01793&amp;sourceID=1","0.01793")</f>
        <v>0.01793</v>
      </c>
      <c r="H516" s="4" t="str">
        <f>HYPERLINK("http://141.218.60.56/~jnz1568/getInfo.php?workbook=02_02.xlsx&amp;sheet=U0&amp;row=516&amp;col=8&amp;number=&amp;sourceID=29","")</f>
        <v/>
      </c>
      <c r="I516" s="4" t="str">
        <f>HYPERLINK("http://141.218.60.56/~jnz1568/getInfo.php?workbook=02_02.xlsx&amp;sheet=U0&amp;row=516&amp;col=9&amp;number=&amp;sourceID=1","")</f>
        <v/>
      </c>
    </row>
    <row r="517" spans="1:9">
      <c r="A517" s="3"/>
      <c r="B517" s="3"/>
      <c r="C517" s="3"/>
      <c r="D517" s="3"/>
      <c r="E517" s="3">
        <v>9</v>
      </c>
      <c r="F517" s="4" t="str">
        <f>HYPERLINK("http://141.218.60.56/~jnz1568/getInfo.php?workbook=02_02.xlsx&amp;sheet=U0&amp;row=517&amp;col=6&amp;number=5.75&amp;sourceID=28","5.75")</f>
        <v>5.75</v>
      </c>
      <c r="G517" s="4" t="str">
        <f>HYPERLINK("http://141.218.60.56/~jnz1568/getInfo.php?workbook=02_02.xlsx&amp;sheet=U0&amp;row=517&amp;col=7&amp;number=0.01165&amp;sourceID=1","0.01165")</f>
        <v>0.01165</v>
      </c>
      <c r="H517" s="4" t="str">
        <f>HYPERLINK("http://141.218.60.56/~jnz1568/getInfo.php?workbook=02_02.xlsx&amp;sheet=U0&amp;row=517&amp;col=8&amp;number=&amp;sourceID=29","")</f>
        <v/>
      </c>
      <c r="I517" s="4" t="str">
        <f>HYPERLINK("http://141.218.60.56/~jnz1568/getInfo.php?workbook=02_02.xlsx&amp;sheet=U0&amp;row=517&amp;col=9&amp;number=&amp;sourceID=1","")</f>
        <v/>
      </c>
    </row>
    <row r="518" spans="1:9">
      <c r="A518" s="3">
        <v>2</v>
      </c>
      <c r="B518" s="3">
        <v>2</v>
      </c>
      <c r="C518" s="3">
        <v>13</v>
      </c>
      <c r="D518" s="3">
        <v>3</v>
      </c>
      <c r="E518" s="3">
        <v>1</v>
      </c>
      <c r="F518" s="4" t="str">
        <f>HYPERLINK("http://141.218.60.56/~jnz1568/getInfo.php?workbook=02_02.xlsx&amp;sheet=U0&amp;row=518&amp;col=6&amp;number=3.75&amp;sourceID=28","3.75")</f>
        <v>3.75</v>
      </c>
      <c r="G518" s="4" t="str">
        <f>HYPERLINK("http://141.218.60.56/~jnz1568/getInfo.php?workbook=02_02.xlsx&amp;sheet=U0&amp;row=518&amp;col=7&amp;number=0.1237&amp;sourceID=1","0.1237")</f>
        <v>0.1237</v>
      </c>
      <c r="H518" s="4" t="str">
        <f>HYPERLINK("http://141.218.60.56/~jnz1568/getInfo.php?workbook=02_02.xlsx&amp;sheet=U0&amp;row=518&amp;col=8&amp;number=3.301&amp;sourceID=29","3.301")</f>
        <v>3.301</v>
      </c>
      <c r="I518" s="4" t="str">
        <f>HYPERLINK("http://141.218.60.56/~jnz1568/getInfo.php?workbook=02_02.xlsx&amp;sheet=U0&amp;row=518&amp;col=9&amp;number=0.1745&amp;sourceID=1","0.1745")</f>
        <v>0.1745</v>
      </c>
    </row>
    <row r="519" spans="1:9">
      <c r="A519" s="3"/>
      <c r="B519" s="3"/>
      <c r="C519" s="3"/>
      <c r="D519" s="3"/>
      <c r="E519" s="3">
        <v>2</v>
      </c>
      <c r="F519" s="4" t="str">
        <f>HYPERLINK("http://141.218.60.56/~jnz1568/getInfo.php?workbook=02_02.xlsx&amp;sheet=U0&amp;row=519&amp;col=6&amp;number=4&amp;sourceID=28","4")</f>
        <v>4</v>
      </c>
      <c r="G519" s="4" t="str">
        <f>HYPERLINK("http://141.218.60.56/~jnz1568/getInfo.php?workbook=02_02.xlsx&amp;sheet=U0&amp;row=519&amp;col=7&amp;number=0.1268&amp;sourceID=1","0.1268")</f>
        <v>0.1268</v>
      </c>
      <c r="H519" s="4" t="str">
        <f>HYPERLINK("http://141.218.60.56/~jnz1568/getInfo.php?workbook=02_02.xlsx&amp;sheet=U0&amp;row=519&amp;col=8&amp;number=3.699&amp;sourceID=29","3.699")</f>
        <v>3.699</v>
      </c>
      <c r="I519" s="4" t="str">
        <f>HYPERLINK("http://141.218.60.56/~jnz1568/getInfo.php?workbook=02_02.xlsx&amp;sheet=U0&amp;row=519&amp;col=9&amp;number=0.1525&amp;sourceID=1","0.1525")</f>
        <v>0.1525</v>
      </c>
    </row>
    <row r="520" spans="1:9">
      <c r="A520" s="3"/>
      <c r="B520" s="3"/>
      <c r="C520" s="3"/>
      <c r="D520" s="3"/>
      <c r="E520" s="3">
        <v>3</v>
      </c>
      <c r="F520" s="4" t="str">
        <f>HYPERLINK("http://141.218.60.56/~jnz1568/getInfo.php?workbook=02_02.xlsx&amp;sheet=U0&amp;row=520&amp;col=6&amp;number=4.25&amp;sourceID=28","4.25")</f>
        <v>4.25</v>
      </c>
      <c r="G520" s="4" t="str">
        <f>HYPERLINK("http://141.218.60.56/~jnz1568/getInfo.php?workbook=02_02.xlsx&amp;sheet=U0&amp;row=520&amp;col=7&amp;number=0.1371&amp;sourceID=1","0.1371")</f>
        <v>0.1371</v>
      </c>
      <c r="H520" s="4" t="str">
        <f>HYPERLINK("http://141.218.60.56/~jnz1568/getInfo.php?workbook=02_02.xlsx&amp;sheet=U0&amp;row=520&amp;col=8&amp;number=4&amp;sourceID=29","4")</f>
        <v>4</v>
      </c>
      <c r="I520" s="4" t="str">
        <f>HYPERLINK("http://141.218.60.56/~jnz1568/getInfo.php?workbook=02_02.xlsx&amp;sheet=U0&amp;row=520&amp;col=9&amp;number=0.1676&amp;sourceID=1","0.1676")</f>
        <v>0.1676</v>
      </c>
    </row>
    <row r="521" spans="1:9">
      <c r="A521" s="3"/>
      <c r="B521" s="3"/>
      <c r="C521" s="3"/>
      <c r="D521" s="3"/>
      <c r="E521" s="3">
        <v>4</v>
      </c>
      <c r="F521" s="4" t="str">
        <f>HYPERLINK("http://141.218.60.56/~jnz1568/getInfo.php?workbook=02_02.xlsx&amp;sheet=U0&amp;row=521&amp;col=6&amp;number=4.5&amp;sourceID=28","4.5")</f>
        <v>4.5</v>
      </c>
      <c r="G521" s="4" t="str">
        <f>HYPERLINK("http://141.218.60.56/~jnz1568/getInfo.php?workbook=02_02.xlsx&amp;sheet=U0&amp;row=521&amp;col=7&amp;number=0.1667&amp;sourceID=1","0.1667")</f>
        <v>0.1667</v>
      </c>
      <c r="H521" s="4" t="str">
        <f>HYPERLINK("http://141.218.60.56/~jnz1568/getInfo.php?workbook=02_02.xlsx&amp;sheet=U0&amp;row=521&amp;col=8&amp;number=4.176&amp;sourceID=29","4.176")</f>
        <v>4.176</v>
      </c>
      <c r="I521" s="4" t="str">
        <f>HYPERLINK("http://141.218.60.56/~jnz1568/getInfo.php?workbook=02_02.xlsx&amp;sheet=U0&amp;row=521&amp;col=9&amp;number=0.2012&amp;sourceID=1","0.2012")</f>
        <v>0.2012</v>
      </c>
    </row>
    <row r="522" spans="1:9">
      <c r="A522" s="3"/>
      <c r="B522" s="3"/>
      <c r="C522" s="3"/>
      <c r="D522" s="3"/>
      <c r="E522" s="3">
        <v>5</v>
      </c>
      <c r="F522" s="4" t="str">
        <f>HYPERLINK("http://141.218.60.56/~jnz1568/getInfo.php?workbook=02_02.xlsx&amp;sheet=U0&amp;row=522&amp;col=6&amp;number=4.75&amp;sourceID=28","4.75")</f>
        <v>4.75</v>
      </c>
      <c r="G522" s="4" t="str">
        <f>HYPERLINK("http://141.218.60.56/~jnz1568/getInfo.php?workbook=02_02.xlsx&amp;sheet=U0&amp;row=522&amp;col=7&amp;number=0.2224&amp;sourceID=1","0.2224")</f>
        <v>0.2224</v>
      </c>
      <c r="H522" s="4" t="str">
        <f>HYPERLINK("http://141.218.60.56/~jnz1568/getInfo.php?workbook=02_02.xlsx&amp;sheet=U0&amp;row=522&amp;col=8&amp;number=4.301&amp;sourceID=29","4.301")</f>
        <v>4.301</v>
      </c>
      <c r="I522" s="4" t="str">
        <f>HYPERLINK("http://141.218.60.56/~jnz1568/getInfo.php?workbook=02_02.xlsx&amp;sheet=U0&amp;row=522&amp;col=9&amp;number=0.2361&amp;sourceID=1","0.2361")</f>
        <v>0.2361</v>
      </c>
    </row>
    <row r="523" spans="1:9">
      <c r="A523" s="3"/>
      <c r="B523" s="3"/>
      <c r="C523" s="3"/>
      <c r="D523" s="3"/>
      <c r="E523" s="3">
        <v>6</v>
      </c>
      <c r="F523" s="4" t="str">
        <f>HYPERLINK("http://141.218.60.56/~jnz1568/getInfo.php?workbook=02_02.xlsx&amp;sheet=U0&amp;row=523&amp;col=6&amp;number=5&amp;sourceID=28","5")</f>
        <v>5</v>
      </c>
      <c r="G523" s="4" t="str">
        <f>HYPERLINK("http://141.218.60.56/~jnz1568/getInfo.php?workbook=02_02.xlsx&amp;sheet=U0&amp;row=523&amp;col=7&amp;number=0.299&amp;sourceID=1","0.299")</f>
        <v>0.299</v>
      </c>
      <c r="H523" s="4" t="str">
        <f>HYPERLINK("http://141.218.60.56/~jnz1568/getInfo.php?workbook=02_02.xlsx&amp;sheet=U0&amp;row=523&amp;col=8&amp;number=4.398&amp;sourceID=29","4.398")</f>
        <v>4.398</v>
      </c>
      <c r="I523" s="4" t="str">
        <f>HYPERLINK("http://141.218.60.56/~jnz1568/getInfo.php?workbook=02_02.xlsx&amp;sheet=U0&amp;row=523&amp;col=9&amp;number=0.2668&amp;sourceID=1","0.2668")</f>
        <v>0.2668</v>
      </c>
    </row>
    <row r="524" spans="1:9">
      <c r="A524" s="3"/>
      <c r="B524" s="3"/>
      <c r="C524" s="3"/>
      <c r="D524" s="3"/>
      <c r="E524" s="3">
        <v>7</v>
      </c>
      <c r="F524" s="4" t="str">
        <f>HYPERLINK("http://141.218.60.56/~jnz1568/getInfo.php?workbook=02_02.xlsx&amp;sheet=U0&amp;row=524&amp;col=6&amp;number=5.25&amp;sourceID=28","5.25")</f>
        <v>5.25</v>
      </c>
      <c r="G524" s="4" t="str">
        <f>HYPERLINK("http://141.218.60.56/~jnz1568/getInfo.php?workbook=02_02.xlsx&amp;sheet=U0&amp;row=524&amp;col=7&amp;number=0.3836&amp;sourceID=1","0.3836")</f>
        <v>0.3836</v>
      </c>
      <c r="H524" s="4" t="str">
        <f>HYPERLINK("http://141.218.60.56/~jnz1568/getInfo.php?workbook=02_02.xlsx&amp;sheet=U0&amp;row=524&amp;col=8&amp;number=4.477&amp;sourceID=29","4.477")</f>
        <v>4.477</v>
      </c>
      <c r="I524" s="4" t="str">
        <f>HYPERLINK("http://141.218.60.56/~jnz1568/getInfo.php?workbook=02_02.xlsx&amp;sheet=U0&amp;row=524&amp;col=9&amp;number=0.2914&amp;sourceID=1","0.2914")</f>
        <v>0.2914</v>
      </c>
    </row>
    <row r="525" spans="1:9">
      <c r="A525" s="3"/>
      <c r="B525" s="3"/>
      <c r="C525" s="3"/>
      <c r="D525" s="3"/>
      <c r="E525" s="3">
        <v>8</v>
      </c>
      <c r="F525" s="4" t="str">
        <f>HYPERLINK("http://141.218.60.56/~jnz1568/getInfo.php?workbook=02_02.xlsx&amp;sheet=U0&amp;row=525&amp;col=6&amp;number=5.5&amp;sourceID=28","5.5")</f>
        <v>5.5</v>
      </c>
      <c r="G525" s="4" t="str">
        <f>HYPERLINK("http://141.218.60.56/~jnz1568/getInfo.php?workbook=02_02.xlsx&amp;sheet=U0&amp;row=525&amp;col=7&amp;number=0.4653&amp;sourceID=1","0.4653")</f>
        <v>0.4653</v>
      </c>
      <c r="H525" s="4" t="str">
        <f>HYPERLINK("http://141.218.60.56/~jnz1568/getInfo.php?workbook=02_02.xlsx&amp;sheet=U0&amp;row=525&amp;col=8&amp;number=&amp;sourceID=29","")</f>
        <v/>
      </c>
      <c r="I525" s="4" t="str">
        <f>HYPERLINK("http://141.218.60.56/~jnz1568/getInfo.php?workbook=02_02.xlsx&amp;sheet=U0&amp;row=525&amp;col=9&amp;number=&amp;sourceID=1","")</f>
        <v/>
      </c>
    </row>
    <row r="526" spans="1:9">
      <c r="A526" s="3"/>
      <c r="B526" s="3"/>
      <c r="C526" s="3"/>
      <c r="D526" s="3"/>
      <c r="E526" s="3">
        <v>9</v>
      </c>
      <c r="F526" s="4" t="str">
        <f>HYPERLINK("http://141.218.60.56/~jnz1568/getInfo.php?workbook=02_02.xlsx&amp;sheet=U0&amp;row=526&amp;col=6&amp;number=5.75&amp;sourceID=28","5.75")</f>
        <v>5.75</v>
      </c>
      <c r="G526" s="4" t="str">
        <f>HYPERLINK("http://141.218.60.56/~jnz1568/getInfo.php?workbook=02_02.xlsx&amp;sheet=U0&amp;row=526&amp;col=7&amp;number=0.5373&amp;sourceID=1","0.5373")</f>
        <v>0.5373</v>
      </c>
      <c r="H526" s="4" t="str">
        <f>HYPERLINK("http://141.218.60.56/~jnz1568/getInfo.php?workbook=02_02.xlsx&amp;sheet=U0&amp;row=526&amp;col=8&amp;number=&amp;sourceID=29","")</f>
        <v/>
      </c>
      <c r="I526" s="4" t="str">
        <f>HYPERLINK("http://141.218.60.56/~jnz1568/getInfo.php?workbook=02_02.xlsx&amp;sheet=U0&amp;row=526&amp;col=9&amp;number=&amp;sourceID=1","")</f>
        <v/>
      </c>
    </row>
    <row r="527" spans="1:9">
      <c r="A527" s="3">
        <v>2</v>
      </c>
      <c r="B527" s="3">
        <v>2</v>
      </c>
      <c r="C527" s="3">
        <v>13</v>
      </c>
      <c r="D527" s="3">
        <v>4</v>
      </c>
      <c r="E527" s="3">
        <v>1</v>
      </c>
      <c r="F527" s="4" t="str">
        <f>HYPERLINK("http://141.218.60.56/~jnz1568/getInfo.php?workbook=02_02.xlsx&amp;sheet=U0&amp;row=527&amp;col=6&amp;number=3.75&amp;sourceID=28","3.75")</f>
        <v>3.75</v>
      </c>
      <c r="G527" s="4" t="str">
        <f>HYPERLINK("http://141.218.60.56/~jnz1568/getInfo.php?workbook=02_02.xlsx&amp;sheet=U0&amp;row=527&amp;col=7&amp;number=0.2971&amp;sourceID=1","0.2971")</f>
        <v>0.2971</v>
      </c>
      <c r="H527" s="4" t="str">
        <f>HYPERLINK("http://141.218.60.56/~jnz1568/getInfo.php?workbook=02_02.xlsx&amp;sheet=U0&amp;row=527&amp;col=8&amp;number=3.301&amp;sourceID=29","3.301")</f>
        <v>3.301</v>
      </c>
      <c r="I527" s="4" t="str">
        <f>HYPERLINK("http://141.218.60.56/~jnz1568/getInfo.php?workbook=02_02.xlsx&amp;sheet=U0&amp;row=527&amp;col=9&amp;number=0.3993&amp;sourceID=1","0.3993")</f>
        <v>0.3993</v>
      </c>
    </row>
    <row r="528" spans="1:9">
      <c r="A528" s="3"/>
      <c r="B528" s="3"/>
      <c r="C528" s="3"/>
      <c r="D528" s="3"/>
      <c r="E528" s="3">
        <v>2</v>
      </c>
      <c r="F528" s="4" t="str">
        <f>HYPERLINK("http://141.218.60.56/~jnz1568/getInfo.php?workbook=02_02.xlsx&amp;sheet=U0&amp;row=528&amp;col=6&amp;number=4&amp;sourceID=28","4")</f>
        <v>4</v>
      </c>
      <c r="G528" s="4" t="str">
        <f>HYPERLINK("http://141.218.60.56/~jnz1568/getInfo.php?workbook=02_02.xlsx&amp;sheet=U0&amp;row=528&amp;col=7&amp;number=0.2664&amp;sourceID=1","0.2664")</f>
        <v>0.2664</v>
      </c>
      <c r="H528" s="4" t="str">
        <f>HYPERLINK("http://141.218.60.56/~jnz1568/getInfo.php?workbook=02_02.xlsx&amp;sheet=U0&amp;row=528&amp;col=8&amp;number=3.699&amp;sourceID=29","3.699")</f>
        <v>3.699</v>
      </c>
      <c r="I528" s="4" t="str">
        <f>HYPERLINK("http://141.218.60.56/~jnz1568/getInfo.php?workbook=02_02.xlsx&amp;sheet=U0&amp;row=528&amp;col=9&amp;number=0.3415&amp;sourceID=1","0.3415")</f>
        <v>0.3415</v>
      </c>
    </row>
    <row r="529" spans="1:9">
      <c r="A529" s="3"/>
      <c r="B529" s="3"/>
      <c r="C529" s="3"/>
      <c r="D529" s="3"/>
      <c r="E529" s="3">
        <v>3</v>
      </c>
      <c r="F529" s="4" t="str">
        <f>HYPERLINK("http://141.218.60.56/~jnz1568/getInfo.php?workbook=02_02.xlsx&amp;sheet=U0&amp;row=529&amp;col=6&amp;number=4.25&amp;sourceID=28","4.25")</f>
        <v>4.25</v>
      </c>
      <c r="G529" s="4" t="str">
        <f>HYPERLINK("http://141.218.60.56/~jnz1568/getInfo.php?workbook=02_02.xlsx&amp;sheet=U0&amp;row=529&amp;col=7&amp;number=0.2255&amp;sourceID=1","0.2255")</f>
        <v>0.2255</v>
      </c>
      <c r="H529" s="4" t="str">
        <f>HYPERLINK("http://141.218.60.56/~jnz1568/getInfo.php?workbook=02_02.xlsx&amp;sheet=U0&amp;row=529&amp;col=8&amp;number=4&amp;sourceID=29","4")</f>
        <v>4</v>
      </c>
      <c r="I529" s="4" t="str">
        <f>HYPERLINK("http://141.218.60.56/~jnz1568/getInfo.php?workbook=02_02.xlsx&amp;sheet=U0&amp;row=529&amp;col=9&amp;number=0.3174&amp;sourceID=1","0.3174")</f>
        <v>0.3174</v>
      </c>
    </row>
    <row r="530" spans="1:9">
      <c r="A530" s="3"/>
      <c r="B530" s="3"/>
      <c r="C530" s="3"/>
      <c r="D530" s="3"/>
      <c r="E530" s="3">
        <v>4</v>
      </c>
      <c r="F530" s="4" t="str">
        <f>HYPERLINK("http://141.218.60.56/~jnz1568/getInfo.php?workbook=02_02.xlsx&amp;sheet=U0&amp;row=530&amp;col=6&amp;number=4.5&amp;sourceID=28","4.5")</f>
        <v>4.5</v>
      </c>
      <c r="G530" s="4" t="str">
        <f>HYPERLINK("http://141.218.60.56/~jnz1568/getInfo.php?workbook=02_02.xlsx&amp;sheet=U0&amp;row=530&amp;col=7&amp;number=0.1801&amp;sourceID=1","0.1801")</f>
        <v>0.1801</v>
      </c>
      <c r="H530" s="4" t="str">
        <f>HYPERLINK("http://141.218.60.56/~jnz1568/getInfo.php?workbook=02_02.xlsx&amp;sheet=U0&amp;row=530&amp;col=8&amp;number=4.176&amp;sourceID=29","4.176")</f>
        <v>4.176</v>
      </c>
      <c r="I530" s="4" t="str">
        <f>HYPERLINK("http://141.218.60.56/~jnz1568/getInfo.php?workbook=02_02.xlsx&amp;sheet=U0&amp;row=530&amp;col=9&amp;number=0.3092&amp;sourceID=1","0.3092")</f>
        <v>0.3092</v>
      </c>
    </row>
    <row r="531" spans="1:9">
      <c r="A531" s="3"/>
      <c r="B531" s="3"/>
      <c r="C531" s="3"/>
      <c r="D531" s="3"/>
      <c r="E531" s="3">
        <v>5</v>
      </c>
      <c r="F531" s="4" t="str">
        <f>HYPERLINK("http://141.218.60.56/~jnz1568/getInfo.php?workbook=02_02.xlsx&amp;sheet=U0&amp;row=531&amp;col=6&amp;number=4.75&amp;sourceID=28","4.75")</f>
        <v>4.75</v>
      </c>
      <c r="G531" s="4" t="str">
        <f>HYPERLINK("http://141.218.60.56/~jnz1568/getInfo.php?workbook=02_02.xlsx&amp;sheet=U0&amp;row=531&amp;col=7&amp;number=0.1359&amp;sourceID=1","0.1359")</f>
        <v>0.1359</v>
      </c>
      <c r="H531" s="4" t="str">
        <f>HYPERLINK("http://141.218.60.56/~jnz1568/getInfo.php?workbook=02_02.xlsx&amp;sheet=U0&amp;row=531&amp;col=8&amp;number=4.301&amp;sourceID=29","4.301")</f>
        <v>4.301</v>
      </c>
      <c r="I531" s="4" t="str">
        <f>HYPERLINK("http://141.218.60.56/~jnz1568/getInfo.php?workbook=02_02.xlsx&amp;sheet=U0&amp;row=531&amp;col=9&amp;number=0.3003&amp;sourceID=1","0.3003")</f>
        <v>0.3003</v>
      </c>
    </row>
    <row r="532" spans="1:9">
      <c r="A532" s="3"/>
      <c r="B532" s="3"/>
      <c r="C532" s="3"/>
      <c r="D532" s="3"/>
      <c r="E532" s="3">
        <v>6</v>
      </c>
      <c r="F532" s="4" t="str">
        <f>HYPERLINK("http://141.218.60.56/~jnz1568/getInfo.php?workbook=02_02.xlsx&amp;sheet=U0&amp;row=532&amp;col=6&amp;number=5&amp;sourceID=28","5")</f>
        <v>5</v>
      </c>
      <c r="G532" s="4" t="str">
        <f>HYPERLINK("http://141.218.60.56/~jnz1568/getInfo.php?workbook=02_02.xlsx&amp;sheet=U0&amp;row=532&amp;col=7&amp;number=0.09742&amp;sourceID=1","0.09742")</f>
        <v>0.09742</v>
      </c>
      <c r="H532" s="4" t="str">
        <f>HYPERLINK("http://141.218.60.56/~jnz1568/getInfo.php?workbook=02_02.xlsx&amp;sheet=U0&amp;row=532&amp;col=8&amp;number=4.398&amp;sourceID=29","4.398")</f>
        <v>4.398</v>
      </c>
      <c r="I532" s="4" t="str">
        <f>HYPERLINK("http://141.218.60.56/~jnz1568/getInfo.php?workbook=02_02.xlsx&amp;sheet=U0&amp;row=532&amp;col=9&amp;number=0.29&amp;sourceID=1","0.29")</f>
        <v>0.29</v>
      </c>
    </row>
    <row r="533" spans="1:9">
      <c r="A533" s="3"/>
      <c r="B533" s="3"/>
      <c r="C533" s="3"/>
      <c r="D533" s="3"/>
      <c r="E533" s="3">
        <v>7</v>
      </c>
      <c r="F533" s="4" t="str">
        <f>HYPERLINK("http://141.218.60.56/~jnz1568/getInfo.php?workbook=02_02.xlsx&amp;sheet=U0&amp;row=533&amp;col=6&amp;number=5.25&amp;sourceID=28","5.25")</f>
        <v>5.25</v>
      </c>
      <c r="G533" s="4" t="str">
        <f>HYPERLINK("http://141.218.60.56/~jnz1568/getInfo.php?workbook=02_02.xlsx&amp;sheet=U0&amp;row=533&amp;col=7&amp;number=0.06655&amp;sourceID=1","0.06655")</f>
        <v>0.06655</v>
      </c>
      <c r="H533" s="4" t="str">
        <f>HYPERLINK("http://141.218.60.56/~jnz1568/getInfo.php?workbook=02_02.xlsx&amp;sheet=U0&amp;row=533&amp;col=8&amp;number=4.477&amp;sourceID=29","4.477")</f>
        <v>4.477</v>
      </c>
      <c r="I533" s="4" t="str">
        <f>HYPERLINK("http://141.218.60.56/~jnz1568/getInfo.php?workbook=02_02.xlsx&amp;sheet=U0&amp;row=533&amp;col=9&amp;number=0.2789&amp;sourceID=1","0.2789")</f>
        <v>0.2789</v>
      </c>
    </row>
    <row r="534" spans="1:9">
      <c r="A534" s="3"/>
      <c r="B534" s="3"/>
      <c r="C534" s="3"/>
      <c r="D534" s="3"/>
      <c r="E534" s="3">
        <v>8</v>
      </c>
      <c r="F534" s="4" t="str">
        <f>HYPERLINK("http://141.218.60.56/~jnz1568/getInfo.php?workbook=02_02.xlsx&amp;sheet=U0&amp;row=534&amp;col=6&amp;number=5.5&amp;sourceID=28","5.5")</f>
        <v>5.5</v>
      </c>
      <c r="G534" s="4" t="str">
        <f>HYPERLINK("http://141.218.60.56/~jnz1568/getInfo.php?workbook=02_02.xlsx&amp;sheet=U0&amp;row=534&amp;col=7&amp;number=0.04351&amp;sourceID=1","0.04351")</f>
        <v>0.04351</v>
      </c>
      <c r="H534" s="4" t="str">
        <f>HYPERLINK("http://141.218.60.56/~jnz1568/getInfo.php?workbook=02_02.xlsx&amp;sheet=U0&amp;row=534&amp;col=8&amp;number=&amp;sourceID=29","")</f>
        <v/>
      </c>
      <c r="I534" s="4" t="str">
        <f>HYPERLINK("http://141.218.60.56/~jnz1568/getInfo.php?workbook=02_02.xlsx&amp;sheet=U0&amp;row=534&amp;col=9&amp;number=&amp;sourceID=1","")</f>
        <v/>
      </c>
    </row>
    <row r="535" spans="1:9">
      <c r="A535" s="3"/>
      <c r="B535" s="3"/>
      <c r="C535" s="3"/>
      <c r="D535" s="3"/>
      <c r="E535" s="3">
        <v>9</v>
      </c>
      <c r="F535" s="4" t="str">
        <f>HYPERLINK("http://141.218.60.56/~jnz1568/getInfo.php?workbook=02_02.xlsx&amp;sheet=U0&amp;row=535&amp;col=6&amp;number=5.75&amp;sourceID=28","5.75")</f>
        <v>5.75</v>
      </c>
      <c r="G535" s="4" t="str">
        <f>HYPERLINK("http://141.218.60.56/~jnz1568/getInfo.php?workbook=02_02.xlsx&amp;sheet=U0&amp;row=535&amp;col=7&amp;number=0.02738&amp;sourceID=1","0.02738")</f>
        <v>0.02738</v>
      </c>
      <c r="H535" s="4" t="str">
        <f>HYPERLINK("http://141.218.60.56/~jnz1568/getInfo.php?workbook=02_02.xlsx&amp;sheet=U0&amp;row=535&amp;col=8&amp;number=&amp;sourceID=29","")</f>
        <v/>
      </c>
      <c r="I535" s="4" t="str">
        <f>HYPERLINK("http://141.218.60.56/~jnz1568/getInfo.php?workbook=02_02.xlsx&amp;sheet=U0&amp;row=535&amp;col=9&amp;number=&amp;sourceID=1","")</f>
        <v/>
      </c>
    </row>
    <row r="536" spans="1:9">
      <c r="A536" s="3">
        <v>2</v>
      </c>
      <c r="B536" s="3">
        <v>2</v>
      </c>
      <c r="C536" s="3">
        <v>13</v>
      </c>
      <c r="D536" s="3">
        <v>5</v>
      </c>
      <c r="E536" s="3">
        <v>1</v>
      </c>
      <c r="F536" s="4" t="str">
        <f>HYPERLINK("http://141.218.60.56/~jnz1568/getInfo.php?workbook=02_02.xlsx&amp;sheet=U0&amp;row=536&amp;col=6&amp;number=&amp;sourceID=28","")</f>
        <v/>
      </c>
      <c r="G536" s="4" t="str">
        <f>HYPERLINK("http://141.218.60.56/~jnz1568/getInfo.php?workbook=02_02.xlsx&amp;sheet=U0&amp;row=536&amp;col=7&amp;number=&amp;sourceID=1","")</f>
        <v/>
      </c>
      <c r="H536" s="4" t="str">
        <f>HYPERLINK("http://141.218.60.56/~jnz1568/getInfo.php?workbook=02_02.xlsx&amp;sheet=U0&amp;row=536&amp;col=8&amp;number=3.301&amp;sourceID=29","3.301")</f>
        <v>3.301</v>
      </c>
      <c r="I536" s="4" t="str">
        <f>HYPERLINK("http://141.218.60.56/~jnz1568/getInfo.php?workbook=02_02.xlsx&amp;sheet=U0&amp;row=536&amp;col=9&amp;number=0.3122&amp;sourceID=1","0.3122")</f>
        <v>0.3122</v>
      </c>
    </row>
    <row r="537" spans="1:9">
      <c r="A537" s="3"/>
      <c r="B537" s="3"/>
      <c r="C537" s="3"/>
      <c r="D537" s="3"/>
      <c r="E537" s="3">
        <v>2</v>
      </c>
      <c r="F537" s="4" t="str">
        <f>HYPERLINK("http://141.218.60.56/~jnz1568/getInfo.php?workbook=02_02.xlsx&amp;sheet=U0&amp;row=537&amp;col=6&amp;number=&amp;sourceID=28","")</f>
        <v/>
      </c>
      <c r="G537" s="4" t="str">
        <f>HYPERLINK("http://141.218.60.56/~jnz1568/getInfo.php?workbook=02_02.xlsx&amp;sheet=U0&amp;row=537&amp;col=7&amp;number=&amp;sourceID=1","")</f>
        <v/>
      </c>
      <c r="H537" s="4" t="str">
        <f>HYPERLINK("http://141.218.60.56/~jnz1568/getInfo.php?workbook=02_02.xlsx&amp;sheet=U0&amp;row=537&amp;col=8&amp;number=3.699&amp;sourceID=29","3.699")</f>
        <v>3.699</v>
      </c>
      <c r="I537" s="4" t="str">
        <f>HYPERLINK("http://141.218.60.56/~jnz1568/getInfo.php?workbook=02_02.xlsx&amp;sheet=U0&amp;row=537&amp;col=9&amp;number=0.2794&amp;sourceID=1","0.2794")</f>
        <v>0.2794</v>
      </c>
    </row>
    <row r="538" spans="1:9">
      <c r="A538" s="3"/>
      <c r="B538" s="3"/>
      <c r="C538" s="3"/>
      <c r="D538" s="3"/>
      <c r="E538" s="3">
        <v>3</v>
      </c>
      <c r="F538" s="4" t="str">
        <f>HYPERLINK("http://141.218.60.56/~jnz1568/getInfo.php?workbook=02_02.xlsx&amp;sheet=U0&amp;row=538&amp;col=6&amp;number=&amp;sourceID=28","")</f>
        <v/>
      </c>
      <c r="G538" s="4" t="str">
        <f>HYPERLINK("http://141.218.60.56/~jnz1568/getInfo.php?workbook=02_02.xlsx&amp;sheet=U0&amp;row=538&amp;col=7&amp;number=&amp;sourceID=1","")</f>
        <v/>
      </c>
      <c r="H538" s="4" t="str">
        <f>HYPERLINK("http://141.218.60.56/~jnz1568/getInfo.php?workbook=02_02.xlsx&amp;sheet=U0&amp;row=538&amp;col=8&amp;number=4&amp;sourceID=29","4")</f>
        <v>4</v>
      </c>
      <c r="I538" s="4" t="str">
        <f>HYPERLINK("http://141.218.60.56/~jnz1568/getInfo.php?workbook=02_02.xlsx&amp;sheet=U0&amp;row=538&amp;col=9&amp;number=0.3149&amp;sourceID=1","0.3149")</f>
        <v>0.3149</v>
      </c>
    </row>
    <row r="539" spans="1:9">
      <c r="A539" s="3"/>
      <c r="B539" s="3"/>
      <c r="C539" s="3"/>
      <c r="D539" s="3"/>
      <c r="E539" s="3">
        <v>4</v>
      </c>
      <c r="F539" s="4" t="str">
        <f>HYPERLINK("http://141.218.60.56/~jnz1568/getInfo.php?workbook=02_02.xlsx&amp;sheet=U0&amp;row=539&amp;col=6&amp;number=&amp;sourceID=28","")</f>
        <v/>
      </c>
      <c r="G539" s="4" t="str">
        <f>HYPERLINK("http://141.218.60.56/~jnz1568/getInfo.php?workbook=02_02.xlsx&amp;sheet=U0&amp;row=539&amp;col=7&amp;number=&amp;sourceID=1","")</f>
        <v/>
      </c>
      <c r="H539" s="4" t="str">
        <f>HYPERLINK("http://141.218.60.56/~jnz1568/getInfo.php?workbook=02_02.xlsx&amp;sheet=U0&amp;row=539&amp;col=8&amp;number=4.176&amp;sourceID=29","4.176")</f>
        <v>4.176</v>
      </c>
      <c r="I539" s="4" t="str">
        <f>HYPERLINK("http://141.218.60.56/~jnz1568/getInfo.php?workbook=02_02.xlsx&amp;sheet=U0&amp;row=539&amp;col=9&amp;number=0.3748&amp;sourceID=1","0.3748")</f>
        <v>0.3748</v>
      </c>
    </row>
    <row r="540" spans="1:9">
      <c r="A540" s="3"/>
      <c r="B540" s="3"/>
      <c r="C540" s="3"/>
      <c r="D540" s="3"/>
      <c r="E540" s="3">
        <v>5</v>
      </c>
      <c r="F540" s="4" t="str">
        <f>HYPERLINK("http://141.218.60.56/~jnz1568/getInfo.php?workbook=02_02.xlsx&amp;sheet=U0&amp;row=540&amp;col=6&amp;number=&amp;sourceID=28","")</f>
        <v/>
      </c>
      <c r="G540" s="4" t="str">
        <f>HYPERLINK("http://141.218.60.56/~jnz1568/getInfo.php?workbook=02_02.xlsx&amp;sheet=U0&amp;row=540&amp;col=7&amp;number=&amp;sourceID=1","")</f>
        <v/>
      </c>
      <c r="H540" s="4" t="str">
        <f>HYPERLINK("http://141.218.60.56/~jnz1568/getInfo.php?workbook=02_02.xlsx&amp;sheet=U0&amp;row=540&amp;col=8&amp;number=4.301&amp;sourceID=29","4.301")</f>
        <v>4.301</v>
      </c>
      <c r="I540" s="4" t="str">
        <f>HYPERLINK("http://141.218.60.56/~jnz1568/getInfo.php?workbook=02_02.xlsx&amp;sheet=U0&amp;row=540&amp;col=9&amp;number=0.4295&amp;sourceID=1","0.4295")</f>
        <v>0.4295</v>
      </c>
    </row>
    <row r="541" spans="1:9">
      <c r="A541" s="3"/>
      <c r="B541" s="3"/>
      <c r="C541" s="3"/>
      <c r="D541" s="3"/>
      <c r="E541" s="3">
        <v>6</v>
      </c>
      <c r="F541" s="4" t="str">
        <f>HYPERLINK("http://141.218.60.56/~jnz1568/getInfo.php?workbook=02_02.xlsx&amp;sheet=U0&amp;row=541&amp;col=6&amp;number=&amp;sourceID=28","")</f>
        <v/>
      </c>
      <c r="G541" s="4" t="str">
        <f>HYPERLINK("http://141.218.60.56/~jnz1568/getInfo.php?workbook=02_02.xlsx&amp;sheet=U0&amp;row=541&amp;col=7&amp;number=&amp;sourceID=1","")</f>
        <v/>
      </c>
      <c r="H541" s="4" t="str">
        <f>HYPERLINK("http://141.218.60.56/~jnz1568/getInfo.php?workbook=02_02.xlsx&amp;sheet=U0&amp;row=541&amp;col=8&amp;number=4.398&amp;sourceID=29","4.398")</f>
        <v>4.398</v>
      </c>
      <c r="I541" s="4" t="str">
        <f>HYPERLINK("http://141.218.60.56/~jnz1568/getInfo.php?workbook=02_02.xlsx&amp;sheet=U0&amp;row=541&amp;col=9&amp;number=0.473&amp;sourceID=1","0.473")</f>
        <v>0.473</v>
      </c>
    </row>
    <row r="542" spans="1:9">
      <c r="A542" s="3"/>
      <c r="B542" s="3"/>
      <c r="C542" s="3"/>
      <c r="D542" s="3"/>
      <c r="E542" s="3">
        <v>7</v>
      </c>
      <c r="F542" s="4" t="str">
        <f>HYPERLINK("http://141.218.60.56/~jnz1568/getInfo.php?workbook=02_02.xlsx&amp;sheet=U0&amp;row=542&amp;col=6&amp;number=&amp;sourceID=28","")</f>
        <v/>
      </c>
      <c r="G542" s="4" t="str">
        <f>HYPERLINK("http://141.218.60.56/~jnz1568/getInfo.php?workbook=02_02.xlsx&amp;sheet=U0&amp;row=542&amp;col=7&amp;number=&amp;sourceID=1","")</f>
        <v/>
      </c>
      <c r="H542" s="4" t="str">
        <f>HYPERLINK("http://141.218.60.56/~jnz1568/getInfo.php?workbook=02_02.xlsx&amp;sheet=U0&amp;row=542&amp;col=8&amp;number=4.477&amp;sourceID=29","4.477")</f>
        <v>4.477</v>
      </c>
      <c r="I542" s="4" t="str">
        <f>HYPERLINK("http://141.218.60.56/~jnz1568/getInfo.php?workbook=02_02.xlsx&amp;sheet=U0&amp;row=542&amp;col=9&amp;number=0.505&amp;sourceID=1","0.505")</f>
        <v>0.505</v>
      </c>
    </row>
    <row r="543" spans="1:9">
      <c r="A543" s="3">
        <v>2</v>
      </c>
      <c r="B543" s="3">
        <v>2</v>
      </c>
      <c r="C543" s="3">
        <v>13</v>
      </c>
      <c r="D543" s="3">
        <v>6</v>
      </c>
      <c r="E543" s="3">
        <v>1</v>
      </c>
      <c r="F543" s="4" t="str">
        <f>HYPERLINK("http://141.218.60.56/~jnz1568/getInfo.php?workbook=02_02.xlsx&amp;sheet=U0&amp;row=543&amp;col=6&amp;number=&amp;sourceID=28","")</f>
        <v/>
      </c>
      <c r="G543" s="4" t="str">
        <f>HYPERLINK("http://141.218.60.56/~jnz1568/getInfo.php?workbook=02_02.xlsx&amp;sheet=U0&amp;row=543&amp;col=7&amp;number=&amp;sourceID=1","")</f>
        <v/>
      </c>
      <c r="H543" s="4" t="str">
        <f>HYPERLINK("http://141.218.60.56/~jnz1568/getInfo.php?workbook=02_02.xlsx&amp;sheet=U0&amp;row=543&amp;col=8&amp;number=3.301&amp;sourceID=29","3.301")</f>
        <v>3.301</v>
      </c>
      <c r="I543" s="4" t="str">
        <f>HYPERLINK("http://141.218.60.56/~jnz1568/getInfo.php?workbook=02_02.xlsx&amp;sheet=U0&amp;row=543&amp;col=9&amp;number=1.072&amp;sourceID=1","1.072")</f>
        <v>1.072</v>
      </c>
    </row>
    <row r="544" spans="1:9">
      <c r="A544" s="3"/>
      <c r="B544" s="3"/>
      <c r="C544" s="3"/>
      <c r="D544" s="3"/>
      <c r="E544" s="3">
        <v>2</v>
      </c>
      <c r="F544" s="4" t="str">
        <f>HYPERLINK("http://141.218.60.56/~jnz1568/getInfo.php?workbook=02_02.xlsx&amp;sheet=U0&amp;row=544&amp;col=6&amp;number=&amp;sourceID=28","")</f>
        <v/>
      </c>
      <c r="G544" s="4" t="str">
        <f>HYPERLINK("http://141.218.60.56/~jnz1568/getInfo.php?workbook=02_02.xlsx&amp;sheet=U0&amp;row=544&amp;col=7&amp;number=&amp;sourceID=1","")</f>
        <v/>
      </c>
      <c r="H544" s="4" t="str">
        <f>HYPERLINK("http://141.218.60.56/~jnz1568/getInfo.php?workbook=02_02.xlsx&amp;sheet=U0&amp;row=544&amp;col=8&amp;number=3.699&amp;sourceID=29","3.699")</f>
        <v>3.699</v>
      </c>
      <c r="I544" s="4" t="str">
        <f>HYPERLINK("http://141.218.60.56/~jnz1568/getInfo.php?workbook=02_02.xlsx&amp;sheet=U0&amp;row=544&amp;col=9&amp;number=0.7539&amp;sourceID=1","0.7539")</f>
        <v>0.7539</v>
      </c>
    </row>
    <row r="545" spans="1:9">
      <c r="A545" s="3"/>
      <c r="B545" s="3"/>
      <c r="C545" s="3"/>
      <c r="D545" s="3"/>
      <c r="E545" s="3">
        <v>3</v>
      </c>
      <c r="F545" s="4" t="str">
        <f>HYPERLINK("http://141.218.60.56/~jnz1568/getInfo.php?workbook=02_02.xlsx&amp;sheet=U0&amp;row=545&amp;col=6&amp;number=&amp;sourceID=28","")</f>
        <v/>
      </c>
      <c r="G545" s="4" t="str">
        <f>HYPERLINK("http://141.218.60.56/~jnz1568/getInfo.php?workbook=02_02.xlsx&amp;sheet=U0&amp;row=545&amp;col=7&amp;number=&amp;sourceID=1","")</f>
        <v/>
      </c>
      <c r="H545" s="4" t="str">
        <f>HYPERLINK("http://141.218.60.56/~jnz1568/getInfo.php?workbook=02_02.xlsx&amp;sheet=U0&amp;row=545&amp;col=8&amp;number=4&amp;sourceID=29","4")</f>
        <v>4</v>
      </c>
      <c r="I545" s="4" t="str">
        <f>HYPERLINK("http://141.218.60.56/~jnz1568/getInfo.php?workbook=02_02.xlsx&amp;sheet=U0&amp;row=545&amp;col=9&amp;number=0.5373&amp;sourceID=1","0.5373")</f>
        <v>0.5373</v>
      </c>
    </row>
    <row r="546" spans="1:9">
      <c r="A546" s="3"/>
      <c r="B546" s="3"/>
      <c r="C546" s="3"/>
      <c r="D546" s="3"/>
      <c r="E546" s="3">
        <v>4</v>
      </c>
      <c r="F546" s="4" t="str">
        <f>HYPERLINK("http://141.218.60.56/~jnz1568/getInfo.php?workbook=02_02.xlsx&amp;sheet=U0&amp;row=546&amp;col=6&amp;number=&amp;sourceID=28","")</f>
        <v/>
      </c>
      <c r="G546" s="4" t="str">
        <f>HYPERLINK("http://141.218.60.56/~jnz1568/getInfo.php?workbook=02_02.xlsx&amp;sheet=U0&amp;row=546&amp;col=7&amp;number=&amp;sourceID=1","")</f>
        <v/>
      </c>
      <c r="H546" s="4" t="str">
        <f>HYPERLINK("http://141.218.60.56/~jnz1568/getInfo.php?workbook=02_02.xlsx&amp;sheet=U0&amp;row=546&amp;col=8&amp;number=4.176&amp;sourceID=29","4.176")</f>
        <v>4.176</v>
      </c>
      <c r="I546" s="4" t="str">
        <f>HYPERLINK("http://141.218.60.56/~jnz1568/getInfo.php?workbook=02_02.xlsx&amp;sheet=U0&amp;row=546&amp;col=9&amp;number=0.4358&amp;sourceID=1","0.4358")</f>
        <v>0.4358</v>
      </c>
    </row>
    <row r="547" spans="1:9">
      <c r="A547" s="3"/>
      <c r="B547" s="3"/>
      <c r="C547" s="3"/>
      <c r="D547" s="3"/>
      <c r="E547" s="3">
        <v>5</v>
      </c>
      <c r="F547" s="4" t="str">
        <f>HYPERLINK("http://141.218.60.56/~jnz1568/getInfo.php?workbook=02_02.xlsx&amp;sheet=U0&amp;row=547&amp;col=6&amp;number=&amp;sourceID=28","")</f>
        <v/>
      </c>
      <c r="G547" s="4" t="str">
        <f>HYPERLINK("http://141.218.60.56/~jnz1568/getInfo.php?workbook=02_02.xlsx&amp;sheet=U0&amp;row=547&amp;col=7&amp;number=&amp;sourceID=1","")</f>
        <v/>
      </c>
      <c r="H547" s="4" t="str">
        <f>HYPERLINK("http://141.218.60.56/~jnz1568/getInfo.php?workbook=02_02.xlsx&amp;sheet=U0&amp;row=547&amp;col=8&amp;number=4.301&amp;sourceID=29","4.301")</f>
        <v>4.301</v>
      </c>
      <c r="I547" s="4" t="str">
        <f>HYPERLINK("http://141.218.60.56/~jnz1568/getInfo.php?workbook=02_02.xlsx&amp;sheet=U0&amp;row=547&amp;col=9&amp;number=0.374&amp;sourceID=1","0.374")</f>
        <v>0.374</v>
      </c>
    </row>
    <row r="548" spans="1:9">
      <c r="A548" s="3"/>
      <c r="B548" s="3"/>
      <c r="C548" s="3"/>
      <c r="D548" s="3"/>
      <c r="E548" s="3">
        <v>6</v>
      </c>
      <c r="F548" s="4" t="str">
        <f>HYPERLINK("http://141.218.60.56/~jnz1568/getInfo.php?workbook=02_02.xlsx&amp;sheet=U0&amp;row=548&amp;col=6&amp;number=&amp;sourceID=28","")</f>
        <v/>
      </c>
      <c r="G548" s="4" t="str">
        <f>HYPERLINK("http://141.218.60.56/~jnz1568/getInfo.php?workbook=02_02.xlsx&amp;sheet=U0&amp;row=548&amp;col=7&amp;number=&amp;sourceID=1","")</f>
        <v/>
      </c>
      <c r="H548" s="4" t="str">
        <f>HYPERLINK("http://141.218.60.56/~jnz1568/getInfo.php?workbook=02_02.xlsx&amp;sheet=U0&amp;row=548&amp;col=8&amp;number=4.398&amp;sourceID=29","4.398")</f>
        <v>4.398</v>
      </c>
      <c r="I548" s="4" t="str">
        <f>HYPERLINK("http://141.218.60.56/~jnz1568/getInfo.php?workbook=02_02.xlsx&amp;sheet=U0&amp;row=548&amp;col=9&amp;number=0.3311&amp;sourceID=1","0.3311")</f>
        <v>0.3311</v>
      </c>
    </row>
    <row r="549" spans="1:9">
      <c r="A549" s="3"/>
      <c r="B549" s="3"/>
      <c r="C549" s="3"/>
      <c r="D549" s="3"/>
      <c r="E549" s="3">
        <v>7</v>
      </c>
      <c r="F549" s="4" t="str">
        <f>HYPERLINK("http://141.218.60.56/~jnz1568/getInfo.php?workbook=02_02.xlsx&amp;sheet=U0&amp;row=549&amp;col=6&amp;number=&amp;sourceID=28","")</f>
        <v/>
      </c>
      <c r="G549" s="4" t="str">
        <f>HYPERLINK("http://141.218.60.56/~jnz1568/getInfo.php?workbook=02_02.xlsx&amp;sheet=U0&amp;row=549&amp;col=7&amp;number=&amp;sourceID=1","")</f>
        <v/>
      </c>
      <c r="H549" s="4" t="str">
        <f>HYPERLINK("http://141.218.60.56/~jnz1568/getInfo.php?workbook=02_02.xlsx&amp;sheet=U0&amp;row=549&amp;col=8&amp;number=4.477&amp;sourceID=29","4.477")</f>
        <v>4.477</v>
      </c>
      <c r="I549" s="4" t="str">
        <f>HYPERLINK("http://141.218.60.56/~jnz1568/getInfo.php?workbook=02_02.xlsx&amp;sheet=U0&amp;row=549&amp;col=9&amp;number=0.2989&amp;sourceID=1","0.2989")</f>
        <v>0.2989</v>
      </c>
    </row>
    <row r="550" spans="1:9">
      <c r="A550" s="3">
        <v>2</v>
      </c>
      <c r="B550" s="3">
        <v>2</v>
      </c>
      <c r="C550" s="3">
        <v>13</v>
      </c>
      <c r="D550" s="3">
        <v>7</v>
      </c>
      <c r="E550" s="3">
        <v>1</v>
      </c>
      <c r="F550" s="4" t="str">
        <f>HYPERLINK("http://141.218.60.56/~jnz1568/getInfo.php?workbook=02_02.xlsx&amp;sheet=U0&amp;row=550&amp;col=6&amp;number=&amp;sourceID=28","")</f>
        <v/>
      </c>
      <c r="G550" s="4" t="str">
        <f>HYPERLINK("http://141.218.60.56/~jnz1568/getInfo.php?workbook=02_02.xlsx&amp;sheet=U0&amp;row=550&amp;col=7&amp;number=&amp;sourceID=1","")</f>
        <v/>
      </c>
      <c r="H550" s="4" t="str">
        <f>HYPERLINK("http://141.218.60.56/~jnz1568/getInfo.php?workbook=02_02.xlsx&amp;sheet=U0&amp;row=550&amp;col=8&amp;number=3.301&amp;sourceID=29","3.301")</f>
        <v>3.301</v>
      </c>
      <c r="I550" s="4" t="str">
        <f>HYPERLINK("http://141.218.60.56/~jnz1568/getInfo.php?workbook=02_02.xlsx&amp;sheet=U0&amp;row=550&amp;col=9&amp;number=2.444&amp;sourceID=1","2.444")</f>
        <v>2.444</v>
      </c>
    </row>
    <row r="551" spans="1:9">
      <c r="A551" s="3"/>
      <c r="B551" s="3"/>
      <c r="C551" s="3"/>
      <c r="D551" s="3"/>
      <c r="E551" s="3">
        <v>2</v>
      </c>
      <c r="F551" s="4" t="str">
        <f>HYPERLINK("http://141.218.60.56/~jnz1568/getInfo.php?workbook=02_02.xlsx&amp;sheet=U0&amp;row=551&amp;col=6&amp;number=&amp;sourceID=28","")</f>
        <v/>
      </c>
      <c r="G551" s="4" t="str">
        <f>HYPERLINK("http://141.218.60.56/~jnz1568/getInfo.php?workbook=02_02.xlsx&amp;sheet=U0&amp;row=551&amp;col=7&amp;number=&amp;sourceID=1","")</f>
        <v/>
      </c>
      <c r="H551" s="4" t="str">
        <f>HYPERLINK("http://141.218.60.56/~jnz1568/getInfo.php?workbook=02_02.xlsx&amp;sheet=U0&amp;row=551&amp;col=8&amp;number=3.699&amp;sourceID=29","3.699")</f>
        <v>3.699</v>
      </c>
      <c r="I551" s="4" t="str">
        <f>HYPERLINK("http://141.218.60.56/~jnz1568/getInfo.php?workbook=02_02.xlsx&amp;sheet=U0&amp;row=551&amp;col=9&amp;number=2.137&amp;sourceID=1","2.137")</f>
        <v>2.137</v>
      </c>
    </row>
    <row r="552" spans="1:9">
      <c r="A552" s="3"/>
      <c r="B552" s="3"/>
      <c r="C552" s="3"/>
      <c r="D552" s="3"/>
      <c r="E552" s="3">
        <v>3</v>
      </c>
      <c r="F552" s="4" t="str">
        <f>HYPERLINK("http://141.218.60.56/~jnz1568/getInfo.php?workbook=02_02.xlsx&amp;sheet=U0&amp;row=552&amp;col=6&amp;number=&amp;sourceID=28","")</f>
        <v/>
      </c>
      <c r="G552" s="4" t="str">
        <f>HYPERLINK("http://141.218.60.56/~jnz1568/getInfo.php?workbook=02_02.xlsx&amp;sheet=U0&amp;row=552&amp;col=7&amp;number=&amp;sourceID=1","")</f>
        <v/>
      </c>
      <c r="H552" s="4" t="str">
        <f>HYPERLINK("http://141.218.60.56/~jnz1568/getInfo.php?workbook=02_02.xlsx&amp;sheet=U0&amp;row=552&amp;col=8&amp;number=4&amp;sourceID=29","4")</f>
        <v>4</v>
      </c>
      <c r="I552" s="4" t="str">
        <f>HYPERLINK("http://141.218.60.56/~jnz1568/getInfo.php?workbook=02_02.xlsx&amp;sheet=U0&amp;row=552&amp;col=9&amp;number=2.17&amp;sourceID=1","2.17")</f>
        <v>2.17</v>
      </c>
    </row>
    <row r="553" spans="1:9">
      <c r="A553" s="3"/>
      <c r="B553" s="3"/>
      <c r="C553" s="3"/>
      <c r="D553" s="3"/>
      <c r="E553" s="3">
        <v>4</v>
      </c>
      <c r="F553" s="4" t="str">
        <f>HYPERLINK("http://141.218.60.56/~jnz1568/getInfo.php?workbook=02_02.xlsx&amp;sheet=U0&amp;row=553&amp;col=6&amp;number=&amp;sourceID=28","")</f>
        <v/>
      </c>
      <c r="G553" s="4" t="str">
        <f>HYPERLINK("http://141.218.60.56/~jnz1568/getInfo.php?workbook=02_02.xlsx&amp;sheet=U0&amp;row=553&amp;col=7&amp;number=&amp;sourceID=1","")</f>
        <v/>
      </c>
      <c r="H553" s="4" t="str">
        <f>HYPERLINK("http://141.218.60.56/~jnz1568/getInfo.php?workbook=02_02.xlsx&amp;sheet=U0&amp;row=553&amp;col=8&amp;number=4.176&amp;sourceID=29","4.176")</f>
        <v>4.176</v>
      </c>
      <c r="I553" s="4" t="str">
        <f>HYPERLINK("http://141.218.60.56/~jnz1568/getInfo.php?workbook=02_02.xlsx&amp;sheet=U0&amp;row=553&amp;col=9&amp;number=2.568&amp;sourceID=1","2.568")</f>
        <v>2.568</v>
      </c>
    </row>
    <row r="554" spans="1:9">
      <c r="A554" s="3"/>
      <c r="B554" s="3"/>
      <c r="C554" s="3"/>
      <c r="D554" s="3"/>
      <c r="E554" s="3">
        <v>5</v>
      </c>
      <c r="F554" s="4" t="str">
        <f>HYPERLINK("http://141.218.60.56/~jnz1568/getInfo.php?workbook=02_02.xlsx&amp;sheet=U0&amp;row=554&amp;col=6&amp;number=&amp;sourceID=28","")</f>
        <v/>
      </c>
      <c r="G554" s="4" t="str">
        <f>HYPERLINK("http://141.218.60.56/~jnz1568/getInfo.php?workbook=02_02.xlsx&amp;sheet=U0&amp;row=554&amp;col=7&amp;number=&amp;sourceID=1","")</f>
        <v/>
      </c>
      <c r="H554" s="4" t="str">
        <f>HYPERLINK("http://141.218.60.56/~jnz1568/getInfo.php?workbook=02_02.xlsx&amp;sheet=U0&amp;row=554&amp;col=8&amp;number=4.301&amp;sourceID=29","4.301")</f>
        <v>4.301</v>
      </c>
      <c r="I554" s="4" t="str">
        <f>HYPERLINK("http://141.218.60.56/~jnz1568/getInfo.php?workbook=02_02.xlsx&amp;sheet=U0&amp;row=554&amp;col=9&amp;number=3.043&amp;sourceID=1","3.043")</f>
        <v>3.043</v>
      </c>
    </row>
    <row r="555" spans="1:9">
      <c r="A555" s="3"/>
      <c r="B555" s="3"/>
      <c r="C555" s="3"/>
      <c r="D555" s="3"/>
      <c r="E555" s="3">
        <v>6</v>
      </c>
      <c r="F555" s="4" t="str">
        <f>HYPERLINK("http://141.218.60.56/~jnz1568/getInfo.php?workbook=02_02.xlsx&amp;sheet=U0&amp;row=555&amp;col=6&amp;number=&amp;sourceID=28","")</f>
        <v/>
      </c>
      <c r="G555" s="4" t="str">
        <f>HYPERLINK("http://141.218.60.56/~jnz1568/getInfo.php?workbook=02_02.xlsx&amp;sheet=U0&amp;row=555&amp;col=7&amp;number=&amp;sourceID=1","")</f>
        <v/>
      </c>
      <c r="H555" s="4" t="str">
        <f>HYPERLINK("http://141.218.60.56/~jnz1568/getInfo.php?workbook=02_02.xlsx&amp;sheet=U0&amp;row=555&amp;col=8&amp;number=4.398&amp;sourceID=29","4.398")</f>
        <v>4.398</v>
      </c>
      <c r="I555" s="4" t="str">
        <f>HYPERLINK("http://141.218.60.56/~jnz1568/getInfo.php?workbook=02_02.xlsx&amp;sheet=U0&amp;row=555&amp;col=9&amp;number=3.476&amp;sourceID=1","3.476")</f>
        <v>3.476</v>
      </c>
    </row>
    <row r="556" spans="1:9">
      <c r="A556" s="3"/>
      <c r="B556" s="3"/>
      <c r="C556" s="3"/>
      <c r="D556" s="3"/>
      <c r="E556" s="3">
        <v>7</v>
      </c>
      <c r="F556" s="4" t="str">
        <f>HYPERLINK("http://141.218.60.56/~jnz1568/getInfo.php?workbook=02_02.xlsx&amp;sheet=U0&amp;row=556&amp;col=6&amp;number=&amp;sourceID=28","")</f>
        <v/>
      </c>
      <c r="G556" s="4" t="str">
        <f>HYPERLINK("http://141.218.60.56/~jnz1568/getInfo.php?workbook=02_02.xlsx&amp;sheet=U0&amp;row=556&amp;col=7&amp;number=&amp;sourceID=1","")</f>
        <v/>
      </c>
      <c r="H556" s="4" t="str">
        <f>HYPERLINK("http://141.218.60.56/~jnz1568/getInfo.php?workbook=02_02.xlsx&amp;sheet=U0&amp;row=556&amp;col=8&amp;number=4.477&amp;sourceID=29","4.477")</f>
        <v>4.477</v>
      </c>
      <c r="I556" s="4" t="str">
        <f>HYPERLINK("http://141.218.60.56/~jnz1568/getInfo.php?workbook=02_02.xlsx&amp;sheet=U0&amp;row=556&amp;col=9&amp;number=3.826&amp;sourceID=1","3.826")</f>
        <v>3.826</v>
      </c>
    </row>
    <row r="557" spans="1:9">
      <c r="A557" s="3">
        <v>2</v>
      </c>
      <c r="B557" s="3">
        <v>2</v>
      </c>
      <c r="C557" s="3">
        <v>13</v>
      </c>
      <c r="D557" s="3">
        <v>8</v>
      </c>
      <c r="E557" s="3">
        <v>1</v>
      </c>
      <c r="F557" s="4" t="str">
        <f>HYPERLINK("http://141.218.60.56/~jnz1568/getInfo.php?workbook=02_02.xlsx&amp;sheet=U0&amp;row=557&amp;col=6&amp;number=&amp;sourceID=28","")</f>
        <v/>
      </c>
      <c r="G557" s="4" t="str">
        <f>HYPERLINK("http://141.218.60.56/~jnz1568/getInfo.php?workbook=02_02.xlsx&amp;sheet=U0&amp;row=557&amp;col=7&amp;number=&amp;sourceID=1","")</f>
        <v/>
      </c>
      <c r="H557" s="4" t="str">
        <f>HYPERLINK("http://141.218.60.56/~jnz1568/getInfo.php?workbook=02_02.xlsx&amp;sheet=U0&amp;row=557&amp;col=8&amp;number=3.301&amp;sourceID=29","3.301")</f>
        <v>3.301</v>
      </c>
      <c r="I557" s="4" t="str">
        <f>HYPERLINK("http://141.218.60.56/~jnz1568/getInfo.php?workbook=02_02.xlsx&amp;sheet=U0&amp;row=557&amp;col=9&amp;number=1.596&amp;sourceID=1","1.596")</f>
        <v>1.596</v>
      </c>
    </row>
    <row r="558" spans="1:9">
      <c r="A558" s="3"/>
      <c r="B558" s="3"/>
      <c r="C558" s="3"/>
      <c r="D558" s="3"/>
      <c r="E558" s="3">
        <v>2</v>
      </c>
      <c r="F558" s="4" t="str">
        <f>HYPERLINK("http://141.218.60.56/~jnz1568/getInfo.php?workbook=02_02.xlsx&amp;sheet=U0&amp;row=558&amp;col=6&amp;number=&amp;sourceID=28","")</f>
        <v/>
      </c>
      <c r="G558" s="4" t="str">
        <f>HYPERLINK("http://141.218.60.56/~jnz1568/getInfo.php?workbook=02_02.xlsx&amp;sheet=U0&amp;row=558&amp;col=7&amp;number=&amp;sourceID=1","")</f>
        <v/>
      </c>
      <c r="H558" s="4" t="str">
        <f>HYPERLINK("http://141.218.60.56/~jnz1568/getInfo.php?workbook=02_02.xlsx&amp;sheet=U0&amp;row=558&amp;col=8&amp;number=3.699&amp;sourceID=29","3.699")</f>
        <v>3.699</v>
      </c>
      <c r="I558" s="4" t="str">
        <f>HYPERLINK("http://141.218.60.56/~jnz1568/getInfo.php?workbook=02_02.xlsx&amp;sheet=U0&amp;row=558&amp;col=9&amp;number=1.226&amp;sourceID=1","1.226")</f>
        <v>1.226</v>
      </c>
    </row>
    <row r="559" spans="1:9">
      <c r="A559" s="3"/>
      <c r="B559" s="3"/>
      <c r="C559" s="3"/>
      <c r="D559" s="3"/>
      <c r="E559" s="3">
        <v>3</v>
      </c>
      <c r="F559" s="4" t="str">
        <f>HYPERLINK("http://141.218.60.56/~jnz1568/getInfo.php?workbook=02_02.xlsx&amp;sheet=U0&amp;row=559&amp;col=6&amp;number=&amp;sourceID=28","")</f>
        <v/>
      </c>
      <c r="G559" s="4" t="str">
        <f>HYPERLINK("http://141.218.60.56/~jnz1568/getInfo.php?workbook=02_02.xlsx&amp;sheet=U0&amp;row=559&amp;col=7&amp;number=&amp;sourceID=1","")</f>
        <v/>
      </c>
      <c r="H559" s="4" t="str">
        <f>HYPERLINK("http://141.218.60.56/~jnz1568/getInfo.php?workbook=02_02.xlsx&amp;sheet=U0&amp;row=559&amp;col=8&amp;number=4&amp;sourceID=29","4")</f>
        <v>4</v>
      </c>
      <c r="I559" s="4" t="str">
        <f>HYPERLINK("http://141.218.60.56/~jnz1568/getInfo.php?workbook=02_02.xlsx&amp;sheet=U0&amp;row=559&amp;col=9&amp;number=0.9723&amp;sourceID=1","0.9723")</f>
        <v>0.9723</v>
      </c>
    </row>
    <row r="560" spans="1:9">
      <c r="A560" s="3"/>
      <c r="B560" s="3"/>
      <c r="C560" s="3"/>
      <c r="D560" s="3"/>
      <c r="E560" s="3">
        <v>4</v>
      </c>
      <c r="F560" s="4" t="str">
        <f>HYPERLINK("http://141.218.60.56/~jnz1568/getInfo.php?workbook=02_02.xlsx&amp;sheet=U0&amp;row=560&amp;col=6&amp;number=&amp;sourceID=28","")</f>
        <v/>
      </c>
      <c r="G560" s="4" t="str">
        <f>HYPERLINK("http://141.218.60.56/~jnz1568/getInfo.php?workbook=02_02.xlsx&amp;sheet=U0&amp;row=560&amp;col=7&amp;number=&amp;sourceID=1","")</f>
        <v/>
      </c>
      <c r="H560" s="4" t="str">
        <f>HYPERLINK("http://141.218.60.56/~jnz1568/getInfo.php?workbook=02_02.xlsx&amp;sheet=U0&amp;row=560&amp;col=8&amp;number=4.176&amp;sourceID=29","4.176")</f>
        <v>4.176</v>
      </c>
      <c r="I560" s="4" t="str">
        <f>HYPERLINK("http://141.218.60.56/~jnz1568/getInfo.php?workbook=02_02.xlsx&amp;sheet=U0&amp;row=560&amp;col=9&amp;number=0.8325&amp;sourceID=1","0.8325")</f>
        <v>0.8325</v>
      </c>
    </row>
    <row r="561" spans="1:9">
      <c r="A561" s="3"/>
      <c r="B561" s="3"/>
      <c r="C561" s="3"/>
      <c r="D561" s="3"/>
      <c r="E561" s="3">
        <v>5</v>
      </c>
      <c r="F561" s="4" t="str">
        <f>HYPERLINK("http://141.218.60.56/~jnz1568/getInfo.php?workbook=02_02.xlsx&amp;sheet=U0&amp;row=561&amp;col=6&amp;number=&amp;sourceID=28","")</f>
        <v/>
      </c>
      <c r="G561" s="4" t="str">
        <f>HYPERLINK("http://141.218.60.56/~jnz1568/getInfo.php?workbook=02_02.xlsx&amp;sheet=U0&amp;row=561&amp;col=7&amp;number=&amp;sourceID=1","")</f>
        <v/>
      </c>
      <c r="H561" s="4" t="str">
        <f>HYPERLINK("http://141.218.60.56/~jnz1568/getInfo.php?workbook=02_02.xlsx&amp;sheet=U0&amp;row=561&amp;col=8&amp;number=4.301&amp;sourceID=29","4.301")</f>
        <v>4.301</v>
      </c>
      <c r="I561" s="4" t="str">
        <f>HYPERLINK("http://141.218.60.56/~jnz1568/getInfo.php?workbook=02_02.xlsx&amp;sheet=U0&amp;row=561&amp;col=9&amp;number=0.7364&amp;sourceID=1","0.7364")</f>
        <v>0.7364</v>
      </c>
    </row>
    <row r="562" spans="1:9">
      <c r="A562" s="3"/>
      <c r="B562" s="3"/>
      <c r="C562" s="3"/>
      <c r="D562" s="3"/>
      <c r="E562" s="3">
        <v>6</v>
      </c>
      <c r="F562" s="4" t="str">
        <f>HYPERLINK("http://141.218.60.56/~jnz1568/getInfo.php?workbook=02_02.xlsx&amp;sheet=U0&amp;row=562&amp;col=6&amp;number=&amp;sourceID=28","")</f>
        <v/>
      </c>
      <c r="G562" s="4" t="str">
        <f>HYPERLINK("http://141.218.60.56/~jnz1568/getInfo.php?workbook=02_02.xlsx&amp;sheet=U0&amp;row=562&amp;col=7&amp;number=&amp;sourceID=1","")</f>
        <v/>
      </c>
      <c r="H562" s="4" t="str">
        <f>HYPERLINK("http://141.218.60.56/~jnz1568/getInfo.php?workbook=02_02.xlsx&amp;sheet=U0&amp;row=562&amp;col=8&amp;number=4.398&amp;sourceID=29","4.398")</f>
        <v>4.398</v>
      </c>
      <c r="I562" s="4" t="str">
        <f>HYPERLINK("http://141.218.60.56/~jnz1568/getInfo.php?workbook=02_02.xlsx&amp;sheet=U0&amp;row=562&amp;col=9&amp;number=0.664&amp;sourceID=1","0.664")</f>
        <v>0.664</v>
      </c>
    </row>
    <row r="563" spans="1:9">
      <c r="A563" s="3"/>
      <c r="B563" s="3"/>
      <c r="C563" s="3"/>
      <c r="D563" s="3"/>
      <c r="E563" s="3">
        <v>7</v>
      </c>
      <c r="F563" s="4" t="str">
        <f>HYPERLINK("http://141.218.60.56/~jnz1568/getInfo.php?workbook=02_02.xlsx&amp;sheet=U0&amp;row=563&amp;col=6&amp;number=&amp;sourceID=28","")</f>
        <v/>
      </c>
      <c r="G563" s="4" t="str">
        <f>HYPERLINK("http://141.218.60.56/~jnz1568/getInfo.php?workbook=02_02.xlsx&amp;sheet=U0&amp;row=563&amp;col=7&amp;number=&amp;sourceID=1","")</f>
        <v/>
      </c>
      <c r="H563" s="4" t="str">
        <f>HYPERLINK("http://141.218.60.56/~jnz1568/getInfo.php?workbook=02_02.xlsx&amp;sheet=U0&amp;row=563&amp;col=8&amp;number=4.477&amp;sourceID=29","4.477")</f>
        <v>4.477</v>
      </c>
      <c r="I563" s="4" t="str">
        <f>HYPERLINK("http://141.218.60.56/~jnz1568/getInfo.php?workbook=02_02.xlsx&amp;sheet=U0&amp;row=563&amp;col=9&amp;number=0.6064&amp;sourceID=1","0.6064")</f>
        <v>0.6064</v>
      </c>
    </row>
    <row r="564" spans="1:9">
      <c r="A564" s="3">
        <v>2</v>
      </c>
      <c r="B564" s="3">
        <v>2</v>
      </c>
      <c r="C564" s="3">
        <v>13</v>
      </c>
      <c r="D564" s="3">
        <v>9</v>
      </c>
      <c r="E564" s="3">
        <v>1</v>
      </c>
      <c r="F564" s="4" t="str">
        <f>HYPERLINK("http://141.218.60.56/~jnz1568/getInfo.php?workbook=02_02.xlsx&amp;sheet=U0&amp;row=564&amp;col=6&amp;number=&amp;sourceID=28","")</f>
        <v/>
      </c>
      <c r="G564" s="4" t="str">
        <f>HYPERLINK("http://141.218.60.56/~jnz1568/getInfo.php?workbook=02_02.xlsx&amp;sheet=U0&amp;row=564&amp;col=7&amp;number=&amp;sourceID=1","")</f>
        <v/>
      </c>
      <c r="H564" s="4" t="str">
        <f>HYPERLINK("http://141.218.60.56/~jnz1568/getInfo.php?workbook=02_02.xlsx&amp;sheet=U0&amp;row=564&amp;col=8&amp;number=3.301&amp;sourceID=29","3.301")</f>
        <v>3.301</v>
      </c>
      <c r="I564" s="4" t="str">
        <f>HYPERLINK("http://141.218.60.56/~jnz1568/getInfo.php?workbook=02_02.xlsx&amp;sheet=U0&amp;row=564&amp;col=9&amp;number=1.428&amp;sourceID=1","1.428")</f>
        <v>1.428</v>
      </c>
    </row>
    <row r="565" spans="1:9">
      <c r="A565" s="3"/>
      <c r="B565" s="3"/>
      <c r="C565" s="3"/>
      <c r="D565" s="3"/>
      <c r="E565" s="3">
        <v>2</v>
      </c>
      <c r="F565" s="4" t="str">
        <f>HYPERLINK("http://141.218.60.56/~jnz1568/getInfo.php?workbook=02_02.xlsx&amp;sheet=U0&amp;row=565&amp;col=6&amp;number=&amp;sourceID=28","")</f>
        <v/>
      </c>
      <c r="G565" s="4" t="str">
        <f>HYPERLINK("http://141.218.60.56/~jnz1568/getInfo.php?workbook=02_02.xlsx&amp;sheet=U0&amp;row=565&amp;col=7&amp;number=&amp;sourceID=1","")</f>
        <v/>
      </c>
      <c r="H565" s="4" t="str">
        <f>HYPERLINK("http://141.218.60.56/~jnz1568/getInfo.php?workbook=02_02.xlsx&amp;sheet=U0&amp;row=565&amp;col=8&amp;number=3.699&amp;sourceID=29","3.699")</f>
        <v>3.699</v>
      </c>
      <c r="I565" s="4" t="str">
        <f>HYPERLINK("http://141.218.60.56/~jnz1568/getInfo.php?workbook=02_02.xlsx&amp;sheet=U0&amp;row=565&amp;col=9&amp;number=1.206&amp;sourceID=1","1.206")</f>
        <v>1.206</v>
      </c>
    </row>
    <row r="566" spans="1:9">
      <c r="A566" s="3"/>
      <c r="B566" s="3"/>
      <c r="C566" s="3"/>
      <c r="D566" s="3"/>
      <c r="E566" s="3">
        <v>3</v>
      </c>
      <c r="F566" s="4" t="str">
        <f>HYPERLINK("http://141.218.60.56/~jnz1568/getInfo.php?workbook=02_02.xlsx&amp;sheet=U0&amp;row=566&amp;col=6&amp;number=&amp;sourceID=28","")</f>
        <v/>
      </c>
      <c r="G566" s="4" t="str">
        <f>HYPERLINK("http://141.218.60.56/~jnz1568/getInfo.php?workbook=02_02.xlsx&amp;sheet=U0&amp;row=566&amp;col=7&amp;number=&amp;sourceID=1","")</f>
        <v/>
      </c>
      <c r="H566" s="4" t="str">
        <f>HYPERLINK("http://141.218.60.56/~jnz1568/getInfo.php?workbook=02_02.xlsx&amp;sheet=U0&amp;row=566&amp;col=8&amp;number=4&amp;sourceID=29","4")</f>
        <v>4</v>
      </c>
      <c r="I566" s="4" t="str">
        <f>HYPERLINK("http://141.218.60.56/~jnz1568/getInfo.php?workbook=02_02.xlsx&amp;sheet=U0&amp;row=566&amp;col=9&amp;number=1.007&amp;sourceID=1","1.007")</f>
        <v>1.007</v>
      </c>
    </row>
    <row r="567" spans="1:9">
      <c r="A567" s="3"/>
      <c r="B567" s="3"/>
      <c r="C567" s="3"/>
      <c r="D567" s="3"/>
      <c r="E567" s="3">
        <v>4</v>
      </c>
      <c r="F567" s="4" t="str">
        <f>HYPERLINK("http://141.218.60.56/~jnz1568/getInfo.php?workbook=02_02.xlsx&amp;sheet=U0&amp;row=567&amp;col=6&amp;number=&amp;sourceID=28","")</f>
        <v/>
      </c>
      <c r="G567" s="4" t="str">
        <f>HYPERLINK("http://141.218.60.56/~jnz1568/getInfo.php?workbook=02_02.xlsx&amp;sheet=U0&amp;row=567&amp;col=7&amp;number=&amp;sourceID=1","")</f>
        <v/>
      </c>
      <c r="H567" s="4" t="str">
        <f>HYPERLINK("http://141.218.60.56/~jnz1568/getInfo.php?workbook=02_02.xlsx&amp;sheet=U0&amp;row=567&amp;col=8&amp;number=4.176&amp;sourceID=29","4.176")</f>
        <v>4.176</v>
      </c>
      <c r="I567" s="4" t="str">
        <f>HYPERLINK("http://141.218.60.56/~jnz1568/getInfo.php?workbook=02_02.xlsx&amp;sheet=U0&amp;row=567&amp;col=9&amp;number=0.8927&amp;sourceID=1","0.8927")</f>
        <v>0.8927</v>
      </c>
    </row>
    <row r="568" spans="1:9">
      <c r="A568" s="3"/>
      <c r="B568" s="3"/>
      <c r="C568" s="3"/>
      <c r="D568" s="3"/>
      <c r="E568" s="3">
        <v>5</v>
      </c>
      <c r="F568" s="4" t="str">
        <f>HYPERLINK("http://141.218.60.56/~jnz1568/getInfo.php?workbook=02_02.xlsx&amp;sheet=U0&amp;row=568&amp;col=6&amp;number=&amp;sourceID=28","")</f>
        <v/>
      </c>
      <c r="G568" s="4" t="str">
        <f>HYPERLINK("http://141.218.60.56/~jnz1568/getInfo.php?workbook=02_02.xlsx&amp;sheet=U0&amp;row=568&amp;col=7&amp;number=&amp;sourceID=1","")</f>
        <v/>
      </c>
      <c r="H568" s="4" t="str">
        <f>HYPERLINK("http://141.218.60.56/~jnz1568/getInfo.php?workbook=02_02.xlsx&amp;sheet=U0&amp;row=568&amp;col=8&amp;number=4.301&amp;sourceID=29","4.301")</f>
        <v>4.301</v>
      </c>
      <c r="I568" s="4" t="str">
        <f>HYPERLINK("http://141.218.60.56/~jnz1568/getInfo.php?workbook=02_02.xlsx&amp;sheet=U0&amp;row=568&amp;col=9&amp;number=0.8087&amp;sourceID=1","0.8087")</f>
        <v>0.8087</v>
      </c>
    </row>
    <row r="569" spans="1:9">
      <c r="A569" s="3"/>
      <c r="B569" s="3"/>
      <c r="C569" s="3"/>
      <c r="D569" s="3"/>
      <c r="E569" s="3">
        <v>6</v>
      </c>
      <c r="F569" s="4" t="str">
        <f>HYPERLINK("http://141.218.60.56/~jnz1568/getInfo.php?workbook=02_02.xlsx&amp;sheet=U0&amp;row=569&amp;col=6&amp;number=&amp;sourceID=28","")</f>
        <v/>
      </c>
      <c r="G569" s="4" t="str">
        <f>HYPERLINK("http://141.218.60.56/~jnz1568/getInfo.php?workbook=02_02.xlsx&amp;sheet=U0&amp;row=569&amp;col=7&amp;number=&amp;sourceID=1","")</f>
        <v/>
      </c>
      <c r="H569" s="4" t="str">
        <f>HYPERLINK("http://141.218.60.56/~jnz1568/getInfo.php?workbook=02_02.xlsx&amp;sheet=U0&amp;row=569&amp;col=8&amp;number=4.398&amp;sourceID=29","4.398")</f>
        <v>4.398</v>
      </c>
      <c r="I569" s="4" t="str">
        <f>HYPERLINK("http://141.218.60.56/~jnz1568/getInfo.php?workbook=02_02.xlsx&amp;sheet=U0&amp;row=569&amp;col=9&amp;number=0.7412&amp;sourceID=1","0.7412")</f>
        <v>0.7412</v>
      </c>
    </row>
    <row r="570" spans="1:9">
      <c r="A570" s="3"/>
      <c r="B570" s="3"/>
      <c r="C570" s="3"/>
      <c r="D570" s="3"/>
      <c r="E570" s="3">
        <v>7</v>
      </c>
      <c r="F570" s="4" t="str">
        <f>HYPERLINK("http://141.218.60.56/~jnz1568/getInfo.php?workbook=02_02.xlsx&amp;sheet=U0&amp;row=570&amp;col=6&amp;number=&amp;sourceID=28","")</f>
        <v/>
      </c>
      <c r="G570" s="4" t="str">
        <f>HYPERLINK("http://141.218.60.56/~jnz1568/getInfo.php?workbook=02_02.xlsx&amp;sheet=U0&amp;row=570&amp;col=7&amp;number=&amp;sourceID=1","")</f>
        <v/>
      </c>
      <c r="H570" s="4" t="str">
        <f>HYPERLINK("http://141.218.60.56/~jnz1568/getInfo.php?workbook=02_02.xlsx&amp;sheet=U0&amp;row=570&amp;col=8&amp;number=4.477&amp;sourceID=29","4.477")</f>
        <v>4.477</v>
      </c>
      <c r="I570" s="4" t="str">
        <f>HYPERLINK("http://141.218.60.56/~jnz1568/getInfo.php?workbook=02_02.xlsx&amp;sheet=U0&amp;row=570&amp;col=9&amp;number=0.6847&amp;sourceID=1","0.6847")</f>
        <v>0.6847</v>
      </c>
    </row>
    <row r="571" spans="1:9">
      <c r="A571" s="3">
        <v>2</v>
      </c>
      <c r="B571" s="3">
        <v>2</v>
      </c>
      <c r="C571" s="3">
        <v>13</v>
      </c>
      <c r="D571" s="3">
        <v>10</v>
      </c>
      <c r="E571" s="3">
        <v>1</v>
      </c>
      <c r="F571" s="4" t="str">
        <f>HYPERLINK("http://141.218.60.56/~jnz1568/getInfo.php?workbook=02_02.xlsx&amp;sheet=U0&amp;row=571&amp;col=6&amp;number=&amp;sourceID=28","")</f>
        <v/>
      </c>
      <c r="G571" s="4" t="str">
        <f>HYPERLINK("http://141.218.60.56/~jnz1568/getInfo.php?workbook=02_02.xlsx&amp;sheet=U0&amp;row=571&amp;col=7&amp;number=&amp;sourceID=1","")</f>
        <v/>
      </c>
      <c r="H571" s="4" t="str">
        <f>HYPERLINK("http://141.218.60.56/~jnz1568/getInfo.php?workbook=02_02.xlsx&amp;sheet=U0&amp;row=571&amp;col=8&amp;number=3.301&amp;sourceID=29","3.301")</f>
        <v>3.301</v>
      </c>
      <c r="I571" s="4" t="str">
        <f>HYPERLINK("http://141.218.60.56/~jnz1568/getInfo.php?workbook=02_02.xlsx&amp;sheet=U0&amp;row=571&amp;col=9&amp;number=3.131&amp;sourceID=1","3.131")</f>
        <v>3.131</v>
      </c>
    </row>
    <row r="572" spans="1:9">
      <c r="A572" s="3"/>
      <c r="B572" s="3"/>
      <c r="C572" s="3"/>
      <c r="D572" s="3"/>
      <c r="E572" s="3">
        <v>2</v>
      </c>
      <c r="F572" s="4" t="str">
        <f>HYPERLINK("http://141.218.60.56/~jnz1568/getInfo.php?workbook=02_02.xlsx&amp;sheet=U0&amp;row=572&amp;col=6&amp;number=&amp;sourceID=28","")</f>
        <v/>
      </c>
      <c r="G572" s="4" t="str">
        <f>HYPERLINK("http://141.218.60.56/~jnz1568/getInfo.php?workbook=02_02.xlsx&amp;sheet=U0&amp;row=572&amp;col=7&amp;number=&amp;sourceID=1","")</f>
        <v/>
      </c>
      <c r="H572" s="4" t="str">
        <f>HYPERLINK("http://141.218.60.56/~jnz1568/getInfo.php?workbook=02_02.xlsx&amp;sheet=U0&amp;row=572&amp;col=8&amp;number=3.699&amp;sourceID=29","3.699")</f>
        <v>3.699</v>
      </c>
      <c r="I572" s="4" t="str">
        <f>HYPERLINK("http://141.218.60.56/~jnz1568/getInfo.php?workbook=02_02.xlsx&amp;sheet=U0&amp;row=572&amp;col=9&amp;number=2.966&amp;sourceID=1","2.966")</f>
        <v>2.966</v>
      </c>
    </row>
    <row r="573" spans="1:9">
      <c r="A573" s="3"/>
      <c r="B573" s="3"/>
      <c r="C573" s="3"/>
      <c r="D573" s="3"/>
      <c r="E573" s="3">
        <v>3</v>
      </c>
      <c r="F573" s="4" t="str">
        <f>HYPERLINK("http://141.218.60.56/~jnz1568/getInfo.php?workbook=02_02.xlsx&amp;sheet=U0&amp;row=573&amp;col=6&amp;number=&amp;sourceID=28","")</f>
        <v/>
      </c>
      <c r="G573" s="4" t="str">
        <f>HYPERLINK("http://141.218.60.56/~jnz1568/getInfo.php?workbook=02_02.xlsx&amp;sheet=U0&amp;row=573&amp;col=7&amp;number=&amp;sourceID=1","")</f>
        <v/>
      </c>
      <c r="H573" s="4" t="str">
        <f>HYPERLINK("http://141.218.60.56/~jnz1568/getInfo.php?workbook=02_02.xlsx&amp;sheet=U0&amp;row=573&amp;col=8&amp;number=4&amp;sourceID=29","4")</f>
        <v>4</v>
      </c>
      <c r="I573" s="4" t="str">
        <f>HYPERLINK("http://141.218.60.56/~jnz1568/getInfo.php?workbook=02_02.xlsx&amp;sheet=U0&amp;row=573&amp;col=9&amp;number=2.903&amp;sourceID=1","2.903")</f>
        <v>2.903</v>
      </c>
    </row>
    <row r="574" spans="1:9">
      <c r="A574" s="3"/>
      <c r="B574" s="3"/>
      <c r="C574" s="3"/>
      <c r="D574" s="3"/>
      <c r="E574" s="3">
        <v>4</v>
      </c>
      <c r="F574" s="4" t="str">
        <f>HYPERLINK("http://141.218.60.56/~jnz1568/getInfo.php?workbook=02_02.xlsx&amp;sheet=U0&amp;row=574&amp;col=6&amp;number=&amp;sourceID=28","")</f>
        <v/>
      </c>
      <c r="G574" s="4" t="str">
        <f>HYPERLINK("http://141.218.60.56/~jnz1568/getInfo.php?workbook=02_02.xlsx&amp;sheet=U0&amp;row=574&amp;col=7&amp;number=&amp;sourceID=1","")</f>
        <v/>
      </c>
      <c r="H574" s="4" t="str">
        <f>HYPERLINK("http://141.218.60.56/~jnz1568/getInfo.php?workbook=02_02.xlsx&amp;sheet=U0&amp;row=574&amp;col=8&amp;number=4.176&amp;sourceID=29","4.176")</f>
        <v>4.176</v>
      </c>
      <c r="I574" s="4" t="str">
        <f>HYPERLINK("http://141.218.60.56/~jnz1568/getInfo.php?workbook=02_02.xlsx&amp;sheet=U0&amp;row=574&amp;col=9&amp;number=2.986&amp;sourceID=1","2.986")</f>
        <v>2.986</v>
      </c>
    </row>
    <row r="575" spans="1:9">
      <c r="A575" s="3"/>
      <c r="B575" s="3"/>
      <c r="C575" s="3"/>
      <c r="D575" s="3"/>
      <c r="E575" s="3">
        <v>5</v>
      </c>
      <c r="F575" s="4" t="str">
        <f>HYPERLINK("http://141.218.60.56/~jnz1568/getInfo.php?workbook=02_02.xlsx&amp;sheet=U0&amp;row=575&amp;col=6&amp;number=&amp;sourceID=28","")</f>
        <v/>
      </c>
      <c r="G575" s="4" t="str">
        <f>HYPERLINK("http://141.218.60.56/~jnz1568/getInfo.php?workbook=02_02.xlsx&amp;sheet=U0&amp;row=575&amp;col=7&amp;number=&amp;sourceID=1","")</f>
        <v/>
      </c>
      <c r="H575" s="4" t="str">
        <f>HYPERLINK("http://141.218.60.56/~jnz1568/getInfo.php?workbook=02_02.xlsx&amp;sheet=U0&amp;row=575&amp;col=8&amp;number=4.301&amp;sourceID=29","4.301")</f>
        <v>4.301</v>
      </c>
      <c r="I575" s="4" t="str">
        <f>HYPERLINK("http://141.218.60.56/~jnz1568/getInfo.php?workbook=02_02.xlsx&amp;sheet=U0&amp;row=575&amp;col=9&amp;number=3.083&amp;sourceID=1","3.083")</f>
        <v>3.083</v>
      </c>
    </row>
    <row r="576" spans="1:9">
      <c r="A576" s="3"/>
      <c r="B576" s="3"/>
      <c r="C576" s="3"/>
      <c r="D576" s="3"/>
      <c r="E576" s="3">
        <v>6</v>
      </c>
      <c r="F576" s="4" t="str">
        <f>HYPERLINK("http://141.218.60.56/~jnz1568/getInfo.php?workbook=02_02.xlsx&amp;sheet=U0&amp;row=576&amp;col=6&amp;number=&amp;sourceID=28","")</f>
        <v/>
      </c>
      <c r="G576" s="4" t="str">
        <f>HYPERLINK("http://141.218.60.56/~jnz1568/getInfo.php?workbook=02_02.xlsx&amp;sheet=U0&amp;row=576&amp;col=7&amp;number=&amp;sourceID=1","")</f>
        <v/>
      </c>
      <c r="H576" s="4" t="str">
        <f>HYPERLINK("http://141.218.60.56/~jnz1568/getInfo.php?workbook=02_02.xlsx&amp;sheet=U0&amp;row=576&amp;col=8&amp;number=4.398&amp;sourceID=29","4.398")</f>
        <v>4.398</v>
      </c>
      <c r="I576" s="4" t="str">
        <f>HYPERLINK("http://141.218.60.56/~jnz1568/getInfo.php?workbook=02_02.xlsx&amp;sheet=U0&amp;row=576&amp;col=9&amp;number=3.159&amp;sourceID=1","3.159")</f>
        <v>3.159</v>
      </c>
    </row>
    <row r="577" spans="1:9">
      <c r="A577" s="3"/>
      <c r="B577" s="3"/>
      <c r="C577" s="3"/>
      <c r="D577" s="3"/>
      <c r="E577" s="3">
        <v>7</v>
      </c>
      <c r="F577" s="4" t="str">
        <f>HYPERLINK("http://141.218.60.56/~jnz1568/getInfo.php?workbook=02_02.xlsx&amp;sheet=U0&amp;row=577&amp;col=6&amp;number=&amp;sourceID=28","")</f>
        <v/>
      </c>
      <c r="G577" s="4" t="str">
        <f>HYPERLINK("http://141.218.60.56/~jnz1568/getInfo.php?workbook=02_02.xlsx&amp;sheet=U0&amp;row=577&amp;col=7&amp;number=&amp;sourceID=1","")</f>
        <v/>
      </c>
      <c r="H577" s="4" t="str">
        <f>HYPERLINK("http://141.218.60.56/~jnz1568/getInfo.php?workbook=02_02.xlsx&amp;sheet=U0&amp;row=577&amp;col=8&amp;number=4.477&amp;sourceID=29","4.477")</f>
        <v>4.477</v>
      </c>
      <c r="I577" s="4" t="str">
        <f>HYPERLINK("http://141.218.60.56/~jnz1568/getInfo.php?workbook=02_02.xlsx&amp;sheet=U0&amp;row=577&amp;col=9&amp;number=3.204&amp;sourceID=1","3.204")</f>
        <v>3.204</v>
      </c>
    </row>
    <row r="578" spans="1:9">
      <c r="A578" s="3">
        <v>2</v>
      </c>
      <c r="B578" s="3">
        <v>2</v>
      </c>
      <c r="C578" s="3">
        <v>13</v>
      </c>
      <c r="D578" s="3">
        <v>11</v>
      </c>
      <c r="E578" s="3">
        <v>1</v>
      </c>
      <c r="F578" s="4" t="str">
        <f>HYPERLINK("http://141.218.60.56/~jnz1568/getInfo.php?workbook=02_02.xlsx&amp;sheet=U0&amp;row=578&amp;col=6&amp;number=&amp;sourceID=28","")</f>
        <v/>
      </c>
      <c r="G578" s="4" t="str">
        <f>HYPERLINK("http://141.218.60.56/~jnz1568/getInfo.php?workbook=02_02.xlsx&amp;sheet=U0&amp;row=578&amp;col=7&amp;number=&amp;sourceID=1","")</f>
        <v/>
      </c>
      <c r="H578" s="4" t="str">
        <f>HYPERLINK("http://141.218.60.56/~jnz1568/getInfo.php?workbook=02_02.xlsx&amp;sheet=U0&amp;row=578&amp;col=8&amp;number=3.301&amp;sourceID=29","3.301")</f>
        <v>3.301</v>
      </c>
      <c r="I578" s="4" t="str">
        <f>HYPERLINK("http://141.218.60.56/~jnz1568/getInfo.php?workbook=02_02.xlsx&amp;sheet=U0&amp;row=578&amp;col=9&amp;number=1.107&amp;sourceID=1","1.107")</f>
        <v>1.107</v>
      </c>
    </row>
    <row r="579" spans="1:9">
      <c r="A579" s="3"/>
      <c r="B579" s="3"/>
      <c r="C579" s="3"/>
      <c r="D579" s="3"/>
      <c r="E579" s="3">
        <v>2</v>
      </c>
      <c r="F579" s="4" t="str">
        <f>HYPERLINK("http://141.218.60.56/~jnz1568/getInfo.php?workbook=02_02.xlsx&amp;sheet=U0&amp;row=579&amp;col=6&amp;number=&amp;sourceID=28","")</f>
        <v/>
      </c>
      <c r="G579" s="4" t="str">
        <f>HYPERLINK("http://141.218.60.56/~jnz1568/getInfo.php?workbook=02_02.xlsx&amp;sheet=U0&amp;row=579&amp;col=7&amp;number=&amp;sourceID=1","")</f>
        <v/>
      </c>
      <c r="H579" s="4" t="str">
        <f>HYPERLINK("http://141.218.60.56/~jnz1568/getInfo.php?workbook=02_02.xlsx&amp;sheet=U0&amp;row=579&amp;col=8&amp;number=3.699&amp;sourceID=29","3.699")</f>
        <v>3.699</v>
      </c>
      <c r="I579" s="4" t="str">
        <f>HYPERLINK("http://141.218.60.56/~jnz1568/getInfo.php?workbook=02_02.xlsx&amp;sheet=U0&amp;row=579&amp;col=9&amp;number=1.507&amp;sourceID=1","1.507")</f>
        <v>1.507</v>
      </c>
    </row>
    <row r="580" spans="1:9">
      <c r="A580" s="3"/>
      <c r="B580" s="3"/>
      <c r="C580" s="3"/>
      <c r="D580" s="3"/>
      <c r="E580" s="3">
        <v>3</v>
      </c>
      <c r="F580" s="4" t="str">
        <f>HYPERLINK("http://141.218.60.56/~jnz1568/getInfo.php?workbook=02_02.xlsx&amp;sheet=U0&amp;row=580&amp;col=6&amp;number=&amp;sourceID=28","")</f>
        <v/>
      </c>
      <c r="G580" s="4" t="str">
        <f>HYPERLINK("http://141.218.60.56/~jnz1568/getInfo.php?workbook=02_02.xlsx&amp;sheet=U0&amp;row=580&amp;col=7&amp;number=&amp;sourceID=1","")</f>
        <v/>
      </c>
      <c r="H580" s="4" t="str">
        <f>HYPERLINK("http://141.218.60.56/~jnz1568/getInfo.php?workbook=02_02.xlsx&amp;sheet=U0&amp;row=580&amp;col=8&amp;number=4&amp;sourceID=29","4")</f>
        <v>4</v>
      </c>
      <c r="I580" s="4" t="str">
        <f>HYPERLINK("http://141.218.60.56/~jnz1568/getInfo.php?workbook=02_02.xlsx&amp;sheet=U0&amp;row=580&amp;col=9&amp;number=2.453&amp;sourceID=1","2.453")</f>
        <v>2.453</v>
      </c>
    </row>
    <row r="581" spans="1:9">
      <c r="A581" s="3"/>
      <c r="B581" s="3"/>
      <c r="C581" s="3"/>
      <c r="D581" s="3"/>
      <c r="E581" s="3">
        <v>4</v>
      </c>
      <c r="F581" s="4" t="str">
        <f>HYPERLINK("http://141.218.60.56/~jnz1568/getInfo.php?workbook=02_02.xlsx&amp;sheet=U0&amp;row=581&amp;col=6&amp;number=&amp;sourceID=28","")</f>
        <v/>
      </c>
      <c r="G581" s="4" t="str">
        <f>HYPERLINK("http://141.218.60.56/~jnz1568/getInfo.php?workbook=02_02.xlsx&amp;sheet=U0&amp;row=581&amp;col=7&amp;number=&amp;sourceID=1","")</f>
        <v/>
      </c>
      <c r="H581" s="4" t="str">
        <f>HYPERLINK("http://141.218.60.56/~jnz1568/getInfo.php?workbook=02_02.xlsx&amp;sheet=U0&amp;row=581&amp;col=8&amp;number=4.176&amp;sourceID=29","4.176")</f>
        <v>4.176</v>
      </c>
      <c r="I581" s="4" t="str">
        <f>HYPERLINK("http://141.218.60.56/~jnz1568/getInfo.php?workbook=02_02.xlsx&amp;sheet=U0&amp;row=581&amp;col=9&amp;number=3.463&amp;sourceID=1","3.463")</f>
        <v>3.463</v>
      </c>
    </row>
    <row r="582" spans="1:9">
      <c r="A582" s="3">
        <v>2</v>
      </c>
      <c r="B582" s="3">
        <v>2</v>
      </c>
      <c r="C582" s="3">
        <v>13</v>
      </c>
      <c r="D582" s="3">
        <v>12</v>
      </c>
      <c r="E582" s="3">
        <v>1</v>
      </c>
      <c r="F582" s="4" t="str">
        <f>HYPERLINK("http://141.218.60.56/~jnz1568/getInfo.php?workbook=02_02.xlsx&amp;sheet=U0&amp;row=582&amp;col=6&amp;number=&amp;sourceID=28","")</f>
        <v/>
      </c>
      <c r="G582" s="4" t="str">
        <f>HYPERLINK("http://141.218.60.56/~jnz1568/getInfo.php?workbook=02_02.xlsx&amp;sheet=U0&amp;row=582&amp;col=7&amp;number=&amp;sourceID=1","")</f>
        <v/>
      </c>
      <c r="H582" s="4" t="str">
        <f>HYPERLINK("http://141.218.60.56/~jnz1568/getInfo.php?workbook=02_02.xlsx&amp;sheet=U0&amp;row=582&amp;col=8&amp;number=3.301&amp;sourceID=29","3.301")</f>
        <v>3.301</v>
      </c>
      <c r="I582" s="4" t="str">
        <f>HYPERLINK("http://141.218.60.56/~jnz1568/getInfo.php?workbook=02_02.xlsx&amp;sheet=U0&amp;row=582&amp;col=9&amp;number=4.793&amp;sourceID=1","4.793")</f>
        <v>4.793</v>
      </c>
    </row>
    <row r="583" spans="1:9">
      <c r="A583" s="3"/>
      <c r="B583" s="3"/>
      <c r="C583" s="3"/>
      <c r="D583" s="3"/>
      <c r="E583" s="3">
        <v>2</v>
      </c>
      <c r="F583" s="4" t="str">
        <f>HYPERLINK("http://141.218.60.56/~jnz1568/getInfo.php?workbook=02_02.xlsx&amp;sheet=U0&amp;row=583&amp;col=6&amp;number=&amp;sourceID=28","")</f>
        <v/>
      </c>
      <c r="G583" s="4" t="str">
        <f>HYPERLINK("http://141.218.60.56/~jnz1568/getInfo.php?workbook=02_02.xlsx&amp;sheet=U0&amp;row=583&amp;col=7&amp;number=&amp;sourceID=1","")</f>
        <v/>
      </c>
      <c r="H583" s="4" t="str">
        <f>HYPERLINK("http://141.218.60.56/~jnz1568/getInfo.php?workbook=02_02.xlsx&amp;sheet=U0&amp;row=583&amp;col=8&amp;number=3.699&amp;sourceID=29","3.699")</f>
        <v>3.699</v>
      </c>
      <c r="I583" s="4" t="str">
        <f>HYPERLINK("http://141.218.60.56/~jnz1568/getInfo.php?workbook=02_02.xlsx&amp;sheet=U0&amp;row=583&amp;col=9&amp;number=3.332&amp;sourceID=1","3.332")</f>
        <v>3.332</v>
      </c>
    </row>
    <row r="584" spans="1:9">
      <c r="A584" s="3"/>
      <c r="B584" s="3"/>
      <c r="C584" s="3"/>
      <c r="D584" s="3"/>
      <c r="E584" s="3">
        <v>3</v>
      </c>
      <c r="F584" s="4" t="str">
        <f>HYPERLINK("http://141.218.60.56/~jnz1568/getInfo.php?workbook=02_02.xlsx&amp;sheet=U0&amp;row=584&amp;col=6&amp;number=&amp;sourceID=28","")</f>
        <v/>
      </c>
      <c r="G584" s="4" t="str">
        <f>HYPERLINK("http://141.218.60.56/~jnz1568/getInfo.php?workbook=02_02.xlsx&amp;sheet=U0&amp;row=584&amp;col=7&amp;number=&amp;sourceID=1","")</f>
        <v/>
      </c>
      <c r="H584" s="4" t="str">
        <f>HYPERLINK("http://141.218.60.56/~jnz1568/getInfo.php?workbook=02_02.xlsx&amp;sheet=U0&amp;row=584&amp;col=8&amp;number=4&amp;sourceID=29","4")</f>
        <v>4</v>
      </c>
      <c r="I584" s="4" t="str">
        <f>HYPERLINK("http://141.218.60.56/~jnz1568/getInfo.php?workbook=02_02.xlsx&amp;sheet=U0&amp;row=584&amp;col=9&amp;number=2.27&amp;sourceID=1","2.27")</f>
        <v>2.27</v>
      </c>
    </row>
    <row r="585" spans="1:9">
      <c r="A585" s="3"/>
      <c r="B585" s="3"/>
      <c r="C585" s="3"/>
      <c r="D585" s="3"/>
      <c r="E585" s="3">
        <v>4</v>
      </c>
      <c r="F585" s="4" t="str">
        <f>HYPERLINK("http://141.218.60.56/~jnz1568/getInfo.php?workbook=02_02.xlsx&amp;sheet=U0&amp;row=585&amp;col=6&amp;number=&amp;sourceID=28","")</f>
        <v/>
      </c>
      <c r="G585" s="4" t="str">
        <f>HYPERLINK("http://141.218.60.56/~jnz1568/getInfo.php?workbook=02_02.xlsx&amp;sheet=U0&amp;row=585&amp;col=7&amp;number=&amp;sourceID=1","")</f>
        <v/>
      </c>
      <c r="H585" s="4" t="str">
        <f>HYPERLINK("http://141.218.60.56/~jnz1568/getInfo.php?workbook=02_02.xlsx&amp;sheet=U0&amp;row=585&amp;col=8&amp;number=4.176&amp;sourceID=29","4.176")</f>
        <v>4.176</v>
      </c>
      <c r="I585" s="4" t="str">
        <f>HYPERLINK("http://141.218.60.56/~jnz1568/getInfo.php?workbook=02_02.xlsx&amp;sheet=U0&amp;row=585&amp;col=9&amp;number=1.756&amp;sourceID=1","1.756")</f>
        <v>1.756</v>
      </c>
    </row>
    <row r="586" spans="1:9">
      <c r="A586" s="3"/>
      <c r="B586" s="3"/>
      <c r="C586" s="3"/>
      <c r="D586" s="3"/>
      <c r="E586" s="3">
        <v>5</v>
      </c>
      <c r="F586" s="4" t="str">
        <f>HYPERLINK("http://141.218.60.56/~jnz1568/getInfo.php?workbook=02_02.xlsx&amp;sheet=U0&amp;row=586&amp;col=6&amp;number=&amp;sourceID=28","")</f>
        <v/>
      </c>
      <c r="G586" s="4" t="str">
        <f>HYPERLINK("http://141.218.60.56/~jnz1568/getInfo.php?workbook=02_02.xlsx&amp;sheet=U0&amp;row=586&amp;col=7&amp;number=&amp;sourceID=1","")</f>
        <v/>
      </c>
      <c r="H586" s="4" t="str">
        <f>HYPERLINK("http://141.218.60.56/~jnz1568/getInfo.php?workbook=02_02.xlsx&amp;sheet=U0&amp;row=586&amp;col=8&amp;number=4.301&amp;sourceID=29","4.301")</f>
        <v>4.301</v>
      </c>
      <c r="I586" s="4" t="str">
        <f>HYPERLINK("http://141.218.60.56/~jnz1568/getInfo.php?workbook=02_02.xlsx&amp;sheet=U0&amp;row=586&amp;col=9&amp;number=1.446&amp;sourceID=1","1.446")</f>
        <v>1.446</v>
      </c>
    </row>
    <row r="587" spans="1:9">
      <c r="A587" s="3"/>
      <c r="B587" s="3"/>
      <c r="C587" s="3"/>
      <c r="D587" s="3"/>
      <c r="E587" s="3">
        <v>6</v>
      </c>
      <c r="F587" s="4" t="str">
        <f>HYPERLINK("http://141.218.60.56/~jnz1568/getInfo.php?workbook=02_02.xlsx&amp;sheet=U0&amp;row=587&amp;col=6&amp;number=&amp;sourceID=28","")</f>
        <v/>
      </c>
      <c r="G587" s="4" t="str">
        <f>HYPERLINK("http://141.218.60.56/~jnz1568/getInfo.php?workbook=02_02.xlsx&amp;sheet=U0&amp;row=587&amp;col=7&amp;number=&amp;sourceID=1","")</f>
        <v/>
      </c>
      <c r="H587" s="4" t="str">
        <f>HYPERLINK("http://141.218.60.56/~jnz1568/getInfo.php?workbook=02_02.xlsx&amp;sheet=U0&amp;row=587&amp;col=8&amp;number=4.398&amp;sourceID=29","4.398")</f>
        <v>4.398</v>
      </c>
      <c r="I587" s="4" t="str">
        <f>HYPERLINK("http://141.218.60.56/~jnz1568/getInfo.php?workbook=02_02.xlsx&amp;sheet=U0&amp;row=587&amp;col=9&amp;number=1.235&amp;sourceID=1","1.235")</f>
        <v>1.235</v>
      </c>
    </row>
    <row r="588" spans="1:9">
      <c r="A588" s="3"/>
      <c r="B588" s="3"/>
      <c r="C588" s="3"/>
      <c r="D588" s="3"/>
      <c r="E588" s="3">
        <v>7</v>
      </c>
      <c r="F588" s="4" t="str">
        <f>HYPERLINK("http://141.218.60.56/~jnz1568/getInfo.php?workbook=02_02.xlsx&amp;sheet=U0&amp;row=588&amp;col=6&amp;number=&amp;sourceID=28","")</f>
        <v/>
      </c>
      <c r="G588" s="4" t="str">
        <f>HYPERLINK("http://141.218.60.56/~jnz1568/getInfo.php?workbook=02_02.xlsx&amp;sheet=U0&amp;row=588&amp;col=7&amp;number=&amp;sourceID=1","")</f>
        <v/>
      </c>
      <c r="H588" s="4" t="str">
        <f>HYPERLINK("http://141.218.60.56/~jnz1568/getInfo.php?workbook=02_02.xlsx&amp;sheet=U0&amp;row=588&amp;col=8&amp;number=4.477&amp;sourceID=29","4.477")</f>
        <v>4.477</v>
      </c>
      <c r="I588" s="4" t="str">
        <f>HYPERLINK("http://141.218.60.56/~jnz1568/getInfo.php?workbook=02_02.xlsx&amp;sheet=U0&amp;row=588&amp;col=9&amp;number=1.081&amp;sourceID=1","1.081")</f>
        <v>1.081</v>
      </c>
    </row>
    <row r="589" spans="1:9">
      <c r="A589" s="3">
        <v>2</v>
      </c>
      <c r="B589" s="3">
        <v>2</v>
      </c>
      <c r="C589" s="3">
        <v>14</v>
      </c>
      <c r="D589" s="3">
        <v>1</v>
      </c>
      <c r="E589" s="3">
        <v>1</v>
      </c>
      <c r="F589" s="4" t="str">
        <f>HYPERLINK("http://141.218.60.56/~jnz1568/getInfo.php?workbook=02_02.xlsx&amp;sheet=U0&amp;row=589&amp;col=6&amp;number=3.75&amp;sourceID=28","3.75")</f>
        <v>3.75</v>
      </c>
      <c r="G589" s="4" t="str">
        <f>HYPERLINK("http://141.218.60.56/~jnz1568/getInfo.php?workbook=02_02.xlsx&amp;sheet=U0&amp;row=589&amp;col=7&amp;number=0.002074&amp;sourceID=1","0.002074")</f>
        <v>0.002074</v>
      </c>
      <c r="H589" s="4" t="str">
        <f>HYPERLINK("http://141.218.60.56/~jnz1568/getInfo.php?workbook=02_02.xlsx&amp;sheet=U0&amp;row=589&amp;col=8&amp;number=3.301&amp;sourceID=29","3.301")</f>
        <v>3.301</v>
      </c>
      <c r="I589" s="4" t="str">
        <f>HYPERLINK("http://141.218.60.56/~jnz1568/getInfo.php?workbook=02_02.xlsx&amp;sheet=U0&amp;row=589&amp;col=9&amp;number=0.002412&amp;sourceID=1","0.002412")</f>
        <v>0.002412</v>
      </c>
    </row>
    <row r="590" spans="1:9">
      <c r="A590" s="3"/>
      <c r="B590" s="3"/>
      <c r="C590" s="3"/>
      <c r="D590" s="3"/>
      <c r="E590" s="3">
        <v>2</v>
      </c>
      <c r="F590" s="4" t="str">
        <f>HYPERLINK("http://141.218.60.56/~jnz1568/getInfo.php?workbook=02_02.xlsx&amp;sheet=U0&amp;row=590&amp;col=6&amp;number=4&amp;sourceID=28","4")</f>
        <v>4</v>
      </c>
      <c r="G590" s="4" t="str">
        <f>HYPERLINK("http://141.218.60.56/~jnz1568/getInfo.php?workbook=02_02.xlsx&amp;sheet=U0&amp;row=590&amp;col=7&amp;number=0.002468&amp;sourceID=1","0.002468")</f>
        <v>0.002468</v>
      </c>
      <c r="H590" s="4" t="str">
        <f>HYPERLINK("http://141.218.60.56/~jnz1568/getInfo.php?workbook=02_02.xlsx&amp;sheet=U0&amp;row=590&amp;col=8&amp;number=3.699&amp;sourceID=29","3.699")</f>
        <v>3.699</v>
      </c>
      <c r="I590" s="4" t="str">
        <f>HYPERLINK("http://141.218.60.56/~jnz1568/getInfo.php?workbook=02_02.xlsx&amp;sheet=U0&amp;row=590&amp;col=9&amp;number=0.002687&amp;sourceID=1","0.002687")</f>
        <v>0.002687</v>
      </c>
    </row>
    <row r="591" spans="1:9">
      <c r="A591" s="3"/>
      <c r="B591" s="3"/>
      <c r="C591" s="3"/>
      <c r="D591" s="3"/>
      <c r="E591" s="3">
        <v>3</v>
      </c>
      <c r="F591" s="4" t="str">
        <f>HYPERLINK("http://141.218.60.56/~jnz1568/getInfo.php?workbook=02_02.xlsx&amp;sheet=U0&amp;row=591&amp;col=6&amp;number=4.25&amp;sourceID=28","4.25")</f>
        <v>4.25</v>
      </c>
      <c r="G591" s="4" t="str">
        <f>HYPERLINK("http://141.218.60.56/~jnz1568/getInfo.php?workbook=02_02.xlsx&amp;sheet=U0&amp;row=591&amp;col=7&amp;number=0.002983&amp;sourceID=1","0.002983")</f>
        <v>0.002983</v>
      </c>
      <c r="H591" s="4" t="str">
        <f>HYPERLINK("http://141.218.60.56/~jnz1568/getInfo.php?workbook=02_02.xlsx&amp;sheet=U0&amp;row=591&amp;col=8&amp;number=4&amp;sourceID=29","4")</f>
        <v>4</v>
      </c>
      <c r="I591" s="4" t="str">
        <f>HYPERLINK("http://141.218.60.56/~jnz1568/getInfo.php?workbook=02_02.xlsx&amp;sheet=U0&amp;row=591&amp;col=9&amp;number=0.003681&amp;sourceID=1","0.003681")</f>
        <v>0.003681</v>
      </c>
    </row>
    <row r="592" spans="1:9">
      <c r="A592" s="3"/>
      <c r="B592" s="3"/>
      <c r="C592" s="3"/>
      <c r="D592" s="3"/>
      <c r="E592" s="3">
        <v>4</v>
      </c>
      <c r="F592" s="4" t="str">
        <f>HYPERLINK("http://141.218.60.56/~jnz1568/getInfo.php?workbook=02_02.xlsx&amp;sheet=U0&amp;row=592&amp;col=6&amp;number=4.5&amp;sourceID=28","4.5")</f>
        <v>4.5</v>
      </c>
      <c r="G592" s="4" t="str">
        <f>HYPERLINK("http://141.218.60.56/~jnz1568/getInfo.php?workbook=02_02.xlsx&amp;sheet=U0&amp;row=592&amp;col=7&amp;number=0.003585&amp;sourceID=1","0.003585")</f>
        <v>0.003585</v>
      </c>
      <c r="H592" s="4" t="str">
        <f>HYPERLINK("http://141.218.60.56/~jnz1568/getInfo.php?workbook=02_02.xlsx&amp;sheet=U0&amp;row=592&amp;col=8&amp;number=4.176&amp;sourceID=29","4.176")</f>
        <v>4.176</v>
      </c>
      <c r="I592" s="4" t="str">
        <f>HYPERLINK("http://141.218.60.56/~jnz1568/getInfo.php?workbook=02_02.xlsx&amp;sheet=U0&amp;row=592&amp;col=9&amp;number=0.004729&amp;sourceID=1","0.004729")</f>
        <v>0.004729</v>
      </c>
    </row>
    <row r="593" spans="1:9">
      <c r="A593" s="3"/>
      <c r="B593" s="3"/>
      <c r="C593" s="3"/>
      <c r="D593" s="3"/>
      <c r="E593" s="3">
        <v>5</v>
      </c>
      <c r="F593" s="4" t="str">
        <f>HYPERLINK("http://141.218.60.56/~jnz1568/getInfo.php?workbook=02_02.xlsx&amp;sheet=U0&amp;row=593&amp;col=6&amp;number=4.75&amp;sourceID=28","4.75")</f>
        <v>4.75</v>
      </c>
      <c r="G593" s="4" t="str">
        <f>HYPERLINK("http://141.218.60.56/~jnz1568/getInfo.php?workbook=02_02.xlsx&amp;sheet=U0&amp;row=593&amp;col=7&amp;number=0.004236&amp;sourceID=1","0.004236")</f>
        <v>0.004236</v>
      </c>
      <c r="H593" s="4" t="str">
        <f>HYPERLINK("http://141.218.60.56/~jnz1568/getInfo.php?workbook=02_02.xlsx&amp;sheet=U0&amp;row=593&amp;col=8&amp;number=4.301&amp;sourceID=29","4.301")</f>
        <v>4.301</v>
      </c>
      <c r="I593" s="4" t="str">
        <f>HYPERLINK("http://141.218.60.56/~jnz1568/getInfo.php?workbook=02_02.xlsx&amp;sheet=U0&amp;row=593&amp;col=9&amp;number=0.005625&amp;sourceID=1","0.005625")</f>
        <v>0.005625</v>
      </c>
    </row>
    <row r="594" spans="1:9">
      <c r="A594" s="3"/>
      <c r="B594" s="3"/>
      <c r="C594" s="3"/>
      <c r="D594" s="3"/>
      <c r="E594" s="3">
        <v>6</v>
      </c>
      <c r="F594" s="4" t="str">
        <f>HYPERLINK("http://141.218.60.56/~jnz1568/getInfo.php?workbook=02_02.xlsx&amp;sheet=U0&amp;row=594&amp;col=6&amp;number=5&amp;sourceID=28","5")</f>
        <v>5</v>
      </c>
      <c r="G594" s="4" t="str">
        <f>HYPERLINK("http://141.218.60.56/~jnz1568/getInfo.php?workbook=02_02.xlsx&amp;sheet=U0&amp;row=594&amp;col=7&amp;number=0.004796&amp;sourceID=1","0.004796")</f>
        <v>0.004796</v>
      </c>
      <c r="H594" s="4" t="str">
        <f>HYPERLINK("http://141.218.60.56/~jnz1568/getInfo.php?workbook=02_02.xlsx&amp;sheet=U0&amp;row=594&amp;col=8&amp;number=4.398&amp;sourceID=29","4.398")</f>
        <v>4.398</v>
      </c>
      <c r="I594" s="4" t="str">
        <f>HYPERLINK("http://141.218.60.56/~jnz1568/getInfo.php?workbook=02_02.xlsx&amp;sheet=U0&amp;row=594&amp;col=9&amp;number=0.006311&amp;sourceID=1","0.006311")</f>
        <v>0.006311</v>
      </c>
    </row>
    <row r="595" spans="1:9">
      <c r="A595" s="3"/>
      <c r="B595" s="3"/>
      <c r="C595" s="3"/>
      <c r="D595" s="3"/>
      <c r="E595" s="3">
        <v>7</v>
      </c>
      <c r="F595" s="4" t="str">
        <f>HYPERLINK("http://141.218.60.56/~jnz1568/getInfo.php?workbook=02_02.xlsx&amp;sheet=U0&amp;row=595&amp;col=6&amp;number=5.25&amp;sourceID=28","5.25")</f>
        <v>5.25</v>
      </c>
      <c r="G595" s="4" t="str">
        <f>HYPERLINK("http://141.218.60.56/~jnz1568/getInfo.php?workbook=02_02.xlsx&amp;sheet=U0&amp;row=595&amp;col=7&amp;number=0.005048&amp;sourceID=1","0.005048")</f>
        <v>0.005048</v>
      </c>
      <c r="H595" s="4" t="str">
        <f>HYPERLINK("http://141.218.60.56/~jnz1568/getInfo.php?workbook=02_02.xlsx&amp;sheet=U0&amp;row=595&amp;col=8&amp;number=4.477&amp;sourceID=29","4.477")</f>
        <v>4.477</v>
      </c>
      <c r="I595" s="4" t="str">
        <f>HYPERLINK("http://141.218.60.56/~jnz1568/getInfo.php?workbook=02_02.xlsx&amp;sheet=U0&amp;row=595&amp;col=9&amp;number=0.006798&amp;sourceID=1","0.006798")</f>
        <v>0.006798</v>
      </c>
    </row>
    <row r="596" spans="1:9">
      <c r="A596" s="3"/>
      <c r="B596" s="3"/>
      <c r="C596" s="3"/>
      <c r="D596" s="3"/>
      <c r="E596" s="3">
        <v>8</v>
      </c>
      <c r="F596" s="4" t="str">
        <f>HYPERLINK("http://141.218.60.56/~jnz1568/getInfo.php?workbook=02_02.xlsx&amp;sheet=U0&amp;row=596&amp;col=6&amp;number=5.5&amp;sourceID=28","5.5")</f>
        <v>5.5</v>
      </c>
      <c r="G596" s="4" t="str">
        <f>HYPERLINK("http://141.218.60.56/~jnz1568/getInfo.php?workbook=02_02.xlsx&amp;sheet=U0&amp;row=596&amp;col=7&amp;number=0.004832&amp;sourceID=1","0.004832")</f>
        <v>0.004832</v>
      </c>
      <c r="H596" s="4" t="str">
        <f>HYPERLINK("http://141.218.60.56/~jnz1568/getInfo.php?workbook=02_02.xlsx&amp;sheet=U0&amp;row=596&amp;col=8&amp;number=&amp;sourceID=29","")</f>
        <v/>
      </c>
      <c r="I596" s="4" t="str">
        <f>HYPERLINK("http://141.218.60.56/~jnz1568/getInfo.php?workbook=02_02.xlsx&amp;sheet=U0&amp;row=596&amp;col=9&amp;number=&amp;sourceID=1","")</f>
        <v/>
      </c>
    </row>
    <row r="597" spans="1:9">
      <c r="A597" s="3"/>
      <c r="B597" s="3"/>
      <c r="C597" s="3"/>
      <c r="D597" s="3"/>
      <c r="E597" s="3">
        <v>9</v>
      </c>
      <c r="F597" s="4" t="str">
        <f>HYPERLINK("http://141.218.60.56/~jnz1568/getInfo.php?workbook=02_02.xlsx&amp;sheet=U0&amp;row=597&amp;col=6&amp;number=5.75&amp;sourceID=28","5.75")</f>
        <v>5.75</v>
      </c>
      <c r="G597" s="4" t="str">
        <f>HYPERLINK("http://141.218.60.56/~jnz1568/getInfo.php?workbook=02_02.xlsx&amp;sheet=U0&amp;row=597&amp;col=7&amp;number=0.004169&amp;sourceID=1","0.004169")</f>
        <v>0.004169</v>
      </c>
      <c r="H597" s="4" t="str">
        <f>HYPERLINK("http://141.218.60.56/~jnz1568/getInfo.php?workbook=02_02.xlsx&amp;sheet=U0&amp;row=597&amp;col=8&amp;number=&amp;sourceID=29","")</f>
        <v/>
      </c>
      <c r="I597" s="4" t="str">
        <f>HYPERLINK("http://141.218.60.56/~jnz1568/getInfo.php?workbook=02_02.xlsx&amp;sheet=U0&amp;row=597&amp;col=9&amp;number=&amp;sourceID=1","")</f>
        <v/>
      </c>
    </row>
    <row r="598" spans="1:9">
      <c r="A598" s="3">
        <v>2</v>
      </c>
      <c r="B598" s="3">
        <v>2</v>
      </c>
      <c r="C598" s="3">
        <v>14</v>
      </c>
      <c r="D598" s="3">
        <v>2</v>
      </c>
      <c r="E598" s="3">
        <v>1</v>
      </c>
      <c r="F598" s="4" t="str">
        <f>HYPERLINK("http://141.218.60.56/~jnz1568/getInfo.php?workbook=02_02.xlsx&amp;sheet=U0&amp;row=598&amp;col=6&amp;number=3.75&amp;sourceID=28","3.75")</f>
        <v>3.75</v>
      </c>
      <c r="G598" s="4" t="str">
        <f>HYPERLINK("http://141.218.60.56/~jnz1568/getInfo.php?workbook=02_02.xlsx&amp;sheet=U0&amp;row=598&amp;col=7&amp;number=0.4476&amp;sourceID=1","0.4476")</f>
        <v>0.4476</v>
      </c>
      <c r="H598" s="4" t="str">
        <f>HYPERLINK("http://141.218.60.56/~jnz1568/getInfo.php?workbook=02_02.xlsx&amp;sheet=U0&amp;row=598&amp;col=8&amp;number=3.301&amp;sourceID=29","3.301")</f>
        <v>3.301</v>
      </c>
      <c r="I598" s="4" t="str">
        <f>HYPERLINK("http://141.218.60.56/~jnz1568/getInfo.php?workbook=02_02.xlsx&amp;sheet=U0&amp;row=598&amp;col=9&amp;number=0.6468&amp;sourceID=1","0.6468")</f>
        <v>0.6468</v>
      </c>
    </row>
    <row r="599" spans="1:9">
      <c r="A599" s="3"/>
      <c r="B599" s="3"/>
      <c r="C599" s="3"/>
      <c r="D599" s="3"/>
      <c r="E599" s="3">
        <v>2</v>
      </c>
      <c r="F599" s="4" t="str">
        <f>HYPERLINK("http://141.218.60.56/~jnz1568/getInfo.php?workbook=02_02.xlsx&amp;sheet=U0&amp;row=599&amp;col=6&amp;number=4&amp;sourceID=28","4")</f>
        <v>4</v>
      </c>
      <c r="G599" s="4" t="str">
        <f>HYPERLINK("http://141.218.60.56/~jnz1568/getInfo.php?workbook=02_02.xlsx&amp;sheet=U0&amp;row=599&amp;col=7&amp;number=0.4465&amp;sourceID=1","0.4465")</f>
        <v>0.4465</v>
      </c>
      <c r="H599" s="4" t="str">
        <f>HYPERLINK("http://141.218.60.56/~jnz1568/getInfo.php?workbook=02_02.xlsx&amp;sheet=U0&amp;row=599&amp;col=8&amp;number=3.699&amp;sourceID=29","3.699")</f>
        <v>3.699</v>
      </c>
      <c r="I599" s="4" t="str">
        <f>HYPERLINK("http://141.218.60.56/~jnz1568/getInfo.php?workbook=02_02.xlsx&amp;sheet=U0&amp;row=599&amp;col=9&amp;number=0.5767&amp;sourceID=1","0.5767")</f>
        <v>0.5767</v>
      </c>
    </row>
    <row r="600" spans="1:9">
      <c r="A600" s="3"/>
      <c r="B600" s="3"/>
      <c r="C600" s="3"/>
      <c r="D600" s="3"/>
      <c r="E600" s="3">
        <v>3</v>
      </c>
      <c r="F600" s="4" t="str">
        <f>HYPERLINK("http://141.218.60.56/~jnz1568/getInfo.php?workbook=02_02.xlsx&amp;sheet=U0&amp;row=600&amp;col=6&amp;number=4.25&amp;sourceID=28","4.25")</f>
        <v>4.25</v>
      </c>
      <c r="G600" s="4" t="str">
        <f>HYPERLINK("http://141.218.60.56/~jnz1568/getInfo.php?workbook=02_02.xlsx&amp;sheet=U0&amp;row=600&amp;col=7&amp;number=0.4476&amp;sourceID=1","0.4476")</f>
        <v>0.4476</v>
      </c>
      <c r="H600" s="4" t="str">
        <f>HYPERLINK("http://141.218.60.56/~jnz1568/getInfo.php?workbook=02_02.xlsx&amp;sheet=U0&amp;row=600&amp;col=8&amp;number=4&amp;sourceID=29","4")</f>
        <v>4</v>
      </c>
      <c r="I600" s="4" t="str">
        <f>HYPERLINK("http://141.218.60.56/~jnz1568/getInfo.php?workbook=02_02.xlsx&amp;sheet=U0&amp;row=600&amp;col=9&amp;number=0.6219&amp;sourceID=1","0.6219")</f>
        <v>0.6219</v>
      </c>
    </row>
    <row r="601" spans="1:9">
      <c r="A601" s="3"/>
      <c r="B601" s="3"/>
      <c r="C601" s="3"/>
      <c r="D601" s="3"/>
      <c r="E601" s="3">
        <v>4</v>
      </c>
      <c r="F601" s="4" t="str">
        <f>HYPERLINK("http://141.218.60.56/~jnz1568/getInfo.php?workbook=02_02.xlsx&amp;sheet=U0&amp;row=601&amp;col=6&amp;number=4.5&amp;sourceID=28","4.5")</f>
        <v>4.5</v>
      </c>
      <c r="G601" s="4" t="str">
        <f>HYPERLINK("http://141.218.60.56/~jnz1568/getInfo.php?workbook=02_02.xlsx&amp;sheet=U0&amp;row=601&amp;col=7&amp;number=0.4578&amp;sourceID=1","0.4578")</f>
        <v>0.4578</v>
      </c>
      <c r="H601" s="4" t="str">
        <f>HYPERLINK("http://141.218.60.56/~jnz1568/getInfo.php?workbook=02_02.xlsx&amp;sheet=U0&amp;row=601&amp;col=8&amp;number=4.176&amp;sourceID=29","4.176")</f>
        <v>4.176</v>
      </c>
      <c r="I601" s="4" t="str">
        <f>HYPERLINK("http://141.218.60.56/~jnz1568/getInfo.php?workbook=02_02.xlsx&amp;sheet=U0&amp;row=601&amp;col=9&amp;number=0.6954&amp;sourceID=1","0.6954")</f>
        <v>0.6954</v>
      </c>
    </row>
    <row r="602" spans="1:9">
      <c r="A602" s="3"/>
      <c r="B602" s="3"/>
      <c r="C602" s="3"/>
      <c r="D602" s="3"/>
      <c r="E602" s="3">
        <v>5</v>
      </c>
      <c r="F602" s="4" t="str">
        <f>HYPERLINK("http://141.218.60.56/~jnz1568/getInfo.php?workbook=02_02.xlsx&amp;sheet=U0&amp;row=602&amp;col=6&amp;number=4.75&amp;sourceID=28","4.75")</f>
        <v>4.75</v>
      </c>
      <c r="G602" s="4" t="str">
        <f>HYPERLINK("http://141.218.60.56/~jnz1568/getInfo.php?workbook=02_02.xlsx&amp;sheet=U0&amp;row=602&amp;col=7&amp;number=0.4938&amp;sourceID=1","0.4938")</f>
        <v>0.4938</v>
      </c>
      <c r="H602" s="4" t="str">
        <f>HYPERLINK("http://141.218.60.56/~jnz1568/getInfo.php?workbook=02_02.xlsx&amp;sheet=U0&amp;row=602&amp;col=8&amp;number=4.301&amp;sourceID=29","4.301")</f>
        <v>4.301</v>
      </c>
      <c r="I602" s="4" t="str">
        <f>HYPERLINK("http://141.218.60.56/~jnz1568/getInfo.php?workbook=02_02.xlsx&amp;sheet=U0&amp;row=602&amp;col=9&amp;number=0.7576&amp;sourceID=1","0.7576")</f>
        <v>0.7576</v>
      </c>
    </row>
    <row r="603" spans="1:9">
      <c r="A603" s="3"/>
      <c r="B603" s="3"/>
      <c r="C603" s="3"/>
      <c r="D603" s="3"/>
      <c r="E603" s="3">
        <v>6</v>
      </c>
      <c r="F603" s="4" t="str">
        <f>HYPERLINK("http://141.218.60.56/~jnz1568/getInfo.php?workbook=02_02.xlsx&amp;sheet=U0&amp;row=603&amp;col=6&amp;number=5&amp;sourceID=28","5")</f>
        <v>5</v>
      </c>
      <c r="G603" s="4" t="str">
        <f>HYPERLINK("http://141.218.60.56/~jnz1568/getInfo.php?workbook=02_02.xlsx&amp;sheet=U0&amp;row=603&amp;col=7&amp;number=0.5842&amp;sourceID=1","0.5842")</f>
        <v>0.5842</v>
      </c>
      <c r="H603" s="4" t="str">
        <f>HYPERLINK("http://141.218.60.56/~jnz1568/getInfo.php?workbook=02_02.xlsx&amp;sheet=U0&amp;row=603&amp;col=8&amp;number=4.398&amp;sourceID=29","4.398")</f>
        <v>4.398</v>
      </c>
      <c r="I603" s="4" t="str">
        <f>HYPERLINK("http://141.218.60.56/~jnz1568/getInfo.php?workbook=02_02.xlsx&amp;sheet=U0&amp;row=603&amp;col=9&amp;number=0.803&amp;sourceID=1","0.803")</f>
        <v>0.803</v>
      </c>
    </row>
    <row r="604" spans="1:9">
      <c r="A604" s="3"/>
      <c r="B604" s="3"/>
      <c r="C604" s="3"/>
      <c r="D604" s="3"/>
      <c r="E604" s="3">
        <v>7</v>
      </c>
      <c r="F604" s="4" t="str">
        <f>HYPERLINK("http://141.218.60.56/~jnz1568/getInfo.php?workbook=02_02.xlsx&amp;sheet=U0&amp;row=604&amp;col=6&amp;number=5.25&amp;sourceID=28","5.25")</f>
        <v>5.25</v>
      </c>
      <c r="G604" s="4" t="str">
        <f>HYPERLINK("http://141.218.60.56/~jnz1568/getInfo.php?workbook=02_02.xlsx&amp;sheet=U0&amp;row=604&amp;col=7&amp;number=0.7603&amp;sourceID=1","0.7603")</f>
        <v>0.7603</v>
      </c>
      <c r="H604" s="4" t="str">
        <f>HYPERLINK("http://141.218.60.56/~jnz1568/getInfo.php?workbook=02_02.xlsx&amp;sheet=U0&amp;row=604&amp;col=8&amp;number=4.477&amp;sourceID=29","4.477")</f>
        <v>4.477</v>
      </c>
      <c r="I604" s="4" t="str">
        <f>HYPERLINK("http://141.218.60.56/~jnz1568/getInfo.php?workbook=02_02.xlsx&amp;sheet=U0&amp;row=604&amp;col=9&amp;number=0.8331&amp;sourceID=1","0.8331")</f>
        <v>0.8331</v>
      </c>
    </row>
    <row r="605" spans="1:9">
      <c r="A605" s="3"/>
      <c r="B605" s="3"/>
      <c r="C605" s="3"/>
      <c r="D605" s="3"/>
      <c r="E605" s="3">
        <v>8</v>
      </c>
      <c r="F605" s="4" t="str">
        <f>HYPERLINK("http://141.218.60.56/~jnz1568/getInfo.php?workbook=02_02.xlsx&amp;sheet=U0&amp;row=605&amp;col=6&amp;number=5.5&amp;sourceID=28","5.5")</f>
        <v>5.5</v>
      </c>
      <c r="G605" s="4" t="str">
        <f>HYPERLINK("http://141.218.60.56/~jnz1568/getInfo.php?workbook=02_02.xlsx&amp;sheet=U0&amp;row=605&amp;col=7&amp;number=1.037&amp;sourceID=1","1.037")</f>
        <v>1.037</v>
      </c>
      <c r="H605" s="4" t="str">
        <f>HYPERLINK("http://141.218.60.56/~jnz1568/getInfo.php?workbook=02_02.xlsx&amp;sheet=U0&amp;row=605&amp;col=8&amp;number=&amp;sourceID=29","")</f>
        <v/>
      </c>
      <c r="I605" s="4" t="str">
        <f>HYPERLINK("http://141.218.60.56/~jnz1568/getInfo.php?workbook=02_02.xlsx&amp;sheet=U0&amp;row=605&amp;col=9&amp;number=&amp;sourceID=1","")</f>
        <v/>
      </c>
    </row>
    <row r="606" spans="1:9">
      <c r="A606" s="3"/>
      <c r="B606" s="3"/>
      <c r="C606" s="3"/>
      <c r="D606" s="3"/>
      <c r="E606" s="3">
        <v>9</v>
      </c>
      <c r="F606" s="4" t="str">
        <f>HYPERLINK("http://141.218.60.56/~jnz1568/getInfo.php?workbook=02_02.xlsx&amp;sheet=U0&amp;row=606&amp;col=6&amp;number=5.75&amp;sourceID=28","5.75")</f>
        <v>5.75</v>
      </c>
      <c r="G606" s="4" t="str">
        <f>HYPERLINK("http://141.218.60.56/~jnz1568/getInfo.php?workbook=02_02.xlsx&amp;sheet=U0&amp;row=606&amp;col=7&amp;number=1.408&amp;sourceID=1","1.408")</f>
        <v>1.408</v>
      </c>
      <c r="H606" s="4" t="str">
        <f>HYPERLINK("http://141.218.60.56/~jnz1568/getInfo.php?workbook=02_02.xlsx&amp;sheet=U0&amp;row=606&amp;col=8&amp;number=&amp;sourceID=29","")</f>
        <v/>
      </c>
      <c r="I606" s="4" t="str">
        <f>HYPERLINK("http://141.218.60.56/~jnz1568/getInfo.php?workbook=02_02.xlsx&amp;sheet=U0&amp;row=606&amp;col=9&amp;number=&amp;sourceID=1","")</f>
        <v/>
      </c>
    </row>
    <row r="607" spans="1:9">
      <c r="A607" s="3">
        <v>2</v>
      </c>
      <c r="B607" s="3">
        <v>2</v>
      </c>
      <c r="C607" s="3">
        <v>14</v>
      </c>
      <c r="D607" s="3">
        <v>3</v>
      </c>
      <c r="E607" s="3">
        <v>1</v>
      </c>
      <c r="F607" s="4" t="str">
        <f>HYPERLINK("http://141.218.60.56/~jnz1568/getInfo.php?workbook=02_02.xlsx&amp;sheet=U0&amp;row=607&amp;col=6&amp;number=3.75&amp;sourceID=28","3.75")</f>
        <v>3.75</v>
      </c>
      <c r="G607" s="4" t="str">
        <f>HYPERLINK("http://141.218.60.56/~jnz1568/getInfo.php?workbook=02_02.xlsx&amp;sheet=U0&amp;row=607&amp;col=7&amp;number=0.152&amp;sourceID=1","0.152")</f>
        <v>0.152</v>
      </c>
      <c r="H607" s="4" t="str">
        <f>HYPERLINK("http://141.218.60.56/~jnz1568/getInfo.php?workbook=02_02.xlsx&amp;sheet=U0&amp;row=607&amp;col=8&amp;number=3.301&amp;sourceID=29","3.301")</f>
        <v>3.301</v>
      </c>
      <c r="I607" s="4" t="str">
        <f>HYPERLINK("http://141.218.60.56/~jnz1568/getInfo.php?workbook=02_02.xlsx&amp;sheet=U0&amp;row=607&amp;col=9&amp;number=0.2278&amp;sourceID=1","0.2278")</f>
        <v>0.2278</v>
      </c>
    </row>
    <row r="608" spans="1:9">
      <c r="A608" s="3"/>
      <c r="B608" s="3"/>
      <c r="C608" s="3"/>
      <c r="D608" s="3"/>
      <c r="E608" s="3">
        <v>2</v>
      </c>
      <c r="F608" s="4" t="str">
        <f>HYPERLINK("http://141.218.60.56/~jnz1568/getInfo.php?workbook=02_02.xlsx&amp;sheet=U0&amp;row=608&amp;col=6&amp;number=4&amp;sourceID=28","4")</f>
        <v>4</v>
      </c>
      <c r="G608" s="4" t="str">
        <f>HYPERLINK("http://141.218.60.56/~jnz1568/getInfo.php?workbook=02_02.xlsx&amp;sheet=U0&amp;row=608&amp;col=7&amp;number=0.1437&amp;sourceID=1","0.1437")</f>
        <v>0.1437</v>
      </c>
      <c r="H608" s="4" t="str">
        <f>HYPERLINK("http://141.218.60.56/~jnz1568/getInfo.php?workbook=02_02.xlsx&amp;sheet=U0&amp;row=608&amp;col=8&amp;number=3.699&amp;sourceID=29","3.699")</f>
        <v>3.699</v>
      </c>
      <c r="I608" s="4" t="str">
        <f>HYPERLINK("http://141.218.60.56/~jnz1568/getInfo.php?workbook=02_02.xlsx&amp;sheet=U0&amp;row=608&amp;col=9&amp;number=0.1955&amp;sourceID=1","0.1955")</f>
        <v>0.1955</v>
      </c>
    </row>
    <row r="609" spans="1:9">
      <c r="A609" s="3"/>
      <c r="B609" s="3"/>
      <c r="C609" s="3"/>
      <c r="D609" s="3"/>
      <c r="E609" s="3">
        <v>3</v>
      </c>
      <c r="F609" s="4" t="str">
        <f>HYPERLINK("http://141.218.60.56/~jnz1568/getInfo.php?workbook=02_02.xlsx&amp;sheet=U0&amp;row=609&amp;col=6&amp;number=4.25&amp;sourceID=28","4.25")</f>
        <v>4.25</v>
      </c>
      <c r="G609" s="4" t="str">
        <f>HYPERLINK("http://141.218.60.56/~jnz1568/getInfo.php?workbook=02_02.xlsx&amp;sheet=U0&amp;row=609&amp;col=7&amp;number=0.1273&amp;sourceID=1","0.1273")</f>
        <v>0.1273</v>
      </c>
      <c r="H609" s="4" t="str">
        <f>HYPERLINK("http://141.218.60.56/~jnz1568/getInfo.php?workbook=02_02.xlsx&amp;sheet=U0&amp;row=609&amp;col=8&amp;number=4&amp;sourceID=29","4")</f>
        <v>4</v>
      </c>
      <c r="I609" s="4" t="str">
        <f>HYPERLINK("http://141.218.60.56/~jnz1568/getInfo.php?workbook=02_02.xlsx&amp;sheet=U0&amp;row=609&amp;col=9&amp;number=0.1862&amp;sourceID=1","0.1862")</f>
        <v>0.1862</v>
      </c>
    </row>
    <row r="610" spans="1:9">
      <c r="A610" s="3"/>
      <c r="B610" s="3"/>
      <c r="C610" s="3"/>
      <c r="D610" s="3"/>
      <c r="E610" s="3">
        <v>4</v>
      </c>
      <c r="F610" s="4" t="str">
        <f>HYPERLINK("http://141.218.60.56/~jnz1568/getInfo.php?workbook=02_02.xlsx&amp;sheet=U0&amp;row=610&amp;col=6&amp;number=4.5&amp;sourceID=28","4.5")</f>
        <v>4.5</v>
      </c>
      <c r="G610" s="4" t="str">
        <f>HYPERLINK("http://141.218.60.56/~jnz1568/getInfo.php?workbook=02_02.xlsx&amp;sheet=U0&amp;row=610&amp;col=7&amp;number=0.1053&amp;sourceID=1","0.1053")</f>
        <v>0.1053</v>
      </c>
      <c r="H610" s="4" t="str">
        <f>HYPERLINK("http://141.218.60.56/~jnz1568/getInfo.php?workbook=02_02.xlsx&amp;sheet=U0&amp;row=610&amp;col=8&amp;number=4.176&amp;sourceID=29","4.176")</f>
        <v>4.176</v>
      </c>
      <c r="I610" s="4" t="str">
        <f>HYPERLINK("http://141.218.60.56/~jnz1568/getInfo.php?workbook=02_02.xlsx&amp;sheet=U0&amp;row=610&amp;col=9&amp;number=0.1838&amp;sourceID=1","0.1838")</f>
        <v>0.1838</v>
      </c>
    </row>
    <row r="611" spans="1:9">
      <c r="A611" s="3"/>
      <c r="B611" s="3"/>
      <c r="C611" s="3"/>
      <c r="D611" s="3"/>
      <c r="E611" s="3">
        <v>5</v>
      </c>
      <c r="F611" s="4" t="str">
        <f>HYPERLINK("http://141.218.60.56/~jnz1568/getInfo.php?workbook=02_02.xlsx&amp;sheet=U0&amp;row=611&amp;col=6&amp;number=4.75&amp;sourceID=28","4.75")</f>
        <v>4.75</v>
      </c>
      <c r="G611" s="4" t="str">
        <f>HYPERLINK("http://141.218.60.56/~jnz1568/getInfo.php?workbook=02_02.xlsx&amp;sheet=U0&amp;row=611&amp;col=7&amp;number=0.08195&amp;sourceID=1","0.08195")</f>
        <v>0.08195</v>
      </c>
      <c r="H611" s="4" t="str">
        <f>HYPERLINK("http://141.218.60.56/~jnz1568/getInfo.php?workbook=02_02.xlsx&amp;sheet=U0&amp;row=611&amp;col=8&amp;number=4.301&amp;sourceID=29","4.301")</f>
        <v>4.301</v>
      </c>
      <c r="I611" s="4" t="str">
        <f>HYPERLINK("http://141.218.60.56/~jnz1568/getInfo.php?workbook=02_02.xlsx&amp;sheet=U0&amp;row=611&amp;col=9&amp;number=0.1803&amp;sourceID=1","0.1803")</f>
        <v>0.1803</v>
      </c>
    </row>
    <row r="612" spans="1:9">
      <c r="A612" s="3"/>
      <c r="B612" s="3"/>
      <c r="C612" s="3"/>
      <c r="D612" s="3"/>
      <c r="E612" s="3">
        <v>6</v>
      </c>
      <c r="F612" s="4" t="str">
        <f>HYPERLINK("http://141.218.60.56/~jnz1568/getInfo.php?workbook=02_02.xlsx&amp;sheet=U0&amp;row=612&amp;col=6&amp;number=5&amp;sourceID=28","5")</f>
        <v>5</v>
      </c>
      <c r="G612" s="4" t="str">
        <f>HYPERLINK("http://141.218.60.56/~jnz1568/getInfo.php?workbook=02_02.xlsx&amp;sheet=U0&amp;row=612&amp;col=7&amp;number=0.06048&amp;sourceID=1","0.06048")</f>
        <v>0.06048</v>
      </c>
      <c r="H612" s="4" t="str">
        <f>HYPERLINK("http://141.218.60.56/~jnz1568/getInfo.php?workbook=02_02.xlsx&amp;sheet=U0&amp;row=612&amp;col=8&amp;number=4.398&amp;sourceID=29","4.398")</f>
        <v>4.398</v>
      </c>
      <c r="I612" s="4" t="str">
        <f>HYPERLINK("http://141.218.60.56/~jnz1568/getInfo.php?workbook=02_02.xlsx&amp;sheet=U0&amp;row=612&amp;col=9&amp;number=0.1755&amp;sourceID=1","0.1755")</f>
        <v>0.1755</v>
      </c>
    </row>
    <row r="613" spans="1:9">
      <c r="A613" s="3"/>
      <c r="B613" s="3"/>
      <c r="C613" s="3"/>
      <c r="D613" s="3"/>
      <c r="E613" s="3">
        <v>7</v>
      </c>
      <c r="F613" s="4" t="str">
        <f>HYPERLINK("http://141.218.60.56/~jnz1568/getInfo.php?workbook=02_02.xlsx&amp;sheet=U0&amp;row=613&amp;col=6&amp;number=5.25&amp;sourceID=28","5.25")</f>
        <v>5.25</v>
      </c>
      <c r="G613" s="4" t="str">
        <f>HYPERLINK("http://141.218.60.56/~jnz1568/getInfo.php?workbook=02_02.xlsx&amp;sheet=U0&amp;row=613&amp;col=7&amp;number=0.04251&amp;sourceID=1","0.04251")</f>
        <v>0.04251</v>
      </c>
      <c r="H613" s="4" t="str">
        <f>HYPERLINK("http://141.218.60.56/~jnz1568/getInfo.php?workbook=02_02.xlsx&amp;sheet=U0&amp;row=613&amp;col=8&amp;number=4.477&amp;sourceID=29","4.477")</f>
        <v>4.477</v>
      </c>
      <c r="I613" s="4" t="str">
        <f>HYPERLINK("http://141.218.60.56/~jnz1568/getInfo.php?workbook=02_02.xlsx&amp;sheet=U0&amp;row=613&amp;col=9&amp;number=0.1698&amp;sourceID=1","0.1698")</f>
        <v>0.1698</v>
      </c>
    </row>
    <row r="614" spans="1:9">
      <c r="A614" s="3"/>
      <c r="B614" s="3"/>
      <c r="C614" s="3"/>
      <c r="D614" s="3"/>
      <c r="E614" s="3">
        <v>8</v>
      </c>
      <c r="F614" s="4" t="str">
        <f>HYPERLINK("http://141.218.60.56/~jnz1568/getInfo.php?workbook=02_02.xlsx&amp;sheet=U0&amp;row=614&amp;col=6&amp;number=5.5&amp;sourceID=28","5.5")</f>
        <v>5.5</v>
      </c>
      <c r="G614" s="4" t="str">
        <f>HYPERLINK("http://141.218.60.56/~jnz1568/getInfo.php?workbook=02_02.xlsx&amp;sheet=U0&amp;row=614&amp;col=7&amp;number=0.0285&amp;sourceID=1","0.0285")</f>
        <v>0.0285</v>
      </c>
      <c r="H614" s="4" t="str">
        <f>HYPERLINK("http://141.218.60.56/~jnz1568/getInfo.php?workbook=02_02.xlsx&amp;sheet=U0&amp;row=614&amp;col=8&amp;number=&amp;sourceID=29","")</f>
        <v/>
      </c>
      <c r="I614" s="4" t="str">
        <f>HYPERLINK("http://141.218.60.56/~jnz1568/getInfo.php?workbook=02_02.xlsx&amp;sheet=U0&amp;row=614&amp;col=9&amp;number=&amp;sourceID=1","")</f>
        <v/>
      </c>
    </row>
    <row r="615" spans="1:9">
      <c r="A615" s="3"/>
      <c r="B615" s="3"/>
      <c r="C615" s="3"/>
      <c r="D615" s="3"/>
      <c r="E615" s="3">
        <v>9</v>
      </c>
      <c r="F615" s="4" t="str">
        <f>HYPERLINK("http://141.218.60.56/~jnz1568/getInfo.php?workbook=02_02.xlsx&amp;sheet=U0&amp;row=615&amp;col=6&amp;number=5.75&amp;sourceID=28","5.75")</f>
        <v>5.75</v>
      </c>
      <c r="G615" s="4" t="str">
        <f>HYPERLINK("http://141.218.60.56/~jnz1568/getInfo.php?workbook=02_02.xlsx&amp;sheet=U0&amp;row=615&amp;col=7&amp;number=0.01829&amp;sourceID=1","0.01829")</f>
        <v>0.01829</v>
      </c>
      <c r="H615" s="4" t="str">
        <f>HYPERLINK("http://141.218.60.56/~jnz1568/getInfo.php?workbook=02_02.xlsx&amp;sheet=U0&amp;row=615&amp;col=8&amp;number=&amp;sourceID=29","")</f>
        <v/>
      </c>
      <c r="I615" s="4" t="str">
        <f>HYPERLINK("http://141.218.60.56/~jnz1568/getInfo.php?workbook=02_02.xlsx&amp;sheet=U0&amp;row=615&amp;col=9&amp;number=&amp;sourceID=1","")</f>
        <v/>
      </c>
    </row>
    <row r="616" spans="1:9">
      <c r="A616" s="3">
        <v>2</v>
      </c>
      <c r="B616" s="3">
        <v>2</v>
      </c>
      <c r="C616" s="3">
        <v>14</v>
      </c>
      <c r="D616" s="3">
        <v>4</v>
      </c>
      <c r="E616" s="3">
        <v>1</v>
      </c>
      <c r="F616" s="4" t="str">
        <f>HYPERLINK("http://141.218.60.56/~jnz1568/getInfo.php?workbook=02_02.xlsx&amp;sheet=U0&amp;row=616&amp;col=6&amp;number=3.75&amp;sourceID=28","3.75")</f>
        <v>3.75</v>
      </c>
      <c r="G616" s="4" t="str">
        <f>HYPERLINK("http://141.218.60.56/~jnz1568/getInfo.php?workbook=02_02.xlsx&amp;sheet=U0&amp;row=616&amp;col=7&amp;number=3.34&amp;sourceID=1","3.34")</f>
        <v>3.34</v>
      </c>
      <c r="H616" s="4" t="str">
        <f>HYPERLINK("http://141.218.60.56/~jnz1568/getInfo.php?workbook=02_02.xlsx&amp;sheet=U0&amp;row=616&amp;col=8&amp;number=3.301&amp;sourceID=29","3.301")</f>
        <v>3.301</v>
      </c>
      <c r="I616" s="4" t="str">
        <f>HYPERLINK("http://141.218.60.56/~jnz1568/getInfo.php?workbook=02_02.xlsx&amp;sheet=U0&amp;row=616&amp;col=9&amp;number=2.328&amp;sourceID=1","2.328")</f>
        <v>2.328</v>
      </c>
    </row>
    <row r="617" spans="1:9">
      <c r="A617" s="3"/>
      <c r="B617" s="3"/>
      <c r="C617" s="3"/>
      <c r="D617" s="3"/>
      <c r="E617" s="3">
        <v>2</v>
      </c>
      <c r="F617" s="4" t="str">
        <f>HYPERLINK("http://141.218.60.56/~jnz1568/getInfo.php?workbook=02_02.xlsx&amp;sheet=U0&amp;row=617&amp;col=6&amp;number=4&amp;sourceID=28","4")</f>
        <v>4</v>
      </c>
      <c r="G617" s="4" t="str">
        <f>HYPERLINK("http://141.218.60.56/~jnz1568/getInfo.php?workbook=02_02.xlsx&amp;sheet=U0&amp;row=617&amp;col=7&amp;number=3.265&amp;sourceID=1","3.265")</f>
        <v>3.265</v>
      </c>
      <c r="H617" s="4" t="str">
        <f>HYPERLINK("http://141.218.60.56/~jnz1568/getInfo.php?workbook=02_02.xlsx&amp;sheet=U0&amp;row=617&amp;col=8&amp;number=3.699&amp;sourceID=29","3.699")</f>
        <v>3.699</v>
      </c>
      <c r="I617" s="4" t="str">
        <f>HYPERLINK("http://141.218.60.56/~jnz1568/getInfo.php?workbook=02_02.xlsx&amp;sheet=U0&amp;row=617&amp;col=9&amp;number=2.261&amp;sourceID=1","2.261")</f>
        <v>2.261</v>
      </c>
    </row>
    <row r="618" spans="1:9">
      <c r="A618" s="3"/>
      <c r="B618" s="3"/>
      <c r="C618" s="3"/>
      <c r="D618" s="3"/>
      <c r="E618" s="3">
        <v>3</v>
      </c>
      <c r="F618" s="4" t="str">
        <f>HYPERLINK("http://141.218.60.56/~jnz1568/getInfo.php?workbook=02_02.xlsx&amp;sheet=U0&amp;row=618&amp;col=6&amp;number=4.25&amp;sourceID=28","4.25")</f>
        <v>4.25</v>
      </c>
      <c r="G618" s="4" t="str">
        <f>HYPERLINK("http://141.218.60.56/~jnz1568/getInfo.php?workbook=02_02.xlsx&amp;sheet=U0&amp;row=618&amp;col=7&amp;number=3.278&amp;sourceID=1","3.278")</f>
        <v>3.278</v>
      </c>
      <c r="H618" s="4" t="str">
        <f>HYPERLINK("http://141.218.60.56/~jnz1568/getInfo.php?workbook=02_02.xlsx&amp;sheet=U0&amp;row=618&amp;col=8&amp;number=4&amp;sourceID=29","4")</f>
        <v>4</v>
      </c>
      <c r="I618" s="4" t="str">
        <f>HYPERLINK("http://141.218.60.56/~jnz1568/getInfo.php?workbook=02_02.xlsx&amp;sheet=U0&amp;row=618&amp;col=9&amp;number=2.806&amp;sourceID=1","2.806")</f>
        <v>2.806</v>
      </c>
    </row>
    <row r="619" spans="1:9">
      <c r="A619" s="3"/>
      <c r="B619" s="3"/>
      <c r="C619" s="3"/>
      <c r="D619" s="3"/>
      <c r="E619" s="3">
        <v>4</v>
      </c>
      <c r="F619" s="4" t="str">
        <f>HYPERLINK("http://141.218.60.56/~jnz1568/getInfo.php?workbook=02_02.xlsx&amp;sheet=U0&amp;row=619&amp;col=6&amp;number=4.5&amp;sourceID=28","4.5")</f>
        <v>4.5</v>
      </c>
      <c r="G619" s="4" t="str">
        <f>HYPERLINK("http://141.218.60.56/~jnz1568/getInfo.php?workbook=02_02.xlsx&amp;sheet=U0&amp;row=619&amp;col=7&amp;number=3.471&amp;sourceID=1","3.471")</f>
        <v>3.471</v>
      </c>
      <c r="H619" s="4" t="str">
        <f>HYPERLINK("http://141.218.60.56/~jnz1568/getInfo.php?workbook=02_02.xlsx&amp;sheet=U0&amp;row=619&amp;col=8&amp;number=4.176&amp;sourceID=29","4.176")</f>
        <v>4.176</v>
      </c>
      <c r="I619" s="4" t="str">
        <f>HYPERLINK("http://141.218.60.56/~jnz1568/getInfo.php?workbook=02_02.xlsx&amp;sheet=U0&amp;row=619&amp;col=9&amp;number=3.474&amp;sourceID=1","3.474")</f>
        <v>3.474</v>
      </c>
    </row>
    <row r="620" spans="1:9">
      <c r="A620" s="3"/>
      <c r="B620" s="3"/>
      <c r="C620" s="3"/>
      <c r="D620" s="3"/>
      <c r="E620" s="3">
        <v>5</v>
      </c>
      <c r="F620" s="4" t="str">
        <f>HYPERLINK("http://141.218.60.56/~jnz1568/getInfo.php?workbook=02_02.xlsx&amp;sheet=U0&amp;row=620&amp;col=6&amp;number=4.75&amp;sourceID=28","4.75")</f>
        <v>4.75</v>
      </c>
      <c r="G620" s="4" t="str">
        <f>HYPERLINK("http://141.218.60.56/~jnz1568/getInfo.php?workbook=02_02.xlsx&amp;sheet=U0&amp;row=620&amp;col=7&amp;number=3.912&amp;sourceID=1","3.912")</f>
        <v>3.912</v>
      </c>
      <c r="H620" s="4" t="str">
        <f>HYPERLINK("http://141.218.60.56/~jnz1568/getInfo.php?workbook=02_02.xlsx&amp;sheet=U0&amp;row=620&amp;col=8&amp;number=4.301&amp;sourceID=29","4.301")</f>
        <v>4.301</v>
      </c>
      <c r="I620" s="4" t="str">
        <f>HYPERLINK("http://141.218.60.56/~jnz1568/getInfo.php?workbook=02_02.xlsx&amp;sheet=U0&amp;row=620&amp;col=9&amp;number=4.053&amp;sourceID=1","4.053")</f>
        <v>4.053</v>
      </c>
    </row>
    <row r="621" spans="1:9">
      <c r="A621" s="3"/>
      <c r="B621" s="3"/>
      <c r="C621" s="3"/>
      <c r="D621" s="3"/>
      <c r="E621" s="3">
        <v>6</v>
      </c>
      <c r="F621" s="4" t="str">
        <f>HYPERLINK("http://141.218.60.56/~jnz1568/getInfo.php?workbook=02_02.xlsx&amp;sheet=U0&amp;row=621&amp;col=6&amp;number=5&amp;sourceID=28","5")</f>
        <v>5</v>
      </c>
      <c r="G621" s="4" t="str">
        <f>HYPERLINK("http://141.218.60.56/~jnz1568/getInfo.php?workbook=02_02.xlsx&amp;sheet=U0&amp;row=621&amp;col=7&amp;number=4.586&amp;sourceID=1","4.586")</f>
        <v>4.586</v>
      </c>
      <c r="H621" s="4" t="str">
        <f>HYPERLINK("http://141.218.60.56/~jnz1568/getInfo.php?workbook=02_02.xlsx&amp;sheet=U0&amp;row=621&amp;col=8&amp;number=4.398&amp;sourceID=29","4.398")</f>
        <v>4.398</v>
      </c>
      <c r="I621" s="4" t="str">
        <f>HYPERLINK("http://141.218.60.56/~jnz1568/getInfo.php?workbook=02_02.xlsx&amp;sheet=U0&amp;row=621&amp;col=9&amp;number=4.504&amp;sourceID=1","4.504")</f>
        <v>4.504</v>
      </c>
    </row>
    <row r="622" spans="1:9">
      <c r="A622" s="3"/>
      <c r="B622" s="3"/>
      <c r="C622" s="3"/>
      <c r="D622" s="3"/>
      <c r="E622" s="3">
        <v>7</v>
      </c>
      <c r="F622" s="4" t="str">
        <f>HYPERLINK("http://141.218.60.56/~jnz1568/getInfo.php?workbook=02_02.xlsx&amp;sheet=U0&amp;row=622&amp;col=6&amp;number=5.25&amp;sourceID=28","5.25")</f>
        <v>5.25</v>
      </c>
      <c r="G622" s="4" t="str">
        <f>HYPERLINK("http://141.218.60.56/~jnz1568/getInfo.php?workbook=02_02.xlsx&amp;sheet=U0&amp;row=622&amp;col=7&amp;number=5.404&amp;sourceID=1","5.404")</f>
        <v>5.404</v>
      </c>
      <c r="H622" s="4" t="str">
        <f>HYPERLINK("http://141.218.60.56/~jnz1568/getInfo.php?workbook=02_02.xlsx&amp;sheet=U0&amp;row=622&amp;col=8&amp;number=4.477&amp;sourceID=29","4.477")</f>
        <v>4.477</v>
      </c>
      <c r="I622" s="4" t="str">
        <f>HYPERLINK("http://141.218.60.56/~jnz1568/getInfo.php?workbook=02_02.xlsx&amp;sheet=U0&amp;row=622&amp;col=9&amp;number=4.833&amp;sourceID=1","4.833")</f>
        <v>4.833</v>
      </c>
    </row>
    <row r="623" spans="1:9">
      <c r="A623" s="3"/>
      <c r="B623" s="3"/>
      <c r="C623" s="3"/>
      <c r="D623" s="3"/>
      <c r="E623" s="3">
        <v>8</v>
      </c>
      <c r="F623" s="4" t="str">
        <f>HYPERLINK("http://141.218.60.56/~jnz1568/getInfo.php?workbook=02_02.xlsx&amp;sheet=U0&amp;row=623&amp;col=6&amp;number=5.5&amp;sourceID=28","5.5")</f>
        <v>5.5</v>
      </c>
      <c r="G623" s="4" t="str">
        <f>HYPERLINK("http://141.218.60.56/~jnz1568/getInfo.php?workbook=02_02.xlsx&amp;sheet=U0&amp;row=623&amp;col=7&amp;number=6.24&amp;sourceID=1","6.24")</f>
        <v>6.24</v>
      </c>
      <c r="H623" s="4" t="str">
        <f>HYPERLINK("http://141.218.60.56/~jnz1568/getInfo.php?workbook=02_02.xlsx&amp;sheet=U0&amp;row=623&amp;col=8&amp;number=&amp;sourceID=29","")</f>
        <v/>
      </c>
      <c r="I623" s="4" t="str">
        <f>HYPERLINK("http://141.218.60.56/~jnz1568/getInfo.php?workbook=02_02.xlsx&amp;sheet=U0&amp;row=623&amp;col=9&amp;number=&amp;sourceID=1","")</f>
        <v/>
      </c>
    </row>
    <row r="624" spans="1:9">
      <c r="A624" s="3"/>
      <c r="B624" s="3"/>
      <c r="C624" s="3"/>
      <c r="D624" s="3"/>
      <c r="E624" s="3">
        <v>9</v>
      </c>
      <c r="F624" s="4" t="str">
        <f>HYPERLINK("http://141.218.60.56/~jnz1568/getInfo.php?workbook=02_02.xlsx&amp;sheet=U0&amp;row=624&amp;col=6&amp;number=5.75&amp;sourceID=28","5.75")</f>
        <v>5.75</v>
      </c>
      <c r="G624" s="4" t="str">
        <f>HYPERLINK("http://141.218.60.56/~jnz1568/getInfo.php?workbook=02_02.xlsx&amp;sheet=U0&amp;row=624&amp;col=7&amp;number=6.988&amp;sourceID=1","6.988")</f>
        <v>6.988</v>
      </c>
      <c r="H624" s="4" t="str">
        <f>HYPERLINK("http://141.218.60.56/~jnz1568/getInfo.php?workbook=02_02.xlsx&amp;sheet=U0&amp;row=624&amp;col=8&amp;number=&amp;sourceID=29","")</f>
        <v/>
      </c>
      <c r="I624" s="4" t="str">
        <f>HYPERLINK("http://141.218.60.56/~jnz1568/getInfo.php?workbook=02_02.xlsx&amp;sheet=U0&amp;row=624&amp;col=9&amp;number=&amp;sourceID=1","")</f>
        <v/>
      </c>
    </row>
    <row r="625" spans="1:9">
      <c r="A625" s="3">
        <v>2</v>
      </c>
      <c r="B625" s="3">
        <v>2</v>
      </c>
      <c r="C625" s="3">
        <v>14</v>
      </c>
      <c r="D625" s="3">
        <v>5</v>
      </c>
      <c r="E625" s="3">
        <v>1</v>
      </c>
      <c r="F625" s="4" t="str">
        <f>HYPERLINK("http://141.218.60.56/~jnz1568/getInfo.php?workbook=02_02.xlsx&amp;sheet=U0&amp;row=625&amp;col=6&amp;number=&amp;sourceID=28","")</f>
        <v/>
      </c>
      <c r="G625" s="4" t="str">
        <f>HYPERLINK("http://141.218.60.56/~jnz1568/getInfo.php?workbook=02_02.xlsx&amp;sheet=U0&amp;row=625&amp;col=7&amp;number=&amp;sourceID=1","")</f>
        <v/>
      </c>
      <c r="H625" s="4" t="str">
        <f>HYPERLINK("http://141.218.60.56/~jnz1568/getInfo.php?workbook=02_02.xlsx&amp;sheet=U0&amp;row=625&amp;col=8&amp;number=3.301&amp;sourceID=29","3.301")</f>
        <v>3.301</v>
      </c>
      <c r="I625" s="4" t="str">
        <f>HYPERLINK("http://141.218.60.56/~jnz1568/getInfo.php?workbook=02_02.xlsx&amp;sheet=U0&amp;row=625&amp;col=9&amp;number=0.4804&amp;sourceID=1","0.4804")</f>
        <v>0.4804</v>
      </c>
    </row>
    <row r="626" spans="1:9">
      <c r="A626" s="3"/>
      <c r="B626" s="3"/>
      <c r="C626" s="3"/>
      <c r="D626" s="3"/>
      <c r="E626" s="3">
        <v>2</v>
      </c>
      <c r="F626" s="4" t="str">
        <f>HYPERLINK("http://141.218.60.56/~jnz1568/getInfo.php?workbook=02_02.xlsx&amp;sheet=U0&amp;row=626&amp;col=6&amp;number=&amp;sourceID=28","")</f>
        <v/>
      </c>
      <c r="G626" s="4" t="str">
        <f>HYPERLINK("http://141.218.60.56/~jnz1568/getInfo.php?workbook=02_02.xlsx&amp;sheet=U0&amp;row=626&amp;col=7&amp;number=&amp;sourceID=1","")</f>
        <v/>
      </c>
      <c r="H626" s="4" t="str">
        <f>HYPERLINK("http://141.218.60.56/~jnz1568/getInfo.php?workbook=02_02.xlsx&amp;sheet=U0&amp;row=626&amp;col=8&amp;number=3.699&amp;sourceID=29","3.699")</f>
        <v>3.699</v>
      </c>
      <c r="I626" s="4" t="str">
        <f>HYPERLINK("http://141.218.60.56/~jnz1568/getInfo.php?workbook=02_02.xlsx&amp;sheet=U0&amp;row=626&amp;col=9&amp;number=0.4267&amp;sourceID=1","0.4267")</f>
        <v>0.4267</v>
      </c>
    </row>
    <row r="627" spans="1:9">
      <c r="A627" s="3"/>
      <c r="B627" s="3"/>
      <c r="C627" s="3"/>
      <c r="D627" s="3"/>
      <c r="E627" s="3">
        <v>3</v>
      </c>
      <c r="F627" s="4" t="str">
        <f>HYPERLINK("http://141.218.60.56/~jnz1568/getInfo.php?workbook=02_02.xlsx&amp;sheet=U0&amp;row=627&amp;col=6&amp;number=&amp;sourceID=28","")</f>
        <v/>
      </c>
      <c r="G627" s="4" t="str">
        <f>HYPERLINK("http://141.218.60.56/~jnz1568/getInfo.php?workbook=02_02.xlsx&amp;sheet=U0&amp;row=627&amp;col=7&amp;number=&amp;sourceID=1","")</f>
        <v/>
      </c>
      <c r="H627" s="4" t="str">
        <f>HYPERLINK("http://141.218.60.56/~jnz1568/getInfo.php?workbook=02_02.xlsx&amp;sheet=U0&amp;row=627&amp;col=8&amp;number=4&amp;sourceID=29","4")</f>
        <v>4</v>
      </c>
      <c r="I627" s="4" t="str">
        <f>HYPERLINK("http://141.218.60.56/~jnz1568/getInfo.php?workbook=02_02.xlsx&amp;sheet=U0&amp;row=627&amp;col=9&amp;number=0.4153&amp;sourceID=1","0.4153")</f>
        <v>0.4153</v>
      </c>
    </row>
    <row r="628" spans="1:9">
      <c r="A628" s="3"/>
      <c r="B628" s="3"/>
      <c r="C628" s="3"/>
      <c r="D628" s="3"/>
      <c r="E628" s="3">
        <v>4</v>
      </c>
      <c r="F628" s="4" t="str">
        <f>HYPERLINK("http://141.218.60.56/~jnz1568/getInfo.php?workbook=02_02.xlsx&amp;sheet=U0&amp;row=628&amp;col=6&amp;number=&amp;sourceID=28","")</f>
        <v/>
      </c>
      <c r="G628" s="4" t="str">
        <f>HYPERLINK("http://141.218.60.56/~jnz1568/getInfo.php?workbook=02_02.xlsx&amp;sheet=U0&amp;row=628&amp;col=7&amp;number=&amp;sourceID=1","")</f>
        <v/>
      </c>
      <c r="H628" s="4" t="str">
        <f>HYPERLINK("http://141.218.60.56/~jnz1568/getInfo.php?workbook=02_02.xlsx&amp;sheet=U0&amp;row=628&amp;col=8&amp;number=4.176&amp;sourceID=29","4.176")</f>
        <v>4.176</v>
      </c>
      <c r="I628" s="4" t="str">
        <f>HYPERLINK("http://141.218.60.56/~jnz1568/getInfo.php?workbook=02_02.xlsx&amp;sheet=U0&amp;row=628&amp;col=9&amp;number=0.4192&amp;sourceID=1","0.4192")</f>
        <v>0.4192</v>
      </c>
    </row>
    <row r="629" spans="1:9">
      <c r="A629" s="3"/>
      <c r="B629" s="3"/>
      <c r="C629" s="3"/>
      <c r="D629" s="3"/>
      <c r="E629" s="3">
        <v>5</v>
      </c>
      <c r="F629" s="4" t="str">
        <f>HYPERLINK("http://141.218.60.56/~jnz1568/getInfo.php?workbook=02_02.xlsx&amp;sheet=U0&amp;row=629&amp;col=6&amp;number=&amp;sourceID=28","")</f>
        <v/>
      </c>
      <c r="G629" s="4" t="str">
        <f>HYPERLINK("http://141.218.60.56/~jnz1568/getInfo.php?workbook=02_02.xlsx&amp;sheet=U0&amp;row=629&amp;col=7&amp;number=&amp;sourceID=1","")</f>
        <v/>
      </c>
      <c r="H629" s="4" t="str">
        <f>HYPERLINK("http://141.218.60.56/~jnz1568/getInfo.php?workbook=02_02.xlsx&amp;sheet=U0&amp;row=629&amp;col=8&amp;number=4.301&amp;sourceID=29","4.301")</f>
        <v>4.301</v>
      </c>
      <c r="I629" s="4" t="str">
        <f>HYPERLINK("http://141.218.60.56/~jnz1568/getInfo.php?workbook=02_02.xlsx&amp;sheet=U0&amp;row=629&amp;col=9&amp;number=0.4196&amp;sourceID=1","0.4196")</f>
        <v>0.4196</v>
      </c>
    </row>
    <row r="630" spans="1:9">
      <c r="A630" s="3"/>
      <c r="B630" s="3"/>
      <c r="C630" s="3"/>
      <c r="D630" s="3"/>
      <c r="E630" s="3">
        <v>6</v>
      </c>
      <c r="F630" s="4" t="str">
        <f>HYPERLINK("http://141.218.60.56/~jnz1568/getInfo.php?workbook=02_02.xlsx&amp;sheet=U0&amp;row=630&amp;col=6&amp;number=&amp;sourceID=28","")</f>
        <v/>
      </c>
      <c r="G630" s="4" t="str">
        <f>HYPERLINK("http://141.218.60.56/~jnz1568/getInfo.php?workbook=02_02.xlsx&amp;sheet=U0&amp;row=630&amp;col=7&amp;number=&amp;sourceID=1","")</f>
        <v/>
      </c>
      <c r="H630" s="4" t="str">
        <f>HYPERLINK("http://141.218.60.56/~jnz1568/getInfo.php?workbook=02_02.xlsx&amp;sheet=U0&amp;row=630&amp;col=8&amp;number=4.398&amp;sourceID=29","4.398")</f>
        <v>4.398</v>
      </c>
      <c r="I630" s="4" t="str">
        <f>HYPERLINK("http://141.218.60.56/~jnz1568/getInfo.php?workbook=02_02.xlsx&amp;sheet=U0&amp;row=630&amp;col=9&amp;number=0.4156&amp;sourceID=1","0.4156")</f>
        <v>0.4156</v>
      </c>
    </row>
    <row r="631" spans="1:9">
      <c r="A631" s="3"/>
      <c r="B631" s="3"/>
      <c r="C631" s="3"/>
      <c r="D631" s="3"/>
      <c r="E631" s="3">
        <v>7</v>
      </c>
      <c r="F631" s="4" t="str">
        <f>HYPERLINK("http://141.218.60.56/~jnz1568/getInfo.php?workbook=02_02.xlsx&amp;sheet=U0&amp;row=631&amp;col=6&amp;number=&amp;sourceID=28","")</f>
        <v/>
      </c>
      <c r="G631" s="4" t="str">
        <f>HYPERLINK("http://141.218.60.56/~jnz1568/getInfo.php?workbook=02_02.xlsx&amp;sheet=U0&amp;row=631&amp;col=7&amp;number=&amp;sourceID=1","")</f>
        <v/>
      </c>
      <c r="H631" s="4" t="str">
        <f>HYPERLINK("http://141.218.60.56/~jnz1568/getInfo.php?workbook=02_02.xlsx&amp;sheet=U0&amp;row=631&amp;col=8&amp;number=4.477&amp;sourceID=29","4.477")</f>
        <v>4.477</v>
      </c>
      <c r="I631" s="4" t="str">
        <f>HYPERLINK("http://141.218.60.56/~jnz1568/getInfo.php?workbook=02_02.xlsx&amp;sheet=U0&amp;row=631&amp;col=9&amp;number=0.4082&amp;sourceID=1","0.4082")</f>
        <v>0.4082</v>
      </c>
    </row>
    <row r="632" spans="1:9">
      <c r="A632" s="3">
        <v>2</v>
      </c>
      <c r="B632" s="3">
        <v>2</v>
      </c>
      <c r="C632" s="3">
        <v>14</v>
      </c>
      <c r="D632" s="3">
        <v>6</v>
      </c>
      <c r="E632" s="3">
        <v>1</v>
      </c>
      <c r="F632" s="4" t="str">
        <f>HYPERLINK("http://141.218.60.56/~jnz1568/getInfo.php?workbook=02_02.xlsx&amp;sheet=U0&amp;row=632&amp;col=6&amp;number=&amp;sourceID=28","")</f>
        <v/>
      </c>
      <c r="G632" s="4" t="str">
        <f>HYPERLINK("http://141.218.60.56/~jnz1568/getInfo.php?workbook=02_02.xlsx&amp;sheet=U0&amp;row=632&amp;col=7&amp;number=&amp;sourceID=1","")</f>
        <v/>
      </c>
      <c r="H632" s="4" t="str">
        <f>HYPERLINK("http://141.218.60.56/~jnz1568/getInfo.php?workbook=02_02.xlsx&amp;sheet=U0&amp;row=632&amp;col=8&amp;number=3.301&amp;sourceID=29","3.301")</f>
        <v>3.301</v>
      </c>
      <c r="I632" s="4" t="str">
        <f>HYPERLINK("http://141.218.60.56/~jnz1568/getInfo.php?workbook=02_02.xlsx&amp;sheet=U0&amp;row=632&amp;col=9&amp;number=6.194&amp;sourceID=1","6.194")</f>
        <v>6.194</v>
      </c>
    </row>
    <row r="633" spans="1:9">
      <c r="A633" s="3"/>
      <c r="B633" s="3"/>
      <c r="C633" s="3"/>
      <c r="D633" s="3"/>
      <c r="E633" s="3">
        <v>2</v>
      </c>
      <c r="F633" s="4" t="str">
        <f>HYPERLINK("http://141.218.60.56/~jnz1568/getInfo.php?workbook=02_02.xlsx&amp;sheet=U0&amp;row=633&amp;col=6&amp;number=&amp;sourceID=28","")</f>
        <v/>
      </c>
      <c r="G633" s="4" t="str">
        <f>HYPERLINK("http://141.218.60.56/~jnz1568/getInfo.php?workbook=02_02.xlsx&amp;sheet=U0&amp;row=633&amp;col=7&amp;number=&amp;sourceID=1","")</f>
        <v/>
      </c>
      <c r="H633" s="4" t="str">
        <f>HYPERLINK("http://141.218.60.56/~jnz1568/getInfo.php?workbook=02_02.xlsx&amp;sheet=U0&amp;row=633&amp;col=8&amp;number=3.699&amp;sourceID=29","3.699")</f>
        <v>3.699</v>
      </c>
      <c r="I633" s="4" t="str">
        <f>HYPERLINK("http://141.218.60.56/~jnz1568/getInfo.php?workbook=02_02.xlsx&amp;sheet=U0&amp;row=633&amp;col=9&amp;number=5.936&amp;sourceID=1","5.936")</f>
        <v>5.936</v>
      </c>
    </row>
    <row r="634" spans="1:9">
      <c r="A634" s="3"/>
      <c r="B634" s="3"/>
      <c r="C634" s="3"/>
      <c r="D634" s="3"/>
      <c r="E634" s="3">
        <v>3</v>
      </c>
      <c r="F634" s="4" t="str">
        <f>HYPERLINK("http://141.218.60.56/~jnz1568/getInfo.php?workbook=02_02.xlsx&amp;sheet=U0&amp;row=634&amp;col=6&amp;number=&amp;sourceID=28","")</f>
        <v/>
      </c>
      <c r="G634" s="4" t="str">
        <f>HYPERLINK("http://141.218.60.56/~jnz1568/getInfo.php?workbook=02_02.xlsx&amp;sheet=U0&amp;row=634&amp;col=7&amp;number=&amp;sourceID=1","")</f>
        <v/>
      </c>
      <c r="H634" s="4" t="str">
        <f>HYPERLINK("http://141.218.60.56/~jnz1568/getInfo.php?workbook=02_02.xlsx&amp;sheet=U0&amp;row=634&amp;col=8&amp;number=4&amp;sourceID=29","4")</f>
        <v>4</v>
      </c>
      <c r="I634" s="4" t="str">
        <f>HYPERLINK("http://141.218.60.56/~jnz1568/getInfo.php?workbook=02_02.xlsx&amp;sheet=U0&amp;row=634&amp;col=9&amp;number=6.663&amp;sourceID=1","6.663")</f>
        <v>6.663</v>
      </c>
    </row>
    <row r="635" spans="1:9">
      <c r="A635" s="3"/>
      <c r="B635" s="3"/>
      <c r="C635" s="3"/>
      <c r="D635" s="3"/>
      <c r="E635" s="3">
        <v>4</v>
      </c>
      <c r="F635" s="4" t="str">
        <f>HYPERLINK("http://141.218.60.56/~jnz1568/getInfo.php?workbook=02_02.xlsx&amp;sheet=U0&amp;row=635&amp;col=6&amp;number=&amp;sourceID=28","")</f>
        <v/>
      </c>
      <c r="G635" s="4" t="str">
        <f>HYPERLINK("http://141.218.60.56/~jnz1568/getInfo.php?workbook=02_02.xlsx&amp;sheet=U0&amp;row=635&amp;col=7&amp;number=&amp;sourceID=1","")</f>
        <v/>
      </c>
      <c r="H635" s="4" t="str">
        <f>HYPERLINK("http://141.218.60.56/~jnz1568/getInfo.php?workbook=02_02.xlsx&amp;sheet=U0&amp;row=635&amp;col=8&amp;number=4.176&amp;sourceID=29","4.176")</f>
        <v>4.176</v>
      </c>
      <c r="I635" s="4" t="str">
        <f>HYPERLINK("http://141.218.60.56/~jnz1568/getInfo.php?workbook=02_02.xlsx&amp;sheet=U0&amp;row=635&amp;col=9&amp;number=7.802&amp;sourceID=1","7.802")</f>
        <v>7.802</v>
      </c>
    </row>
    <row r="636" spans="1:9">
      <c r="A636" s="3"/>
      <c r="B636" s="3"/>
      <c r="C636" s="3"/>
      <c r="D636" s="3"/>
      <c r="E636" s="3">
        <v>5</v>
      </c>
      <c r="F636" s="4" t="str">
        <f>HYPERLINK("http://141.218.60.56/~jnz1568/getInfo.php?workbook=02_02.xlsx&amp;sheet=U0&amp;row=636&amp;col=6&amp;number=&amp;sourceID=28","")</f>
        <v/>
      </c>
      <c r="G636" s="4" t="str">
        <f>HYPERLINK("http://141.218.60.56/~jnz1568/getInfo.php?workbook=02_02.xlsx&amp;sheet=U0&amp;row=636&amp;col=7&amp;number=&amp;sourceID=1","")</f>
        <v/>
      </c>
      <c r="H636" s="4" t="str">
        <f>HYPERLINK("http://141.218.60.56/~jnz1568/getInfo.php?workbook=02_02.xlsx&amp;sheet=U0&amp;row=636&amp;col=8&amp;number=4.301&amp;sourceID=29","4.301")</f>
        <v>4.301</v>
      </c>
      <c r="I636" s="4" t="str">
        <f>HYPERLINK("http://141.218.60.56/~jnz1568/getInfo.php?workbook=02_02.xlsx&amp;sheet=U0&amp;row=636&amp;col=9&amp;number=8.962&amp;sourceID=1","8.962")</f>
        <v>8.962</v>
      </c>
    </row>
    <row r="637" spans="1:9">
      <c r="A637" s="3"/>
      <c r="B637" s="3"/>
      <c r="C637" s="3"/>
      <c r="D637" s="3"/>
      <c r="E637" s="3">
        <v>6</v>
      </c>
      <c r="F637" s="4" t="str">
        <f>HYPERLINK("http://141.218.60.56/~jnz1568/getInfo.php?workbook=02_02.xlsx&amp;sheet=U0&amp;row=637&amp;col=6&amp;number=&amp;sourceID=28","")</f>
        <v/>
      </c>
      <c r="G637" s="4" t="str">
        <f>HYPERLINK("http://141.218.60.56/~jnz1568/getInfo.php?workbook=02_02.xlsx&amp;sheet=U0&amp;row=637&amp;col=7&amp;number=&amp;sourceID=1","")</f>
        <v/>
      </c>
      <c r="H637" s="4" t="str">
        <f>HYPERLINK("http://141.218.60.56/~jnz1568/getInfo.php?workbook=02_02.xlsx&amp;sheet=U0&amp;row=637&amp;col=8&amp;number=4.398&amp;sourceID=29","4.398")</f>
        <v>4.398</v>
      </c>
      <c r="I637" s="4" t="str">
        <f>HYPERLINK("http://141.218.60.56/~jnz1568/getInfo.php?workbook=02_02.xlsx&amp;sheet=U0&amp;row=637&amp;col=9&amp;number=9.979&amp;sourceID=1","9.979")</f>
        <v>9.979</v>
      </c>
    </row>
    <row r="638" spans="1:9">
      <c r="A638" s="3"/>
      <c r="B638" s="3"/>
      <c r="C638" s="3"/>
      <c r="D638" s="3"/>
      <c r="E638" s="3">
        <v>7</v>
      </c>
      <c r="F638" s="4" t="str">
        <f>HYPERLINK("http://141.218.60.56/~jnz1568/getInfo.php?workbook=02_02.xlsx&amp;sheet=U0&amp;row=638&amp;col=6&amp;number=&amp;sourceID=28","")</f>
        <v/>
      </c>
      <c r="G638" s="4" t="str">
        <f>HYPERLINK("http://141.218.60.56/~jnz1568/getInfo.php?workbook=02_02.xlsx&amp;sheet=U0&amp;row=638&amp;col=7&amp;number=&amp;sourceID=1","")</f>
        <v/>
      </c>
      <c r="H638" s="4" t="str">
        <f>HYPERLINK("http://141.218.60.56/~jnz1568/getInfo.php?workbook=02_02.xlsx&amp;sheet=U0&amp;row=638&amp;col=8&amp;number=4.477&amp;sourceID=29","4.477")</f>
        <v>4.477</v>
      </c>
      <c r="I638" s="4" t="str">
        <f>HYPERLINK("http://141.218.60.56/~jnz1568/getInfo.php?workbook=02_02.xlsx&amp;sheet=U0&amp;row=638&amp;col=9&amp;number=0&amp;sourceID=1","0")</f>
        <v>0</v>
      </c>
    </row>
    <row r="639" spans="1:9">
      <c r="A639" s="3">
        <v>2</v>
      </c>
      <c r="B639" s="3">
        <v>2</v>
      </c>
      <c r="C639" s="3">
        <v>14</v>
      </c>
      <c r="D639" s="3">
        <v>7</v>
      </c>
      <c r="E639" s="3">
        <v>1</v>
      </c>
      <c r="F639" s="4" t="str">
        <f>HYPERLINK("http://141.218.60.56/~jnz1568/getInfo.php?workbook=02_02.xlsx&amp;sheet=U0&amp;row=639&amp;col=6&amp;number=&amp;sourceID=28","")</f>
        <v/>
      </c>
      <c r="G639" s="4" t="str">
        <f>HYPERLINK("http://141.218.60.56/~jnz1568/getInfo.php?workbook=02_02.xlsx&amp;sheet=U0&amp;row=639&amp;col=7&amp;number=&amp;sourceID=1","")</f>
        <v/>
      </c>
      <c r="H639" s="4" t="str">
        <f>HYPERLINK("http://141.218.60.56/~jnz1568/getInfo.php?workbook=02_02.xlsx&amp;sheet=U0&amp;row=639&amp;col=8&amp;number=3.301&amp;sourceID=29","3.301")</f>
        <v>3.301</v>
      </c>
      <c r="I639" s="4" t="str">
        <f>HYPERLINK("http://141.218.60.56/~jnz1568/getInfo.php?workbook=02_02.xlsx&amp;sheet=U0&amp;row=639&amp;col=9&amp;number=1.54&amp;sourceID=1","1.54")</f>
        <v>1.54</v>
      </c>
    </row>
    <row r="640" spans="1:9">
      <c r="A640" s="3"/>
      <c r="B640" s="3"/>
      <c r="C640" s="3"/>
      <c r="D640" s="3"/>
      <c r="E640" s="3">
        <v>2</v>
      </c>
      <c r="F640" s="4" t="str">
        <f>HYPERLINK("http://141.218.60.56/~jnz1568/getInfo.php?workbook=02_02.xlsx&amp;sheet=U0&amp;row=640&amp;col=6&amp;number=&amp;sourceID=28","")</f>
        <v/>
      </c>
      <c r="G640" s="4" t="str">
        <f>HYPERLINK("http://141.218.60.56/~jnz1568/getInfo.php?workbook=02_02.xlsx&amp;sheet=U0&amp;row=640&amp;col=7&amp;number=&amp;sourceID=1","")</f>
        <v/>
      </c>
      <c r="H640" s="4" t="str">
        <f>HYPERLINK("http://141.218.60.56/~jnz1568/getInfo.php?workbook=02_02.xlsx&amp;sheet=U0&amp;row=640&amp;col=8&amp;number=3.699&amp;sourceID=29","3.699")</f>
        <v>3.699</v>
      </c>
      <c r="I640" s="4" t="str">
        <f>HYPERLINK("http://141.218.60.56/~jnz1568/getInfo.php?workbook=02_02.xlsx&amp;sheet=U0&amp;row=640&amp;col=9&amp;number=1.176&amp;sourceID=1","1.176")</f>
        <v>1.176</v>
      </c>
    </row>
    <row r="641" spans="1:9">
      <c r="A641" s="3"/>
      <c r="B641" s="3"/>
      <c r="C641" s="3"/>
      <c r="D641" s="3"/>
      <c r="E641" s="3">
        <v>3</v>
      </c>
      <c r="F641" s="4" t="str">
        <f>HYPERLINK("http://141.218.60.56/~jnz1568/getInfo.php?workbook=02_02.xlsx&amp;sheet=U0&amp;row=641&amp;col=6&amp;number=&amp;sourceID=28","")</f>
        <v/>
      </c>
      <c r="G641" s="4" t="str">
        <f>HYPERLINK("http://141.218.60.56/~jnz1568/getInfo.php?workbook=02_02.xlsx&amp;sheet=U0&amp;row=641&amp;col=7&amp;number=&amp;sourceID=1","")</f>
        <v/>
      </c>
      <c r="H641" s="4" t="str">
        <f>HYPERLINK("http://141.218.60.56/~jnz1568/getInfo.php?workbook=02_02.xlsx&amp;sheet=U0&amp;row=641&amp;col=8&amp;number=4&amp;sourceID=29","4")</f>
        <v>4</v>
      </c>
      <c r="I641" s="4" t="str">
        <f>HYPERLINK("http://141.218.60.56/~jnz1568/getInfo.php?workbook=02_02.xlsx&amp;sheet=U0&amp;row=641&amp;col=9&amp;number=0.901&amp;sourceID=1","0.901")</f>
        <v>0.901</v>
      </c>
    </row>
    <row r="642" spans="1:9">
      <c r="A642" s="3"/>
      <c r="B642" s="3"/>
      <c r="C642" s="3"/>
      <c r="D642" s="3"/>
      <c r="E642" s="3">
        <v>4</v>
      </c>
      <c r="F642" s="4" t="str">
        <f>HYPERLINK("http://141.218.60.56/~jnz1568/getInfo.php?workbook=02_02.xlsx&amp;sheet=U0&amp;row=642&amp;col=6&amp;number=&amp;sourceID=28","")</f>
        <v/>
      </c>
      <c r="G642" s="4" t="str">
        <f>HYPERLINK("http://141.218.60.56/~jnz1568/getInfo.php?workbook=02_02.xlsx&amp;sheet=U0&amp;row=642&amp;col=7&amp;number=&amp;sourceID=1","")</f>
        <v/>
      </c>
      <c r="H642" s="4" t="str">
        <f>HYPERLINK("http://141.218.60.56/~jnz1568/getInfo.php?workbook=02_02.xlsx&amp;sheet=U0&amp;row=642&amp;col=8&amp;number=4.176&amp;sourceID=29","4.176")</f>
        <v>4.176</v>
      </c>
      <c r="I642" s="4" t="str">
        <f>HYPERLINK("http://141.218.60.56/~jnz1568/getInfo.php?workbook=02_02.xlsx&amp;sheet=U0&amp;row=642&amp;col=9&amp;number=0.7533&amp;sourceID=1","0.7533")</f>
        <v>0.7533</v>
      </c>
    </row>
    <row r="643" spans="1:9">
      <c r="A643" s="3"/>
      <c r="B643" s="3"/>
      <c r="C643" s="3"/>
      <c r="D643" s="3"/>
      <c r="E643" s="3">
        <v>5</v>
      </c>
      <c r="F643" s="4" t="str">
        <f>HYPERLINK("http://141.218.60.56/~jnz1568/getInfo.php?workbook=02_02.xlsx&amp;sheet=U0&amp;row=643&amp;col=6&amp;number=&amp;sourceID=28","")</f>
        <v/>
      </c>
      <c r="G643" s="4" t="str">
        <f>HYPERLINK("http://141.218.60.56/~jnz1568/getInfo.php?workbook=02_02.xlsx&amp;sheet=U0&amp;row=643&amp;col=7&amp;number=&amp;sourceID=1","")</f>
        <v/>
      </c>
      <c r="H643" s="4" t="str">
        <f>HYPERLINK("http://141.218.60.56/~jnz1568/getInfo.php?workbook=02_02.xlsx&amp;sheet=U0&amp;row=643&amp;col=8&amp;number=4.301&amp;sourceID=29","4.301")</f>
        <v>4.301</v>
      </c>
      <c r="I643" s="4" t="str">
        <f>HYPERLINK("http://141.218.60.56/~jnz1568/getInfo.php?workbook=02_02.xlsx&amp;sheet=U0&amp;row=643&amp;col=9&amp;number=0.6563&amp;sourceID=1","0.6563")</f>
        <v>0.6563</v>
      </c>
    </row>
    <row r="644" spans="1:9">
      <c r="A644" s="3"/>
      <c r="B644" s="3"/>
      <c r="C644" s="3"/>
      <c r="D644" s="3"/>
      <c r="E644" s="3">
        <v>6</v>
      </c>
      <c r="F644" s="4" t="str">
        <f>HYPERLINK("http://141.218.60.56/~jnz1568/getInfo.php?workbook=02_02.xlsx&amp;sheet=U0&amp;row=644&amp;col=6&amp;number=&amp;sourceID=28","")</f>
        <v/>
      </c>
      <c r="G644" s="4" t="str">
        <f>HYPERLINK("http://141.218.60.56/~jnz1568/getInfo.php?workbook=02_02.xlsx&amp;sheet=U0&amp;row=644&amp;col=7&amp;number=&amp;sourceID=1","")</f>
        <v/>
      </c>
      <c r="H644" s="4" t="str">
        <f>HYPERLINK("http://141.218.60.56/~jnz1568/getInfo.php?workbook=02_02.xlsx&amp;sheet=U0&amp;row=644&amp;col=8&amp;number=4.398&amp;sourceID=29","4.398")</f>
        <v>4.398</v>
      </c>
      <c r="I644" s="4" t="str">
        <f>HYPERLINK("http://141.218.60.56/~jnz1568/getInfo.php?workbook=02_02.xlsx&amp;sheet=U0&amp;row=644&amp;col=9&amp;number=0.5856&amp;sourceID=1","0.5856")</f>
        <v>0.5856</v>
      </c>
    </row>
    <row r="645" spans="1:9">
      <c r="A645" s="3"/>
      <c r="B645" s="3"/>
      <c r="C645" s="3"/>
      <c r="D645" s="3"/>
      <c r="E645" s="3">
        <v>7</v>
      </c>
      <c r="F645" s="4" t="str">
        <f>HYPERLINK("http://141.218.60.56/~jnz1568/getInfo.php?workbook=02_02.xlsx&amp;sheet=U0&amp;row=645&amp;col=6&amp;number=&amp;sourceID=28","")</f>
        <v/>
      </c>
      <c r="G645" s="4" t="str">
        <f>HYPERLINK("http://141.218.60.56/~jnz1568/getInfo.php?workbook=02_02.xlsx&amp;sheet=U0&amp;row=645&amp;col=7&amp;number=&amp;sourceID=1","")</f>
        <v/>
      </c>
      <c r="H645" s="4" t="str">
        <f>HYPERLINK("http://141.218.60.56/~jnz1568/getInfo.php?workbook=02_02.xlsx&amp;sheet=U0&amp;row=645&amp;col=8&amp;number=4.477&amp;sourceID=29","4.477")</f>
        <v>4.477</v>
      </c>
      <c r="I645" s="4" t="str">
        <f>HYPERLINK("http://141.218.60.56/~jnz1568/getInfo.php?workbook=02_02.xlsx&amp;sheet=U0&amp;row=645&amp;col=9&amp;number=0.5309&amp;sourceID=1","0.5309")</f>
        <v>0.5309</v>
      </c>
    </row>
    <row r="646" spans="1:9">
      <c r="A646" s="3">
        <v>2</v>
      </c>
      <c r="B646" s="3">
        <v>2</v>
      </c>
      <c r="C646" s="3">
        <v>14</v>
      </c>
      <c r="D646" s="3">
        <v>8</v>
      </c>
      <c r="E646" s="3">
        <v>1</v>
      </c>
      <c r="F646" s="4" t="str">
        <f>HYPERLINK("http://141.218.60.56/~jnz1568/getInfo.php?workbook=02_02.xlsx&amp;sheet=U0&amp;row=646&amp;col=6&amp;number=&amp;sourceID=28","")</f>
        <v/>
      </c>
      <c r="G646" s="4" t="str">
        <f>HYPERLINK("http://141.218.60.56/~jnz1568/getInfo.php?workbook=02_02.xlsx&amp;sheet=U0&amp;row=646&amp;col=7&amp;number=&amp;sourceID=1","")</f>
        <v/>
      </c>
      <c r="H646" s="4" t="str">
        <f>HYPERLINK("http://141.218.60.56/~jnz1568/getInfo.php?workbook=02_02.xlsx&amp;sheet=U0&amp;row=646&amp;col=8&amp;number=3.301&amp;sourceID=29","3.301")</f>
        <v>3.301</v>
      </c>
      <c r="I646" s="4" t="str">
        <f>HYPERLINK("http://141.218.60.56/~jnz1568/getInfo.php?workbook=02_02.xlsx&amp;sheet=U0&amp;row=646&amp;col=9&amp;number=15.66&amp;sourceID=1","15.66")</f>
        <v>15.66</v>
      </c>
    </row>
    <row r="647" spans="1:9">
      <c r="A647" s="3"/>
      <c r="B647" s="3"/>
      <c r="C647" s="3"/>
      <c r="D647" s="3"/>
      <c r="E647" s="3">
        <v>2</v>
      </c>
      <c r="F647" s="4" t="str">
        <f>HYPERLINK("http://141.218.60.56/~jnz1568/getInfo.php?workbook=02_02.xlsx&amp;sheet=U0&amp;row=647&amp;col=6&amp;number=&amp;sourceID=28","")</f>
        <v/>
      </c>
      <c r="G647" s="4" t="str">
        <f>HYPERLINK("http://141.218.60.56/~jnz1568/getInfo.php?workbook=02_02.xlsx&amp;sheet=U0&amp;row=647&amp;col=7&amp;number=&amp;sourceID=1","")</f>
        <v/>
      </c>
      <c r="H647" s="4" t="str">
        <f>HYPERLINK("http://141.218.60.56/~jnz1568/getInfo.php?workbook=02_02.xlsx&amp;sheet=U0&amp;row=647&amp;col=8&amp;number=3.699&amp;sourceID=29","3.699")</f>
        <v>3.699</v>
      </c>
      <c r="I647" s="4" t="str">
        <f>HYPERLINK("http://141.218.60.56/~jnz1568/getInfo.php?workbook=02_02.xlsx&amp;sheet=U0&amp;row=647&amp;col=9&amp;number=16.99&amp;sourceID=1","16.99")</f>
        <v>16.99</v>
      </c>
    </row>
    <row r="648" spans="1:9">
      <c r="A648" s="3"/>
      <c r="B648" s="3"/>
      <c r="C648" s="3"/>
      <c r="D648" s="3"/>
      <c r="E648" s="3">
        <v>3</v>
      </c>
      <c r="F648" s="4" t="str">
        <f>HYPERLINK("http://141.218.60.56/~jnz1568/getInfo.php?workbook=02_02.xlsx&amp;sheet=U0&amp;row=648&amp;col=6&amp;number=&amp;sourceID=28","")</f>
        <v/>
      </c>
      <c r="G648" s="4" t="str">
        <f>HYPERLINK("http://141.218.60.56/~jnz1568/getInfo.php?workbook=02_02.xlsx&amp;sheet=U0&amp;row=648&amp;col=7&amp;number=&amp;sourceID=1","")</f>
        <v/>
      </c>
      <c r="H648" s="4" t="str">
        <f>HYPERLINK("http://141.218.60.56/~jnz1568/getInfo.php?workbook=02_02.xlsx&amp;sheet=U0&amp;row=648&amp;col=8&amp;number=4&amp;sourceID=29","4")</f>
        <v>4</v>
      </c>
      <c r="I648" s="4" t="str">
        <f>HYPERLINK("http://141.218.60.56/~jnz1568/getInfo.php?workbook=02_02.xlsx&amp;sheet=U0&amp;row=648&amp;col=9&amp;number=19.84&amp;sourceID=1","19.84")</f>
        <v>19.84</v>
      </c>
    </row>
    <row r="649" spans="1:9">
      <c r="A649" s="3"/>
      <c r="B649" s="3"/>
      <c r="C649" s="3"/>
      <c r="D649" s="3"/>
      <c r="E649" s="3">
        <v>4</v>
      </c>
      <c r="F649" s="4" t="str">
        <f>HYPERLINK("http://141.218.60.56/~jnz1568/getInfo.php?workbook=02_02.xlsx&amp;sheet=U0&amp;row=649&amp;col=6&amp;number=&amp;sourceID=28","")</f>
        <v/>
      </c>
      <c r="G649" s="4" t="str">
        <f>HYPERLINK("http://141.218.60.56/~jnz1568/getInfo.php?workbook=02_02.xlsx&amp;sheet=U0&amp;row=649&amp;col=7&amp;number=&amp;sourceID=1","")</f>
        <v/>
      </c>
      <c r="H649" s="4" t="str">
        <f>HYPERLINK("http://141.218.60.56/~jnz1568/getInfo.php?workbook=02_02.xlsx&amp;sheet=U0&amp;row=649&amp;col=8&amp;number=4.176&amp;sourceID=29","4.176")</f>
        <v>4.176</v>
      </c>
      <c r="I649" s="4" t="str">
        <f>HYPERLINK("http://141.218.60.56/~jnz1568/getInfo.php?workbook=02_02.xlsx&amp;sheet=U0&amp;row=649&amp;col=9&amp;number=23.31&amp;sourceID=1","23.31")</f>
        <v>23.31</v>
      </c>
    </row>
    <row r="650" spans="1:9">
      <c r="A650" s="3">
        <v>2</v>
      </c>
      <c r="B650" s="3">
        <v>2</v>
      </c>
      <c r="C650" s="3">
        <v>14</v>
      </c>
      <c r="D650" s="3">
        <v>9</v>
      </c>
      <c r="E650" s="3">
        <v>1</v>
      </c>
      <c r="F650" s="4" t="str">
        <f>HYPERLINK("http://141.218.60.56/~jnz1568/getInfo.php?workbook=02_02.xlsx&amp;sheet=U0&amp;row=650&amp;col=6&amp;number=&amp;sourceID=28","")</f>
        <v/>
      </c>
      <c r="G650" s="4" t="str">
        <f>HYPERLINK("http://141.218.60.56/~jnz1568/getInfo.php?workbook=02_02.xlsx&amp;sheet=U0&amp;row=650&amp;col=7&amp;number=&amp;sourceID=1","")</f>
        <v/>
      </c>
      <c r="H650" s="4" t="str">
        <f>HYPERLINK("http://141.218.60.56/~jnz1568/getInfo.php?workbook=02_02.xlsx&amp;sheet=U0&amp;row=650&amp;col=8&amp;number=3.301&amp;sourceID=29","3.301")</f>
        <v>3.301</v>
      </c>
      <c r="I650" s="4" t="str">
        <f>HYPERLINK("http://141.218.60.56/~jnz1568/getInfo.php?workbook=02_02.xlsx&amp;sheet=U0&amp;row=650&amp;col=9&amp;number=20.49&amp;sourceID=1","20.49")</f>
        <v>20.49</v>
      </c>
    </row>
    <row r="651" spans="1:9">
      <c r="A651" s="3"/>
      <c r="B651" s="3"/>
      <c r="C651" s="3"/>
      <c r="D651" s="3"/>
      <c r="E651" s="3">
        <v>2</v>
      </c>
      <c r="F651" s="4" t="str">
        <f>HYPERLINK("http://141.218.60.56/~jnz1568/getInfo.php?workbook=02_02.xlsx&amp;sheet=U0&amp;row=651&amp;col=6&amp;number=&amp;sourceID=28","")</f>
        <v/>
      </c>
      <c r="G651" s="4" t="str">
        <f>HYPERLINK("http://141.218.60.56/~jnz1568/getInfo.php?workbook=02_02.xlsx&amp;sheet=U0&amp;row=651&amp;col=7&amp;number=&amp;sourceID=1","")</f>
        <v/>
      </c>
      <c r="H651" s="4" t="str">
        <f>HYPERLINK("http://141.218.60.56/~jnz1568/getInfo.php?workbook=02_02.xlsx&amp;sheet=U0&amp;row=651&amp;col=8&amp;number=3.699&amp;sourceID=29","3.699")</f>
        <v>3.699</v>
      </c>
      <c r="I651" s="4" t="str">
        <f>HYPERLINK("http://141.218.60.56/~jnz1568/getInfo.php?workbook=02_02.xlsx&amp;sheet=U0&amp;row=651&amp;col=9&amp;number=21.44&amp;sourceID=1","21.44")</f>
        <v>21.44</v>
      </c>
    </row>
    <row r="652" spans="1:9">
      <c r="A652" s="3"/>
      <c r="B652" s="3"/>
      <c r="C652" s="3"/>
      <c r="D652" s="3"/>
      <c r="E652" s="3">
        <v>3</v>
      </c>
      <c r="F652" s="4" t="str">
        <f>HYPERLINK("http://141.218.60.56/~jnz1568/getInfo.php?workbook=02_02.xlsx&amp;sheet=U0&amp;row=652&amp;col=6&amp;number=&amp;sourceID=28","")</f>
        <v/>
      </c>
      <c r="G652" s="4" t="str">
        <f>HYPERLINK("http://141.218.60.56/~jnz1568/getInfo.php?workbook=02_02.xlsx&amp;sheet=U0&amp;row=652&amp;col=7&amp;number=&amp;sourceID=1","")</f>
        <v/>
      </c>
      <c r="H652" s="4" t="str">
        <f>HYPERLINK("http://141.218.60.56/~jnz1568/getInfo.php?workbook=02_02.xlsx&amp;sheet=U0&amp;row=652&amp;col=8&amp;number=4&amp;sourceID=29","4")</f>
        <v>4</v>
      </c>
      <c r="I652" s="4" t="str">
        <f>HYPERLINK("http://141.218.60.56/~jnz1568/getInfo.php?workbook=02_02.xlsx&amp;sheet=U0&amp;row=652&amp;col=9&amp;number=22.79&amp;sourceID=1","22.79")</f>
        <v>22.79</v>
      </c>
    </row>
    <row r="653" spans="1:9">
      <c r="A653" s="3"/>
      <c r="B653" s="3"/>
      <c r="C653" s="3"/>
      <c r="D653" s="3"/>
      <c r="E653" s="3">
        <v>4</v>
      </c>
      <c r="F653" s="4" t="str">
        <f>HYPERLINK("http://141.218.60.56/~jnz1568/getInfo.php?workbook=02_02.xlsx&amp;sheet=U0&amp;row=653&amp;col=6&amp;number=&amp;sourceID=28","")</f>
        <v/>
      </c>
      <c r="G653" s="4" t="str">
        <f>HYPERLINK("http://141.218.60.56/~jnz1568/getInfo.php?workbook=02_02.xlsx&amp;sheet=U0&amp;row=653&amp;col=7&amp;number=&amp;sourceID=1","")</f>
        <v/>
      </c>
      <c r="H653" s="4" t="str">
        <f>HYPERLINK("http://141.218.60.56/~jnz1568/getInfo.php?workbook=02_02.xlsx&amp;sheet=U0&amp;row=653&amp;col=8&amp;number=4.176&amp;sourceID=29","4.176")</f>
        <v>4.176</v>
      </c>
      <c r="I653" s="4" t="str">
        <f>HYPERLINK("http://141.218.60.56/~jnz1568/getInfo.php?workbook=02_02.xlsx&amp;sheet=U0&amp;row=653&amp;col=9&amp;number=25.01&amp;sourceID=1","25.01")</f>
        <v>25.01</v>
      </c>
    </row>
    <row r="654" spans="1:9">
      <c r="A654" s="3">
        <v>2</v>
      </c>
      <c r="B654" s="3">
        <v>2</v>
      </c>
      <c r="C654" s="3">
        <v>14</v>
      </c>
      <c r="D654" s="3">
        <v>10</v>
      </c>
      <c r="E654" s="3">
        <v>1</v>
      </c>
      <c r="F654" s="4" t="str">
        <f>HYPERLINK("http://141.218.60.56/~jnz1568/getInfo.php?workbook=02_02.xlsx&amp;sheet=U0&amp;row=654&amp;col=6&amp;number=&amp;sourceID=28","")</f>
        <v/>
      </c>
      <c r="G654" s="4" t="str">
        <f>HYPERLINK("http://141.218.60.56/~jnz1568/getInfo.php?workbook=02_02.xlsx&amp;sheet=U0&amp;row=654&amp;col=7&amp;number=&amp;sourceID=1","")</f>
        <v/>
      </c>
      <c r="H654" s="4" t="str">
        <f>HYPERLINK("http://141.218.60.56/~jnz1568/getInfo.php?workbook=02_02.xlsx&amp;sheet=U0&amp;row=654&amp;col=8&amp;number=3.301&amp;sourceID=29","3.301")</f>
        <v>3.301</v>
      </c>
      <c r="I654" s="4" t="str">
        <f>HYPERLINK("http://141.218.60.56/~jnz1568/getInfo.php?workbook=02_02.xlsx&amp;sheet=U0&amp;row=654&amp;col=9&amp;number=3.501&amp;sourceID=1","3.501")</f>
        <v>3.501</v>
      </c>
    </row>
    <row r="655" spans="1:9">
      <c r="A655" s="3"/>
      <c r="B655" s="3"/>
      <c r="C655" s="3"/>
      <c r="D655" s="3"/>
      <c r="E655" s="3">
        <v>2</v>
      </c>
      <c r="F655" s="4" t="str">
        <f>HYPERLINK("http://141.218.60.56/~jnz1568/getInfo.php?workbook=02_02.xlsx&amp;sheet=U0&amp;row=655&amp;col=6&amp;number=&amp;sourceID=28","")</f>
        <v/>
      </c>
      <c r="G655" s="4" t="str">
        <f>HYPERLINK("http://141.218.60.56/~jnz1568/getInfo.php?workbook=02_02.xlsx&amp;sheet=U0&amp;row=655&amp;col=7&amp;number=&amp;sourceID=1","")</f>
        <v/>
      </c>
      <c r="H655" s="4" t="str">
        <f>HYPERLINK("http://141.218.60.56/~jnz1568/getInfo.php?workbook=02_02.xlsx&amp;sheet=U0&amp;row=655&amp;col=8&amp;number=3.699&amp;sourceID=29","3.699")</f>
        <v>3.699</v>
      </c>
      <c r="I655" s="4" t="str">
        <f>HYPERLINK("http://141.218.60.56/~jnz1568/getInfo.php?workbook=02_02.xlsx&amp;sheet=U0&amp;row=655&amp;col=9&amp;number=2.99&amp;sourceID=1","2.99")</f>
        <v>2.99</v>
      </c>
    </row>
    <row r="656" spans="1:9">
      <c r="A656" s="3"/>
      <c r="B656" s="3"/>
      <c r="C656" s="3"/>
      <c r="D656" s="3"/>
      <c r="E656" s="3">
        <v>3</v>
      </c>
      <c r="F656" s="4" t="str">
        <f>HYPERLINK("http://141.218.60.56/~jnz1568/getInfo.php?workbook=02_02.xlsx&amp;sheet=U0&amp;row=656&amp;col=6&amp;number=&amp;sourceID=28","")</f>
        <v/>
      </c>
      <c r="G656" s="4" t="str">
        <f>HYPERLINK("http://141.218.60.56/~jnz1568/getInfo.php?workbook=02_02.xlsx&amp;sheet=U0&amp;row=656&amp;col=7&amp;number=&amp;sourceID=1","")</f>
        <v/>
      </c>
      <c r="H656" s="4" t="str">
        <f>HYPERLINK("http://141.218.60.56/~jnz1568/getInfo.php?workbook=02_02.xlsx&amp;sheet=U0&amp;row=656&amp;col=8&amp;number=4&amp;sourceID=29","4")</f>
        <v>4</v>
      </c>
      <c r="I656" s="4" t="str">
        <f>HYPERLINK("http://141.218.60.56/~jnz1568/getInfo.php?workbook=02_02.xlsx&amp;sheet=U0&amp;row=656&amp;col=9&amp;number=2.521&amp;sourceID=1","2.521")</f>
        <v>2.521</v>
      </c>
    </row>
    <row r="657" spans="1:9">
      <c r="A657" s="3"/>
      <c r="B657" s="3"/>
      <c r="C657" s="3"/>
      <c r="D657" s="3"/>
      <c r="E657" s="3">
        <v>4</v>
      </c>
      <c r="F657" s="4" t="str">
        <f>HYPERLINK("http://141.218.60.56/~jnz1568/getInfo.php?workbook=02_02.xlsx&amp;sheet=U0&amp;row=657&amp;col=6&amp;number=&amp;sourceID=28","")</f>
        <v/>
      </c>
      <c r="G657" s="4" t="str">
        <f>HYPERLINK("http://141.218.60.56/~jnz1568/getInfo.php?workbook=02_02.xlsx&amp;sheet=U0&amp;row=657&amp;col=7&amp;number=&amp;sourceID=1","")</f>
        <v/>
      </c>
      <c r="H657" s="4" t="str">
        <f>HYPERLINK("http://141.218.60.56/~jnz1568/getInfo.php?workbook=02_02.xlsx&amp;sheet=U0&amp;row=657&amp;col=8&amp;number=4.176&amp;sourceID=29","4.176")</f>
        <v>4.176</v>
      </c>
      <c r="I657" s="4" t="str">
        <f>HYPERLINK("http://141.218.60.56/~jnz1568/getInfo.php?workbook=02_02.xlsx&amp;sheet=U0&amp;row=657&amp;col=9&amp;number=2.224&amp;sourceID=1","2.224")</f>
        <v>2.224</v>
      </c>
    </row>
    <row r="658" spans="1:9">
      <c r="A658" s="3"/>
      <c r="B658" s="3"/>
      <c r="C658" s="3"/>
      <c r="D658" s="3"/>
      <c r="E658" s="3">
        <v>5</v>
      </c>
      <c r="F658" s="4" t="str">
        <f>HYPERLINK("http://141.218.60.56/~jnz1568/getInfo.php?workbook=02_02.xlsx&amp;sheet=U0&amp;row=658&amp;col=6&amp;number=&amp;sourceID=28","")</f>
        <v/>
      </c>
      <c r="G658" s="4" t="str">
        <f>HYPERLINK("http://141.218.60.56/~jnz1568/getInfo.php?workbook=02_02.xlsx&amp;sheet=U0&amp;row=658&amp;col=7&amp;number=&amp;sourceID=1","")</f>
        <v/>
      </c>
      <c r="H658" s="4" t="str">
        <f>HYPERLINK("http://141.218.60.56/~jnz1568/getInfo.php?workbook=02_02.xlsx&amp;sheet=U0&amp;row=658&amp;col=8&amp;number=4.301&amp;sourceID=29","4.301")</f>
        <v>4.301</v>
      </c>
      <c r="I658" s="4" t="str">
        <f>HYPERLINK("http://141.218.60.56/~jnz1568/getInfo.php?workbook=02_02.xlsx&amp;sheet=U0&amp;row=658&amp;col=9&amp;number=2.005&amp;sourceID=1","2.005")</f>
        <v>2.005</v>
      </c>
    </row>
    <row r="659" spans="1:9">
      <c r="A659" s="3"/>
      <c r="B659" s="3"/>
      <c r="C659" s="3"/>
      <c r="D659" s="3"/>
      <c r="E659" s="3">
        <v>6</v>
      </c>
      <c r="F659" s="4" t="str">
        <f>HYPERLINK("http://141.218.60.56/~jnz1568/getInfo.php?workbook=02_02.xlsx&amp;sheet=U0&amp;row=659&amp;col=6&amp;number=&amp;sourceID=28","")</f>
        <v/>
      </c>
      <c r="G659" s="4" t="str">
        <f>HYPERLINK("http://141.218.60.56/~jnz1568/getInfo.php?workbook=02_02.xlsx&amp;sheet=U0&amp;row=659&amp;col=7&amp;number=&amp;sourceID=1","")</f>
        <v/>
      </c>
      <c r="H659" s="4" t="str">
        <f>HYPERLINK("http://141.218.60.56/~jnz1568/getInfo.php?workbook=02_02.xlsx&amp;sheet=U0&amp;row=659&amp;col=8&amp;number=4.398&amp;sourceID=29","4.398")</f>
        <v>4.398</v>
      </c>
      <c r="I659" s="4" t="str">
        <f>HYPERLINK("http://141.218.60.56/~jnz1568/getInfo.php?workbook=02_02.xlsx&amp;sheet=U0&amp;row=659&amp;col=9&amp;number=1.832&amp;sourceID=1","1.832")</f>
        <v>1.832</v>
      </c>
    </row>
    <row r="660" spans="1:9">
      <c r="A660" s="3"/>
      <c r="B660" s="3"/>
      <c r="C660" s="3"/>
      <c r="D660" s="3"/>
      <c r="E660" s="3">
        <v>7</v>
      </c>
      <c r="F660" s="4" t="str">
        <f>HYPERLINK("http://141.218.60.56/~jnz1568/getInfo.php?workbook=02_02.xlsx&amp;sheet=U0&amp;row=660&amp;col=6&amp;number=&amp;sourceID=28","")</f>
        <v/>
      </c>
      <c r="G660" s="4" t="str">
        <f>HYPERLINK("http://141.218.60.56/~jnz1568/getInfo.php?workbook=02_02.xlsx&amp;sheet=U0&amp;row=660&amp;col=7&amp;number=&amp;sourceID=1","")</f>
        <v/>
      </c>
      <c r="H660" s="4" t="str">
        <f>HYPERLINK("http://141.218.60.56/~jnz1568/getInfo.php?workbook=02_02.xlsx&amp;sheet=U0&amp;row=660&amp;col=8&amp;number=4.477&amp;sourceID=29","4.477")</f>
        <v>4.477</v>
      </c>
      <c r="I660" s="4" t="str">
        <f>HYPERLINK("http://141.218.60.56/~jnz1568/getInfo.php?workbook=02_02.xlsx&amp;sheet=U0&amp;row=660&amp;col=9&amp;number=1.688&amp;sourceID=1","1.688")</f>
        <v>1.688</v>
      </c>
    </row>
    <row r="661" spans="1:9">
      <c r="A661" s="3">
        <v>2</v>
      </c>
      <c r="B661" s="3">
        <v>2</v>
      </c>
      <c r="C661" s="3">
        <v>14</v>
      </c>
      <c r="D661" s="3">
        <v>11</v>
      </c>
      <c r="E661" s="3">
        <v>1</v>
      </c>
      <c r="F661" s="4" t="str">
        <f>HYPERLINK("http://141.218.60.56/~jnz1568/getInfo.php?workbook=02_02.xlsx&amp;sheet=U0&amp;row=661&amp;col=6&amp;number=&amp;sourceID=28","")</f>
        <v/>
      </c>
      <c r="G661" s="4" t="str">
        <f>HYPERLINK("http://141.218.60.56/~jnz1568/getInfo.php?workbook=02_02.xlsx&amp;sheet=U0&amp;row=661&amp;col=7&amp;number=&amp;sourceID=1","")</f>
        <v/>
      </c>
      <c r="H661" s="4" t="str">
        <f>HYPERLINK("http://141.218.60.56/~jnz1568/getInfo.php?workbook=02_02.xlsx&amp;sheet=U0&amp;row=661&amp;col=8&amp;number=3.301&amp;sourceID=29","3.301")</f>
        <v>3.301</v>
      </c>
      <c r="I661" s="4" t="str">
        <f>HYPERLINK("http://141.218.60.56/~jnz1568/getInfo.php?workbook=02_02.xlsx&amp;sheet=U0&amp;row=661&amp;col=9&amp;number=1.72&amp;sourceID=1","1.72")</f>
        <v>1.72</v>
      </c>
    </row>
    <row r="662" spans="1:9">
      <c r="A662" s="3"/>
      <c r="B662" s="3"/>
      <c r="C662" s="3"/>
      <c r="D662" s="3"/>
      <c r="E662" s="3">
        <v>2</v>
      </c>
      <c r="F662" s="4" t="str">
        <f>HYPERLINK("http://141.218.60.56/~jnz1568/getInfo.php?workbook=02_02.xlsx&amp;sheet=U0&amp;row=662&amp;col=6&amp;number=&amp;sourceID=28","")</f>
        <v/>
      </c>
      <c r="G662" s="4" t="str">
        <f>HYPERLINK("http://141.218.60.56/~jnz1568/getInfo.php?workbook=02_02.xlsx&amp;sheet=U0&amp;row=662&amp;col=7&amp;number=&amp;sourceID=1","")</f>
        <v/>
      </c>
      <c r="H662" s="4" t="str">
        <f>HYPERLINK("http://141.218.60.56/~jnz1568/getInfo.php?workbook=02_02.xlsx&amp;sheet=U0&amp;row=662&amp;col=8&amp;number=3.699&amp;sourceID=29","3.699")</f>
        <v>3.699</v>
      </c>
      <c r="I662" s="4" t="str">
        <f>HYPERLINK("http://141.218.60.56/~jnz1568/getInfo.php?workbook=02_02.xlsx&amp;sheet=U0&amp;row=662&amp;col=9&amp;number=1.619&amp;sourceID=1","1.619")</f>
        <v>1.619</v>
      </c>
    </row>
    <row r="663" spans="1:9">
      <c r="A663" s="3"/>
      <c r="B663" s="3"/>
      <c r="C663" s="3"/>
      <c r="D663" s="3"/>
      <c r="E663" s="3">
        <v>3</v>
      </c>
      <c r="F663" s="4" t="str">
        <f>HYPERLINK("http://141.218.60.56/~jnz1568/getInfo.php?workbook=02_02.xlsx&amp;sheet=U0&amp;row=663&amp;col=6&amp;number=&amp;sourceID=28","")</f>
        <v/>
      </c>
      <c r="G663" s="4" t="str">
        <f>HYPERLINK("http://141.218.60.56/~jnz1568/getInfo.php?workbook=02_02.xlsx&amp;sheet=U0&amp;row=663&amp;col=7&amp;number=&amp;sourceID=1","")</f>
        <v/>
      </c>
      <c r="H663" s="4" t="str">
        <f>HYPERLINK("http://141.218.60.56/~jnz1568/getInfo.php?workbook=02_02.xlsx&amp;sheet=U0&amp;row=663&amp;col=8&amp;number=4&amp;sourceID=29","4")</f>
        <v>4</v>
      </c>
      <c r="I663" s="4" t="str">
        <f>HYPERLINK("http://141.218.60.56/~jnz1568/getInfo.php?workbook=02_02.xlsx&amp;sheet=U0&amp;row=663&amp;col=9&amp;number=1.426&amp;sourceID=1","1.426")</f>
        <v>1.426</v>
      </c>
    </row>
    <row r="664" spans="1:9">
      <c r="A664" s="3"/>
      <c r="B664" s="3"/>
      <c r="C664" s="3"/>
      <c r="D664" s="3"/>
      <c r="E664" s="3">
        <v>4</v>
      </c>
      <c r="F664" s="4" t="str">
        <f>HYPERLINK("http://141.218.60.56/~jnz1568/getInfo.php?workbook=02_02.xlsx&amp;sheet=U0&amp;row=664&amp;col=6&amp;number=&amp;sourceID=28","")</f>
        <v/>
      </c>
      <c r="G664" s="4" t="str">
        <f>HYPERLINK("http://141.218.60.56/~jnz1568/getInfo.php?workbook=02_02.xlsx&amp;sheet=U0&amp;row=664&amp;col=7&amp;number=&amp;sourceID=1","")</f>
        <v/>
      </c>
      <c r="H664" s="4" t="str">
        <f>HYPERLINK("http://141.218.60.56/~jnz1568/getInfo.php?workbook=02_02.xlsx&amp;sheet=U0&amp;row=664&amp;col=8&amp;number=4.176&amp;sourceID=29","4.176")</f>
        <v>4.176</v>
      </c>
      <c r="I664" s="4" t="str">
        <f>HYPERLINK("http://141.218.60.56/~jnz1568/getInfo.php?workbook=02_02.xlsx&amp;sheet=U0&amp;row=664&amp;col=9&amp;number=1.272&amp;sourceID=1","1.272")</f>
        <v>1.272</v>
      </c>
    </row>
    <row r="665" spans="1:9">
      <c r="A665" s="3"/>
      <c r="B665" s="3"/>
      <c r="C665" s="3"/>
      <c r="D665" s="3"/>
      <c r="E665" s="3">
        <v>5</v>
      </c>
      <c r="F665" s="4" t="str">
        <f>HYPERLINK("http://141.218.60.56/~jnz1568/getInfo.php?workbook=02_02.xlsx&amp;sheet=U0&amp;row=665&amp;col=6&amp;number=&amp;sourceID=28","")</f>
        <v/>
      </c>
      <c r="G665" s="4" t="str">
        <f>HYPERLINK("http://141.218.60.56/~jnz1568/getInfo.php?workbook=02_02.xlsx&amp;sheet=U0&amp;row=665&amp;col=7&amp;number=&amp;sourceID=1","")</f>
        <v/>
      </c>
      <c r="H665" s="4" t="str">
        <f>HYPERLINK("http://141.218.60.56/~jnz1568/getInfo.php?workbook=02_02.xlsx&amp;sheet=U0&amp;row=665&amp;col=8&amp;number=4.301&amp;sourceID=29","4.301")</f>
        <v>4.301</v>
      </c>
      <c r="I665" s="4" t="str">
        <f>HYPERLINK("http://141.218.60.56/~jnz1568/getInfo.php?workbook=02_02.xlsx&amp;sheet=U0&amp;row=665&amp;col=9&amp;number=1.148&amp;sourceID=1","1.148")</f>
        <v>1.148</v>
      </c>
    </row>
    <row r="666" spans="1:9">
      <c r="A666" s="3"/>
      <c r="B666" s="3"/>
      <c r="C666" s="3"/>
      <c r="D666" s="3"/>
      <c r="E666" s="3">
        <v>6</v>
      </c>
      <c r="F666" s="4" t="str">
        <f>HYPERLINK("http://141.218.60.56/~jnz1568/getInfo.php?workbook=02_02.xlsx&amp;sheet=U0&amp;row=666&amp;col=6&amp;number=&amp;sourceID=28","")</f>
        <v/>
      </c>
      <c r="G666" s="4" t="str">
        <f>HYPERLINK("http://141.218.60.56/~jnz1568/getInfo.php?workbook=02_02.xlsx&amp;sheet=U0&amp;row=666&amp;col=7&amp;number=&amp;sourceID=1","")</f>
        <v/>
      </c>
      <c r="H666" s="4" t="str">
        <f>HYPERLINK("http://141.218.60.56/~jnz1568/getInfo.php?workbook=02_02.xlsx&amp;sheet=U0&amp;row=666&amp;col=8&amp;number=4.398&amp;sourceID=29","4.398")</f>
        <v>4.398</v>
      </c>
      <c r="I666" s="4" t="str">
        <f>HYPERLINK("http://141.218.60.56/~jnz1568/getInfo.php?workbook=02_02.xlsx&amp;sheet=U0&amp;row=666&amp;col=9&amp;number=1.047&amp;sourceID=1","1.047")</f>
        <v>1.047</v>
      </c>
    </row>
    <row r="667" spans="1:9">
      <c r="A667" s="3"/>
      <c r="B667" s="3"/>
      <c r="C667" s="3"/>
      <c r="D667" s="3"/>
      <c r="E667" s="3">
        <v>7</v>
      </c>
      <c r="F667" s="4" t="str">
        <f>HYPERLINK("http://141.218.60.56/~jnz1568/getInfo.php?workbook=02_02.xlsx&amp;sheet=U0&amp;row=667&amp;col=6&amp;number=&amp;sourceID=28","")</f>
        <v/>
      </c>
      <c r="G667" s="4" t="str">
        <f>HYPERLINK("http://141.218.60.56/~jnz1568/getInfo.php?workbook=02_02.xlsx&amp;sheet=U0&amp;row=667&amp;col=7&amp;number=&amp;sourceID=1","")</f>
        <v/>
      </c>
      <c r="H667" s="4" t="str">
        <f>HYPERLINK("http://141.218.60.56/~jnz1568/getInfo.php?workbook=02_02.xlsx&amp;sheet=U0&amp;row=667&amp;col=8&amp;number=4.477&amp;sourceID=29","4.477")</f>
        <v>4.477</v>
      </c>
      <c r="I667" s="4" t="str">
        <f>HYPERLINK("http://141.218.60.56/~jnz1568/getInfo.php?workbook=02_02.xlsx&amp;sheet=U0&amp;row=667&amp;col=9&amp;number=0.9631&amp;sourceID=1","0.9631")</f>
        <v>0.9631</v>
      </c>
    </row>
    <row r="668" spans="1:9">
      <c r="A668" s="3">
        <v>2</v>
      </c>
      <c r="B668" s="3">
        <v>2</v>
      </c>
      <c r="C668" s="3">
        <v>14</v>
      </c>
      <c r="D668" s="3">
        <v>13</v>
      </c>
      <c r="E668" s="3">
        <v>1</v>
      </c>
      <c r="F668" s="4" t="str">
        <f>HYPERLINK("http://141.218.60.56/~jnz1568/getInfo.php?workbook=02_02.xlsx&amp;sheet=U0&amp;row=668&amp;col=6&amp;number=&amp;sourceID=28","")</f>
        <v/>
      </c>
      <c r="G668" s="4" t="str">
        <f>HYPERLINK("http://141.218.60.56/~jnz1568/getInfo.php?workbook=02_02.xlsx&amp;sheet=U0&amp;row=668&amp;col=7&amp;number=&amp;sourceID=1","")</f>
        <v/>
      </c>
      <c r="H668" s="4" t="str">
        <f>HYPERLINK("http://141.218.60.56/~jnz1568/getInfo.php?workbook=02_02.xlsx&amp;sheet=U0&amp;row=668&amp;col=8&amp;number=3.301&amp;sourceID=29","3.301")</f>
        <v>3.301</v>
      </c>
      <c r="I668" s="4" t="str">
        <f>HYPERLINK("http://141.218.60.56/~jnz1568/getInfo.php?workbook=02_02.xlsx&amp;sheet=U0&amp;row=668&amp;col=9&amp;number=4.615&amp;sourceID=1","4.615")</f>
        <v>4.615</v>
      </c>
    </row>
    <row r="669" spans="1:9">
      <c r="A669" s="3"/>
      <c r="B669" s="3"/>
      <c r="C669" s="3"/>
      <c r="D669" s="3"/>
      <c r="E669" s="3">
        <v>2</v>
      </c>
      <c r="F669" s="4" t="str">
        <f>HYPERLINK("http://141.218.60.56/~jnz1568/getInfo.php?workbook=02_02.xlsx&amp;sheet=U0&amp;row=669&amp;col=6&amp;number=&amp;sourceID=28","")</f>
        <v/>
      </c>
      <c r="G669" s="4" t="str">
        <f>HYPERLINK("http://141.218.60.56/~jnz1568/getInfo.php?workbook=02_02.xlsx&amp;sheet=U0&amp;row=669&amp;col=7&amp;number=&amp;sourceID=1","")</f>
        <v/>
      </c>
      <c r="H669" s="4" t="str">
        <f>HYPERLINK("http://141.218.60.56/~jnz1568/getInfo.php?workbook=02_02.xlsx&amp;sheet=U0&amp;row=669&amp;col=8&amp;number=3.699&amp;sourceID=29","3.699")</f>
        <v>3.699</v>
      </c>
      <c r="I669" s="4" t="str">
        <f>HYPERLINK("http://141.218.60.56/~jnz1568/getInfo.php?workbook=02_02.xlsx&amp;sheet=U0&amp;row=669&amp;col=9&amp;number=3.466&amp;sourceID=1","3.466")</f>
        <v>3.466</v>
      </c>
    </row>
    <row r="670" spans="1:9">
      <c r="A670" s="3"/>
      <c r="B670" s="3"/>
      <c r="C670" s="3"/>
      <c r="D670" s="3"/>
      <c r="E670" s="3">
        <v>3</v>
      </c>
      <c r="F670" s="4" t="str">
        <f>HYPERLINK("http://141.218.60.56/~jnz1568/getInfo.php?workbook=02_02.xlsx&amp;sheet=U0&amp;row=670&amp;col=6&amp;number=&amp;sourceID=28","")</f>
        <v/>
      </c>
      <c r="G670" s="4" t="str">
        <f>HYPERLINK("http://141.218.60.56/~jnz1568/getInfo.php?workbook=02_02.xlsx&amp;sheet=U0&amp;row=670&amp;col=7&amp;number=&amp;sourceID=1","")</f>
        <v/>
      </c>
      <c r="H670" s="4" t="str">
        <f>HYPERLINK("http://141.218.60.56/~jnz1568/getInfo.php?workbook=02_02.xlsx&amp;sheet=U0&amp;row=670&amp;col=8&amp;number=4&amp;sourceID=29","4")</f>
        <v>4</v>
      </c>
      <c r="I670" s="4" t="str">
        <f>HYPERLINK("http://141.218.60.56/~jnz1568/getInfo.php?workbook=02_02.xlsx&amp;sheet=U0&amp;row=670&amp;col=9&amp;number=2.585&amp;sourceID=1","2.585")</f>
        <v>2.585</v>
      </c>
    </row>
    <row r="671" spans="1:9">
      <c r="A671" s="3"/>
      <c r="B671" s="3"/>
      <c r="C671" s="3"/>
      <c r="D671" s="3"/>
      <c r="E671" s="3">
        <v>4</v>
      </c>
      <c r="F671" s="4" t="str">
        <f>HYPERLINK("http://141.218.60.56/~jnz1568/getInfo.php?workbook=02_02.xlsx&amp;sheet=U0&amp;row=671&amp;col=6&amp;number=&amp;sourceID=28","")</f>
        <v/>
      </c>
      <c r="G671" s="4" t="str">
        <f>HYPERLINK("http://141.218.60.56/~jnz1568/getInfo.php?workbook=02_02.xlsx&amp;sheet=U0&amp;row=671&amp;col=7&amp;number=&amp;sourceID=1","")</f>
        <v/>
      </c>
      <c r="H671" s="4" t="str">
        <f>HYPERLINK("http://141.218.60.56/~jnz1568/getInfo.php?workbook=02_02.xlsx&amp;sheet=U0&amp;row=671&amp;col=8&amp;number=4.176&amp;sourceID=29","4.176")</f>
        <v>4.176</v>
      </c>
      <c r="I671" s="4" t="str">
        <f>HYPERLINK("http://141.218.60.56/~jnz1568/getInfo.php?workbook=02_02.xlsx&amp;sheet=U0&amp;row=671&amp;col=9&amp;number=2.094&amp;sourceID=1","2.094")</f>
        <v>2.094</v>
      </c>
    </row>
    <row r="672" spans="1:9">
      <c r="A672" s="3"/>
      <c r="B672" s="3"/>
      <c r="C672" s="3"/>
      <c r="D672" s="3"/>
      <c r="E672" s="3">
        <v>5</v>
      </c>
      <c r="F672" s="4" t="str">
        <f>HYPERLINK("http://141.218.60.56/~jnz1568/getInfo.php?workbook=02_02.xlsx&amp;sheet=U0&amp;row=672&amp;col=6&amp;number=&amp;sourceID=28","")</f>
        <v/>
      </c>
      <c r="G672" s="4" t="str">
        <f>HYPERLINK("http://141.218.60.56/~jnz1568/getInfo.php?workbook=02_02.xlsx&amp;sheet=U0&amp;row=672&amp;col=7&amp;number=&amp;sourceID=1","")</f>
        <v/>
      </c>
      <c r="H672" s="4" t="str">
        <f>HYPERLINK("http://141.218.60.56/~jnz1568/getInfo.php?workbook=02_02.xlsx&amp;sheet=U0&amp;row=672&amp;col=8&amp;number=4.301&amp;sourceID=29","4.301")</f>
        <v>4.301</v>
      </c>
      <c r="I672" s="4" t="str">
        <f>HYPERLINK("http://141.218.60.56/~jnz1568/getInfo.php?workbook=02_02.xlsx&amp;sheet=U0&amp;row=672&amp;col=9&amp;number=1.771&amp;sourceID=1","1.771")</f>
        <v>1.771</v>
      </c>
    </row>
    <row r="673" spans="1:9">
      <c r="A673" s="3"/>
      <c r="B673" s="3"/>
      <c r="C673" s="3"/>
      <c r="D673" s="3"/>
      <c r="E673" s="3">
        <v>6</v>
      </c>
      <c r="F673" s="4" t="str">
        <f>HYPERLINK("http://141.218.60.56/~jnz1568/getInfo.php?workbook=02_02.xlsx&amp;sheet=U0&amp;row=673&amp;col=6&amp;number=&amp;sourceID=28","")</f>
        <v/>
      </c>
      <c r="G673" s="4" t="str">
        <f>HYPERLINK("http://141.218.60.56/~jnz1568/getInfo.php?workbook=02_02.xlsx&amp;sheet=U0&amp;row=673&amp;col=7&amp;number=&amp;sourceID=1","")</f>
        <v/>
      </c>
      <c r="H673" s="4" t="str">
        <f>HYPERLINK("http://141.218.60.56/~jnz1568/getInfo.php?workbook=02_02.xlsx&amp;sheet=U0&amp;row=673&amp;col=8&amp;number=4.398&amp;sourceID=29","4.398")</f>
        <v>4.398</v>
      </c>
      <c r="I673" s="4" t="str">
        <f>HYPERLINK("http://141.218.60.56/~jnz1568/getInfo.php?workbook=02_02.xlsx&amp;sheet=U0&amp;row=673&amp;col=9&amp;number=1.541&amp;sourceID=1","1.541")</f>
        <v>1.541</v>
      </c>
    </row>
    <row r="674" spans="1:9">
      <c r="A674" s="3"/>
      <c r="B674" s="3"/>
      <c r="C674" s="3"/>
      <c r="D674" s="3"/>
      <c r="E674" s="3">
        <v>7</v>
      </c>
      <c r="F674" s="4" t="str">
        <f>HYPERLINK("http://141.218.60.56/~jnz1568/getInfo.php?workbook=02_02.xlsx&amp;sheet=U0&amp;row=674&amp;col=6&amp;number=&amp;sourceID=28","")</f>
        <v/>
      </c>
      <c r="G674" s="4" t="str">
        <f>HYPERLINK("http://141.218.60.56/~jnz1568/getInfo.php?workbook=02_02.xlsx&amp;sheet=U0&amp;row=674&amp;col=7&amp;number=&amp;sourceID=1","")</f>
        <v/>
      </c>
      <c r="H674" s="4" t="str">
        <f>HYPERLINK("http://141.218.60.56/~jnz1568/getInfo.php?workbook=02_02.xlsx&amp;sheet=U0&amp;row=674&amp;col=8&amp;number=4.477&amp;sourceID=29","4.477")</f>
        <v>4.477</v>
      </c>
      <c r="I674" s="4" t="str">
        <f>HYPERLINK("http://141.218.60.56/~jnz1568/getInfo.php?workbook=02_02.xlsx&amp;sheet=U0&amp;row=674&amp;col=9&amp;number=1.367&amp;sourceID=1","1.367")</f>
        <v>1.367</v>
      </c>
    </row>
    <row r="675" spans="1:9">
      <c r="A675" s="3">
        <v>2</v>
      </c>
      <c r="B675" s="3">
        <v>2</v>
      </c>
      <c r="C675" s="3">
        <v>15</v>
      </c>
      <c r="D675" s="3">
        <v>1</v>
      </c>
      <c r="E675" s="3">
        <v>1</v>
      </c>
      <c r="F675" s="4" t="str">
        <f>HYPERLINK("http://141.218.60.56/~jnz1568/getInfo.php?workbook=02_02.xlsx&amp;sheet=U0&amp;row=675&amp;col=6&amp;number=3.75&amp;sourceID=28","3.75")</f>
        <v>3.75</v>
      </c>
      <c r="G675" s="4" t="str">
        <f>HYPERLINK("http://141.218.60.56/~jnz1568/getInfo.php?workbook=02_02.xlsx&amp;sheet=U0&amp;row=675&amp;col=7&amp;number=0.00103&amp;sourceID=1","0.00103")</f>
        <v>0.00103</v>
      </c>
      <c r="H675" s="4" t="str">
        <f>HYPERLINK("http://141.218.60.56/~jnz1568/getInfo.php?workbook=02_02.xlsx&amp;sheet=U0&amp;row=675&amp;col=8&amp;number=3.301&amp;sourceID=29","3.301")</f>
        <v>3.301</v>
      </c>
      <c r="I675" s="4" t="str">
        <f>HYPERLINK("http://141.218.60.56/~jnz1568/getInfo.php?workbook=02_02.xlsx&amp;sheet=U0&amp;row=675&amp;col=9&amp;number=0.000713&amp;sourceID=1","0.000713")</f>
        <v>0.000713</v>
      </c>
    </row>
    <row r="676" spans="1:9">
      <c r="A676" s="3"/>
      <c r="B676" s="3"/>
      <c r="C676" s="3"/>
      <c r="D676" s="3"/>
      <c r="E676" s="3">
        <v>2</v>
      </c>
      <c r="F676" s="4" t="str">
        <f>HYPERLINK("http://141.218.60.56/~jnz1568/getInfo.php?workbook=02_02.xlsx&amp;sheet=U0&amp;row=676&amp;col=6&amp;number=4&amp;sourceID=28","4")</f>
        <v>4</v>
      </c>
      <c r="G676" s="4" t="str">
        <f>HYPERLINK("http://141.218.60.56/~jnz1568/getInfo.php?workbook=02_02.xlsx&amp;sheet=U0&amp;row=676&amp;col=7&amp;number=0.001125&amp;sourceID=1","0.001125")</f>
        <v>0.001125</v>
      </c>
      <c r="H676" s="4" t="str">
        <f>HYPERLINK("http://141.218.60.56/~jnz1568/getInfo.php?workbook=02_02.xlsx&amp;sheet=U0&amp;row=676&amp;col=8&amp;number=3.699&amp;sourceID=29","3.699")</f>
        <v>3.699</v>
      </c>
      <c r="I676" s="4" t="str">
        <f>HYPERLINK("http://141.218.60.56/~jnz1568/getInfo.php?workbook=02_02.xlsx&amp;sheet=U0&amp;row=676&amp;col=9&amp;number=0.0009387&amp;sourceID=1","0.0009387")</f>
        <v>0.0009387</v>
      </c>
    </row>
    <row r="677" spans="1:9">
      <c r="A677" s="3"/>
      <c r="B677" s="3"/>
      <c r="C677" s="3"/>
      <c r="D677" s="3"/>
      <c r="E677" s="3">
        <v>3</v>
      </c>
      <c r="F677" s="4" t="str">
        <f>HYPERLINK("http://141.218.60.56/~jnz1568/getInfo.php?workbook=02_02.xlsx&amp;sheet=U0&amp;row=677&amp;col=6&amp;number=4.25&amp;sourceID=28","4.25")</f>
        <v>4.25</v>
      </c>
      <c r="G677" s="4" t="str">
        <f>HYPERLINK("http://141.218.60.56/~jnz1568/getInfo.php?workbook=02_02.xlsx&amp;sheet=U0&amp;row=677&amp;col=7&amp;number=0.001247&amp;sourceID=1","0.001247")</f>
        <v>0.001247</v>
      </c>
      <c r="H677" s="4" t="str">
        <f>HYPERLINK("http://141.218.60.56/~jnz1568/getInfo.php?workbook=02_02.xlsx&amp;sheet=U0&amp;row=677&amp;col=8&amp;number=4&amp;sourceID=29","4")</f>
        <v>4</v>
      </c>
      <c r="I677" s="4" t="str">
        <f>HYPERLINK("http://141.218.60.56/~jnz1568/getInfo.php?workbook=02_02.xlsx&amp;sheet=U0&amp;row=677&amp;col=9&amp;number=0.001368&amp;sourceID=1","0.001368")</f>
        <v>0.001368</v>
      </c>
    </row>
    <row r="678" spans="1:9">
      <c r="A678" s="3"/>
      <c r="B678" s="3"/>
      <c r="C678" s="3"/>
      <c r="D678" s="3"/>
      <c r="E678" s="3">
        <v>4</v>
      </c>
      <c r="F678" s="4" t="str">
        <f>HYPERLINK("http://141.218.60.56/~jnz1568/getInfo.php?workbook=02_02.xlsx&amp;sheet=U0&amp;row=678&amp;col=6&amp;number=4.5&amp;sourceID=28","4.5")</f>
        <v>4.5</v>
      </c>
      <c r="G678" s="4" t="str">
        <f>HYPERLINK("http://141.218.60.56/~jnz1568/getInfo.php?workbook=02_02.xlsx&amp;sheet=U0&amp;row=678&amp;col=7&amp;number=0.001354&amp;sourceID=1","0.001354")</f>
        <v>0.001354</v>
      </c>
      <c r="H678" s="4" t="str">
        <f>HYPERLINK("http://141.218.60.56/~jnz1568/getInfo.php?workbook=02_02.xlsx&amp;sheet=U0&amp;row=678&amp;col=8&amp;number=4.176&amp;sourceID=29","4.176")</f>
        <v>4.176</v>
      </c>
      <c r="I678" s="4" t="str">
        <f>HYPERLINK("http://141.218.60.56/~jnz1568/getInfo.php?workbook=02_02.xlsx&amp;sheet=U0&amp;row=678&amp;col=9&amp;number=0.001675&amp;sourceID=1","0.001675")</f>
        <v>0.001675</v>
      </c>
    </row>
    <row r="679" spans="1:9">
      <c r="A679" s="3"/>
      <c r="B679" s="3"/>
      <c r="C679" s="3"/>
      <c r="D679" s="3"/>
      <c r="E679" s="3">
        <v>5</v>
      </c>
      <c r="F679" s="4" t="str">
        <f>HYPERLINK("http://141.218.60.56/~jnz1568/getInfo.php?workbook=02_02.xlsx&amp;sheet=U0&amp;row=679&amp;col=6&amp;number=4.75&amp;sourceID=28","4.75")</f>
        <v>4.75</v>
      </c>
      <c r="G679" s="4" t="str">
        <f>HYPERLINK("http://141.218.60.56/~jnz1568/getInfo.php?workbook=02_02.xlsx&amp;sheet=U0&amp;row=679&amp;col=7&amp;number=0.001407&amp;sourceID=1","0.001407")</f>
        <v>0.001407</v>
      </c>
      <c r="H679" s="4" t="str">
        <f>HYPERLINK("http://141.218.60.56/~jnz1568/getInfo.php?workbook=02_02.xlsx&amp;sheet=U0&amp;row=679&amp;col=8&amp;number=4.301&amp;sourceID=29","4.301")</f>
        <v>4.301</v>
      </c>
      <c r="I679" s="4" t="str">
        <f>HYPERLINK("http://141.218.60.56/~jnz1568/getInfo.php?workbook=02_02.xlsx&amp;sheet=U0&amp;row=679&amp;col=9&amp;number=0.001864&amp;sourceID=1","0.001864")</f>
        <v>0.001864</v>
      </c>
    </row>
    <row r="680" spans="1:9">
      <c r="A680" s="3"/>
      <c r="B680" s="3"/>
      <c r="C680" s="3"/>
      <c r="D680" s="3"/>
      <c r="E680" s="3">
        <v>6</v>
      </c>
      <c r="F680" s="4" t="str">
        <f>HYPERLINK("http://141.218.60.56/~jnz1568/getInfo.php?workbook=02_02.xlsx&amp;sheet=U0&amp;row=680&amp;col=6&amp;number=5&amp;sourceID=28","5")</f>
        <v>5</v>
      </c>
      <c r="G680" s="4" t="str">
        <f>HYPERLINK("http://141.218.60.56/~jnz1568/getInfo.php?workbook=02_02.xlsx&amp;sheet=U0&amp;row=680&amp;col=7&amp;number=0.001389&amp;sourceID=1","0.001389")</f>
        <v>0.001389</v>
      </c>
      <c r="H680" s="4" t="str">
        <f>HYPERLINK("http://141.218.60.56/~jnz1568/getInfo.php?workbook=02_02.xlsx&amp;sheet=U0&amp;row=680&amp;col=8&amp;number=4.398&amp;sourceID=29","4.398")</f>
        <v>4.398</v>
      </c>
      <c r="I680" s="4" t="str">
        <f>HYPERLINK("http://141.218.60.56/~jnz1568/getInfo.php?workbook=02_02.xlsx&amp;sheet=U0&amp;row=680&amp;col=9&amp;number=0.001978&amp;sourceID=1","0.001978")</f>
        <v>0.001978</v>
      </c>
    </row>
    <row r="681" spans="1:9">
      <c r="A681" s="3"/>
      <c r="B681" s="3"/>
      <c r="C681" s="3"/>
      <c r="D681" s="3"/>
      <c r="E681" s="3">
        <v>7</v>
      </c>
      <c r="F681" s="4" t="str">
        <f>HYPERLINK("http://141.218.60.56/~jnz1568/getInfo.php?workbook=02_02.xlsx&amp;sheet=U0&amp;row=681&amp;col=6&amp;number=5.25&amp;sourceID=28","5.25")</f>
        <v>5.25</v>
      </c>
      <c r="G681" s="4" t="str">
        <f>HYPERLINK("http://141.218.60.56/~jnz1568/getInfo.php?workbook=02_02.xlsx&amp;sheet=U0&amp;row=681&amp;col=7&amp;number=0.001283&amp;sourceID=1","0.001283")</f>
        <v>0.001283</v>
      </c>
      <c r="H681" s="4" t="str">
        <f>HYPERLINK("http://141.218.60.56/~jnz1568/getInfo.php?workbook=02_02.xlsx&amp;sheet=U0&amp;row=681&amp;col=8&amp;number=4.477&amp;sourceID=29","4.477")</f>
        <v>4.477</v>
      </c>
      <c r="I681" s="4" t="str">
        <f>HYPERLINK("http://141.218.60.56/~jnz1568/getInfo.php?workbook=02_02.xlsx&amp;sheet=U0&amp;row=681&amp;col=9&amp;number=0.002042&amp;sourceID=1","0.002042")</f>
        <v>0.002042</v>
      </c>
    </row>
    <row r="682" spans="1:9">
      <c r="A682" s="3"/>
      <c r="B682" s="3"/>
      <c r="C682" s="3"/>
      <c r="D682" s="3"/>
      <c r="E682" s="3">
        <v>8</v>
      </c>
      <c r="F682" s="4" t="str">
        <f>HYPERLINK("http://141.218.60.56/~jnz1568/getInfo.php?workbook=02_02.xlsx&amp;sheet=U0&amp;row=682&amp;col=6&amp;number=5.5&amp;sourceID=28","5.5")</f>
        <v>5.5</v>
      </c>
      <c r="G682" s="4" t="str">
        <f>HYPERLINK("http://141.218.60.56/~jnz1568/getInfo.php?workbook=02_02.xlsx&amp;sheet=U0&amp;row=682&amp;col=7&amp;number=0.001087&amp;sourceID=1","0.001087")</f>
        <v>0.001087</v>
      </c>
      <c r="H682" s="4" t="str">
        <f>HYPERLINK("http://141.218.60.56/~jnz1568/getInfo.php?workbook=02_02.xlsx&amp;sheet=U0&amp;row=682&amp;col=8&amp;number=&amp;sourceID=29","")</f>
        <v/>
      </c>
      <c r="I682" s="4" t="str">
        <f>HYPERLINK("http://141.218.60.56/~jnz1568/getInfo.php?workbook=02_02.xlsx&amp;sheet=U0&amp;row=682&amp;col=9&amp;number=&amp;sourceID=1","")</f>
        <v/>
      </c>
    </row>
    <row r="683" spans="1:9">
      <c r="A683" s="3"/>
      <c r="B683" s="3"/>
      <c r="C683" s="3"/>
      <c r="D683" s="3"/>
      <c r="E683" s="3">
        <v>9</v>
      </c>
      <c r="F683" s="4" t="str">
        <f>HYPERLINK("http://141.218.60.56/~jnz1568/getInfo.php?workbook=02_02.xlsx&amp;sheet=U0&amp;row=683&amp;col=6&amp;number=5.75&amp;sourceID=28","5.75")</f>
        <v>5.75</v>
      </c>
      <c r="G683" s="4" t="str">
        <f>HYPERLINK("http://141.218.60.56/~jnz1568/getInfo.php?workbook=02_02.xlsx&amp;sheet=U0&amp;row=683&amp;col=7&amp;number=0.0008368&amp;sourceID=1","0.0008368")</f>
        <v>0.0008368</v>
      </c>
      <c r="H683" s="4" t="str">
        <f>HYPERLINK("http://141.218.60.56/~jnz1568/getInfo.php?workbook=02_02.xlsx&amp;sheet=U0&amp;row=683&amp;col=8&amp;number=&amp;sourceID=29","")</f>
        <v/>
      </c>
      <c r="I683" s="4" t="str">
        <f>HYPERLINK("http://141.218.60.56/~jnz1568/getInfo.php?workbook=02_02.xlsx&amp;sheet=U0&amp;row=683&amp;col=9&amp;number=&amp;sourceID=1","")</f>
        <v/>
      </c>
    </row>
    <row r="684" spans="1:9">
      <c r="A684" s="3">
        <v>2</v>
      </c>
      <c r="B684" s="3">
        <v>2</v>
      </c>
      <c r="C684" s="3">
        <v>15</v>
      </c>
      <c r="D684" s="3">
        <v>2</v>
      </c>
      <c r="E684" s="3">
        <v>1</v>
      </c>
      <c r="F684" s="4" t="str">
        <f>HYPERLINK("http://141.218.60.56/~jnz1568/getInfo.php?workbook=02_02.xlsx&amp;sheet=U0&amp;row=684&amp;col=6&amp;number=3.75&amp;sourceID=28","3.75")</f>
        <v>3.75</v>
      </c>
      <c r="G684" s="4" t="str">
        <f>HYPERLINK("http://141.218.60.56/~jnz1568/getInfo.php?workbook=02_02.xlsx&amp;sheet=U0&amp;row=684&amp;col=7&amp;number=0.3528&amp;sourceID=1","0.3528")</f>
        <v>0.3528</v>
      </c>
      <c r="H684" s="4" t="str">
        <f>HYPERLINK("http://141.218.60.56/~jnz1568/getInfo.php?workbook=02_02.xlsx&amp;sheet=U0&amp;row=684&amp;col=8&amp;number=3.301&amp;sourceID=29","3.301")</f>
        <v>3.301</v>
      </c>
      <c r="I684" s="4" t="str">
        <f>HYPERLINK("http://141.218.60.56/~jnz1568/getInfo.php?workbook=02_02.xlsx&amp;sheet=U0&amp;row=684&amp;col=9&amp;number=0.2802&amp;sourceID=1","0.2802")</f>
        <v>0.2802</v>
      </c>
    </row>
    <row r="685" spans="1:9">
      <c r="A685" s="3"/>
      <c r="B685" s="3"/>
      <c r="C685" s="3"/>
      <c r="D685" s="3"/>
      <c r="E685" s="3">
        <v>2</v>
      </c>
      <c r="F685" s="4" t="str">
        <f>HYPERLINK("http://141.218.60.56/~jnz1568/getInfo.php?workbook=02_02.xlsx&amp;sheet=U0&amp;row=685&amp;col=6&amp;number=4&amp;sourceID=28","4")</f>
        <v>4</v>
      </c>
      <c r="G685" s="4" t="str">
        <f>HYPERLINK("http://141.218.60.56/~jnz1568/getInfo.php?workbook=02_02.xlsx&amp;sheet=U0&amp;row=685&amp;col=7&amp;number=0.4605&amp;sourceID=1","0.4605")</f>
        <v>0.4605</v>
      </c>
      <c r="H685" s="4" t="str">
        <f>HYPERLINK("http://141.218.60.56/~jnz1568/getInfo.php?workbook=02_02.xlsx&amp;sheet=U0&amp;row=685&amp;col=8&amp;number=3.699&amp;sourceID=29","3.699")</f>
        <v>3.699</v>
      </c>
      <c r="I685" s="4" t="str">
        <f>HYPERLINK("http://141.218.60.56/~jnz1568/getInfo.php?workbook=02_02.xlsx&amp;sheet=U0&amp;row=685&amp;col=9&amp;number=0.4061&amp;sourceID=1","0.4061")</f>
        <v>0.4061</v>
      </c>
    </row>
    <row r="686" spans="1:9">
      <c r="A686" s="3"/>
      <c r="B686" s="3"/>
      <c r="C686" s="3"/>
      <c r="D686" s="3"/>
      <c r="E686" s="3">
        <v>3</v>
      </c>
      <c r="F686" s="4" t="str">
        <f>HYPERLINK("http://141.218.60.56/~jnz1568/getInfo.php?workbook=02_02.xlsx&amp;sheet=U0&amp;row=686&amp;col=6&amp;number=4.25&amp;sourceID=28","4.25")</f>
        <v>4.25</v>
      </c>
      <c r="G686" s="4" t="str">
        <f>HYPERLINK("http://141.218.60.56/~jnz1568/getInfo.php?workbook=02_02.xlsx&amp;sheet=U0&amp;row=686&amp;col=7&amp;number=0.6158&amp;sourceID=1","0.6158")</f>
        <v>0.6158</v>
      </c>
      <c r="H686" s="4" t="str">
        <f>HYPERLINK("http://141.218.60.56/~jnz1568/getInfo.php?workbook=02_02.xlsx&amp;sheet=U0&amp;row=686&amp;col=8&amp;number=4&amp;sourceID=29","4")</f>
        <v>4</v>
      </c>
      <c r="I686" s="4" t="str">
        <f>HYPERLINK("http://141.218.60.56/~jnz1568/getInfo.php?workbook=02_02.xlsx&amp;sheet=U0&amp;row=686&amp;col=9&amp;number=0.7329&amp;sourceID=1","0.7329")</f>
        <v>0.7329</v>
      </c>
    </row>
    <row r="687" spans="1:9">
      <c r="A687" s="3"/>
      <c r="B687" s="3"/>
      <c r="C687" s="3"/>
      <c r="D687" s="3"/>
      <c r="E687" s="3">
        <v>4</v>
      </c>
      <c r="F687" s="4" t="str">
        <f>HYPERLINK("http://141.218.60.56/~jnz1568/getInfo.php?workbook=02_02.xlsx&amp;sheet=U0&amp;row=687&amp;col=6&amp;number=4.5&amp;sourceID=28","4.5")</f>
        <v>4.5</v>
      </c>
      <c r="G687" s="4" t="str">
        <f>HYPERLINK("http://141.218.60.56/~jnz1568/getInfo.php?workbook=02_02.xlsx&amp;sheet=U0&amp;row=687&amp;col=7&amp;number=0.8407&amp;sourceID=1","0.8407")</f>
        <v>0.8407</v>
      </c>
      <c r="H687" s="4" t="str">
        <f>HYPERLINK("http://141.218.60.56/~jnz1568/getInfo.php?workbook=02_02.xlsx&amp;sheet=U0&amp;row=687&amp;col=8&amp;number=4.176&amp;sourceID=29","4.176")</f>
        <v>4.176</v>
      </c>
      <c r="I687" s="4" t="str">
        <f>HYPERLINK("http://141.218.60.56/~jnz1568/getInfo.php?workbook=02_02.xlsx&amp;sheet=U0&amp;row=687&amp;col=9&amp;number=1.071&amp;sourceID=1","1.071")</f>
        <v>1.071</v>
      </c>
    </row>
    <row r="688" spans="1:9">
      <c r="A688" s="3"/>
      <c r="B688" s="3"/>
      <c r="C688" s="3"/>
      <c r="D688" s="3"/>
      <c r="E688" s="3">
        <v>5</v>
      </c>
      <c r="F688" s="4" t="str">
        <f>HYPERLINK("http://141.218.60.56/~jnz1568/getInfo.php?workbook=02_02.xlsx&amp;sheet=U0&amp;row=688&amp;col=6&amp;number=4.75&amp;sourceID=28","4.75")</f>
        <v>4.75</v>
      </c>
      <c r="G688" s="4" t="str">
        <f>HYPERLINK("http://141.218.60.56/~jnz1568/getInfo.php?workbook=02_02.xlsx&amp;sheet=U0&amp;row=688&amp;col=7&amp;number=1.182&amp;sourceID=1","1.182")</f>
        <v>1.182</v>
      </c>
      <c r="H688" s="4" t="str">
        <f>HYPERLINK("http://141.218.60.56/~jnz1568/getInfo.php?workbook=02_02.xlsx&amp;sheet=U0&amp;row=688&amp;col=8&amp;number=4.301&amp;sourceID=29","4.301")</f>
        <v>4.301</v>
      </c>
      <c r="I688" s="4" t="str">
        <f>HYPERLINK("http://141.218.60.56/~jnz1568/getInfo.php?workbook=02_02.xlsx&amp;sheet=U0&amp;row=688&amp;col=9&amp;number=1.36&amp;sourceID=1","1.36")</f>
        <v>1.36</v>
      </c>
    </row>
    <row r="689" spans="1:9">
      <c r="A689" s="3"/>
      <c r="B689" s="3"/>
      <c r="C689" s="3"/>
      <c r="D689" s="3"/>
      <c r="E689" s="3">
        <v>6</v>
      </c>
      <c r="F689" s="4" t="str">
        <f>HYPERLINK("http://141.218.60.56/~jnz1568/getInfo.php?workbook=02_02.xlsx&amp;sheet=U0&amp;row=689&amp;col=6&amp;number=5&amp;sourceID=28","5")</f>
        <v>5</v>
      </c>
      <c r="G689" s="4" t="str">
        <f>HYPERLINK("http://141.218.60.56/~jnz1568/getInfo.php?workbook=02_02.xlsx&amp;sheet=U0&amp;row=689&amp;col=7&amp;number=1.672&amp;sourceID=1","1.672")</f>
        <v>1.672</v>
      </c>
      <c r="H689" s="4" t="str">
        <f>HYPERLINK("http://141.218.60.56/~jnz1568/getInfo.php?workbook=02_02.xlsx&amp;sheet=U0&amp;row=689&amp;col=8&amp;number=4.398&amp;sourceID=29","4.398")</f>
        <v>4.398</v>
      </c>
      <c r="I689" s="4" t="str">
        <f>HYPERLINK("http://141.218.60.56/~jnz1568/getInfo.php?workbook=02_02.xlsx&amp;sheet=U0&amp;row=689&amp;col=9&amp;number=1.589&amp;sourceID=1","1.589")</f>
        <v>1.589</v>
      </c>
    </row>
    <row r="690" spans="1:9">
      <c r="A690" s="3"/>
      <c r="B690" s="3"/>
      <c r="C690" s="3"/>
      <c r="D690" s="3"/>
      <c r="E690" s="3">
        <v>7</v>
      </c>
      <c r="F690" s="4" t="str">
        <f>HYPERLINK("http://141.218.60.56/~jnz1568/getInfo.php?workbook=02_02.xlsx&amp;sheet=U0&amp;row=690&amp;col=6&amp;number=5.25&amp;sourceID=28","5.25")</f>
        <v>5.25</v>
      </c>
      <c r="G690" s="4" t="str">
        <f>HYPERLINK("http://141.218.60.56/~jnz1568/getInfo.php?workbook=02_02.xlsx&amp;sheet=U0&amp;row=690&amp;col=7&amp;number=2.262&amp;sourceID=1","2.262")</f>
        <v>2.262</v>
      </c>
      <c r="H690" s="4" t="str">
        <f>HYPERLINK("http://141.218.60.56/~jnz1568/getInfo.php?workbook=02_02.xlsx&amp;sheet=U0&amp;row=690&amp;col=8&amp;number=4.477&amp;sourceID=29","4.477")</f>
        <v>4.477</v>
      </c>
      <c r="I690" s="4" t="str">
        <f>HYPERLINK("http://141.218.60.56/~jnz1568/getInfo.php?workbook=02_02.xlsx&amp;sheet=U0&amp;row=690&amp;col=9&amp;number=1.761&amp;sourceID=1","1.761")</f>
        <v>1.761</v>
      </c>
    </row>
    <row r="691" spans="1:9">
      <c r="A691" s="3"/>
      <c r="B691" s="3"/>
      <c r="C691" s="3"/>
      <c r="D691" s="3"/>
      <c r="E691" s="3">
        <v>8</v>
      </c>
      <c r="F691" s="4" t="str">
        <f>HYPERLINK("http://141.218.60.56/~jnz1568/getInfo.php?workbook=02_02.xlsx&amp;sheet=U0&amp;row=691&amp;col=6&amp;number=5.5&amp;sourceID=28","5.5")</f>
        <v>5.5</v>
      </c>
      <c r="G691" s="4" t="str">
        <f>HYPERLINK("http://141.218.60.56/~jnz1568/getInfo.php?workbook=02_02.xlsx&amp;sheet=U0&amp;row=691&amp;col=7&amp;number=2.841&amp;sourceID=1","2.841")</f>
        <v>2.841</v>
      </c>
      <c r="H691" s="4" t="str">
        <f>HYPERLINK("http://141.218.60.56/~jnz1568/getInfo.php?workbook=02_02.xlsx&amp;sheet=U0&amp;row=691&amp;col=8&amp;number=&amp;sourceID=29","")</f>
        <v/>
      </c>
      <c r="I691" s="4" t="str">
        <f>HYPERLINK("http://141.218.60.56/~jnz1568/getInfo.php?workbook=02_02.xlsx&amp;sheet=U0&amp;row=691&amp;col=9&amp;number=&amp;sourceID=1","")</f>
        <v/>
      </c>
    </row>
    <row r="692" spans="1:9">
      <c r="A692" s="3"/>
      <c r="B692" s="3"/>
      <c r="C692" s="3"/>
      <c r="D692" s="3"/>
      <c r="E692" s="3">
        <v>9</v>
      </c>
      <c r="F692" s="4" t="str">
        <f>HYPERLINK("http://141.218.60.56/~jnz1568/getInfo.php?workbook=02_02.xlsx&amp;sheet=U0&amp;row=692&amp;col=6&amp;number=5.75&amp;sourceID=28","5.75")</f>
        <v>5.75</v>
      </c>
      <c r="G692" s="4" t="str">
        <f>HYPERLINK("http://141.218.60.56/~jnz1568/getInfo.php?workbook=02_02.xlsx&amp;sheet=U0&amp;row=692&amp;col=7&amp;number=3.319&amp;sourceID=1","3.319")</f>
        <v>3.319</v>
      </c>
      <c r="H692" s="4" t="str">
        <f>HYPERLINK("http://141.218.60.56/~jnz1568/getInfo.php?workbook=02_02.xlsx&amp;sheet=U0&amp;row=692&amp;col=8&amp;number=&amp;sourceID=29","")</f>
        <v/>
      </c>
      <c r="I692" s="4" t="str">
        <f>HYPERLINK("http://141.218.60.56/~jnz1568/getInfo.php?workbook=02_02.xlsx&amp;sheet=U0&amp;row=692&amp;col=9&amp;number=&amp;sourceID=1","")</f>
        <v/>
      </c>
    </row>
    <row r="693" spans="1:9">
      <c r="A693" s="3">
        <v>2</v>
      </c>
      <c r="B693" s="3">
        <v>2</v>
      </c>
      <c r="C693" s="3">
        <v>15</v>
      </c>
      <c r="D693" s="3">
        <v>3</v>
      </c>
      <c r="E693" s="3">
        <v>1</v>
      </c>
      <c r="F693" s="4" t="str">
        <f>HYPERLINK("http://141.218.60.56/~jnz1568/getInfo.php?workbook=02_02.xlsx&amp;sheet=U0&amp;row=693&amp;col=6&amp;number=3.75&amp;sourceID=28","3.75")</f>
        <v>3.75</v>
      </c>
      <c r="G693" s="4" t="str">
        <f>HYPERLINK("http://141.218.60.56/~jnz1568/getInfo.php?workbook=02_02.xlsx&amp;sheet=U0&amp;row=693&amp;col=7&amp;number=0.07885&amp;sourceID=1","0.07885")</f>
        <v>0.07885</v>
      </c>
      <c r="H693" s="4" t="str">
        <f>HYPERLINK("http://141.218.60.56/~jnz1568/getInfo.php?workbook=02_02.xlsx&amp;sheet=U0&amp;row=693&amp;col=8&amp;number=3.301&amp;sourceID=29","3.301")</f>
        <v>3.301</v>
      </c>
      <c r="I693" s="4" t="str">
        <f>HYPERLINK("http://141.218.60.56/~jnz1568/getInfo.php?workbook=02_02.xlsx&amp;sheet=U0&amp;row=693&amp;col=9&amp;number=0.06762&amp;sourceID=1","0.06762")</f>
        <v>0.06762</v>
      </c>
    </row>
    <row r="694" spans="1:9">
      <c r="A694" s="3"/>
      <c r="B694" s="3"/>
      <c r="C694" s="3"/>
      <c r="D694" s="3"/>
      <c r="E694" s="3">
        <v>2</v>
      </c>
      <c r="F694" s="4" t="str">
        <f>HYPERLINK("http://141.218.60.56/~jnz1568/getInfo.php?workbook=02_02.xlsx&amp;sheet=U0&amp;row=694&amp;col=6&amp;number=4&amp;sourceID=28","4")</f>
        <v>4</v>
      </c>
      <c r="G694" s="4" t="str">
        <f>HYPERLINK("http://141.218.60.56/~jnz1568/getInfo.php?workbook=02_02.xlsx&amp;sheet=U0&amp;row=694&amp;col=7&amp;number=0.08766&amp;sourceID=1","0.08766")</f>
        <v>0.08766</v>
      </c>
      <c r="H694" s="4" t="str">
        <f>HYPERLINK("http://141.218.60.56/~jnz1568/getInfo.php?workbook=02_02.xlsx&amp;sheet=U0&amp;row=694&amp;col=8&amp;number=3.699&amp;sourceID=29","3.699")</f>
        <v>3.699</v>
      </c>
      <c r="I694" s="4" t="str">
        <f>HYPERLINK("http://141.218.60.56/~jnz1568/getInfo.php?workbook=02_02.xlsx&amp;sheet=U0&amp;row=694&amp;col=9&amp;number=0.08744&amp;sourceID=1","0.08744")</f>
        <v>0.08744</v>
      </c>
    </row>
    <row r="695" spans="1:9">
      <c r="A695" s="3"/>
      <c r="B695" s="3"/>
      <c r="C695" s="3"/>
      <c r="D695" s="3"/>
      <c r="E695" s="3">
        <v>3</v>
      </c>
      <c r="F695" s="4" t="str">
        <f>HYPERLINK("http://141.218.60.56/~jnz1568/getInfo.php?workbook=02_02.xlsx&amp;sheet=U0&amp;row=695&amp;col=6&amp;number=4.25&amp;sourceID=28","4.25")</f>
        <v>4.25</v>
      </c>
      <c r="G695" s="4" t="str">
        <f>HYPERLINK("http://141.218.60.56/~jnz1568/getInfo.php?workbook=02_02.xlsx&amp;sheet=U0&amp;row=695&amp;col=7&amp;number=0.09224&amp;sourceID=1","0.09224")</f>
        <v>0.09224</v>
      </c>
      <c r="H695" s="4" t="str">
        <f>HYPERLINK("http://141.218.60.56/~jnz1568/getInfo.php?workbook=02_02.xlsx&amp;sheet=U0&amp;row=695&amp;col=8&amp;number=4&amp;sourceID=29","4")</f>
        <v>4</v>
      </c>
      <c r="I695" s="4" t="str">
        <f>HYPERLINK("http://141.218.60.56/~jnz1568/getInfo.php?workbook=02_02.xlsx&amp;sheet=U0&amp;row=695&amp;col=9&amp;number=0.1244&amp;sourceID=1","0.1244")</f>
        <v>0.1244</v>
      </c>
    </row>
    <row r="696" spans="1:9">
      <c r="A696" s="3"/>
      <c r="B696" s="3"/>
      <c r="C696" s="3"/>
      <c r="D696" s="3"/>
      <c r="E696" s="3">
        <v>4</v>
      </c>
      <c r="F696" s="4" t="str">
        <f>HYPERLINK("http://141.218.60.56/~jnz1568/getInfo.php?workbook=02_02.xlsx&amp;sheet=U0&amp;row=696&amp;col=6&amp;number=4.5&amp;sourceID=28","4.5")</f>
        <v>4.5</v>
      </c>
      <c r="G696" s="4" t="str">
        <f>HYPERLINK("http://141.218.60.56/~jnz1568/getInfo.php?workbook=02_02.xlsx&amp;sheet=U0&amp;row=696&amp;col=7&amp;number=0.09066&amp;sourceID=1","0.09066")</f>
        <v>0.09066</v>
      </c>
      <c r="H696" s="4" t="str">
        <f>HYPERLINK("http://141.218.60.56/~jnz1568/getInfo.php?workbook=02_02.xlsx&amp;sheet=U0&amp;row=696&amp;col=8&amp;number=4.176&amp;sourceID=29","4.176")</f>
        <v>4.176</v>
      </c>
      <c r="I696" s="4" t="str">
        <f>HYPERLINK("http://141.218.60.56/~jnz1568/getInfo.php?workbook=02_02.xlsx&amp;sheet=U0&amp;row=696&amp;col=9&amp;number=0.1558&amp;sourceID=1","0.1558")</f>
        <v>0.1558</v>
      </c>
    </row>
    <row r="697" spans="1:9">
      <c r="A697" s="3"/>
      <c r="B697" s="3"/>
      <c r="C697" s="3"/>
      <c r="D697" s="3"/>
      <c r="E697" s="3">
        <v>5</v>
      </c>
      <c r="F697" s="4" t="str">
        <f>HYPERLINK("http://141.218.60.56/~jnz1568/getInfo.php?workbook=02_02.xlsx&amp;sheet=U0&amp;row=697&amp;col=6&amp;number=4.75&amp;sourceID=28","4.75")</f>
        <v>4.75</v>
      </c>
      <c r="G697" s="4" t="str">
        <f>HYPERLINK("http://141.218.60.56/~jnz1568/getInfo.php?workbook=02_02.xlsx&amp;sheet=U0&amp;row=697&amp;col=7&amp;number=0.08324&amp;sourceID=1","0.08324")</f>
        <v>0.08324</v>
      </c>
      <c r="H697" s="4" t="str">
        <f>HYPERLINK("http://141.218.60.56/~jnz1568/getInfo.php?workbook=02_02.xlsx&amp;sheet=U0&amp;row=697&amp;col=8&amp;number=4.301&amp;sourceID=29","4.301")</f>
        <v>4.301</v>
      </c>
      <c r="I697" s="4" t="str">
        <f>HYPERLINK("http://141.218.60.56/~jnz1568/getInfo.php?workbook=02_02.xlsx&amp;sheet=U0&amp;row=697&amp;col=9&amp;number=0.177&amp;sourceID=1","0.177")</f>
        <v>0.177</v>
      </c>
    </row>
    <row r="698" spans="1:9">
      <c r="A698" s="3"/>
      <c r="B698" s="3"/>
      <c r="C698" s="3"/>
      <c r="D698" s="3"/>
      <c r="E698" s="3">
        <v>6</v>
      </c>
      <c r="F698" s="4" t="str">
        <f>HYPERLINK("http://141.218.60.56/~jnz1568/getInfo.php?workbook=02_02.xlsx&amp;sheet=U0&amp;row=698&amp;col=6&amp;number=5&amp;sourceID=28","5")</f>
        <v>5</v>
      </c>
      <c r="G698" s="4" t="str">
        <f>HYPERLINK("http://141.218.60.56/~jnz1568/getInfo.php?workbook=02_02.xlsx&amp;sheet=U0&amp;row=698&amp;col=7&amp;number=0.0709&amp;sourceID=1","0.0709")</f>
        <v>0.0709</v>
      </c>
      <c r="H698" s="4" t="str">
        <f>HYPERLINK("http://141.218.60.56/~jnz1568/getInfo.php?workbook=02_02.xlsx&amp;sheet=U0&amp;row=698&amp;col=8&amp;number=4.398&amp;sourceID=29","4.398")</f>
        <v>4.398</v>
      </c>
      <c r="I698" s="4" t="str">
        <f>HYPERLINK("http://141.218.60.56/~jnz1568/getInfo.php?workbook=02_02.xlsx&amp;sheet=U0&amp;row=698&amp;col=9&amp;number=0.1899&amp;sourceID=1","0.1899")</f>
        <v>0.1899</v>
      </c>
    </row>
    <row r="699" spans="1:9">
      <c r="A699" s="3"/>
      <c r="B699" s="3"/>
      <c r="C699" s="3"/>
      <c r="D699" s="3"/>
      <c r="E699" s="3">
        <v>7</v>
      </c>
      <c r="F699" s="4" t="str">
        <f>HYPERLINK("http://141.218.60.56/~jnz1568/getInfo.php?workbook=02_02.xlsx&amp;sheet=U0&amp;row=699&amp;col=6&amp;number=5.25&amp;sourceID=28","5.25")</f>
        <v>5.25</v>
      </c>
      <c r="G699" s="4" t="str">
        <f>HYPERLINK("http://141.218.60.56/~jnz1568/getInfo.php?workbook=02_02.xlsx&amp;sheet=U0&amp;row=699&amp;col=7&amp;number=0.05558&amp;sourceID=1","0.05558")</f>
        <v>0.05558</v>
      </c>
      <c r="H699" s="4" t="str">
        <f>HYPERLINK("http://141.218.60.56/~jnz1568/getInfo.php?workbook=02_02.xlsx&amp;sheet=U0&amp;row=699&amp;col=8&amp;number=4.477&amp;sourceID=29","4.477")</f>
        <v>4.477</v>
      </c>
      <c r="I699" s="4" t="str">
        <f>HYPERLINK("http://141.218.60.56/~jnz1568/getInfo.php?workbook=02_02.xlsx&amp;sheet=U0&amp;row=699&amp;col=9&amp;number=0.1967&amp;sourceID=1","0.1967")</f>
        <v>0.1967</v>
      </c>
    </row>
    <row r="700" spans="1:9">
      <c r="A700" s="3"/>
      <c r="B700" s="3"/>
      <c r="C700" s="3"/>
      <c r="D700" s="3"/>
      <c r="E700" s="3">
        <v>8</v>
      </c>
      <c r="F700" s="4" t="str">
        <f>HYPERLINK("http://141.218.60.56/~jnz1568/getInfo.php?workbook=02_02.xlsx&amp;sheet=U0&amp;row=700&amp;col=6&amp;number=5.5&amp;sourceID=28","5.5")</f>
        <v>5.5</v>
      </c>
      <c r="G700" s="4" t="str">
        <f>HYPERLINK("http://141.218.60.56/~jnz1568/getInfo.php?workbook=02_02.xlsx&amp;sheet=U0&amp;row=700&amp;col=7&amp;number=0.04019&amp;sourceID=1","0.04019")</f>
        <v>0.04019</v>
      </c>
      <c r="H700" s="4" t="str">
        <f>HYPERLINK("http://141.218.60.56/~jnz1568/getInfo.php?workbook=02_02.xlsx&amp;sheet=U0&amp;row=700&amp;col=8&amp;number=&amp;sourceID=29","")</f>
        <v/>
      </c>
      <c r="I700" s="4" t="str">
        <f>HYPERLINK("http://141.218.60.56/~jnz1568/getInfo.php?workbook=02_02.xlsx&amp;sheet=U0&amp;row=700&amp;col=9&amp;number=&amp;sourceID=1","")</f>
        <v/>
      </c>
    </row>
    <row r="701" spans="1:9">
      <c r="A701" s="3"/>
      <c r="B701" s="3"/>
      <c r="C701" s="3"/>
      <c r="D701" s="3"/>
      <c r="E701" s="3">
        <v>9</v>
      </c>
      <c r="F701" s="4" t="str">
        <f>HYPERLINK("http://141.218.60.56/~jnz1568/getInfo.php?workbook=02_02.xlsx&amp;sheet=U0&amp;row=701&amp;col=6&amp;number=5.75&amp;sourceID=28","5.75")</f>
        <v>5.75</v>
      </c>
      <c r="G701" s="4" t="str">
        <f>HYPERLINK("http://141.218.60.56/~jnz1568/getInfo.php?workbook=02_02.xlsx&amp;sheet=U0&amp;row=701&amp;col=7&amp;number=0.02714&amp;sourceID=1","0.02714")</f>
        <v>0.02714</v>
      </c>
      <c r="H701" s="4" t="str">
        <f>HYPERLINK("http://141.218.60.56/~jnz1568/getInfo.php?workbook=02_02.xlsx&amp;sheet=U0&amp;row=701&amp;col=8&amp;number=&amp;sourceID=29","")</f>
        <v/>
      </c>
      <c r="I701" s="4" t="str">
        <f>HYPERLINK("http://141.218.60.56/~jnz1568/getInfo.php?workbook=02_02.xlsx&amp;sheet=U0&amp;row=701&amp;col=9&amp;number=&amp;sourceID=1","")</f>
        <v/>
      </c>
    </row>
    <row r="702" spans="1:9">
      <c r="A702" s="3">
        <v>2</v>
      </c>
      <c r="B702" s="3">
        <v>2</v>
      </c>
      <c r="C702" s="3">
        <v>15</v>
      </c>
      <c r="D702" s="3">
        <v>4</v>
      </c>
      <c r="E702" s="3">
        <v>1</v>
      </c>
      <c r="F702" s="4" t="str">
        <f>HYPERLINK("http://141.218.60.56/~jnz1568/getInfo.php?workbook=02_02.xlsx&amp;sheet=U0&amp;row=702&amp;col=6&amp;number=3.75&amp;sourceID=28","3.75")</f>
        <v>3.75</v>
      </c>
      <c r="G702" s="4" t="str">
        <f>HYPERLINK("http://141.218.60.56/~jnz1568/getInfo.php?workbook=02_02.xlsx&amp;sheet=U0&amp;row=702&amp;col=7&amp;number=2.86&amp;sourceID=1","2.86")</f>
        <v>2.86</v>
      </c>
      <c r="H702" s="4" t="str">
        <f>HYPERLINK("http://141.218.60.56/~jnz1568/getInfo.php?workbook=02_02.xlsx&amp;sheet=U0&amp;row=702&amp;col=8&amp;number=3.301&amp;sourceID=29","3.301")</f>
        <v>3.301</v>
      </c>
      <c r="I702" s="4" t="str">
        <f>HYPERLINK("http://141.218.60.56/~jnz1568/getInfo.php?workbook=02_02.xlsx&amp;sheet=U0&amp;row=702&amp;col=9&amp;number=1.058&amp;sourceID=1","1.058")</f>
        <v>1.058</v>
      </c>
    </row>
    <row r="703" spans="1:9">
      <c r="A703" s="3"/>
      <c r="B703" s="3"/>
      <c r="C703" s="3"/>
      <c r="D703" s="3"/>
      <c r="E703" s="3">
        <v>2</v>
      </c>
      <c r="F703" s="4" t="str">
        <f>HYPERLINK("http://141.218.60.56/~jnz1568/getInfo.php?workbook=02_02.xlsx&amp;sheet=U0&amp;row=703&amp;col=6&amp;number=4&amp;sourceID=28","4")</f>
        <v>4</v>
      </c>
      <c r="G703" s="4" t="str">
        <f>HYPERLINK("http://141.218.60.56/~jnz1568/getInfo.php?workbook=02_02.xlsx&amp;sheet=U0&amp;row=703&amp;col=7&amp;number=3.613&amp;sourceID=1","3.613")</f>
        <v>3.613</v>
      </c>
      <c r="H703" s="4" t="str">
        <f>HYPERLINK("http://141.218.60.56/~jnz1568/getInfo.php?workbook=02_02.xlsx&amp;sheet=U0&amp;row=703&amp;col=8&amp;number=3.699&amp;sourceID=29","3.699")</f>
        <v>3.699</v>
      </c>
      <c r="I703" s="4" t="str">
        <f>HYPERLINK("http://141.218.60.56/~jnz1568/getInfo.php?workbook=02_02.xlsx&amp;sheet=U0&amp;row=703&amp;col=9&amp;number=1.478&amp;sourceID=1","1.478")</f>
        <v>1.478</v>
      </c>
    </row>
    <row r="704" spans="1:9">
      <c r="A704" s="3"/>
      <c r="B704" s="3"/>
      <c r="C704" s="3"/>
      <c r="D704" s="3"/>
      <c r="E704" s="3">
        <v>3</v>
      </c>
      <c r="F704" s="4" t="str">
        <f>HYPERLINK("http://141.218.60.56/~jnz1568/getInfo.php?workbook=02_02.xlsx&amp;sheet=U0&amp;row=704&amp;col=6&amp;number=4.25&amp;sourceID=28","4.25")</f>
        <v>4.25</v>
      </c>
      <c r="G704" s="4" t="str">
        <f>HYPERLINK("http://141.218.60.56/~jnz1568/getInfo.php?workbook=02_02.xlsx&amp;sheet=U0&amp;row=704&amp;col=7&amp;number=4.82&amp;sourceID=1","4.82")</f>
        <v>4.82</v>
      </c>
      <c r="H704" s="4" t="str">
        <f>HYPERLINK("http://141.218.60.56/~jnz1568/getInfo.php?workbook=02_02.xlsx&amp;sheet=U0&amp;row=704&amp;col=8&amp;number=4&amp;sourceID=29","4")</f>
        <v>4</v>
      </c>
      <c r="I704" s="4" t="str">
        <f>HYPERLINK("http://141.218.60.56/~jnz1568/getInfo.php?workbook=02_02.xlsx&amp;sheet=U0&amp;row=704&amp;col=9&amp;number=2.714&amp;sourceID=1","2.714")</f>
        <v>2.714</v>
      </c>
    </row>
    <row r="705" spans="1:9">
      <c r="A705" s="3"/>
      <c r="B705" s="3"/>
      <c r="C705" s="3"/>
      <c r="D705" s="3"/>
      <c r="E705" s="3">
        <v>4</v>
      </c>
      <c r="F705" s="4" t="str">
        <f>HYPERLINK("http://141.218.60.56/~jnz1568/getInfo.php?workbook=02_02.xlsx&amp;sheet=U0&amp;row=705&amp;col=6&amp;number=4.5&amp;sourceID=28","4.5")</f>
        <v>4.5</v>
      </c>
      <c r="G705" s="4" t="str">
        <f>HYPERLINK("http://141.218.60.56/~jnz1568/getInfo.php?workbook=02_02.xlsx&amp;sheet=U0&amp;row=705&amp;col=7&amp;number=6.907&amp;sourceID=1","6.907")</f>
        <v>6.907</v>
      </c>
      <c r="H705" s="4" t="str">
        <f>HYPERLINK("http://141.218.60.56/~jnz1568/getInfo.php?workbook=02_02.xlsx&amp;sheet=U0&amp;row=705&amp;col=8&amp;number=4.176&amp;sourceID=29","4.176")</f>
        <v>4.176</v>
      </c>
      <c r="I705" s="4" t="str">
        <f>HYPERLINK("http://141.218.60.56/~jnz1568/getInfo.php?workbook=02_02.xlsx&amp;sheet=U0&amp;row=705&amp;col=9&amp;number=4.175&amp;sourceID=1","4.175")</f>
        <v>4.175</v>
      </c>
    </row>
    <row r="706" spans="1:9">
      <c r="A706" s="3"/>
      <c r="B706" s="3"/>
      <c r="C706" s="3"/>
      <c r="D706" s="3"/>
      <c r="E706" s="3">
        <v>5</v>
      </c>
      <c r="F706" s="4" t="str">
        <f>HYPERLINK("http://141.218.60.56/~jnz1568/getInfo.php?workbook=02_02.xlsx&amp;sheet=U0&amp;row=706&amp;col=6&amp;number=4.75&amp;sourceID=28","4.75")</f>
        <v>4.75</v>
      </c>
      <c r="G706" s="4" t="str">
        <f>HYPERLINK("http://141.218.60.56/~jnz1568/getInfo.php?workbook=02_02.xlsx&amp;sheet=U0&amp;row=706&amp;col=7&amp;number=10.71&amp;sourceID=1","10.71")</f>
        <v>10.71</v>
      </c>
      <c r="H706" s="4" t="str">
        <f>HYPERLINK("http://141.218.60.56/~jnz1568/getInfo.php?workbook=02_02.xlsx&amp;sheet=U0&amp;row=706&amp;col=8&amp;number=4.301&amp;sourceID=29","4.301")</f>
        <v>4.301</v>
      </c>
      <c r="I706" s="4" t="str">
        <f>HYPERLINK("http://141.218.60.56/~jnz1568/getInfo.php?workbook=02_02.xlsx&amp;sheet=U0&amp;row=706&amp;col=9&amp;number=5.566&amp;sourceID=1","5.566")</f>
        <v>5.566</v>
      </c>
    </row>
    <row r="707" spans="1:9">
      <c r="A707" s="3"/>
      <c r="B707" s="3"/>
      <c r="C707" s="3"/>
      <c r="D707" s="3"/>
      <c r="E707" s="3">
        <v>6</v>
      </c>
      <c r="F707" s="4" t="str">
        <f>HYPERLINK("http://141.218.60.56/~jnz1568/getInfo.php?workbook=02_02.xlsx&amp;sheet=U0&amp;row=707&amp;col=6&amp;number=5&amp;sourceID=28","5")</f>
        <v>5</v>
      </c>
      <c r="G707" s="4" t="str">
        <f>HYPERLINK("http://141.218.60.56/~jnz1568/getInfo.php?workbook=02_02.xlsx&amp;sheet=U0&amp;row=707&amp;col=7&amp;number=17.25&amp;sourceID=1","17.25")</f>
        <v>17.25</v>
      </c>
      <c r="H707" s="4" t="str">
        <f>HYPERLINK("http://141.218.60.56/~jnz1568/getInfo.php?workbook=02_02.xlsx&amp;sheet=U0&amp;row=707&amp;col=8&amp;number=4.398&amp;sourceID=29","4.398")</f>
        <v>4.398</v>
      </c>
      <c r="I707" s="4" t="str">
        <f>HYPERLINK("http://141.218.60.56/~jnz1568/getInfo.php?workbook=02_02.xlsx&amp;sheet=U0&amp;row=707&amp;col=9&amp;number=6.762&amp;sourceID=1","6.762")</f>
        <v>6.762</v>
      </c>
    </row>
    <row r="708" spans="1:9">
      <c r="A708" s="3"/>
      <c r="B708" s="3"/>
      <c r="C708" s="3"/>
      <c r="D708" s="3"/>
      <c r="E708" s="3">
        <v>7</v>
      </c>
      <c r="F708" s="4" t="str">
        <f>HYPERLINK("http://141.218.60.56/~jnz1568/getInfo.php?workbook=02_02.xlsx&amp;sheet=U0&amp;row=708&amp;col=6&amp;number=5.25&amp;sourceID=28","5.25")</f>
        <v>5.25</v>
      </c>
      <c r="G708" s="4" t="str">
        <f>HYPERLINK("http://141.218.60.56/~jnz1568/getInfo.php?workbook=02_02.xlsx&amp;sheet=U0&amp;row=708&amp;col=7&amp;number=26.97&amp;sourceID=1","26.97")</f>
        <v>26.97</v>
      </c>
      <c r="H708" s="4" t="str">
        <f>HYPERLINK("http://141.218.60.56/~jnz1568/getInfo.php?workbook=02_02.xlsx&amp;sheet=U0&amp;row=708&amp;col=8&amp;number=4.477&amp;sourceID=29","4.477")</f>
        <v>4.477</v>
      </c>
      <c r="I708" s="4" t="str">
        <f>HYPERLINK("http://141.218.60.56/~jnz1568/getInfo.php?workbook=02_02.xlsx&amp;sheet=U0&amp;row=708&amp;col=9&amp;number=7.725&amp;sourceID=1","7.725")</f>
        <v>7.725</v>
      </c>
    </row>
    <row r="709" spans="1:9">
      <c r="A709" s="3"/>
      <c r="B709" s="3"/>
      <c r="C709" s="3"/>
      <c r="D709" s="3"/>
      <c r="E709" s="3">
        <v>8</v>
      </c>
      <c r="F709" s="4" t="str">
        <f>HYPERLINK("http://141.218.60.56/~jnz1568/getInfo.php?workbook=02_02.xlsx&amp;sheet=U0&amp;row=709&amp;col=6&amp;number=5.5&amp;sourceID=28","5.5")</f>
        <v>5.5</v>
      </c>
      <c r="G709" s="4" t="str">
        <f>HYPERLINK("http://141.218.60.56/~jnz1568/getInfo.php?workbook=02_02.xlsx&amp;sheet=U0&amp;row=709&amp;col=7&amp;number=39.37&amp;sourceID=1","39.37")</f>
        <v>39.37</v>
      </c>
      <c r="H709" s="4" t="str">
        <f>HYPERLINK("http://141.218.60.56/~jnz1568/getInfo.php?workbook=02_02.xlsx&amp;sheet=U0&amp;row=709&amp;col=8&amp;number=&amp;sourceID=29","")</f>
        <v/>
      </c>
      <c r="I709" s="4" t="str">
        <f>HYPERLINK("http://141.218.60.56/~jnz1568/getInfo.php?workbook=02_02.xlsx&amp;sheet=U0&amp;row=709&amp;col=9&amp;number=&amp;sourceID=1","")</f>
        <v/>
      </c>
    </row>
    <row r="710" spans="1:9">
      <c r="A710" s="3"/>
      <c r="B710" s="3"/>
      <c r="C710" s="3"/>
      <c r="D710" s="3"/>
      <c r="E710" s="3">
        <v>9</v>
      </c>
      <c r="F710" s="4" t="str">
        <f>HYPERLINK("http://141.218.60.56/~jnz1568/getInfo.php?workbook=02_02.xlsx&amp;sheet=U0&amp;row=710&amp;col=6&amp;number=5.75&amp;sourceID=28","5.75")</f>
        <v>5.75</v>
      </c>
      <c r="G710" s="4" t="str">
        <f>HYPERLINK("http://141.218.60.56/~jnz1568/getInfo.php?workbook=02_02.xlsx&amp;sheet=U0&amp;row=710&amp;col=7&amp;number=53.44&amp;sourceID=1","53.44")</f>
        <v>53.44</v>
      </c>
      <c r="H710" s="4" t="str">
        <f>HYPERLINK("http://141.218.60.56/~jnz1568/getInfo.php?workbook=02_02.xlsx&amp;sheet=U0&amp;row=710&amp;col=8&amp;number=&amp;sourceID=29","")</f>
        <v/>
      </c>
      <c r="I710" s="4" t="str">
        <f>HYPERLINK("http://141.218.60.56/~jnz1568/getInfo.php?workbook=02_02.xlsx&amp;sheet=U0&amp;row=710&amp;col=9&amp;number=&amp;sourceID=1","")</f>
        <v/>
      </c>
    </row>
    <row r="711" spans="1:9">
      <c r="A711" s="3">
        <v>2</v>
      </c>
      <c r="B711" s="3">
        <v>2</v>
      </c>
      <c r="C711" s="3">
        <v>15</v>
      </c>
      <c r="D711" s="3">
        <v>5</v>
      </c>
      <c r="E711" s="3">
        <v>1</v>
      </c>
      <c r="F711" s="4" t="str">
        <f>HYPERLINK("http://141.218.60.56/~jnz1568/getInfo.php?workbook=02_02.xlsx&amp;sheet=U0&amp;row=711&amp;col=6&amp;number=&amp;sourceID=28","")</f>
        <v/>
      </c>
      <c r="G711" s="4" t="str">
        <f>HYPERLINK("http://141.218.60.56/~jnz1568/getInfo.php?workbook=02_02.xlsx&amp;sheet=U0&amp;row=711&amp;col=7&amp;number=&amp;sourceID=1","")</f>
        <v/>
      </c>
      <c r="H711" s="4" t="str">
        <f>HYPERLINK("http://141.218.60.56/~jnz1568/getInfo.php?workbook=02_02.xlsx&amp;sheet=U0&amp;row=711&amp;col=8&amp;number=3.301&amp;sourceID=29","3.301")</f>
        <v>3.301</v>
      </c>
      <c r="I711" s="4" t="str">
        <f>HYPERLINK("http://141.218.60.56/~jnz1568/getInfo.php?workbook=02_02.xlsx&amp;sheet=U0&amp;row=711&amp;col=9&amp;number=0.1719&amp;sourceID=1","0.1719")</f>
        <v>0.1719</v>
      </c>
    </row>
    <row r="712" spans="1:9">
      <c r="A712" s="3"/>
      <c r="B712" s="3"/>
      <c r="C712" s="3"/>
      <c r="D712" s="3"/>
      <c r="E712" s="3">
        <v>2</v>
      </c>
      <c r="F712" s="4" t="str">
        <f>HYPERLINK("http://141.218.60.56/~jnz1568/getInfo.php?workbook=02_02.xlsx&amp;sheet=U0&amp;row=712&amp;col=6&amp;number=&amp;sourceID=28","")</f>
        <v/>
      </c>
      <c r="G712" s="4" t="str">
        <f>HYPERLINK("http://141.218.60.56/~jnz1568/getInfo.php?workbook=02_02.xlsx&amp;sheet=U0&amp;row=712&amp;col=7&amp;number=&amp;sourceID=1","")</f>
        <v/>
      </c>
      <c r="H712" s="4" t="str">
        <f>HYPERLINK("http://141.218.60.56/~jnz1568/getInfo.php?workbook=02_02.xlsx&amp;sheet=U0&amp;row=712&amp;col=8&amp;number=3.699&amp;sourceID=29","3.699")</f>
        <v>3.699</v>
      </c>
      <c r="I712" s="4" t="str">
        <f>HYPERLINK("http://141.218.60.56/~jnz1568/getInfo.php?workbook=02_02.xlsx&amp;sheet=U0&amp;row=712&amp;col=9&amp;number=0.2215&amp;sourceID=1","0.2215")</f>
        <v>0.2215</v>
      </c>
    </row>
    <row r="713" spans="1:9">
      <c r="A713" s="3"/>
      <c r="B713" s="3"/>
      <c r="C713" s="3"/>
      <c r="D713" s="3"/>
      <c r="E713" s="3">
        <v>3</v>
      </c>
      <c r="F713" s="4" t="str">
        <f>HYPERLINK("http://141.218.60.56/~jnz1568/getInfo.php?workbook=02_02.xlsx&amp;sheet=U0&amp;row=713&amp;col=6&amp;number=&amp;sourceID=28","")</f>
        <v/>
      </c>
      <c r="G713" s="4" t="str">
        <f>HYPERLINK("http://141.218.60.56/~jnz1568/getInfo.php?workbook=02_02.xlsx&amp;sheet=U0&amp;row=713&amp;col=7&amp;number=&amp;sourceID=1","")</f>
        <v/>
      </c>
      <c r="H713" s="4" t="str">
        <f>HYPERLINK("http://141.218.60.56/~jnz1568/getInfo.php?workbook=02_02.xlsx&amp;sheet=U0&amp;row=713&amp;col=8&amp;number=4&amp;sourceID=29","4")</f>
        <v>4</v>
      </c>
      <c r="I713" s="4" t="str">
        <f>HYPERLINK("http://141.218.60.56/~jnz1568/getInfo.php?workbook=02_02.xlsx&amp;sheet=U0&amp;row=713&amp;col=9&amp;number=0.3138&amp;sourceID=1","0.3138")</f>
        <v>0.3138</v>
      </c>
    </row>
    <row r="714" spans="1:9">
      <c r="A714" s="3"/>
      <c r="B714" s="3"/>
      <c r="C714" s="3"/>
      <c r="D714" s="3"/>
      <c r="E714" s="3">
        <v>4</v>
      </c>
      <c r="F714" s="4" t="str">
        <f>HYPERLINK("http://141.218.60.56/~jnz1568/getInfo.php?workbook=02_02.xlsx&amp;sheet=U0&amp;row=714&amp;col=6&amp;number=&amp;sourceID=28","")</f>
        <v/>
      </c>
      <c r="G714" s="4" t="str">
        <f>HYPERLINK("http://141.218.60.56/~jnz1568/getInfo.php?workbook=02_02.xlsx&amp;sheet=U0&amp;row=714&amp;col=7&amp;number=&amp;sourceID=1","")</f>
        <v/>
      </c>
      <c r="H714" s="4" t="str">
        <f>HYPERLINK("http://141.218.60.56/~jnz1568/getInfo.php?workbook=02_02.xlsx&amp;sheet=U0&amp;row=714&amp;col=8&amp;number=4.176&amp;sourceID=29","4.176")</f>
        <v>4.176</v>
      </c>
      <c r="I714" s="4" t="str">
        <f>HYPERLINK("http://141.218.60.56/~jnz1568/getInfo.php?workbook=02_02.xlsx&amp;sheet=U0&amp;row=714&amp;col=9&amp;number=0.3898&amp;sourceID=1","0.3898")</f>
        <v>0.3898</v>
      </c>
    </row>
    <row r="715" spans="1:9">
      <c r="A715" s="3"/>
      <c r="B715" s="3"/>
      <c r="C715" s="3"/>
      <c r="D715" s="3"/>
      <c r="E715" s="3">
        <v>5</v>
      </c>
      <c r="F715" s="4" t="str">
        <f>HYPERLINK("http://141.218.60.56/~jnz1568/getInfo.php?workbook=02_02.xlsx&amp;sheet=U0&amp;row=715&amp;col=6&amp;number=&amp;sourceID=28","")</f>
        <v/>
      </c>
      <c r="G715" s="4" t="str">
        <f>HYPERLINK("http://141.218.60.56/~jnz1568/getInfo.php?workbook=02_02.xlsx&amp;sheet=U0&amp;row=715&amp;col=7&amp;number=&amp;sourceID=1","")</f>
        <v/>
      </c>
      <c r="H715" s="4" t="str">
        <f>HYPERLINK("http://141.218.60.56/~jnz1568/getInfo.php?workbook=02_02.xlsx&amp;sheet=U0&amp;row=715&amp;col=8&amp;number=4.301&amp;sourceID=29","4.301")</f>
        <v>4.301</v>
      </c>
      <c r="I715" s="4" t="str">
        <f>HYPERLINK("http://141.218.60.56/~jnz1568/getInfo.php?workbook=02_02.xlsx&amp;sheet=U0&amp;row=715&amp;col=9&amp;number=0.4422&amp;sourceID=1","0.4422")</f>
        <v>0.4422</v>
      </c>
    </row>
    <row r="716" spans="1:9">
      <c r="A716" s="3"/>
      <c r="B716" s="3"/>
      <c r="C716" s="3"/>
      <c r="D716" s="3"/>
      <c r="E716" s="3">
        <v>6</v>
      </c>
      <c r="F716" s="4" t="str">
        <f>HYPERLINK("http://141.218.60.56/~jnz1568/getInfo.php?workbook=02_02.xlsx&amp;sheet=U0&amp;row=716&amp;col=6&amp;number=&amp;sourceID=28","")</f>
        <v/>
      </c>
      <c r="G716" s="4" t="str">
        <f>HYPERLINK("http://141.218.60.56/~jnz1568/getInfo.php?workbook=02_02.xlsx&amp;sheet=U0&amp;row=716&amp;col=7&amp;number=&amp;sourceID=1","")</f>
        <v/>
      </c>
      <c r="H716" s="4" t="str">
        <f>HYPERLINK("http://141.218.60.56/~jnz1568/getInfo.php?workbook=02_02.xlsx&amp;sheet=U0&amp;row=716&amp;col=8&amp;number=4.398&amp;sourceID=29","4.398")</f>
        <v>4.398</v>
      </c>
      <c r="I716" s="4" t="str">
        <f>HYPERLINK("http://141.218.60.56/~jnz1568/getInfo.php?workbook=02_02.xlsx&amp;sheet=U0&amp;row=716&amp;col=9&amp;number=0.4748&amp;sourceID=1","0.4748")</f>
        <v>0.4748</v>
      </c>
    </row>
    <row r="717" spans="1:9">
      <c r="A717" s="3"/>
      <c r="B717" s="3"/>
      <c r="C717" s="3"/>
      <c r="D717" s="3"/>
      <c r="E717" s="3">
        <v>7</v>
      </c>
      <c r="F717" s="4" t="str">
        <f>HYPERLINK("http://141.218.60.56/~jnz1568/getInfo.php?workbook=02_02.xlsx&amp;sheet=U0&amp;row=717&amp;col=6&amp;number=&amp;sourceID=28","")</f>
        <v/>
      </c>
      <c r="G717" s="4" t="str">
        <f>HYPERLINK("http://141.218.60.56/~jnz1568/getInfo.php?workbook=02_02.xlsx&amp;sheet=U0&amp;row=717&amp;col=7&amp;number=&amp;sourceID=1","")</f>
        <v/>
      </c>
      <c r="H717" s="4" t="str">
        <f>HYPERLINK("http://141.218.60.56/~jnz1568/getInfo.php?workbook=02_02.xlsx&amp;sheet=U0&amp;row=717&amp;col=8&amp;number=4.477&amp;sourceID=29","4.477")</f>
        <v>4.477</v>
      </c>
      <c r="I717" s="4" t="str">
        <f>HYPERLINK("http://141.218.60.56/~jnz1568/getInfo.php?workbook=02_02.xlsx&amp;sheet=U0&amp;row=717&amp;col=9&amp;number=0.4929&amp;sourceID=1","0.4929")</f>
        <v>0.4929</v>
      </c>
    </row>
    <row r="718" spans="1:9">
      <c r="A718" s="3">
        <v>2</v>
      </c>
      <c r="B718" s="3">
        <v>2</v>
      </c>
      <c r="C718" s="3">
        <v>15</v>
      </c>
      <c r="D718" s="3">
        <v>6</v>
      </c>
      <c r="E718" s="3">
        <v>1</v>
      </c>
      <c r="F718" s="4" t="str">
        <f>HYPERLINK("http://141.218.60.56/~jnz1568/getInfo.php?workbook=02_02.xlsx&amp;sheet=U0&amp;row=718&amp;col=6&amp;number=&amp;sourceID=28","")</f>
        <v/>
      </c>
      <c r="G718" s="4" t="str">
        <f>HYPERLINK("http://141.218.60.56/~jnz1568/getInfo.php?workbook=02_02.xlsx&amp;sheet=U0&amp;row=718&amp;col=7&amp;number=&amp;sourceID=1","")</f>
        <v/>
      </c>
      <c r="H718" s="4" t="str">
        <f>HYPERLINK("http://141.218.60.56/~jnz1568/getInfo.php?workbook=02_02.xlsx&amp;sheet=U0&amp;row=718&amp;col=8&amp;number=3.301&amp;sourceID=29","3.301")</f>
        <v>3.301</v>
      </c>
      <c r="I718" s="4" t="str">
        <f>HYPERLINK("http://141.218.60.56/~jnz1568/getInfo.php?workbook=02_02.xlsx&amp;sheet=U0&amp;row=718&amp;col=9&amp;number=3.352&amp;sourceID=1","3.352")</f>
        <v>3.352</v>
      </c>
    </row>
    <row r="719" spans="1:9">
      <c r="A719" s="3"/>
      <c r="B719" s="3"/>
      <c r="C719" s="3"/>
      <c r="D719" s="3"/>
      <c r="E719" s="3">
        <v>2</v>
      </c>
      <c r="F719" s="4" t="str">
        <f>HYPERLINK("http://141.218.60.56/~jnz1568/getInfo.php?workbook=02_02.xlsx&amp;sheet=U0&amp;row=719&amp;col=6&amp;number=&amp;sourceID=28","")</f>
        <v/>
      </c>
      <c r="G719" s="4" t="str">
        <f>HYPERLINK("http://141.218.60.56/~jnz1568/getInfo.php?workbook=02_02.xlsx&amp;sheet=U0&amp;row=719&amp;col=7&amp;number=&amp;sourceID=1","")</f>
        <v/>
      </c>
      <c r="H719" s="4" t="str">
        <f>HYPERLINK("http://141.218.60.56/~jnz1568/getInfo.php?workbook=02_02.xlsx&amp;sheet=U0&amp;row=719&amp;col=8&amp;number=3.699&amp;sourceID=29","3.699")</f>
        <v>3.699</v>
      </c>
      <c r="I719" s="4" t="str">
        <f>HYPERLINK("http://141.218.60.56/~jnz1568/getInfo.php?workbook=02_02.xlsx&amp;sheet=U0&amp;row=719&amp;col=9&amp;number=4.358&amp;sourceID=1","4.358")</f>
        <v>4.358</v>
      </c>
    </row>
    <row r="720" spans="1:9">
      <c r="A720" s="3"/>
      <c r="B720" s="3"/>
      <c r="C720" s="3"/>
      <c r="D720" s="3"/>
      <c r="E720" s="3">
        <v>3</v>
      </c>
      <c r="F720" s="4" t="str">
        <f>HYPERLINK("http://141.218.60.56/~jnz1568/getInfo.php?workbook=02_02.xlsx&amp;sheet=U0&amp;row=720&amp;col=6&amp;number=&amp;sourceID=28","")</f>
        <v/>
      </c>
      <c r="G720" s="4" t="str">
        <f>HYPERLINK("http://141.218.60.56/~jnz1568/getInfo.php?workbook=02_02.xlsx&amp;sheet=U0&amp;row=720&amp;col=7&amp;number=&amp;sourceID=1","")</f>
        <v/>
      </c>
      <c r="H720" s="4" t="str">
        <f>HYPERLINK("http://141.218.60.56/~jnz1568/getInfo.php?workbook=02_02.xlsx&amp;sheet=U0&amp;row=720&amp;col=8&amp;number=4&amp;sourceID=29","4")</f>
        <v>4</v>
      </c>
      <c r="I720" s="4" t="str">
        <f>HYPERLINK("http://141.218.60.56/~jnz1568/getInfo.php?workbook=02_02.xlsx&amp;sheet=U0&amp;row=720&amp;col=9&amp;number=5.743&amp;sourceID=1","5.743")</f>
        <v>5.743</v>
      </c>
    </row>
    <row r="721" spans="1:9">
      <c r="A721" s="3"/>
      <c r="B721" s="3"/>
      <c r="C721" s="3"/>
      <c r="D721" s="3"/>
      <c r="E721" s="3">
        <v>4</v>
      </c>
      <c r="F721" s="4" t="str">
        <f>HYPERLINK("http://141.218.60.56/~jnz1568/getInfo.php?workbook=02_02.xlsx&amp;sheet=U0&amp;row=721&amp;col=6&amp;number=&amp;sourceID=28","")</f>
        <v/>
      </c>
      <c r="G721" s="4" t="str">
        <f>HYPERLINK("http://141.218.60.56/~jnz1568/getInfo.php?workbook=02_02.xlsx&amp;sheet=U0&amp;row=721&amp;col=7&amp;number=&amp;sourceID=1","")</f>
        <v/>
      </c>
      <c r="H721" s="4" t="str">
        <f>HYPERLINK("http://141.218.60.56/~jnz1568/getInfo.php?workbook=02_02.xlsx&amp;sheet=U0&amp;row=721&amp;col=8&amp;number=4.176&amp;sourceID=29","4.176")</f>
        <v>4.176</v>
      </c>
      <c r="I721" s="4" t="str">
        <f>HYPERLINK("http://141.218.60.56/~jnz1568/getInfo.php?workbook=02_02.xlsx&amp;sheet=U0&amp;row=721&amp;col=9&amp;number=6.868&amp;sourceID=1","6.868")</f>
        <v>6.868</v>
      </c>
    </row>
    <row r="722" spans="1:9">
      <c r="A722" s="3"/>
      <c r="B722" s="3"/>
      <c r="C722" s="3"/>
      <c r="D722" s="3"/>
      <c r="E722" s="3">
        <v>5</v>
      </c>
      <c r="F722" s="4" t="str">
        <f>HYPERLINK("http://141.218.60.56/~jnz1568/getInfo.php?workbook=02_02.xlsx&amp;sheet=U0&amp;row=722&amp;col=6&amp;number=&amp;sourceID=28","")</f>
        <v/>
      </c>
      <c r="G722" s="4" t="str">
        <f>HYPERLINK("http://141.218.60.56/~jnz1568/getInfo.php?workbook=02_02.xlsx&amp;sheet=U0&amp;row=722&amp;col=7&amp;number=&amp;sourceID=1","")</f>
        <v/>
      </c>
      <c r="H722" s="4" t="str">
        <f>HYPERLINK("http://141.218.60.56/~jnz1568/getInfo.php?workbook=02_02.xlsx&amp;sheet=U0&amp;row=722&amp;col=8&amp;number=4.301&amp;sourceID=29","4.301")</f>
        <v>4.301</v>
      </c>
      <c r="I722" s="4" t="str">
        <f>HYPERLINK("http://141.218.60.56/~jnz1568/getInfo.php?workbook=02_02.xlsx&amp;sheet=U0&amp;row=722&amp;col=9&amp;number=7.687&amp;sourceID=1","7.687")</f>
        <v>7.687</v>
      </c>
    </row>
    <row r="723" spans="1:9">
      <c r="A723" s="3"/>
      <c r="B723" s="3"/>
      <c r="C723" s="3"/>
      <c r="D723" s="3"/>
      <c r="E723" s="3">
        <v>6</v>
      </c>
      <c r="F723" s="4" t="str">
        <f>HYPERLINK("http://141.218.60.56/~jnz1568/getInfo.php?workbook=02_02.xlsx&amp;sheet=U0&amp;row=723&amp;col=6&amp;number=&amp;sourceID=28","")</f>
        <v/>
      </c>
      <c r="G723" s="4" t="str">
        <f>HYPERLINK("http://141.218.60.56/~jnz1568/getInfo.php?workbook=02_02.xlsx&amp;sheet=U0&amp;row=723&amp;col=7&amp;number=&amp;sourceID=1","")</f>
        <v/>
      </c>
      <c r="H723" s="4" t="str">
        <f>HYPERLINK("http://141.218.60.56/~jnz1568/getInfo.php?workbook=02_02.xlsx&amp;sheet=U0&amp;row=723&amp;col=8&amp;number=4.398&amp;sourceID=29","4.398")</f>
        <v>4.398</v>
      </c>
      <c r="I723" s="4" t="str">
        <f>HYPERLINK("http://141.218.60.56/~jnz1568/getInfo.php?workbook=02_02.xlsx&amp;sheet=U0&amp;row=723&amp;col=9&amp;number=8.241&amp;sourceID=1","8.241")</f>
        <v>8.241</v>
      </c>
    </row>
    <row r="724" spans="1:9">
      <c r="A724" s="3">
        <v>2</v>
      </c>
      <c r="B724" s="3">
        <v>2</v>
      </c>
      <c r="C724" s="3">
        <v>15</v>
      </c>
      <c r="D724" s="3">
        <v>7</v>
      </c>
      <c r="E724" s="3">
        <v>1</v>
      </c>
      <c r="F724" s="4" t="str">
        <f>HYPERLINK("http://141.218.60.56/~jnz1568/getInfo.php?workbook=02_02.xlsx&amp;sheet=U0&amp;row=724&amp;col=6&amp;number=&amp;sourceID=28","")</f>
        <v/>
      </c>
      <c r="G724" s="4" t="str">
        <f>HYPERLINK("http://141.218.60.56/~jnz1568/getInfo.php?workbook=02_02.xlsx&amp;sheet=U0&amp;row=724&amp;col=7&amp;number=&amp;sourceID=1","")</f>
        <v/>
      </c>
      <c r="H724" s="4" t="str">
        <f>HYPERLINK("http://141.218.60.56/~jnz1568/getInfo.php?workbook=02_02.xlsx&amp;sheet=U0&amp;row=724&amp;col=8&amp;number=3.301&amp;sourceID=29","3.301")</f>
        <v>3.301</v>
      </c>
      <c r="I724" s="4" t="str">
        <f>HYPERLINK("http://141.218.60.56/~jnz1568/getInfo.php?workbook=02_02.xlsx&amp;sheet=U0&amp;row=724&amp;col=9&amp;number=0.7776&amp;sourceID=1","0.7776")</f>
        <v>0.7776</v>
      </c>
    </row>
    <row r="725" spans="1:9">
      <c r="A725" s="3"/>
      <c r="B725" s="3"/>
      <c r="C725" s="3"/>
      <c r="D725" s="3"/>
      <c r="E725" s="3">
        <v>2</v>
      </c>
      <c r="F725" s="4" t="str">
        <f>HYPERLINK("http://141.218.60.56/~jnz1568/getInfo.php?workbook=02_02.xlsx&amp;sheet=U0&amp;row=725&amp;col=6&amp;number=&amp;sourceID=28","")</f>
        <v/>
      </c>
      <c r="G725" s="4" t="str">
        <f>HYPERLINK("http://141.218.60.56/~jnz1568/getInfo.php?workbook=02_02.xlsx&amp;sheet=U0&amp;row=725&amp;col=7&amp;number=&amp;sourceID=1","")</f>
        <v/>
      </c>
      <c r="H725" s="4" t="str">
        <f>HYPERLINK("http://141.218.60.56/~jnz1568/getInfo.php?workbook=02_02.xlsx&amp;sheet=U0&amp;row=725&amp;col=8&amp;number=3.699&amp;sourceID=29","3.699")</f>
        <v>3.699</v>
      </c>
      <c r="I725" s="4" t="str">
        <f>HYPERLINK("http://141.218.60.56/~jnz1568/getInfo.php?workbook=02_02.xlsx&amp;sheet=U0&amp;row=725&amp;col=9&amp;number=0.8339&amp;sourceID=1","0.8339")</f>
        <v>0.8339</v>
      </c>
    </row>
    <row r="726" spans="1:9">
      <c r="A726" s="3"/>
      <c r="B726" s="3"/>
      <c r="C726" s="3"/>
      <c r="D726" s="3"/>
      <c r="E726" s="3">
        <v>3</v>
      </c>
      <c r="F726" s="4" t="str">
        <f>HYPERLINK("http://141.218.60.56/~jnz1568/getInfo.php?workbook=02_02.xlsx&amp;sheet=U0&amp;row=726&amp;col=6&amp;number=&amp;sourceID=28","")</f>
        <v/>
      </c>
      <c r="G726" s="4" t="str">
        <f>HYPERLINK("http://141.218.60.56/~jnz1568/getInfo.php?workbook=02_02.xlsx&amp;sheet=U0&amp;row=726&amp;col=7&amp;number=&amp;sourceID=1","")</f>
        <v/>
      </c>
      <c r="H726" s="4" t="str">
        <f>HYPERLINK("http://141.218.60.56/~jnz1568/getInfo.php?workbook=02_02.xlsx&amp;sheet=U0&amp;row=726&amp;col=8&amp;number=4&amp;sourceID=29","4")</f>
        <v>4</v>
      </c>
      <c r="I726" s="4" t="str">
        <f>HYPERLINK("http://141.218.60.56/~jnz1568/getInfo.php?workbook=02_02.xlsx&amp;sheet=U0&amp;row=726&amp;col=9&amp;number=0.7576&amp;sourceID=1","0.7576")</f>
        <v>0.7576</v>
      </c>
    </row>
    <row r="727" spans="1:9">
      <c r="A727" s="3"/>
      <c r="B727" s="3"/>
      <c r="C727" s="3"/>
      <c r="D727" s="3"/>
      <c r="E727" s="3">
        <v>4</v>
      </c>
      <c r="F727" s="4" t="str">
        <f>HYPERLINK("http://141.218.60.56/~jnz1568/getInfo.php?workbook=02_02.xlsx&amp;sheet=U0&amp;row=727&amp;col=6&amp;number=&amp;sourceID=28","")</f>
        <v/>
      </c>
      <c r="G727" s="4" t="str">
        <f>HYPERLINK("http://141.218.60.56/~jnz1568/getInfo.php?workbook=02_02.xlsx&amp;sheet=U0&amp;row=727&amp;col=7&amp;number=&amp;sourceID=1","")</f>
        <v/>
      </c>
      <c r="H727" s="4" t="str">
        <f>HYPERLINK("http://141.218.60.56/~jnz1568/getInfo.php?workbook=02_02.xlsx&amp;sheet=U0&amp;row=727&amp;col=8&amp;number=4.176&amp;sourceID=29","4.176")</f>
        <v>4.176</v>
      </c>
      <c r="I727" s="4" t="str">
        <f>HYPERLINK("http://141.218.60.56/~jnz1568/getInfo.php?workbook=02_02.xlsx&amp;sheet=U0&amp;row=727&amp;col=9&amp;number=0.6856&amp;sourceID=1","0.6856")</f>
        <v>0.6856</v>
      </c>
    </row>
    <row r="728" spans="1:9">
      <c r="A728" s="3"/>
      <c r="B728" s="3"/>
      <c r="C728" s="3"/>
      <c r="D728" s="3"/>
      <c r="E728" s="3">
        <v>5</v>
      </c>
      <c r="F728" s="4" t="str">
        <f>HYPERLINK("http://141.218.60.56/~jnz1568/getInfo.php?workbook=02_02.xlsx&amp;sheet=U0&amp;row=728&amp;col=6&amp;number=&amp;sourceID=28","")</f>
        <v/>
      </c>
      <c r="G728" s="4" t="str">
        <f>HYPERLINK("http://141.218.60.56/~jnz1568/getInfo.php?workbook=02_02.xlsx&amp;sheet=U0&amp;row=728&amp;col=7&amp;number=&amp;sourceID=1","")</f>
        <v/>
      </c>
      <c r="H728" s="4" t="str">
        <f>HYPERLINK("http://141.218.60.56/~jnz1568/getInfo.php?workbook=02_02.xlsx&amp;sheet=U0&amp;row=728&amp;col=8&amp;number=4.301&amp;sourceID=29","4.301")</f>
        <v>4.301</v>
      </c>
      <c r="I728" s="4" t="str">
        <f>HYPERLINK("http://141.218.60.56/~jnz1568/getInfo.php?workbook=02_02.xlsx&amp;sheet=U0&amp;row=728&amp;col=9&amp;number=0.625&amp;sourceID=1","0.625")</f>
        <v>0.625</v>
      </c>
    </row>
    <row r="729" spans="1:9">
      <c r="A729" s="3"/>
      <c r="B729" s="3"/>
      <c r="C729" s="3"/>
      <c r="D729" s="3"/>
      <c r="E729" s="3">
        <v>6</v>
      </c>
      <c r="F729" s="4" t="str">
        <f>HYPERLINK("http://141.218.60.56/~jnz1568/getInfo.php?workbook=02_02.xlsx&amp;sheet=U0&amp;row=729&amp;col=6&amp;number=&amp;sourceID=28","")</f>
        <v/>
      </c>
      <c r="G729" s="4" t="str">
        <f>HYPERLINK("http://141.218.60.56/~jnz1568/getInfo.php?workbook=02_02.xlsx&amp;sheet=U0&amp;row=729&amp;col=7&amp;number=&amp;sourceID=1","")</f>
        <v/>
      </c>
      <c r="H729" s="4" t="str">
        <f>HYPERLINK("http://141.218.60.56/~jnz1568/getInfo.php?workbook=02_02.xlsx&amp;sheet=U0&amp;row=729&amp;col=8&amp;number=4.398&amp;sourceID=29","4.398")</f>
        <v>4.398</v>
      </c>
      <c r="I729" s="4" t="str">
        <f>HYPERLINK("http://141.218.60.56/~jnz1568/getInfo.php?workbook=02_02.xlsx&amp;sheet=U0&amp;row=729&amp;col=9&amp;number=0.5736&amp;sourceID=1","0.5736")</f>
        <v>0.5736</v>
      </c>
    </row>
    <row r="730" spans="1:9">
      <c r="A730" s="3"/>
      <c r="B730" s="3"/>
      <c r="C730" s="3"/>
      <c r="D730" s="3"/>
      <c r="E730" s="3">
        <v>7</v>
      </c>
      <c r="F730" s="4" t="str">
        <f>HYPERLINK("http://141.218.60.56/~jnz1568/getInfo.php?workbook=02_02.xlsx&amp;sheet=U0&amp;row=730&amp;col=6&amp;number=&amp;sourceID=28","")</f>
        <v/>
      </c>
      <c r="G730" s="4" t="str">
        <f>HYPERLINK("http://141.218.60.56/~jnz1568/getInfo.php?workbook=02_02.xlsx&amp;sheet=U0&amp;row=730&amp;col=7&amp;number=&amp;sourceID=1","")</f>
        <v/>
      </c>
      <c r="H730" s="4" t="str">
        <f>HYPERLINK("http://141.218.60.56/~jnz1568/getInfo.php?workbook=02_02.xlsx&amp;sheet=U0&amp;row=730&amp;col=8&amp;number=4.477&amp;sourceID=29","4.477")</f>
        <v>4.477</v>
      </c>
      <c r="I730" s="4" t="str">
        <f>HYPERLINK("http://141.218.60.56/~jnz1568/getInfo.php?workbook=02_02.xlsx&amp;sheet=U0&amp;row=730&amp;col=9&amp;number=0.5296&amp;sourceID=1","0.5296")</f>
        <v>0.5296</v>
      </c>
    </row>
    <row r="731" spans="1:9">
      <c r="A731" s="3">
        <v>2</v>
      </c>
      <c r="B731" s="3">
        <v>2</v>
      </c>
      <c r="C731" s="3">
        <v>15</v>
      </c>
      <c r="D731" s="3">
        <v>8</v>
      </c>
      <c r="E731" s="3">
        <v>1</v>
      </c>
      <c r="F731" s="4" t="str">
        <f>HYPERLINK("http://141.218.60.56/~jnz1568/getInfo.php?workbook=02_02.xlsx&amp;sheet=U0&amp;row=731&amp;col=6&amp;number=&amp;sourceID=28","")</f>
        <v/>
      </c>
      <c r="G731" s="4" t="str">
        <f>HYPERLINK("http://141.218.60.56/~jnz1568/getInfo.php?workbook=02_02.xlsx&amp;sheet=U0&amp;row=731&amp;col=7&amp;number=&amp;sourceID=1","")</f>
        <v/>
      </c>
      <c r="H731" s="4" t="str">
        <f>HYPERLINK("http://141.218.60.56/~jnz1568/getInfo.php?workbook=02_02.xlsx&amp;sheet=U0&amp;row=731&amp;col=8&amp;number=3.301&amp;sourceID=29","3.301")</f>
        <v>3.301</v>
      </c>
      <c r="I731" s="4" t="str">
        <f>HYPERLINK("http://141.218.60.56/~jnz1568/getInfo.php?workbook=02_02.xlsx&amp;sheet=U0&amp;row=731&amp;col=9&amp;number=9.096&amp;sourceID=1","9.096")</f>
        <v>9.096</v>
      </c>
    </row>
    <row r="732" spans="1:9">
      <c r="A732" s="3"/>
      <c r="B732" s="3"/>
      <c r="C732" s="3"/>
      <c r="D732" s="3"/>
      <c r="E732" s="3">
        <v>2</v>
      </c>
      <c r="F732" s="4" t="str">
        <f>HYPERLINK("http://141.218.60.56/~jnz1568/getInfo.php?workbook=02_02.xlsx&amp;sheet=U0&amp;row=732&amp;col=6&amp;number=&amp;sourceID=28","")</f>
        <v/>
      </c>
      <c r="G732" s="4" t="str">
        <f>HYPERLINK("http://141.218.60.56/~jnz1568/getInfo.php?workbook=02_02.xlsx&amp;sheet=U0&amp;row=732&amp;col=7&amp;number=&amp;sourceID=1","")</f>
        <v/>
      </c>
      <c r="H732" s="4" t="str">
        <f>HYPERLINK("http://141.218.60.56/~jnz1568/getInfo.php?workbook=02_02.xlsx&amp;sheet=U0&amp;row=732&amp;col=8&amp;number=3.699&amp;sourceID=29","3.699")</f>
        <v>3.699</v>
      </c>
      <c r="I732" s="4" t="str">
        <f>HYPERLINK("http://141.218.60.56/~jnz1568/getInfo.php?workbook=02_02.xlsx&amp;sheet=U0&amp;row=732&amp;col=9&amp;number=13.23&amp;sourceID=1","13.23")</f>
        <v>13.23</v>
      </c>
    </row>
    <row r="733" spans="1:9">
      <c r="A733" s="3"/>
      <c r="B733" s="3"/>
      <c r="C733" s="3"/>
      <c r="D733" s="3"/>
      <c r="E733" s="3">
        <v>3</v>
      </c>
      <c r="F733" s="4" t="str">
        <f>HYPERLINK("http://141.218.60.56/~jnz1568/getInfo.php?workbook=02_02.xlsx&amp;sheet=U0&amp;row=733&amp;col=6&amp;number=&amp;sourceID=28","")</f>
        <v/>
      </c>
      <c r="G733" s="4" t="str">
        <f>HYPERLINK("http://141.218.60.56/~jnz1568/getInfo.php?workbook=02_02.xlsx&amp;sheet=U0&amp;row=733&amp;col=7&amp;number=&amp;sourceID=1","")</f>
        <v/>
      </c>
      <c r="H733" s="4" t="str">
        <f>HYPERLINK("http://141.218.60.56/~jnz1568/getInfo.php?workbook=02_02.xlsx&amp;sheet=U0&amp;row=733&amp;col=8&amp;number=4&amp;sourceID=29","4")</f>
        <v>4</v>
      </c>
      <c r="I733" s="4" t="str">
        <f>HYPERLINK("http://141.218.60.56/~jnz1568/getInfo.php?workbook=02_02.xlsx&amp;sheet=U0&amp;row=733&amp;col=9&amp;number=17.12&amp;sourceID=1","17.12")</f>
        <v>17.12</v>
      </c>
    </row>
    <row r="734" spans="1:9">
      <c r="A734" s="3"/>
      <c r="B734" s="3"/>
      <c r="C734" s="3"/>
      <c r="D734" s="3"/>
      <c r="E734" s="3">
        <v>4</v>
      </c>
      <c r="F734" s="4" t="str">
        <f>HYPERLINK("http://141.218.60.56/~jnz1568/getInfo.php?workbook=02_02.xlsx&amp;sheet=U0&amp;row=734&amp;col=6&amp;number=&amp;sourceID=28","")</f>
        <v/>
      </c>
      <c r="G734" s="4" t="str">
        <f>HYPERLINK("http://141.218.60.56/~jnz1568/getInfo.php?workbook=02_02.xlsx&amp;sheet=U0&amp;row=734&amp;col=7&amp;number=&amp;sourceID=1","")</f>
        <v/>
      </c>
      <c r="H734" s="4" t="str">
        <f>HYPERLINK("http://141.218.60.56/~jnz1568/getInfo.php?workbook=02_02.xlsx&amp;sheet=U0&amp;row=734&amp;col=8&amp;number=4.176&amp;sourceID=29","4.176")</f>
        <v>4.176</v>
      </c>
      <c r="I734" s="4" t="str">
        <f>HYPERLINK("http://141.218.60.56/~jnz1568/getInfo.php?workbook=02_02.xlsx&amp;sheet=U0&amp;row=734&amp;col=9&amp;number=20.39&amp;sourceID=1","20.39")</f>
        <v>20.39</v>
      </c>
    </row>
    <row r="735" spans="1:9">
      <c r="A735" s="3">
        <v>2</v>
      </c>
      <c r="B735" s="3">
        <v>2</v>
      </c>
      <c r="C735" s="3">
        <v>15</v>
      </c>
      <c r="D735" s="3">
        <v>9</v>
      </c>
      <c r="E735" s="3">
        <v>1</v>
      </c>
      <c r="F735" s="4" t="str">
        <f>HYPERLINK("http://141.218.60.56/~jnz1568/getInfo.php?workbook=02_02.xlsx&amp;sheet=U0&amp;row=735&amp;col=6&amp;number=&amp;sourceID=28","")</f>
        <v/>
      </c>
      <c r="G735" s="4" t="str">
        <f>HYPERLINK("http://141.218.60.56/~jnz1568/getInfo.php?workbook=02_02.xlsx&amp;sheet=U0&amp;row=735&amp;col=7&amp;number=&amp;sourceID=1","")</f>
        <v/>
      </c>
      <c r="H735" s="4" t="str">
        <f>HYPERLINK("http://141.218.60.56/~jnz1568/getInfo.php?workbook=02_02.xlsx&amp;sheet=U0&amp;row=735&amp;col=8&amp;number=3.301&amp;sourceID=29","3.301")</f>
        <v>3.301</v>
      </c>
      <c r="I735" s="4" t="str">
        <f>HYPERLINK("http://141.218.60.56/~jnz1568/getInfo.php?workbook=02_02.xlsx&amp;sheet=U0&amp;row=735&amp;col=9&amp;number=17.75&amp;sourceID=1","17.75")</f>
        <v>17.75</v>
      </c>
    </row>
    <row r="736" spans="1:9">
      <c r="A736" s="3"/>
      <c r="B736" s="3"/>
      <c r="C736" s="3"/>
      <c r="D736" s="3"/>
      <c r="E736" s="3">
        <v>2</v>
      </c>
      <c r="F736" s="4" t="str">
        <f>HYPERLINK("http://141.218.60.56/~jnz1568/getInfo.php?workbook=02_02.xlsx&amp;sheet=U0&amp;row=736&amp;col=6&amp;number=&amp;sourceID=28","")</f>
        <v/>
      </c>
      <c r="G736" s="4" t="str">
        <f>HYPERLINK("http://141.218.60.56/~jnz1568/getInfo.php?workbook=02_02.xlsx&amp;sheet=U0&amp;row=736&amp;col=7&amp;number=&amp;sourceID=1","")</f>
        <v/>
      </c>
      <c r="H736" s="4" t="str">
        <f>HYPERLINK("http://141.218.60.56/~jnz1568/getInfo.php?workbook=02_02.xlsx&amp;sheet=U0&amp;row=736&amp;col=8&amp;number=3.699&amp;sourceID=29","3.699")</f>
        <v>3.699</v>
      </c>
      <c r="I736" s="4" t="str">
        <f>HYPERLINK("http://141.218.60.56/~jnz1568/getInfo.php?workbook=02_02.xlsx&amp;sheet=U0&amp;row=736&amp;col=9&amp;number=24.45&amp;sourceID=1","24.45")</f>
        <v>24.45</v>
      </c>
    </row>
    <row r="737" spans="1:9">
      <c r="A737" s="3"/>
      <c r="B737" s="3"/>
      <c r="C737" s="3"/>
      <c r="D737" s="3"/>
      <c r="E737" s="3">
        <v>3</v>
      </c>
      <c r="F737" s="4" t="str">
        <f>HYPERLINK("http://141.218.60.56/~jnz1568/getInfo.php?workbook=02_02.xlsx&amp;sheet=U0&amp;row=737&amp;col=6&amp;number=&amp;sourceID=28","")</f>
        <v/>
      </c>
      <c r="G737" s="4" t="str">
        <f>HYPERLINK("http://141.218.60.56/~jnz1568/getInfo.php?workbook=02_02.xlsx&amp;sheet=U0&amp;row=737&amp;col=7&amp;number=&amp;sourceID=1","")</f>
        <v/>
      </c>
      <c r="H737" s="4" t="str">
        <f>HYPERLINK("http://141.218.60.56/~jnz1568/getInfo.php?workbook=02_02.xlsx&amp;sheet=U0&amp;row=737&amp;col=8&amp;number=4&amp;sourceID=29","4")</f>
        <v>4</v>
      </c>
      <c r="I737" s="4" t="str">
        <f>HYPERLINK("http://141.218.60.56/~jnz1568/getInfo.php?workbook=02_02.xlsx&amp;sheet=U0&amp;row=737&amp;col=9&amp;number=35.46&amp;sourceID=1","35.46")</f>
        <v>35.46</v>
      </c>
    </row>
    <row r="738" spans="1:9">
      <c r="A738" s="3">
        <v>2</v>
      </c>
      <c r="B738" s="3">
        <v>2</v>
      </c>
      <c r="C738" s="3">
        <v>15</v>
      </c>
      <c r="D738" s="3">
        <v>10</v>
      </c>
      <c r="E738" s="3">
        <v>1</v>
      </c>
      <c r="F738" s="4" t="str">
        <f>HYPERLINK("http://141.218.60.56/~jnz1568/getInfo.php?workbook=02_02.xlsx&amp;sheet=U0&amp;row=738&amp;col=6&amp;number=&amp;sourceID=28","")</f>
        <v/>
      </c>
      <c r="G738" s="4" t="str">
        <f>HYPERLINK("http://141.218.60.56/~jnz1568/getInfo.php?workbook=02_02.xlsx&amp;sheet=U0&amp;row=738&amp;col=7&amp;number=&amp;sourceID=1","")</f>
        <v/>
      </c>
      <c r="H738" s="4" t="str">
        <f>HYPERLINK("http://141.218.60.56/~jnz1568/getInfo.php?workbook=02_02.xlsx&amp;sheet=U0&amp;row=738&amp;col=8&amp;number=3.301&amp;sourceID=29","3.301")</f>
        <v>3.301</v>
      </c>
      <c r="I738" s="4" t="str">
        <f>HYPERLINK("http://141.218.60.56/~jnz1568/getInfo.php?workbook=02_02.xlsx&amp;sheet=U0&amp;row=738&amp;col=9&amp;number=2.118&amp;sourceID=1","2.118")</f>
        <v>2.118</v>
      </c>
    </row>
    <row r="739" spans="1:9">
      <c r="A739" s="3"/>
      <c r="B739" s="3"/>
      <c r="C739" s="3"/>
      <c r="D739" s="3"/>
      <c r="E739" s="3">
        <v>2</v>
      </c>
      <c r="F739" s="4" t="str">
        <f>HYPERLINK("http://141.218.60.56/~jnz1568/getInfo.php?workbook=02_02.xlsx&amp;sheet=U0&amp;row=739&amp;col=6&amp;number=&amp;sourceID=28","")</f>
        <v/>
      </c>
      <c r="G739" s="4" t="str">
        <f>HYPERLINK("http://141.218.60.56/~jnz1568/getInfo.php?workbook=02_02.xlsx&amp;sheet=U0&amp;row=739&amp;col=7&amp;number=&amp;sourceID=1","")</f>
        <v/>
      </c>
      <c r="H739" s="4" t="str">
        <f>HYPERLINK("http://141.218.60.56/~jnz1568/getInfo.php?workbook=02_02.xlsx&amp;sheet=U0&amp;row=739&amp;col=8&amp;number=3.699&amp;sourceID=29","3.699")</f>
        <v>3.699</v>
      </c>
      <c r="I739" s="4" t="str">
        <f>HYPERLINK("http://141.218.60.56/~jnz1568/getInfo.php?workbook=02_02.xlsx&amp;sheet=U0&amp;row=739&amp;col=9&amp;number=2.497&amp;sourceID=1","2.497")</f>
        <v>2.497</v>
      </c>
    </row>
    <row r="740" spans="1:9">
      <c r="A740" s="3"/>
      <c r="B740" s="3"/>
      <c r="C740" s="3"/>
      <c r="D740" s="3"/>
      <c r="E740" s="3">
        <v>3</v>
      </c>
      <c r="F740" s="4" t="str">
        <f>HYPERLINK("http://141.218.60.56/~jnz1568/getInfo.php?workbook=02_02.xlsx&amp;sheet=U0&amp;row=740&amp;col=6&amp;number=&amp;sourceID=28","")</f>
        <v/>
      </c>
      <c r="G740" s="4" t="str">
        <f>HYPERLINK("http://141.218.60.56/~jnz1568/getInfo.php?workbook=02_02.xlsx&amp;sheet=U0&amp;row=740&amp;col=7&amp;number=&amp;sourceID=1","")</f>
        <v/>
      </c>
      <c r="H740" s="4" t="str">
        <f>HYPERLINK("http://141.218.60.56/~jnz1568/getInfo.php?workbook=02_02.xlsx&amp;sheet=U0&amp;row=740&amp;col=8&amp;number=4&amp;sourceID=29","4")</f>
        <v>4</v>
      </c>
      <c r="I740" s="4" t="str">
        <f>HYPERLINK("http://141.218.60.56/~jnz1568/getInfo.php?workbook=02_02.xlsx&amp;sheet=U0&amp;row=740&amp;col=9&amp;number=2.538&amp;sourceID=1","2.538")</f>
        <v>2.538</v>
      </c>
    </row>
    <row r="741" spans="1:9">
      <c r="A741" s="3"/>
      <c r="B741" s="3"/>
      <c r="C741" s="3"/>
      <c r="D741" s="3"/>
      <c r="E741" s="3">
        <v>4</v>
      </c>
      <c r="F741" s="4" t="str">
        <f>HYPERLINK("http://141.218.60.56/~jnz1568/getInfo.php?workbook=02_02.xlsx&amp;sheet=U0&amp;row=741&amp;col=6&amp;number=&amp;sourceID=28","")</f>
        <v/>
      </c>
      <c r="G741" s="4" t="str">
        <f>HYPERLINK("http://141.218.60.56/~jnz1568/getInfo.php?workbook=02_02.xlsx&amp;sheet=U0&amp;row=741&amp;col=7&amp;number=&amp;sourceID=1","")</f>
        <v/>
      </c>
      <c r="H741" s="4" t="str">
        <f>HYPERLINK("http://141.218.60.56/~jnz1568/getInfo.php?workbook=02_02.xlsx&amp;sheet=U0&amp;row=741&amp;col=8&amp;number=4.176&amp;sourceID=29","4.176")</f>
        <v>4.176</v>
      </c>
      <c r="I741" s="4" t="str">
        <f>HYPERLINK("http://141.218.60.56/~jnz1568/getInfo.php?workbook=02_02.xlsx&amp;sheet=U0&amp;row=741&amp;col=9&amp;number=2.452&amp;sourceID=1","2.452")</f>
        <v>2.452</v>
      </c>
    </row>
    <row r="742" spans="1:9">
      <c r="A742" s="3"/>
      <c r="B742" s="3"/>
      <c r="C742" s="3"/>
      <c r="D742" s="3"/>
      <c r="E742" s="3">
        <v>5</v>
      </c>
      <c r="F742" s="4" t="str">
        <f>HYPERLINK("http://141.218.60.56/~jnz1568/getInfo.php?workbook=02_02.xlsx&amp;sheet=U0&amp;row=742&amp;col=6&amp;number=&amp;sourceID=28","")</f>
        <v/>
      </c>
      <c r="G742" s="4" t="str">
        <f>HYPERLINK("http://141.218.60.56/~jnz1568/getInfo.php?workbook=02_02.xlsx&amp;sheet=U0&amp;row=742&amp;col=7&amp;number=&amp;sourceID=1","")</f>
        <v/>
      </c>
      <c r="H742" s="4" t="str">
        <f>HYPERLINK("http://141.218.60.56/~jnz1568/getInfo.php?workbook=02_02.xlsx&amp;sheet=U0&amp;row=742&amp;col=8&amp;number=4.301&amp;sourceID=29","4.301")</f>
        <v>4.301</v>
      </c>
      <c r="I742" s="4" t="str">
        <f>HYPERLINK("http://141.218.60.56/~jnz1568/getInfo.php?workbook=02_02.xlsx&amp;sheet=U0&amp;row=742&amp;col=9&amp;number=2.34&amp;sourceID=1","2.34")</f>
        <v>2.34</v>
      </c>
    </row>
    <row r="743" spans="1:9">
      <c r="A743" s="3"/>
      <c r="B743" s="3"/>
      <c r="C743" s="3"/>
      <c r="D743" s="3"/>
      <c r="E743" s="3">
        <v>6</v>
      </c>
      <c r="F743" s="4" t="str">
        <f>HYPERLINK("http://141.218.60.56/~jnz1568/getInfo.php?workbook=02_02.xlsx&amp;sheet=U0&amp;row=743&amp;col=6&amp;number=&amp;sourceID=28","")</f>
        <v/>
      </c>
      <c r="G743" s="4" t="str">
        <f>HYPERLINK("http://141.218.60.56/~jnz1568/getInfo.php?workbook=02_02.xlsx&amp;sheet=U0&amp;row=743&amp;col=7&amp;number=&amp;sourceID=1","")</f>
        <v/>
      </c>
      <c r="H743" s="4" t="str">
        <f>HYPERLINK("http://141.218.60.56/~jnz1568/getInfo.php?workbook=02_02.xlsx&amp;sheet=U0&amp;row=743&amp;col=8&amp;number=4.398&amp;sourceID=29","4.398")</f>
        <v>4.398</v>
      </c>
      <c r="I743" s="4" t="str">
        <f>HYPERLINK("http://141.218.60.56/~jnz1568/getInfo.php?workbook=02_02.xlsx&amp;sheet=U0&amp;row=743&amp;col=9&amp;number=2.225&amp;sourceID=1","2.225")</f>
        <v>2.225</v>
      </c>
    </row>
    <row r="744" spans="1:9">
      <c r="A744" s="3"/>
      <c r="B744" s="3"/>
      <c r="C744" s="3"/>
      <c r="D744" s="3"/>
      <c r="E744" s="3">
        <v>7</v>
      </c>
      <c r="F744" s="4" t="str">
        <f>HYPERLINK("http://141.218.60.56/~jnz1568/getInfo.php?workbook=02_02.xlsx&amp;sheet=U0&amp;row=744&amp;col=6&amp;number=&amp;sourceID=28","")</f>
        <v/>
      </c>
      <c r="G744" s="4" t="str">
        <f>HYPERLINK("http://141.218.60.56/~jnz1568/getInfo.php?workbook=02_02.xlsx&amp;sheet=U0&amp;row=744&amp;col=7&amp;number=&amp;sourceID=1","")</f>
        <v/>
      </c>
      <c r="H744" s="4" t="str">
        <f>HYPERLINK("http://141.218.60.56/~jnz1568/getInfo.php?workbook=02_02.xlsx&amp;sheet=U0&amp;row=744&amp;col=8&amp;number=4.477&amp;sourceID=29","4.477")</f>
        <v>4.477</v>
      </c>
      <c r="I744" s="4" t="str">
        <f>HYPERLINK("http://141.218.60.56/~jnz1568/getInfo.php?workbook=02_02.xlsx&amp;sheet=U0&amp;row=744&amp;col=9&amp;number=2.114&amp;sourceID=1","2.114")</f>
        <v>2.114</v>
      </c>
    </row>
    <row r="745" spans="1:9">
      <c r="A745" s="3">
        <v>2</v>
      </c>
      <c r="B745" s="3">
        <v>2</v>
      </c>
      <c r="C745" s="3">
        <v>15</v>
      </c>
      <c r="D745" s="3">
        <v>11</v>
      </c>
      <c r="E745" s="3">
        <v>1</v>
      </c>
      <c r="F745" s="4" t="str">
        <f>HYPERLINK("http://141.218.60.56/~jnz1568/getInfo.php?workbook=02_02.xlsx&amp;sheet=U0&amp;row=745&amp;col=6&amp;number=&amp;sourceID=28","")</f>
        <v/>
      </c>
      <c r="G745" s="4" t="str">
        <f>HYPERLINK("http://141.218.60.56/~jnz1568/getInfo.php?workbook=02_02.xlsx&amp;sheet=U0&amp;row=745&amp;col=7&amp;number=&amp;sourceID=1","")</f>
        <v/>
      </c>
      <c r="H745" s="4" t="str">
        <f>HYPERLINK("http://141.218.60.56/~jnz1568/getInfo.php?workbook=02_02.xlsx&amp;sheet=U0&amp;row=745&amp;col=8&amp;number=3.301&amp;sourceID=29","3.301")</f>
        <v>3.301</v>
      </c>
      <c r="I745" s="4" t="str">
        <f>HYPERLINK("http://141.218.60.56/~jnz1568/getInfo.php?workbook=02_02.xlsx&amp;sheet=U0&amp;row=745&amp;col=9&amp;number=1.062&amp;sourceID=1","1.062")</f>
        <v>1.062</v>
      </c>
    </row>
    <row r="746" spans="1:9">
      <c r="A746" s="3"/>
      <c r="B746" s="3"/>
      <c r="C746" s="3"/>
      <c r="D746" s="3"/>
      <c r="E746" s="3">
        <v>2</v>
      </c>
      <c r="F746" s="4" t="str">
        <f>HYPERLINK("http://141.218.60.56/~jnz1568/getInfo.php?workbook=02_02.xlsx&amp;sheet=U0&amp;row=746&amp;col=6&amp;number=&amp;sourceID=28","")</f>
        <v/>
      </c>
      <c r="G746" s="4" t="str">
        <f>HYPERLINK("http://141.218.60.56/~jnz1568/getInfo.php?workbook=02_02.xlsx&amp;sheet=U0&amp;row=746&amp;col=7&amp;number=&amp;sourceID=1","")</f>
        <v/>
      </c>
      <c r="H746" s="4" t="str">
        <f>HYPERLINK("http://141.218.60.56/~jnz1568/getInfo.php?workbook=02_02.xlsx&amp;sheet=U0&amp;row=746&amp;col=8&amp;number=3.699&amp;sourceID=29","3.699")</f>
        <v>3.699</v>
      </c>
      <c r="I746" s="4" t="str">
        <f>HYPERLINK("http://141.218.60.56/~jnz1568/getInfo.php?workbook=02_02.xlsx&amp;sheet=U0&amp;row=746&amp;col=9&amp;number=1.313&amp;sourceID=1","1.313")</f>
        <v>1.313</v>
      </c>
    </row>
    <row r="747" spans="1:9">
      <c r="A747" s="3"/>
      <c r="B747" s="3"/>
      <c r="C747" s="3"/>
      <c r="D747" s="3"/>
      <c r="E747" s="3">
        <v>3</v>
      </c>
      <c r="F747" s="4" t="str">
        <f>HYPERLINK("http://141.218.60.56/~jnz1568/getInfo.php?workbook=02_02.xlsx&amp;sheet=U0&amp;row=747&amp;col=6&amp;number=&amp;sourceID=28","")</f>
        <v/>
      </c>
      <c r="G747" s="4" t="str">
        <f>HYPERLINK("http://141.218.60.56/~jnz1568/getInfo.php?workbook=02_02.xlsx&amp;sheet=U0&amp;row=747&amp;col=7&amp;number=&amp;sourceID=1","")</f>
        <v/>
      </c>
      <c r="H747" s="4" t="str">
        <f>HYPERLINK("http://141.218.60.56/~jnz1568/getInfo.php?workbook=02_02.xlsx&amp;sheet=U0&amp;row=747&amp;col=8&amp;number=4&amp;sourceID=29","4")</f>
        <v>4</v>
      </c>
      <c r="I747" s="4" t="str">
        <f>HYPERLINK("http://141.218.60.56/~jnz1568/getInfo.php?workbook=02_02.xlsx&amp;sheet=U0&amp;row=747&amp;col=9&amp;number=1.397&amp;sourceID=1","1.397")</f>
        <v>1.397</v>
      </c>
    </row>
    <row r="748" spans="1:9">
      <c r="A748" s="3"/>
      <c r="B748" s="3"/>
      <c r="C748" s="3"/>
      <c r="D748" s="3"/>
      <c r="E748" s="3">
        <v>4</v>
      </c>
      <c r="F748" s="4" t="str">
        <f>HYPERLINK("http://141.218.60.56/~jnz1568/getInfo.php?workbook=02_02.xlsx&amp;sheet=U0&amp;row=748&amp;col=6&amp;number=&amp;sourceID=28","")</f>
        <v/>
      </c>
      <c r="G748" s="4" t="str">
        <f>HYPERLINK("http://141.218.60.56/~jnz1568/getInfo.php?workbook=02_02.xlsx&amp;sheet=U0&amp;row=748&amp;col=7&amp;number=&amp;sourceID=1","")</f>
        <v/>
      </c>
      <c r="H748" s="4" t="str">
        <f>HYPERLINK("http://141.218.60.56/~jnz1568/getInfo.php?workbook=02_02.xlsx&amp;sheet=U0&amp;row=748&amp;col=8&amp;number=4.176&amp;sourceID=29","4.176")</f>
        <v>4.176</v>
      </c>
      <c r="I748" s="4" t="str">
        <f>HYPERLINK("http://141.218.60.56/~jnz1568/getInfo.php?workbook=02_02.xlsx&amp;sheet=U0&amp;row=748&amp;col=9&amp;number=1.367&amp;sourceID=1","1.367")</f>
        <v>1.367</v>
      </c>
    </row>
    <row r="749" spans="1:9">
      <c r="A749" s="3"/>
      <c r="B749" s="3"/>
      <c r="C749" s="3"/>
      <c r="D749" s="3"/>
      <c r="E749" s="3">
        <v>5</v>
      </c>
      <c r="F749" s="4" t="str">
        <f>HYPERLINK("http://141.218.60.56/~jnz1568/getInfo.php?workbook=02_02.xlsx&amp;sheet=U0&amp;row=749&amp;col=6&amp;number=&amp;sourceID=28","")</f>
        <v/>
      </c>
      <c r="G749" s="4" t="str">
        <f>HYPERLINK("http://141.218.60.56/~jnz1568/getInfo.php?workbook=02_02.xlsx&amp;sheet=U0&amp;row=749&amp;col=7&amp;number=&amp;sourceID=1","")</f>
        <v/>
      </c>
      <c r="H749" s="4" t="str">
        <f>HYPERLINK("http://141.218.60.56/~jnz1568/getInfo.php?workbook=02_02.xlsx&amp;sheet=U0&amp;row=749&amp;col=8&amp;number=4.301&amp;sourceID=29","4.301")</f>
        <v>4.301</v>
      </c>
      <c r="I749" s="4" t="str">
        <f>HYPERLINK("http://141.218.60.56/~jnz1568/getInfo.php?workbook=02_02.xlsx&amp;sheet=U0&amp;row=749&amp;col=9&amp;number=1.304&amp;sourceID=1","1.304")</f>
        <v>1.304</v>
      </c>
    </row>
    <row r="750" spans="1:9">
      <c r="A750" s="3"/>
      <c r="B750" s="3"/>
      <c r="C750" s="3"/>
      <c r="D750" s="3"/>
      <c r="E750" s="3">
        <v>6</v>
      </c>
      <c r="F750" s="4" t="str">
        <f>HYPERLINK("http://141.218.60.56/~jnz1568/getInfo.php?workbook=02_02.xlsx&amp;sheet=U0&amp;row=750&amp;col=6&amp;number=&amp;sourceID=28","")</f>
        <v/>
      </c>
      <c r="G750" s="4" t="str">
        <f>HYPERLINK("http://141.218.60.56/~jnz1568/getInfo.php?workbook=02_02.xlsx&amp;sheet=U0&amp;row=750&amp;col=7&amp;number=&amp;sourceID=1","")</f>
        <v/>
      </c>
      <c r="H750" s="4" t="str">
        <f>HYPERLINK("http://141.218.60.56/~jnz1568/getInfo.php?workbook=02_02.xlsx&amp;sheet=U0&amp;row=750&amp;col=8&amp;number=4.398&amp;sourceID=29","4.398")</f>
        <v>4.398</v>
      </c>
      <c r="I750" s="4" t="str">
        <f>HYPERLINK("http://141.218.60.56/~jnz1568/getInfo.php?workbook=02_02.xlsx&amp;sheet=U0&amp;row=750&amp;col=9&amp;number=1.233&amp;sourceID=1","1.233")</f>
        <v>1.233</v>
      </c>
    </row>
    <row r="751" spans="1:9">
      <c r="A751" s="3"/>
      <c r="B751" s="3"/>
      <c r="C751" s="3"/>
      <c r="D751" s="3"/>
      <c r="E751" s="3">
        <v>7</v>
      </c>
      <c r="F751" s="4" t="str">
        <f>HYPERLINK("http://141.218.60.56/~jnz1568/getInfo.php?workbook=02_02.xlsx&amp;sheet=U0&amp;row=751&amp;col=6&amp;number=&amp;sourceID=28","")</f>
        <v/>
      </c>
      <c r="G751" s="4" t="str">
        <f>HYPERLINK("http://141.218.60.56/~jnz1568/getInfo.php?workbook=02_02.xlsx&amp;sheet=U0&amp;row=751&amp;col=7&amp;number=&amp;sourceID=1","")</f>
        <v/>
      </c>
      <c r="H751" s="4" t="str">
        <f>HYPERLINK("http://141.218.60.56/~jnz1568/getInfo.php?workbook=02_02.xlsx&amp;sheet=U0&amp;row=751&amp;col=8&amp;number=4.477&amp;sourceID=29","4.477")</f>
        <v>4.477</v>
      </c>
      <c r="I751" s="4" t="str">
        <f>HYPERLINK("http://141.218.60.56/~jnz1568/getInfo.php?workbook=02_02.xlsx&amp;sheet=U0&amp;row=751&amp;col=9&amp;number=1.163&amp;sourceID=1","1.163")</f>
        <v>1.163</v>
      </c>
    </row>
    <row r="752" spans="1:9">
      <c r="A752" s="3">
        <v>2</v>
      </c>
      <c r="B752" s="3">
        <v>2</v>
      </c>
      <c r="C752" s="3">
        <v>15</v>
      </c>
      <c r="D752" s="3">
        <v>13</v>
      </c>
      <c r="E752" s="3">
        <v>1</v>
      </c>
      <c r="F752" s="4" t="str">
        <f>HYPERLINK("http://141.218.60.56/~jnz1568/getInfo.php?workbook=02_02.xlsx&amp;sheet=U0&amp;row=752&amp;col=6&amp;number=&amp;sourceID=28","")</f>
        <v/>
      </c>
      <c r="G752" s="4" t="str">
        <f>HYPERLINK("http://141.218.60.56/~jnz1568/getInfo.php?workbook=02_02.xlsx&amp;sheet=U0&amp;row=752&amp;col=7&amp;number=&amp;sourceID=1","")</f>
        <v/>
      </c>
      <c r="H752" s="4" t="str">
        <f>HYPERLINK("http://141.218.60.56/~jnz1568/getInfo.php?workbook=02_02.xlsx&amp;sheet=U0&amp;row=752&amp;col=8&amp;number=3.301&amp;sourceID=29","3.301")</f>
        <v>3.301</v>
      </c>
      <c r="I752" s="4" t="str">
        <f>HYPERLINK("http://141.218.60.56/~jnz1568/getInfo.php?workbook=02_02.xlsx&amp;sheet=U0&amp;row=752&amp;col=9&amp;number=1.918&amp;sourceID=1","1.918")</f>
        <v>1.918</v>
      </c>
    </row>
    <row r="753" spans="1:9">
      <c r="A753" s="3"/>
      <c r="B753" s="3"/>
      <c r="C753" s="3"/>
      <c r="D753" s="3"/>
      <c r="E753" s="3">
        <v>2</v>
      </c>
      <c r="F753" s="4" t="str">
        <f>HYPERLINK("http://141.218.60.56/~jnz1568/getInfo.php?workbook=02_02.xlsx&amp;sheet=U0&amp;row=753&amp;col=6&amp;number=&amp;sourceID=28","")</f>
        <v/>
      </c>
      <c r="G753" s="4" t="str">
        <f>HYPERLINK("http://141.218.60.56/~jnz1568/getInfo.php?workbook=02_02.xlsx&amp;sheet=U0&amp;row=753&amp;col=7&amp;number=&amp;sourceID=1","")</f>
        <v/>
      </c>
      <c r="H753" s="4" t="str">
        <f>HYPERLINK("http://141.218.60.56/~jnz1568/getInfo.php?workbook=02_02.xlsx&amp;sheet=U0&amp;row=753&amp;col=8&amp;number=3.699&amp;sourceID=29","3.699")</f>
        <v>3.699</v>
      </c>
      <c r="I753" s="4" t="str">
        <f>HYPERLINK("http://141.218.60.56/~jnz1568/getInfo.php?workbook=02_02.xlsx&amp;sheet=U0&amp;row=753&amp;col=9&amp;number=2.148&amp;sourceID=1","2.148")</f>
        <v>2.148</v>
      </c>
    </row>
    <row r="754" spans="1:9">
      <c r="A754" s="3"/>
      <c r="B754" s="3"/>
      <c r="C754" s="3"/>
      <c r="D754" s="3"/>
      <c r="E754" s="3">
        <v>3</v>
      </c>
      <c r="F754" s="4" t="str">
        <f>HYPERLINK("http://141.218.60.56/~jnz1568/getInfo.php?workbook=02_02.xlsx&amp;sheet=U0&amp;row=754&amp;col=6&amp;number=&amp;sourceID=28","")</f>
        <v/>
      </c>
      <c r="G754" s="4" t="str">
        <f>HYPERLINK("http://141.218.60.56/~jnz1568/getInfo.php?workbook=02_02.xlsx&amp;sheet=U0&amp;row=754&amp;col=7&amp;number=&amp;sourceID=1","")</f>
        <v/>
      </c>
      <c r="H754" s="4" t="str">
        <f>HYPERLINK("http://141.218.60.56/~jnz1568/getInfo.php?workbook=02_02.xlsx&amp;sheet=U0&amp;row=754&amp;col=8&amp;number=4&amp;sourceID=29","4")</f>
        <v>4</v>
      </c>
      <c r="I754" s="4" t="str">
        <f>HYPERLINK("http://141.218.60.56/~jnz1568/getInfo.php?workbook=02_02.xlsx&amp;sheet=U0&amp;row=754&amp;col=9&amp;number=1.928&amp;sourceID=1","1.928")</f>
        <v>1.928</v>
      </c>
    </row>
    <row r="755" spans="1:9">
      <c r="A755" s="3"/>
      <c r="B755" s="3"/>
      <c r="C755" s="3"/>
      <c r="D755" s="3"/>
      <c r="E755" s="3">
        <v>4</v>
      </c>
      <c r="F755" s="4" t="str">
        <f>HYPERLINK("http://141.218.60.56/~jnz1568/getInfo.php?workbook=02_02.xlsx&amp;sheet=U0&amp;row=755&amp;col=6&amp;number=&amp;sourceID=28","")</f>
        <v/>
      </c>
      <c r="G755" s="4" t="str">
        <f>HYPERLINK("http://141.218.60.56/~jnz1568/getInfo.php?workbook=02_02.xlsx&amp;sheet=U0&amp;row=755&amp;col=7&amp;number=&amp;sourceID=1","")</f>
        <v/>
      </c>
      <c r="H755" s="4" t="str">
        <f>HYPERLINK("http://141.218.60.56/~jnz1568/getInfo.php?workbook=02_02.xlsx&amp;sheet=U0&amp;row=755&amp;col=8&amp;number=4.176&amp;sourceID=29","4.176")</f>
        <v>4.176</v>
      </c>
      <c r="I755" s="4" t="str">
        <f>HYPERLINK("http://141.218.60.56/~jnz1568/getInfo.php?workbook=02_02.xlsx&amp;sheet=U0&amp;row=755&amp;col=9&amp;number=1.68&amp;sourceID=1","1.68")</f>
        <v>1.68</v>
      </c>
    </row>
    <row r="756" spans="1:9">
      <c r="A756" s="3"/>
      <c r="B756" s="3"/>
      <c r="C756" s="3"/>
      <c r="D756" s="3"/>
      <c r="E756" s="3">
        <v>5</v>
      </c>
      <c r="F756" s="4" t="str">
        <f>HYPERLINK("http://141.218.60.56/~jnz1568/getInfo.php?workbook=02_02.xlsx&amp;sheet=U0&amp;row=756&amp;col=6&amp;number=&amp;sourceID=28","")</f>
        <v/>
      </c>
      <c r="G756" s="4" t="str">
        <f>HYPERLINK("http://141.218.60.56/~jnz1568/getInfo.php?workbook=02_02.xlsx&amp;sheet=U0&amp;row=756&amp;col=7&amp;number=&amp;sourceID=1","")</f>
        <v/>
      </c>
      <c r="H756" s="4" t="str">
        <f>HYPERLINK("http://141.218.60.56/~jnz1568/getInfo.php?workbook=02_02.xlsx&amp;sheet=U0&amp;row=756&amp;col=8&amp;number=4.301&amp;sourceID=29","4.301")</f>
        <v>4.301</v>
      </c>
      <c r="I756" s="4" t="str">
        <f>HYPERLINK("http://141.218.60.56/~jnz1568/getInfo.php?workbook=02_02.xlsx&amp;sheet=U0&amp;row=756&amp;col=9&amp;number=1.477&amp;sourceID=1","1.477")</f>
        <v>1.477</v>
      </c>
    </row>
    <row r="757" spans="1:9">
      <c r="A757" s="3"/>
      <c r="B757" s="3"/>
      <c r="C757" s="3"/>
      <c r="D757" s="3"/>
      <c r="E757" s="3">
        <v>6</v>
      </c>
      <c r="F757" s="4" t="str">
        <f>HYPERLINK("http://141.218.60.56/~jnz1568/getInfo.php?workbook=02_02.xlsx&amp;sheet=U0&amp;row=757&amp;col=6&amp;number=&amp;sourceID=28","")</f>
        <v/>
      </c>
      <c r="G757" s="4" t="str">
        <f>HYPERLINK("http://141.218.60.56/~jnz1568/getInfo.php?workbook=02_02.xlsx&amp;sheet=U0&amp;row=757&amp;col=7&amp;number=&amp;sourceID=1","")</f>
        <v/>
      </c>
      <c r="H757" s="4" t="str">
        <f>HYPERLINK("http://141.218.60.56/~jnz1568/getInfo.php?workbook=02_02.xlsx&amp;sheet=U0&amp;row=757&amp;col=8&amp;number=4.398&amp;sourceID=29","4.398")</f>
        <v>4.398</v>
      </c>
      <c r="I757" s="4" t="str">
        <f>HYPERLINK("http://141.218.60.56/~jnz1568/getInfo.php?workbook=02_02.xlsx&amp;sheet=U0&amp;row=757&amp;col=9&amp;number=1.314&amp;sourceID=1","1.314")</f>
        <v>1.314</v>
      </c>
    </row>
    <row r="758" spans="1:9">
      <c r="A758" s="3"/>
      <c r="B758" s="3"/>
      <c r="C758" s="3"/>
      <c r="D758" s="3"/>
      <c r="E758" s="3">
        <v>7</v>
      </c>
      <c r="F758" s="4" t="str">
        <f>HYPERLINK("http://141.218.60.56/~jnz1568/getInfo.php?workbook=02_02.xlsx&amp;sheet=U0&amp;row=758&amp;col=6&amp;number=&amp;sourceID=28","")</f>
        <v/>
      </c>
      <c r="G758" s="4" t="str">
        <f>HYPERLINK("http://141.218.60.56/~jnz1568/getInfo.php?workbook=02_02.xlsx&amp;sheet=U0&amp;row=758&amp;col=7&amp;number=&amp;sourceID=1","")</f>
        <v/>
      </c>
      <c r="H758" s="4" t="str">
        <f>HYPERLINK("http://141.218.60.56/~jnz1568/getInfo.php?workbook=02_02.xlsx&amp;sheet=U0&amp;row=758&amp;col=8&amp;number=4.477&amp;sourceID=29","4.477")</f>
        <v>4.477</v>
      </c>
      <c r="I758" s="4" t="str">
        <f>HYPERLINK("http://141.218.60.56/~jnz1568/getInfo.php?workbook=02_02.xlsx&amp;sheet=U0&amp;row=758&amp;col=9&amp;number=1.183&amp;sourceID=1","1.183")</f>
        <v>1.183</v>
      </c>
    </row>
    <row r="759" spans="1:9">
      <c r="A759" s="3">
        <v>2</v>
      </c>
      <c r="B759" s="3">
        <v>2</v>
      </c>
      <c r="C759" s="3">
        <v>16</v>
      </c>
      <c r="D759" s="3">
        <v>1</v>
      </c>
      <c r="E759" s="3">
        <v>1</v>
      </c>
      <c r="F759" s="4" t="str">
        <f>HYPERLINK("http://141.218.60.56/~jnz1568/getInfo.php?workbook=02_02.xlsx&amp;sheet=U0&amp;row=759&amp;col=6&amp;number=3.75&amp;sourceID=28","3.75")</f>
        <v>3.75</v>
      </c>
      <c r="G759" s="4" t="str">
        <f>HYPERLINK("http://141.218.60.56/~jnz1568/getInfo.php?workbook=02_02.xlsx&amp;sheet=U0&amp;row=759&amp;col=7&amp;number=0.001416&amp;sourceID=1","0.001416")</f>
        <v>0.001416</v>
      </c>
      <c r="H759" s="4" t="str">
        <f>HYPERLINK("http://141.218.60.56/~jnz1568/getInfo.php?workbook=02_02.xlsx&amp;sheet=U0&amp;row=759&amp;col=8&amp;number=3.301&amp;sourceID=29","3.301")</f>
        <v>3.301</v>
      </c>
      <c r="I759" s="4" t="str">
        <f>HYPERLINK("http://141.218.60.56/~jnz1568/getInfo.php?workbook=02_02.xlsx&amp;sheet=U0&amp;row=759&amp;col=9&amp;number=0.001328&amp;sourceID=1","0.001328")</f>
        <v>0.001328</v>
      </c>
    </row>
    <row r="760" spans="1:9">
      <c r="A760" s="3"/>
      <c r="B760" s="3"/>
      <c r="C760" s="3"/>
      <c r="D760" s="3"/>
      <c r="E760" s="3">
        <v>2</v>
      </c>
      <c r="F760" s="4" t="str">
        <f>HYPERLINK("http://141.218.60.56/~jnz1568/getInfo.php?workbook=02_02.xlsx&amp;sheet=U0&amp;row=760&amp;col=6&amp;number=4&amp;sourceID=28","4")</f>
        <v>4</v>
      </c>
      <c r="G760" s="4" t="str">
        <f>HYPERLINK("http://141.218.60.56/~jnz1568/getInfo.php?workbook=02_02.xlsx&amp;sheet=U0&amp;row=760&amp;col=7&amp;number=0.001442&amp;sourceID=1","0.001442")</f>
        <v>0.001442</v>
      </c>
      <c r="H760" s="4" t="str">
        <f>HYPERLINK("http://141.218.60.56/~jnz1568/getInfo.php?workbook=02_02.xlsx&amp;sheet=U0&amp;row=760&amp;col=8&amp;number=3.699&amp;sourceID=29","3.699")</f>
        <v>3.699</v>
      </c>
      <c r="I760" s="4" t="str">
        <f>HYPERLINK("http://141.218.60.56/~jnz1568/getInfo.php?workbook=02_02.xlsx&amp;sheet=U0&amp;row=760&amp;col=9&amp;number=0.001763&amp;sourceID=1","0.001763")</f>
        <v>0.001763</v>
      </c>
    </row>
    <row r="761" spans="1:9">
      <c r="A761" s="3"/>
      <c r="B761" s="3"/>
      <c r="C761" s="3"/>
      <c r="D761" s="3"/>
      <c r="E761" s="3">
        <v>3</v>
      </c>
      <c r="F761" s="4" t="str">
        <f>HYPERLINK("http://141.218.60.56/~jnz1568/getInfo.php?workbook=02_02.xlsx&amp;sheet=U0&amp;row=761&amp;col=6&amp;number=4.25&amp;sourceID=28","4.25")</f>
        <v>4.25</v>
      </c>
      <c r="G761" s="4" t="str">
        <f>HYPERLINK("http://141.218.60.56/~jnz1568/getInfo.php?workbook=02_02.xlsx&amp;sheet=U0&amp;row=761&amp;col=7&amp;number=0.001548&amp;sourceID=1","0.001548")</f>
        <v>0.001548</v>
      </c>
      <c r="H761" s="4" t="str">
        <f>HYPERLINK("http://141.218.60.56/~jnz1568/getInfo.php?workbook=02_02.xlsx&amp;sheet=U0&amp;row=761&amp;col=8&amp;number=4&amp;sourceID=29","4")</f>
        <v>4</v>
      </c>
      <c r="I761" s="4" t="str">
        <f>HYPERLINK("http://141.218.60.56/~jnz1568/getInfo.php?workbook=02_02.xlsx&amp;sheet=U0&amp;row=761&amp;col=9&amp;number=0.002715&amp;sourceID=1","0.002715")</f>
        <v>0.002715</v>
      </c>
    </row>
    <row r="762" spans="1:9">
      <c r="A762" s="3"/>
      <c r="B762" s="3"/>
      <c r="C762" s="3"/>
      <c r="D762" s="3"/>
      <c r="E762" s="3">
        <v>4</v>
      </c>
      <c r="F762" s="4" t="str">
        <f>HYPERLINK("http://141.218.60.56/~jnz1568/getInfo.php?workbook=02_02.xlsx&amp;sheet=U0&amp;row=762&amp;col=6&amp;number=4.5&amp;sourceID=28","4.5")</f>
        <v>4.5</v>
      </c>
      <c r="G762" s="4" t="str">
        <f>HYPERLINK("http://141.218.60.56/~jnz1568/getInfo.php?workbook=02_02.xlsx&amp;sheet=U0&amp;row=762&amp;col=7&amp;number=0.001764&amp;sourceID=1","0.001764")</f>
        <v>0.001764</v>
      </c>
      <c r="H762" s="4" t="str">
        <f>HYPERLINK("http://141.218.60.56/~jnz1568/getInfo.php?workbook=02_02.xlsx&amp;sheet=U0&amp;row=762&amp;col=8&amp;number=4.176&amp;sourceID=29","4.176")</f>
        <v>4.176</v>
      </c>
      <c r="I762" s="4" t="str">
        <f>HYPERLINK("http://141.218.60.56/~jnz1568/getInfo.php?workbook=02_02.xlsx&amp;sheet=U0&amp;row=762&amp;col=9&amp;number=0.003558&amp;sourceID=1","0.003558")</f>
        <v>0.003558</v>
      </c>
    </row>
    <row r="763" spans="1:9">
      <c r="A763" s="3"/>
      <c r="B763" s="3"/>
      <c r="C763" s="3"/>
      <c r="D763" s="3"/>
      <c r="E763" s="3">
        <v>5</v>
      </c>
      <c r="F763" s="4" t="str">
        <f>HYPERLINK("http://141.218.60.56/~jnz1568/getInfo.php?workbook=02_02.xlsx&amp;sheet=U0&amp;row=763&amp;col=6&amp;number=4.75&amp;sourceID=28","4.75")</f>
        <v>4.75</v>
      </c>
      <c r="G763" s="4" t="str">
        <f>HYPERLINK("http://141.218.60.56/~jnz1568/getInfo.php?workbook=02_02.xlsx&amp;sheet=U0&amp;row=763&amp;col=7&amp;number=0.002152&amp;sourceID=1","0.002152")</f>
        <v>0.002152</v>
      </c>
      <c r="H763" s="4" t="str">
        <f>HYPERLINK("http://141.218.60.56/~jnz1568/getInfo.php?workbook=02_02.xlsx&amp;sheet=U0&amp;row=763&amp;col=8&amp;number=4.301&amp;sourceID=29","4.301")</f>
        <v>4.301</v>
      </c>
      <c r="I763" s="4" t="str">
        <f>HYPERLINK("http://141.218.60.56/~jnz1568/getInfo.php?workbook=02_02.xlsx&amp;sheet=U0&amp;row=763&amp;col=9&amp;number=0.004189&amp;sourceID=1","0.004189")</f>
        <v>0.004189</v>
      </c>
    </row>
    <row r="764" spans="1:9">
      <c r="A764" s="3"/>
      <c r="B764" s="3"/>
      <c r="C764" s="3"/>
      <c r="D764" s="3"/>
      <c r="E764" s="3">
        <v>6</v>
      </c>
      <c r="F764" s="4" t="str">
        <f>HYPERLINK("http://141.218.60.56/~jnz1568/getInfo.php?workbook=02_02.xlsx&amp;sheet=U0&amp;row=764&amp;col=6&amp;number=5&amp;sourceID=28","5")</f>
        <v>5</v>
      </c>
      <c r="G764" s="4" t="str">
        <f>HYPERLINK("http://141.218.60.56/~jnz1568/getInfo.php?workbook=02_02.xlsx&amp;sheet=U0&amp;row=764&amp;col=7&amp;number=0.00279&amp;sourceID=1","0.00279")</f>
        <v>0.00279</v>
      </c>
      <c r="H764" s="4" t="str">
        <f>HYPERLINK("http://141.218.60.56/~jnz1568/getInfo.php?workbook=02_02.xlsx&amp;sheet=U0&amp;row=764&amp;col=8&amp;number=4.398&amp;sourceID=29","4.398")</f>
        <v>4.398</v>
      </c>
      <c r="I764" s="4" t="str">
        <f>HYPERLINK("http://141.218.60.56/~jnz1568/getInfo.php?workbook=02_02.xlsx&amp;sheet=U0&amp;row=764&amp;col=9&amp;number=0.004635&amp;sourceID=1","0.004635")</f>
        <v>0.004635</v>
      </c>
    </row>
    <row r="765" spans="1:9">
      <c r="A765" s="3"/>
      <c r="B765" s="3"/>
      <c r="C765" s="3"/>
      <c r="D765" s="3"/>
      <c r="E765" s="3">
        <v>7</v>
      </c>
      <c r="F765" s="4" t="str">
        <f>HYPERLINK("http://141.218.60.56/~jnz1568/getInfo.php?workbook=02_02.xlsx&amp;sheet=U0&amp;row=765&amp;col=6&amp;number=5.25&amp;sourceID=28","5.25")</f>
        <v>5.25</v>
      </c>
      <c r="G765" s="4" t="str">
        <f>HYPERLINK("http://141.218.60.56/~jnz1568/getInfo.php?workbook=02_02.xlsx&amp;sheet=U0&amp;row=765&amp;col=7&amp;number=0.003642&amp;sourceID=1","0.003642")</f>
        <v>0.003642</v>
      </c>
      <c r="H765" s="4" t="str">
        <f>HYPERLINK("http://141.218.60.56/~jnz1568/getInfo.php?workbook=02_02.xlsx&amp;sheet=U0&amp;row=765&amp;col=8&amp;number=4.477&amp;sourceID=29","4.477")</f>
        <v>4.477</v>
      </c>
      <c r="I765" s="4" t="str">
        <f>HYPERLINK("http://141.218.60.56/~jnz1568/getInfo.php?workbook=02_02.xlsx&amp;sheet=U0&amp;row=765&amp;col=9&amp;number=0.004933&amp;sourceID=1","0.004933")</f>
        <v>0.004933</v>
      </c>
    </row>
    <row r="766" spans="1:9">
      <c r="A766" s="3"/>
      <c r="B766" s="3"/>
      <c r="C766" s="3"/>
      <c r="D766" s="3"/>
      <c r="E766" s="3">
        <v>8</v>
      </c>
      <c r="F766" s="4" t="str">
        <f>HYPERLINK("http://141.218.60.56/~jnz1568/getInfo.php?workbook=02_02.xlsx&amp;sheet=U0&amp;row=766&amp;col=6&amp;number=5.5&amp;sourceID=28","5.5")</f>
        <v>5.5</v>
      </c>
      <c r="G766" s="4" t="str">
        <f>HYPERLINK("http://141.218.60.56/~jnz1568/getInfo.php?workbook=02_02.xlsx&amp;sheet=U0&amp;row=766&amp;col=7&amp;number=0.004521&amp;sourceID=1","0.004521")</f>
        <v>0.004521</v>
      </c>
      <c r="H766" s="4" t="str">
        <f>HYPERLINK("http://141.218.60.56/~jnz1568/getInfo.php?workbook=02_02.xlsx&amp;sheet=U0&amp;row=766&amp;col=8&amp;number=&amp;sourceID=29","")</f>
        <v/>
      </c>
      <c r="I766" s="4" t="str">
        <f>HYPERLINK("http://141.218.60.56/~jnz1568/getInfo.php?workbook=02_02.xlsx&amp;sheet=U0&amp;row=766&amp;col=9&amp;number=&amp;sourceID=1","")</f>
        <v/>
      </c>
    </row>
    <row r="767" spans="1:9">
      <c r="A767" s="3"/>
      <c r="B767" s="3"/>
      <c r="C767" s="3"/>
      <c r="D767" s="3"/>
      <c r="E767" s="3">
        <v>9</v>
      </c>
      <c r="F767" s="4" t="str">
        <f>HYPERLINK("http://141.218.60.56/~jnz1568/getInfo.php?workbook=02_02.xlsx&amp;sheet=U0&amp;row=767&amp;col=6&amp;number=5.75&amp;sourceID=28","5.75")</f>
        <v>5.75</v>
      </c>
      <c r="G767" s="4" t="str">
        <f>HYPERLINK("http://141.218.60.56/~jnz1568/getInfo.php?workbook=02_02.xlsx&amp;sheet=U0&amp;row=767&amp;col=7&amp;number=0.005222&amp;sourceID=1","0.005222")</f>
        <v>0.005222</v>
      </c>
      <c r="H767" s="4" t="str">
        <f>HYPERLINK("http://141.218.60.56/~jnz1568/getInfo.php?workbook=02_02.xlsx&amp;sheet=U0&amp;row=767&amp;col=8&amp;number=&amp;sourceID=29","")</f>
        <v/>
      </c>
      <c r="I767" s="4" t="str">
        <f>HYPERLINK("http://141.218.60.56/~jnz1568/getInfo.php?workbook=02_02.xlsx&amp;sheet=U0&amp;row=767&amp;col=9&amp;number=&amp;sourceID=1","")</f>
        <v/>
      </c>
    </row>
    <row r="768" spans="1:9">
      <c r="A768" s="3">
        <v>2</v>
      </c>
      <c r="B768" s="3">
        <v>2</v>
      </c>
      <c r="C768" s="3">
        <v>16</v>
      </c>
      <c r="D768" s="3">
        <v>2</v>
      </c>
      <c r="E768" s="3">
        <v>1</v>
      </c>
      <c r="F768" s="4" t="str">
        <f>HYPERLINK("http://141.218.60.56/~jnz1568/getInfo.php?workbook=02_02.xlsx&amp;sheet=U0&amp;row=768&amp;col=6&amp;number=3.75&amp;sourceID=28","3.75")</f>
        <v>3.75</v>
      </c>
      <c r="G768" s="4" t="str">
        <f>HYPERLINK("http://141.218.60.56/~jnz1568/getInfo.php?workbook=02_02.xlsx&amp;sheet=U0&amp;row=768&amp;col=7&amp;number=0.08385&amp;sourceID=1","0.08385")</f>
        <v>0.08385</v>
      </c>
      <c r="H768" s="4" t="str">
        <f>HYPERLINK("http://141.218.60.56/~jnz1568/getInfo.php?workbook=02_02.xlsx&amp;sheet=U0&amp;row=768&amp;col=8&amp;number=3.301&amp;sourceID=29","3.301")</f>
        <v>3.301</v>
      </c>
      <c r="I768" s="4" t="str">
        <f>HYPERLINK("http://141.218.60.56/~jnz1568/getInfo.php?workbook=02_02.xlsx&amp;sheet=U0&amp;row=768&amp;col=9&amp;number=0.08633&amp;sourceID=1","0.08633")</f>
        <v>0.08633</v>
      </c>
    </row>
    <row r="769" spans="1:9">
      <c r="A769" s="3"/>
      <c r="B769" s="3"/>
      <c r="C769" s="3"/>
      <c r="D769" s="3"/>
      <c r="E769" s="3">
        <v>2</v>
      </c>
      <c r="F769" s="4" t="str">
        <f>HYPERLINK("http://141.218.60.56/~jnz1568/getInfo.php?workbook=02_02.xlsx&amp;sheet=U0&amp;row=769&amp;col=6&amp;number=4&amp;sourceID=28","4")</f>
        <v>4</v>
      </c>
      <c r="G769" s="4" t="str">
        <f>HYPERLINK("http://141.218.60.56/~jnz1568/getInfo.php?workbook=02_02.xlsx&amp;sheet=U0&amp;row=769&amp;col=7&amp;number=0.08375&amp;sourceID=1","0.08375")</f>
        <v>0.08375</v>
      </c>
      <c r="H769" s="4" t="str">
        <f>HYPERLINK("http://141.218.60.56/~jnz1568/getInfo.php?workbook=02_02.xlsx&amp;sheet=U0&amp;row=769&amp;col=8&amp;number=3.699&amp;sourceID=29","3.699")</f>
        <v>3.699</v>
      </c>
      <c r="I769" s="4" t="str">
        <f>HYPERLINK("http://141.218.60.56/~jnz1568/getInfo.php?workbook=02_02.xlsx&amp;sheet=U0&amp;row=769&amp;col=9&amp;number=0.1005&amp;sourceID=1","0.1005")</f>
        <v>0.1005</v>
      </c>
    </row>
    <row r="770" spans="1:9">
      <c r="A770" s="3"/>
      <c r="B770" s="3"/>
      <c r="C770" s="3"/>
      <c r="D770" s="3"/>
      <c r="E770" s="3">
        <v>3</v>
      </c>
      <c r="F770" s="4" t="str">
        <f>HYPERLINK("http://141.218.60.56/~jnz1568/getInfo.php?workbook=02_02.xlsx&amp;sheet=U0&amp;row=770&amp;col=6&amp;number=4.25&amp;sourceID=28","4.25")</f>
        <v>4.25</v>
      </c>
      <c r="G770" s="4" t="str">
        <f>HYPERLINK("http://141.218.60.56/~jnz1568/getInfo.php?workbook=02_02.xlsx&amp;sheet=U0&amp;row=770&amp;col=7&amp;number=0.08145&amp;sourceID=1","0.08145")</f>
        <v>0.08145</v>
      </c>
      <c r="H770" s="4" t="str">
        <f>HYPERLINK("http://141.218.60.56/~jnz1568/getInfo.php?workbook=02_02.xlsx&amp;sheet=U0&amp;row=770&amp;col=8&amp;number=4&amp;sourceID=29","4")</f>
        <v>4</v>
      </c>
      <c r="I770" s="4" t="str">
        <f>HYPERLINK("http://141.218.60.56/~jnz1568/getInfo.php?workbook=02_02.xlsx&amp;sheet=U0&amp;row=770&amp;col=9&amp;number=0.1275&amp;sourceID=1","0.1275")</f>
        <v>0.1275</v>
      </c>
    </row>
    <row r="771" spans="1:9">
      <c r="A771" s="3"/>
      <c r="B771" s="3"/>
      <c r="C771" s="3"/>
      <c r="D771" s="3"/>
      <c r="E771" s="3">
        <v>4</v>
      </c>
      <c r="F771" s="4" t="str">
        <f>HYPERLINK("http://141.218.60.56/~jnz1568/getInfo.php?workbook=02_02.xlsx&amp;sheet=U0&amp;row=771&amp;col=6&amp;number=4.5&amp;sourceID=28","4.5")</f>
        <v>4.5</v>
      </c>
      <c r="G771" s="4" t="str">
        <f>HYPERLINK("http://141.218.60.56/~jnz1568/getInfo.php?workbook=02_02.xlsx&amp;sheet=U0&amp;row=771&amp;col=7&amp;number=0.07635&amp;sourceID=1","0.07635")</f>
        <v>0.07635</v>
      </c>
      <c r="H771" s="4" t="str">
        <f>HYPERLINK("http://141.218.60.56/~jnz1568/getInfo.php?workbook=02_02.xlsx&amp;sheet=U0&amp;row=771&amp;col=8&amp;number=4.176&amp;sourceID=29","4.176")</f>
        <v>4.176</v>
      </c>
      <c r="I771" s="4" t="str">
        <f>HYPERLINK("http://141.218.60.56/~jnz1568/getInfo.php?workbook=02_02.xlsx&amp;sheet=U0&amp;row=771&amp;col=9&amp;number=0.1494&amp;sourceID=1","0.1494")</f>
        <v>0.1494</v>
      </c>
    </row>
    <row r="772" spans="1:9">
      <c r="A772" s="3"/>
      <c r="B772" s="3"/>
      <c r="C772" s="3"/>
      <c r="D772" s="3"/>
      <c r="E772" s="3">
        <v>5</v>
      </c>
      <c r="F772" s="4" t="str">
        <f>HYPERLINK("http://141.218.60.56/~jnz1568/getInfo.php?workbook=02_02.xlsx&amp;sheet=U0&amp;row=772&amp;col=6&amp;number=4.75&amp;sourceID=28","4.75")</f>
        <v>4.75</v>
      </c>
      <c r="G772" s="4" t="str">
        <f>HYPERLINK("http://141.218.60.56/~jnz1568/getInfo.php?workbook=02_02.xlsx&amp;sheet=U0&amp;row=772&amp;col=7&amp;number=0.06833&amp;sourceID=1","0.06833")</f>
        <v>0.06833</v>
      </c>
      <c r="H772" s="4" t="str">
        <f>HYPERLINK("http://141.218.60.56/~jnz1568/getInfo.php?workbook=02_02.xlsx&amp;sheet=U0&amp;row=772&amp;col=8&amp;number=4.301&amp;sourceID=29","4.301")</f>
        <v>4.301</v>
      </c>
      <c r="I772" s="4" t="str">
        <f>HYPERLINK("http://141.218.60.56/~jnz1568/getInfo.php?workbook=02_02.xlsx&amp;sheet=U0&amp;row=772&amp;col=9&amp;number=0.1631&amp;sourceID=1","0.1631")</f>
        <v>0.1631</v>
      </c>
    </row>
    <row r="773" spans="1:9">
      <c r="A773" s="3"/>
      <c r="B773" s="3"/>
      <c r="C773" s="3"/>
      <c r="D773" s="3"/>
      <c r="E773" s="3">
        <v>6</v>
      </c>
      <c r="F773" s="4" t="str">
        <f>HYPERLINK("http://141.218.60.56/~jnz1568/getInfo.php?workbook=02_02.xlsx&amp;sheet=U0&amp;row=773&amp;col=6&amp;number=5&amp;sourceID=28","5")</f>
        <v>5</v>
      </c>
      <c r="G773" s="4" t="str">
        <f>HYPERLINK("http://141.218.60.56/~jnz1568/getInfo.php?workbook=02_02.xlsx&amp;sheet=U0&amp;row=773&amp;col=7&amp;number=0.05755&amp;sourceID=1","0.05755")</f>
        <v>0.05755</v>
      </c>
      <c r="H773" s="4" t="str">
        <f>HYPERLINK("http://141.218.60.56/~jnz1568/getInfo.php?workbook=02_02.xlsx&amp;sheet=U0&amp;row=773&amp;col=8&amp;number=4.398&amp;sourceID=29","4.398")</f>
        <v>4.398</v>
      </c>
      <c r="I773" s="4" t="str">
        <f>HYPERLINK("http://141.218.60.56/~jnz1568/getInfo.php?workbook=02_02.xlsx&amp;sheet=U0&amp;row=773&amp;col=9&amp;number=0.1705&amp;sourceID=1","0.1705")</f>
        <v>0.1705</v>
      </c>
    </row>
    <row r="774" spans="1:9">
      <c r="A774" s="3"/>
      <c r="B774" s="3"/>
      <c r="C774" s="3"/>
      <c r="D774" s="3"/>
      <c r="E774" s="3">
        <v>7</v>
      </c>
      <c r="F774" s="4" t="str">
        <f>HYPERLINK("http://141.218.60.56/~jnz1568/getInfo.php?workbook=02_02.xlsx&amp;sheet=U0&amp;row=774&amp;col=6&amp;number=5.25&amp;sourceID=28","5.25")</f>
        <v>5.25</v>
      </c>
      <c r="G774" s="4" t="str">
        <f>HYPERLINK("http://141.218.60.56/~jnz1568/getInfo.php?workbook=02_02.xlsx&amp;sheet=U0&amp;row=774&amp;col=7&amp;number=0.04502&amp;sourceID=1","0.04502")</f>
        <v>0.04502</v>
      </c>
      <c r="H774" s="4" t="str">
        <f>HYPERLINK("http://141.218.60.56/~jnz1568/getInfo.php?workbook=02_02.xlsx&amp;sheet=U0&amp;row=774&amp;col=8&amp;number=4.477&amp;sourceID=29","4.477")</f>
        <v>4.477</v>
      </c>
      <c r="I774" s="4" t="str">
        <f>HYPERLINK("http://141.218.60.56/~jnz1568/getInfo.php?workbook=02_02.xlsx&amp;sheet=U0&amp;row=774&amp;col=9&amp;number=0.1736&amp;sourceID=1","0.1736")</f>
        <v>0.1736</v>
      </c>
    </row>
    <row r="775" spans="1:9">
      <c r="A775" s="3"/>
      <c r="B775" s="3"/>
      <c r="C775" s="3"/>
      <c r="D775" s="3"/>
      <c r="E775" s="3">
        <v>8</v>
      </c>
      <c r="F775" s="4" t="str">
        <f>HYPERLINK("http://141.218.60.56/~jnz1568/getInfo.php?workbook=02_02.xlsx&amp;sheet=U0&amp;row=775&amp;col=6&amp;number=5.5&amp;sourceID=28","5.5")</f>
        <v>5.5</v>
      </c>
      <c r="G775" s="4" t="str">
        <f>HYPERLINK("http://141.218.60.56/~jnz1568/getInfo.php?workbook=02_02.xlsx&amp;sheet=U0&amp;row=775&amp;col=7&amp;number=0.03264&amp;sourceID=1","0.03264")</f>
        <v>0.03264</v>
      </c>
      <c r="H775" s="4" t="str">
        <f>HYPERLINK("http://141.218.60.56/~jnz1568/getInfo.php?workbook=02_02.xlsx&amp;sheet=U0&amp;row=775&amp;col=8&amp;number=&amp;sourceID=29","")</f>
        <v/>
      </c>
      <c r="I775" s="4" t="str">
        <f>HYPERLINK("http://141.218.60.56/~jnz1568/getInfo.php?workbook=02_02.xlsx&amp;sheet=U0&amp;row=775&amp;col=9&amp;number=&amp;sourceID=1","")</f>
        <v/>
      </c>
    </row>
    <row r="776" spans="1:9">
      <c r="A776" s="3"/>
      <c r="B776" s="3"/>
      <c r="C776" s="3"/>
      <c r="D776" s="3"/>
      <c r="E776" s="3">
        <v>9</v>
      </c>
      <c r="F776" s="4" t="str">
        <f>HYPERLINK("http://141.218.60.56/~jnz1568/getInfo.php?workbook=02_02.xlsx&amp;sheet=U0&amp;row=776&amp;col=6&amp;number=5.75&amp;sourceID=28","5.75")</f>
        <v>5.75</v>
      </c>
      <c r="G776" s="4" t="str">
        <f>HYPERLINK("http://141.218.60.56/~jnz1568/getInfo.php?workbook=02_02.xlsx&amp;sheet=U0&amp;row=776&amp;col=7&amp;number=0.02212&amp;sourceID=1","0.02212")</f>
        <v>0.02212</v>
      </c>
      <c r="H776" s="4" t="str">
        <f>HYPERLINK("http://141.218.60.56/~jnz1568/getInfo.php?workbook=02_02.xlsx&amp;sheet=U0&amp;row=776&amp;col=8&amp;number=&amp;sourceID=29","")</f>
        <v/>
      </c>
      <c r="I776" s="4" t="str">
        <f>HYPERLINK("http://141.218.60.56/~jnz1568/getInfo.php?workbook=02_02.xlsx&amp;sheet=U0&amp;row=776&amp;col=9&amp;number=&amp;sourceID=1","")</f>
        <v/>
      </c>
    </row>
    <row r="777" spans="1:9">
      <c r="A777" s="3">
        <v>2</v>
      </c>
      <c r="B777" s="3">
        <v>2</v>
      </c>
      <c r="C777" s="3">
        <v>16</v>
      </c>
      <c r="D777" s="3">
        <v>3</v>
      </c>
      <c r="E777" s="3">
        <v>1</v>
      </c>
      <c r="F777" s="4" t="str">
        <f>HYPERLINK("http://141.218.60.56/~jnz1568/getInfo.php?workbook=02_02.xlsx&amp;sheet=U0&amp;row=777&amp;col=6&amp;number=3.75&amp;sourceID=28","3.75")</f>
        <v>3.75</v>
      </c>
      <c r="G777" s="4" t="str">
        <f>HYPERLINK("http://141.218.60.56/~jnz1568/getInfo.php?workbook=02_02.xlsx&amp;sheet=U0&amp;row=777&amp;col=7&amp;number=0.207&amp;sourceID=1","0.207")</f>
        <v>0.207</v>
      </c>
      <c r="H777" s="4" t="str">
        <f>HYPERLINK("http://141.218.60.56/~jnz1568/getInfo.php?workbook=02_02.xlsx&amp;sheet=U0&amp;row=777&amp;col=8&amp;number=3.301&amp;sourceID=29","3.301")</f>
        <v>3.301</v>
      </c>
      <c r="I777" s="4" t="str">
        <f>HYPERLINK("http://141.218.60.56/~jnz1568/getInfo.php?workbook=02_02.xlsx&amp;sheet=U0&amp;row=777&amp;col=9&amp;number=0.2022&amp;sourceID=1","0.2022")</f>
        <v>0.2022</v>
      </c>
    </row>
    <row r="778" spans="1:9">
      <c r="A778" s="3"/>
      <c r="B778" s="3"/>
      <c r="C778" s="3"/>
      <c r="D778" s="3"/>
      <c r="E778" s="3">
        <v>2</v>
      </c>
      <c r="F778" s="4" t="str">
        <f>HYPERLINK("http://141.218.60.56/~jnz1568/getInfo.php?workbook=02_02.xlsx&amp;sheet=U0&amp;row=778&amp;col=6&amp;number=4&amp;sourceID=28","4")</f>
        <v>4</v>
      </c>
      <c r="G778" s="4" t="str">
        <f>HYPERLINK("http://141.218.60.56/~jnz1568/getInfo.php?workbook=02_02.xlsx&amp;sheet=U0&amp;row=778&amp;col=7&amp;number=0.2355&amp;sourceID=1","0.2355")</f>
        <v>0.2355</v>
      </c>
      <c r="H778" s="4" t="str">
        <f>HYPERLINK("http://141.218.60.56/~jnz1568/getInfo.php?workbook=02_02.xlsx&amp;sheet=U0&amp;row=778&amp;col=8&amp;number=3.699&amp;sourceID=29","3.699")</f>
        <v>3.699</v>
      </c>
      <c r="I778" s="4" t="str">
        <f>HYPERLINK("http://141.218.60.56/~jnz1568/getInfo.php?workbook=02_02.xlsx&amp;sheet=U0&amp;row=778&amp;col=9&amp;number=0.2305&amp;sourceID=1","0.2305")</f>
        <v>0.2305</v>
      </c>
    </row>
    <row r="779" spans="1:9">
      <c r="A779" s="3"/>
      <c r="B779" s="3"/>
      <c r="C779" s="3"/>
      <c r="D779" s="3"/>
      <c r="E779" s="3">
        <v>3</v>
      </c>
      <c r="F779" s="4" t="str">
        <f>HYPERLINK("http://141.218.60.56/~jnz1568/getInfo.php?workbook=02_02.xlsx&amp;sheet=U0&amp;row=779&amp;col=6&amp;number=4.25&amp;sourceID=28","4.25")</f>
        <v>4.25</v>
      </c>
      <c r="G779" s="4" t="str">
        <f>HYPERLINK("http://141.218.60.56/~jnz1568/getInfo.php?workbook=02_02.xlsx&amp;sheet=U0&amp;row=779&amp;col=7&amp;number=0.2874&amp;sourceID=1","0.2874")</f>
        <v>0.2874</v>
      </c>
      <c r="H779" s="4" t="str">
        <f>HYPERLINK("http://141.218.60.56/~jnz1568/getInfo.php?workbook=02_02.xlsx&amp;sheet=U0&amp;row=779&amp;col=8&amp;number=4&amp;sourceID=29","4")</f>
        <v>4</v>
      </c>
      <c r="I779" s="4" t="str">
        <f>HYPERLINK("http://141.218.60.56/~jnz1568/getInfo.php?workbook=02_02.xlsx&amp;sheet=U0&amp;row=779&amp;col=9&amp;number=0.3498&amp;sourceID=1","0.3498")</f>
        <v>0.3498</v>
      </c>
    </row>
    <row r="780" spans="1:9">
      <c r="A780" s="3"/>
      <c r="B780" s="3"/>
      <c r="C780" s="3"/>
      <c r="D780" s="3"/>
      <c r="E780" s="3">
        <v>4</v>
      </c>
      <c r="F780" s="4" t="str">
        <f>HYPERLINK("http://141.218.60.56/~jnz1568/getInfo.php?workbook=02_02.xlsx&amp;sheet=U0&amp;row=780&amp;col=6&amp;number=4.5&amp;sourceID=28","4.5")</f>
        <v>4.5</v>
      </c>
      <c r="G780" s="4" t="str">
        <f>HYPERLINK("http://141.218.60.56/~jnz1568/getInfo.php?workbook=02_02.xlsx&amp;sheet=U0&amp;row=780&amp;col=7&amp;number=0.3808&amp;sourceID=1","0.3808")</f>
        <v>0.3808</v>
      </c>
      <c r="H780" s="4" t="str">
        <f>HYPERLINK("http://141.218.60.56/~jnz1568/getInfo.php?workbook=02_02.xlsx&amp;sheet=U0&amp;row=780&amp;col=8&amp;number=4.176&amp;sourceID=29","4.176")</f>
        <v>4.176</v>
      </c>
      <c r="I780" s="4" t="str">
        <f>HYPERLINK("http://141.218.60.56/~jnz1568/getInfo.php?workbook=02_02.xlsx&amp;sheet=U0&amp;row=780&amp;col=9&amp;number=0.4937&amp;sourceID=1","0.4937")</f>
        <v>0.4937</v>
      </c>
    </row>
    <row r="781" spans="1:9">
      <c r="A781" s="3"/>
      <c r="B781" s="3"/>
      <c r="C781" s="3"/>
      <c r="D781" s="3"/>
      <c r="E781" s="3">
        <v>5</v>
      </c>
      <c r="F781" s="4" t="str">
        <f>HYPERLINK("http://141.218.60.56/~jnz1568/getInfo.php?workbook=02_02.xlsx&amp;sheet=U0&amp;row=781&amp;col=6&amp;number=4.75&amp;sourceID=28","4.75")</f>
        <v>4.75</v>
      </c>
      <c r="G781" s="4" t="str">
        <f>HYPERLINK("http://141.218.60.56/~jnz1568/getInfo.php?workbook=02_02.xlsx&amp;sheet=U0&amp;row=781&amp;col=7&amp;number=0.5415&amp;sourceID=1","0.5415")</f>
        <v>0.5415</v>
      </c>
      <c r="H781" s="4" t="str">
        <f>HYPERLINK("http://141.218.60.56/~jnz1568/getInfo.php?workbook=02_02.xlsx&amp;sheet=U0&amp;row=781&amp;col=8&amp;number=4.301&amp;sourceID=29","4.301")</f>
        <v>4.301</v>
      </c>
      <c r="I781" s="4" t="str">
        <f>HYPERLINK("http://141.218.60.56/~jnz1568/getInfo.php?workbook=02_02.xlsx&amp;sheet=U0&amp;row=781&amp;col=9&amp;number=0.6236&amp;sourceID=1","0.6236")</f>
        <v>0.6236</v>
      </c>
    </row>
    <row r="782" spans="1:9">
      <c r="A782" s="3"/>
      <c r="B782" s="3"/>
      <c r="C782" s="3"/>
      <c r="D782" s="3"/>
      <c r="E782" s="3">
        <v>6</v>
      </c>
      <c r="F782" s="4" t="str">
        <f>HYPERLINK("http://141.218.60.56/~jnz1568/getInfo.php?workbook=02_02.xlsx&amp;sheet=U0&amp;row=782&amp;col=6&amp;number=5&amp;sourceID=28","5")</f>
        <v>5</v>
      </c>
      <c r="G782" s="4" t="str">
        <f>HYPERLINK("http://141.218.60.56/~jnz1568/getInfo.php?workbook=02_02.xlsx&amp;sheet=U0&amp;row=782&amp;col=7&amp;number=0.7779&amp;sourceID=1","0.7779")</f>
        <v>0.7779</v>
      </c>
      <c r="H782" s="4" t="str">
        <f>HYPERLINK("http://141.218.60.56/~jnz1568/getInfo.php?workbook=02_02.xlsx&amp;sheet=U0&amp;row=782&amp;col=8&amp;number=4.398&amp;sourceID=29","4.398")</f>
        <v>4.398</v>
      </c>
      <c r="I782" s="4" t="str">
        <f>HYPERLINK("http://141.218.60.56/~jnz1568/getInfo.php?workbook=02_02.xlsx&amp;sheet=U0&amp;row=782&amp;col=9&amp;number=0.7295&amp;sourceID=1","0.7295")</f>
        <v>0.7295</v>
      </c>
    </row>
    <row r="783" spans="1:9">
      <c r="A783" s="3"/>
      <c r="B783" s="3"/>
      <c r="C783" s="3"/>
      <c r="D783" s="3"/>
      <c r="E783" s="3">
        <v>7</v>
      </c>
      <c r="F783" s="4" t="str">
        <f>HYPERLINK("http://141.218.60.56/~jnz1568/getInfo.php?workbook=02_02.xlsx&amp;sheet=U0&amp;row=783&amp;col=6&amp;number=5.25&amp;sourceID=28","5.25")</f>
        <v>5.25</v>
      </c>
      <c r="G783" s="4" t="str">
        <f>HYPERLINK("http://141.218.60.56/~jnz1568/getInfo.php?workbook=02_02.xlsx&amp;sheet=U0&amp;row=783&amp;col=7&amp;number=1.058&amp;sourceID=1","1.058")</f>
        <v>1.058</v>
      </c>
      <c r="H783" s="4" t="str">
        <f>HYPERLINK("http://141.218.60.56/~jnz1568/getInfo.php?workbook=02_02.xlsx&amp;sheet=U0&amp;row=783&amp;col=8&amp;number=4.477&amp;sourceID=29","4.477")</f>
        <v>4.477</v>
      </c>
      <c r="I783" s="4" t="str">
        <f>HYPERLINK("http://141.218.60.56/~jnz1568/getInfo.php?workbook=02_02.xlsx&amp;sheet=U0&amp;row=783&amp;col=9&amp;number=0.8106&amp;sourceID=1","0.8106")</f>
        <v>0.8106</v>
      </c>
    </row>
    <row r="784" spans="1:9">
      <c r="A784" s="3"/>
      <c r="B784" s="3"/>
      <c r="C784" s="3"/>
      <c r="D784" s="3"/>
      <c r="E784" s="3">
        <v>8</v>
      </c>
      <c r="F784" s="4" t="str">
        <f>HYPERLINK("http://141.218.60.56/~jnz1568/getInfo.php?workbook=02_02.xlsx&amp;sheet=U0&amp;row=784&amp;col=6&amp;number=5.5&amp;sourceID=28","5.5")</f>
        <v>5.5</v>
      </c>
      <c r="G784" s="4" t="str">
        <f>HYPERLINK("http://141.218.60.56/~jnz1568/getInfo.php?workbook=02_02.xlsx&amp;sheet=U0&amp;row=784&amp;col=7&amp;number=1.328&amp;sourceID=1","1.328")</f>
        <v>1.328</v>
      </c>
      <c r="H784" s="4" t="str">
        <f>HYPERLINK("http://141.218.60.56/~jnz1568/getInfo.php?workbook=02_02.xlsx&amp;sheet=U0&amp;row=784&amp;col=8&amp;number=&amp;sourceID=29","")</f>
        <v/>
      </c>
      <c r="I784" s="4" t="str">
        <f>HYPERLINK("http://141.218.60.56/~jnz1568/getInfo.php?workbook=02_02.xlsx&amp;sheet=U0&amp;row=784&amp;col=9&amp;number=&amp;sourceID=1","")</f>
        <v/>
      </c>
    </row>
    <row r="785" spans="1:9">
      <c r="A785" s="3"/>
      <c r="B785" s="3"/>
      <c r="C785" s="3"/>
      <c r="D785" s="3"/>
      <c r="E785" s="3">
        <v>9</v>
      </c>
      <c r="F785" s="4" t="str">
        <f>HYPERLINK("http://141.218.60.56/~jnz1568/getInfo.php?workbook=02_02.xlsx&amp;sheet=U0&amp;row=785&amp;col=6&amp;number=5.75&amp;sourceID=28","5.75")</f>
        <v>5.75</v>
      </c>
      <c r="G785" s="4" t="str">
        <f>HYPERLINK("http://141.218.60.56/~jnz1568/getInfo.php?workbook=02_02.xlsx&amp;sheet=U0&amp;row=785&amp;col=7&amp;number=1.548&amp;sourceID=1","1.548")</f>
        <v>1.548</v>
      </c>
      <c r="H785" s="4" t="str">
        <f>HYPERLINK("http://141.218.60.56/~jnz1568/getInfo.php?workbook=02_02.xlsx&amp;sheet=U0&amp;row=785&amp;col=8&amp;number=&amp;sourceID=29","")</f>
        <v/>
      </c>
      <c r="I785" s="4" t="str">
        <f>HYPERLINK("http://141.218.60.56/~jnz1568/getInfo.php?workbook=02_02.xlsx&amp;sheet=U0&amp;row=785&amp;col=9&amp;number=&amp;sourceID=1","")</f>
        <v/>
      </c>
    </row>
    <row r="786" spans="1:9">
      <c r="A786" s="3">
        <v>2</v>
      </c>
      <c r="B786" s="3">
        <v>2</v>
      </c>
      <c r="C786" s="3">
        <v>16</v>
      </c>
      <c r="D786" s="3">
        <v>4</v>
      </c>
      <c r="E786" s="3">
        <v>1</v>
      </c>
      <c r="F786" s="4" t="str">
        <f>HYPERLINK("http://141.218.60.56/~jnz1568/getInfo.php?workbook=02_02.xlsx&amp;sheet=U0&amp;row=786&amp;col=6&amp;number=3.75&amp;sourceID=28","3.75")</f>
        <v>3.75</v>
      </c>
      <c r="G786" s="4" t="str">
        <f>HYPERLINK("http://141.218.60.56/~jnz1568/getInfo.php?workbook=02_02.xlsx&amp;sheet=U0&amp;row=786&amp;col=7&amp;number=0.4536&amp;sourceID=1","0.4536")</f>
        <v>0.4536</v>
      </c>
      <c r="H786" s="4" t="str">
        <f>HYPERLINK("http://141.218.60.56/~jnz1568/getInfo.php?workbook=02_02.xlsx&amp;sheet=U0&amp;row=786&amp;col=8&amp;number=3.301&amp;sourceID=29","3.301")</f>
        <v>3.301</v>
      </c>
      <c r="I786" s="4" t="str">
        <f>HYPERLINK("http://141.218.60.56/~jnz1568/getInfo.php?workbook=02_02.xlsx&amp;sheet=U0&amp;row=786&amp;col=9&amp;number=0.2628&amp;sourceID=1","0.2628")</f>
        <v>0.2628</v>
      </c>
    </row>
    <row r="787" spans="1:9">
      <c r="A787" s="3"/>
      <c r="B787" s="3"/>
      <c r="C787" s="3"/>
      <c r="D787" s="3"/>
      <c r="E787" s="3">
        <v>2</v>
      </c>
      <c r="F787" s="4" t="str">
        <f>HYPERLINK("http://141.218.60.56/~jnz1568/getInfo.php?workbook=02_02.xlsx&amp;sheet=U0&amp;row=787&amp;col=6&amp;number=4&amp;sourceID=28","4")</f>
        <v>4</v>
      </c>
      <c r="G787" s="4" t="str">
        <f>HYPERLINK("http://141.218.60.56/~jnz1568/getInfo.php?workbook=02_02.xlsx&amp;sheet=U0&amp;row=787&amp;col=7&amp;number=0.4278&amp;sourceID=1","0.4278")</f>
        <v>0.4278</v>
      </c>
      <c r="H787" s="4" t="str">
        <f>HYPERLINK("http://141.218.60.56/~jnz1568/getInfo.php?workbook=02_02.xlsx&amp;sheet=U0&amp;row=787&amp;col=8&amp;number=3.699&amp;sourceID=29","3.699")</f>
        <v>3.699</v>
      </c>
      <c r="I787" s="4" t="str">
        <f>HYPERLINK("http://141.218.60.56/~jnz1568/getInfo.php?workbook=02_02.xlsx&amp;sheet=U0&amp;row=787&amp;col=9&amp;number=0.2795&amp;sourceID=1","0.2795")</f>
        <v>0.2795</v>
      </c>
    </row>
    <row r="788" spans="1:9">
      <c r="A788" s="3"/>
      <c r="B788" s="3"/>
      <c r="C788" s="3"/>
      <c r="D788" s="3"/>
      <c r="E788" s="3">
        <v>3</v>
      </c>
      <c r="F788" s="4" t="str">
        <f>HYPERLINK("http://141.218.60.56/~jnz1568/getInfo.php?workbook=02_02.xlsx&amp;sheet=U0&amp;row=788&amp;col=6&amp;number=4.25&amp;sourceID=28","4.25")</f>
        <v>4.25</v>
      </c>
      <c r="G788" s="4" t="str">
        <f>HYPERLINK("http://141.218.60.56/~jnz1568/getInfo.php?workbook=02_02.xlsx&amp;sheet=U0&amp;row=788&amp;col=7&amp;number=0.394&amp;sourceID=1","0.394")</f>
        <v>0.394</v>
      </c>
      <c r="H788" s="4" t="str">
        <f>HYPERLINK("http://141.218.60.56/~jnz1568/getInfo.php?workbook=02_02.xlsx&amp;sheet=U0&amp;row=788&amp;col=8&amp;number=4&amp;sourceID=29","4")</f>
        <v>4</v>
      </c>
      <c r="I788" s="4" t="str">
        <f>HYPERLINK("http://141.218.60.56/~jnz1568/getInfo.php?workbook=02_02.xlsx&amp;sheet=U0&amp;row=788&amp;col=9&amp;number=0.3212&amp;sourceID=1","0.3212")</f>
        <v>0.3212</v>
      </c>
    </row>
    <row r="789" spans="1:9">
      <c r="A789" s="3"/>
      <c r="B789" s="3"/>
      <c r="C789" s="3"/>
      <c r="D789" s="3"/>
      <c r="E789" s="3">
        <v>4</v>
      </c>
      <c r="F789" s="4" t="str">
        <f>HYPERLINK("http://141.218.60.56/~jnz1568/getInfo.php?workbook=02_02.xlsx&amp;sheet=U0&amp;row=789&amp;col=6&amp;number=4.5&amp;sourceID=28","4.5")</f>
        <v>4.5</v>
      </c>
      <c r="G789" s="4" t="str">
        <f>HYPERLINK("http://141.218.60.56/~jnz1568/getInfo.php?workbook=02_02.xlsx&amp;sheet=U0&amp;row=789&amp;col=7&amp;number=0.3539&amp;sourceID=1","0.3539")</f>
        <v>0.3539</v>
      </c>
      <c r="H789" s="4" t="str">
        <f>HYPERLINK("http://141.218.60.56/~jnz1568/getInfo.php?workbook=02_02.xlsx&amp;sheet=U0&amp;row=789&amp;col=8&amp;number=4.176&amp;sourceID=29","4.176")</f>
        <v>4.176</v>
      </c>
      <c r="I789" s="4" t="str">
        <f>HYPERLINK("http://141.218.60.56/~jnz1568/getInfo.php?workbook=02_02.xlsx&amp;sheet=U0&amp;row=789&amp;col=9&amp;number=0.3692&amp;sourceID=1","0.3692")</f>
        <v>0.3692</v>
      </c>
    </row>
    <row r="790" spans="1:9">
      <c r="A790" s="3"/>
      <c r="B790" s="3"/>
      <c r="C790" s="3"/>
      <c r="D790" s="3"/>
      <c r="E790" s="3">
        <v>5</v>
      </c>
      <c r="F790" s="4" t="str">
        <f>HYPERLINK("http://141.218.60.56/~jnz1568/getInfo.php?workbook=02_02.xlsx&amp;sheet=U0&amp;row=790&amp;col=6&amp;number=4.75&amp;sourceID=28","4.75")</f>
        <v>4.75</v>
      </c>
      <c r="G790" s="4" t="str">
        <f>HYPERLINK("http://141.218.60.56/~jnz1568/getInfo.php?workbook=02_02.xlsx&amp;sheet=U0&amp;row=790&amp;col=7&amp;number=0.3074&amp;sourceID=1","0.3074")</f>
        <v>0.3074</v>
      </c>
      <c r="H790" s="4" t="str">
        <f>HYPERLINK("http://141.218.60.56/~jnz1568/getInfo.php?workbook=02_02.xlsx&amp;sheet=U0&amp;row=790&amp;col=8&amp;number=4.301&amp;sourceID=29","4.301")</f>
        <v>4.301</v>
      </c>
      <c r="I790" s="4" t="str">
        <f>HYPERLINK("http://141.218.60.56/~jnz1568/getInfo.php?workbook=02_02.xlsx&amp;sheet=U0&amp;row=790&amp;col=9&amp;number=0.4052&amp;sourceID=1","0.4052")</f>
        <v>0.4052</v>
      </c>
    </row>
    <row r="791" spans="1:9">
      <c r="A791" s="3"/>
      <c r="B791" s="3"/>
      <c r="C791" s="3"/>
      <c r="D791" s="3"/>
      <c r="E791" s="3">
        <v>6</v>
      </c>
      <c r="F791" s="4" t="str">
        <f>HYPERLINK("http://141.218.60.56/~jnz1568/getInfo.php?workbook=02_02.xlsx&amp;sheet=U0&amp;row=791&amp;col=6&amp;number=5&amp;sourceID=28","5")</f>
        <v>5</v>
      </c>
      <c r="G791" s="4" t="str">
        <f>HYPERLINK("http://141.218.60.56/~jnz1568/getInfo.php?workbook=02_02.xlsx&amp;sheet=U0&amp;row=791&amp;col=7&amp;number=0.2534&amp;sourceID=1","0.2534")</f>
        <v>0.2534</v>
      </c>
      <c r="H791" s="4" t="str">
        <f>HYPERLINK("http://141.218.60.56/~jnz1568/getInfo.php?workbook=02_02.xlsx&amp;sheet=U0&amp;row=791&amp;col=8&amp;number=4.398&amp;sourceID=29","4.398")</f>
        <v>4.398</v>
      </c>
      <c r="I791" s="4" t="str">
        <f>HYPERLINK("http://141.218.60.56/~jnz1568/getInfo.php?workbook=02_02.xlsx&amp;sheet=U0&amp;row=791&amp;col=9&amp;number=0.4281&amp;sourceID=1","0.4281")</f>
        <v>0.4281</v>
      </c>
    </row>
    <row r="792" spans="1:9">
      <c r="A792" s="3"/>
      <c r="B792" s="3"/>
      <c r="C792" s="3"/>
      <c r="D792" s="3"/>
      <c r="E792" s="3">
        <v>7</v>
      </c>
      <c r="F792" s="4" t="str">
        <f>HYPERLINK("http://141.218.60.56/~jnz1568/getInfo.php?workbook=02_02.xlsx&amp;sheet=U0&amp;row=792&amp;col=6&amp;number=5.25&amp;sourceID=28","5.25")</f>
        <v>5.25</v>
      </c>
      <c r="G792" s="4" t="str">
        <f>HYPERLINK("http://141.218.60.56/~jnz1568/getInfo.php?workbook=02_02.xlsx&amp;sheet=U0&amp;row=792&amp;col=7&amp;number=0.1949&amp;sourceID=1","0.1949")</f>
        <v>0.1949</v>
      </c>
      <c r="H792" s="4" t="str">
        <f>HYPERLINK("http://141.218.60.56/~jnz1568/getInfo.php?workbook=02_02.xlsx&amp;sheet=U0&amp;row=792&amp;col=8&amp;number=4.477&amp;sourceID=29","4.477")</f>
        <v>4.477</v>
      </c>
      <c r="I792" s="4" t="str">
        <f>HYPERLINK("http://141.218.60.56/~jnz1568/getInfo.php?workbook=02_02.xlsx&amp;sheet=U0&amp;row=792&amp;col=9&amp;number=0.4407&amp;sourceID=1","0.4407")</f>
        <v>0.4407</v>
      </c>
    </row>
    <row r="793" spans="1:9">
      <c r="A793" s="3"/>
      <c r="B793" s="3"/>
      <c r="C793" s="3"/>
      <c r="D793" s="3"/>
      <c r="E793" s="3">
        <v>8</v>
      </c>
      <c r="F793" s="4" t="str">
        <f>HYPERLINK("http://141.218.60.56/~jnz1568/getInfo.php?workbook=02_02.xlsx&amp;sheet=U0&amp;row=793&amp;col=6&amp;number=5.5&amp;sourceID=28","5.5")</f>
        <v>5.5</v>
      </c>
      <c r="G793" s="4" t="str">
        <f>HYPERLINK("http://141.218.60.56/~jnz1568/getInfo.php?workbook=02_02.xlsx&amp;sheet=U0&amp;row=793&amp;col=7&amp;number=0.1394&amp;sourceID=1","0.1394")</f>
        <v>0.1394</v>
      </c>
      <c r="H793" s="4" t="str">
        <f>HYPERLINK("http://141.218.60.56/~jnz1568/getInfo.php?workbook=02_02.xlsx&amp;sheet=U0&amp;row=793&amp;col=8&amp;number=&amp;sourceID=29","")</f>
        <v/>
      </c>
      <c r="I793" s="4" t="str">
        <f>HYPERLINK("http://141.218.60.56/~jnz1568/getInfo.php?workbook=02_02.xlsx&amp;sheet=U0&amp;row=793&amp;col=9&amp;number=&amp;sourceID=1","")</f>
        <v/>
      </c>
    </row>
    <row r="794" spans="1:9">
      <c r="A794" s="3"/>
      <c r="B794" s="3"/>
      <c r="C794" s="3"/>
      <c r="D794" s="3"/>
      <c r="E794" s="3">
        <v>9</v>
      </c>
      <c r="F794" s="4" t="str">
        <f>HYPERLINK("http://141.218.60.56/~jnz1568/getInfo.php?workbook=02_02.xlsx&amp;sheet=U0&amp;row=794&amp;col=6&amp;number=5.75&amp;sourceID=28","5.75")</f>
        <v>5.75</v>
      </c>
      <c r="G794" s="4" t="str">
        <f>HYPERLINK("http://141.218.60.56/~jnz1568/getInfo.php?workbook=02_02.xlsx&amp;sheet=U0&amp;row=794&amp;col=7&amp;number=0.09361&amp;sourceID=1","0.09361")</f>
        <v>0.09361</v>
      </c>
      <c r="H794" s="4" t="str">
        <f>HYPERLINK("http://141.218.60.56/~jnz1568/getInfo.php?workbook=02_02.xlsx&amp;sheet=U0&amp;row=794&amp;col=8&amp;number=&amp;sourceID=29","")</f>
        <v/>
      </c>
      <c r="I794" s="4" t="str">
        <f>HYPERLINK("http://141.218.60.56/~jnz1568/getInfo.php?workbook=02_02.xlsx&amp;sheet=U0&amp;row=794&amp;col=9&amp;number=&amp;sourceID=1","")</f>
        <v/>
      </c>
    </row>
    <row r="795" spans="1:9">
      <c r="A795" s="3">
        <v>2</v>
      </c>
      <c r="B795" s="3">
        <v>2</v>
      </c>
      <c r="C795" s="3">
        <v>16</v>
      </c>
      <c r="D795" s="3">
        <v>5</v>
      </c>
      <c r="E795" s="3">
        <v>1</v>
      </c>
      <c r="F795" s="4" t="str">
        <f>HYPERLINK("http://141.218.60.56/~jnz1568/getInfo.php?workbook=02_02.xlsx&amp;sheet=U0&amp;row=795&amp;col=6&amp;number=&amp;sourceID=28","")</f>
        <v/>
      </c>
      <c r="G795" s="4" t="str">
        <f>HYPERLINK("http://141.218.60.56/~jnz1568/getInfo.php?workbook=02_02.xlsx&amp;sheet=U0&amp;row=795&amp;col=7&amp;number=&amp;sourceID=1","")</f>
        <v/>
      </c>
      <c r="H795" s="4" t="str">
        <f>HYPERLINK("http://141.218.60.56/~jnz1568/getInfo.php?workbook=02_02.xlsx&amp;sheet=U0&amp;row=795&amp;col=8&amp;number=3.301&amp;sourceID=29","3.301")</f>
        <v>3.301</v>
      </c>
      <c r="I795" s="4" t="str">
        <f>HYPERLINK("http://141.218.60.56/~jnz1568/getInfo.php?workbook=02_02.xlsx&amp;sheet=U0&amp;row=795&amp;col=9&amp;number=0.5657&amp;sourceID=1","0.5657")</f>
        <v>0.5657</v>
      </c>
    </row>
    <row r="796" spans="1:9">
      <c r="A796" s="3"/>
      <c r="B796" s="3"/>
      <c r="C796" s="3"/>
      <c r="D796" s="3"/>
      <c r="E796" s="3">
        <v>2</v>
      </c>
      <c r="F796" s="4" t="str">
        <f>HYPERLINK("http://141.218.60.56/~jnz1568/getInfo.php?workbook=02_02.xlsx&amp;sheet=U0&amp;row=796&amp;col=6&amp;number=&amp;sourceID=28","")</f>
        <v/>
      </c>
      <c r="G796" s="4" t="str">
        <f>HYPERLINK("http://141.218.60.56/~jnz1568/getInfo.php?workbook=02_02.xlsx&amp;sheet=U0&amp;row=796&amp;col=7&amp;number=&amp;sourceID=1","")</f>
        <v/>
      </c>
      <c r="H796" s="4" t="str">
        <f>HYPERLINK("http://141.218.60.56/~jnz1568/getInfo.php?workbook=02_02.xlsx&amp;sheet=U0&amp;row=796&amp;col=8&amp;number=3.699&amp;sourceID=29","3.699")</f>
        <v>3.699</v>
      </c>
      <c r="I796" s="4" t="str">
        <f>HYPERLINK("http://141.218.60.56/~jnz1568/getInfo.php?workbook=02_02.xlsx&amp;sheet=U0&amp;row=796&amp;col=9&amp;number=0.6944&amp;sourceID=1","0.6944")</f>
        <v>0.6944</v>
      </c>
    </row>
    <row r="797" spans="1:9">
      <c r="A797" s="3"/>
      <c r="B797" s="3"/>
      <c r="C797" s="3"/>
      <c r="D797" s="3"/>
      <c r="E797" s="3">
        <v>3</v>
      </c>
      <c r="F797" s="4" t="str">
        <f>HYPERLINK("http://141.218.60.56/~jnz1568/getInfo.php?workbook=02_02.xlsx&amp;sheet=U0&amp;row=797&amp;col=6&amp;number=&amp;sourceID=28","")</f>
        <v/>
      </c>
      <c r="G797" s="4" t="str">
        <f>HYPERLINK("http://141.218.60.56/~jnz1568/getInfo.php?workbook=02_02.xlsx&amp;sheet=U0&amp;row=797&amp;col=7&amp;number=&amp;sourceID=1","")</f>
        <v/>
      </c>
      <c r="H797" s="4" t="str">
        <f>HYPERLINK("http://141.218.60.56/~jnz1568/getInfo.php?workbook=02_02.xlsx&amp;sheet=U0&amp;row=797&amp;col=8&amp;number=4&amp;sourceID=29","4")</f>
        <v>4</v>
      </c>
      <c r="I797" s="4" t="str">
        <f>HYPERLINK("http://141.218.60.56/~jnz1568/getInfo.php?workbook=02_02.xlsx&amp;sheet=U0&amp;row=797&amp;col=9&amp;number=1.155&amp;sourceID=1","1.155")</f>
        <v>1.155</v>
      </c>
    </row>
    <row r="798" spans="1:9">
      <c r="A798" s="3"/>
      <c r="B798" s="3"/>
      <c r="C798" s="3"/>
      <c r="D798" s="3"/>
      <c r="E798" s="3">
        <v>4</v>
      </c>
      <c r="F798" s="4" t="str">
        <f>HYPERLINK("http://141.218.60.56/~jnz1568/getInfo.php?workbook=02_02.xlsx&amp;sheet=U0&amp;row=798&amp;col=6&amp;number=&amp;sourceID=28","")</f>
        <v/>
      </c>
      <c r="G798" s="4" t="str">
        <f>HYPERLINK("http://141.218.60.56/~jnz1568/getInfo.php?workbook=02_02.xlsx&amp;sheet=U0&amp;row=798&amp;col=7&amp;number=&amp;sourceID=1","")</f>
        <v/>
      </c>
      <c r="H798" s="4" t="str">
        <f>HYPERLINK("http://141.218.60.56/~jnz1568/getInfo.php?workbook=02_02.xlsx&amp;sheet=U0&amp;row=798&amp;col=8&amp;number=4.176&amp;sourceID=29","4.176")</f>
        <v>4.176</v>
      </c>
      <c r="I798" s="4" t="str">
        <f>HYPERLINK("http://141.218.60.56/~jnz1568/getInfo.php?workbook=02_02.xlsx&amp;sheet=U0&amp;row=798&amp;col=9&amp;number=1.734&amp;sourceID=1","1.734")</f>
        <v>1.734</v>
      </c>
    </row>
    <row r="799" spans="1:9">
      <c r="A799" s="3"/>
      <c r="B799" s="3"/>
      <c r="C799" s="3"/>
      <c r="D799" s="3"/>
      <c r="E799" s="3">
        <v>5</v>
      </c>
      <c r="F799" s="4" t="str">
        <f>HYPERLINK("http://141.218.60.56/~jnz1568/getInfo.php?workbook=02_02.xlsx&amp;sheet=U0&amp;row=799&amp;col=6&amp;number=&amp;sourceID=28","")</f>
        <v/>
      </c>
      <c r="G799" s="4" t="str">
        <f>HYPERLINK("http://141.218.60.56/~jnz1568/getInfo.php?workbook=02_02.xlsx&amp;sheet=U0&amp;row=799&amp;col=7&amp;number=&amp;sourceID=1","")</f>
        <v/>
      </c>
      <c r="H799" s="4" t="str">
        <f>HYPERLINK("http://141.218.60.56/~jnz1568/getInfo.php?workbook=02_02.xlsx&amp;sheet=U0&amp;row=799&amp;col=8&amp;number=4.301&amp;sourceID=29","4.301")</f>
        <v>4.301</v>
      </c>
      <c r="I799" s="4" t="str">
        <f>HYPERLINK("http://141.218.60.56/~jnz1568/getInfo.php?workbook=02_02.xlsx&amp;sheet=U0&amp;row=799&amp;col=9&amp;number=2.295&amp;sourceID=1","2.295")</f>
        <v>2.295</v>
      </c>
    </row>
    <row r="800" spans="1:9">
      <c r="A800" s="3"/>
      <c r="B800" s="3"/>
      <c r="C800" s="3"/>
      <c r="D800" s="3"/>
      <c r="E800" s="3">
        <v>6</v>
      </c>
      <c r="F800" s="4" t="str">
        <f>HYPERLINK("http://141.218.60.56/~jnz1568/getInfo.php?workbook=02_02.xlsx&amp;sheet=U0&amp;row=800&amp;col=6&amp;number=&amp;sourceID=28","")</f>
        <v/>
      </c>
      <c r="G800" s="4" t="str">
        <f>HYPERLINK("http://141.218.60.56/~jnz1568/getInfo.php?workbook=02_02.xlsx&amp;sheet=U0&amp;row=800&amp;col=7&amp;number=&amp;sourceID=1","")</f>
        <v/>
      </c>
      <c r="H800" s="4" t="str">
        <f>HYPERLINK("http://141.218.60.56/~jnz1568/getInfo.php?workbook=02_02.xlsx&amp;sheet=U0&amp;row=800&amp;col=8&amp;number=4.398&amp;sourceID=29","4.398")</f>
        <v>4.398</v>
      </c>
      <c r="I800" s="4" t="str">
        <f>HYPERLINK("http://141.218.60.56/~jnz1568/getInfo.php?workbook=02_02.xlsx&amp;sheet=U0&amp;row=800&amp;col=9&amp;number=2.782&amp;sourceID=1","2.782")</f>
        <v>2.782</v>
      </c>
    </row>
    <row r="801" spans="1:9">
      <c r="A801" s="3"/>
      <c r="B801" s="3"/>
      <c r="C801" s="3"/>
      <c r="D801" s="3"/>
      <c r="E801" s="3">
        <v>7</v>
      </c>
      <c r="F801" s="4" t="str">
        <f>HYPERLINK("http://141.218.60.56/~jnz1568/getInfo.php?workbook=02_02.xlsx&amp;sheet=U0&amp;row=801&amp;col=6&amp;number=&amp;sourceID=28","")</f>
        <v/>
      </c>
      <c r="G801" s="4" t="str">
        <f>HYPERLINK("http://141.218.60.56/~jnz1568/getInfo.php?workbook=02_02.xlsx&amp;sheet=U0&amp;row=801&amp;col=7&amp;number=&amp;sourceID=1","")</f>
        <v/>
      </c>
      <c r="H801" s="4" t="str">
        <f>HYPERLINK("http://141.218.60.56/~jnz1568/getInfo.php?workbook=02_02.xlsx&amp;sheet=U0&amp;row=801&amp;col=8&amp;number=4.477&amp;sourceID=29","4.477")</f>
        <v>4.477</v>
      </c>
      <c r="I801" s="4" t="str">
        <f>HYPERLINK("http://141.218.60.56/~jnz1568/getInfo.php?workbook=02_02.xlsx&amp;sheet=U0&amp;row=801&amp;col=9&amp;number=3.175&amp;sourceID=1","3.175")</f>
        <v>3.175</v>
      </c>
    </row>
    <row r="802" spans="1:9">
      <c r="A802" s="3">
        <v>2</v>
      </c>
      <c r="B802" s="3">
        <v>2</v>
      </c>
      <c r="C802" s="3">
        <v>16</v>
      </c>
      <c r="D802" s="3">
        <v>6</v>
      </c>
      <c r="E802" s="3">
        <v>1</v>
      </c>
      <c r="F802" s="4" t="str">
        <f>HYPERLINK("http://141.218.60.56/~jnz1568/getInfo.php?workbook=02_02.xlsx&amp;sheet=U0&amp;row=802&amp;col=6&amp;number=&amp;sourceID=28","")</f>
        <v/>
      </c>
      <c r="G802" s="4" t="str">
        <f>HYPERLINK("http://141.218.60.56/~jnz1568/getInfo.php?workbook=02_02.xlsx&amp;sheet=U0&amp;row=802&amp;col=7&amp;number=&amp;sourceID=1","")</f>
        <v/>
      </c>
      <c r="H802" s="4" t="str">
        <f>HYPERLINK("http://141.218.60.56/~jnz1568/getInfo.php?workbook=02_02.xlsx&amp;sheet=U0&amp;row=802&amp;col=8&amp;number=3.301&amp;sourceID=29","3.301")</f>
        <v>3.301</v>
      </c>
      <c r="I802" s="4" t="str">
        <f>HYPERLINK("http://141.218.60.56/~jnz1568/getInfo.php?workbook=02_02.xlsx&amp;sheet=U0&amp;row=802&amp;col=9&amp;number=1.048&amp;sourceID=1","1.048")</f>
        <v>1.048</v>
      </c>
    </row>
    <row r="803" spans="1:9">
      <c r="A803" s="3"/>
      <c r="B803" s="3"/>
      <c r="C803" s="3"/>
      <c r="D803" s="3"/>
      <c r="E803" s="3">
        <v>2</v>
      </c>
      <c r="F803" s="4" t="str">
        <f>HYPERLINK("http://141.218.60.56/~jnz1568/getInfo.php?workbook=02_02.xlsx&amp;sheet=U0&amp;row=803&amp;col=6&amp;number=&amp;sourceID=28","")</f>
        <v/>
      </c>
      <c r="G803" s="4" t="str">
        <f>HYPERLINK("http://141.218.60.56/~jnz1568/getInfo.php?workbook=02_02.xlsx&amp;sheet=U0&amp;row=803&amp;col=7&amp;number=&amp;sourceID=1","")</f>
        <v/>
      </c>
      <c r="H803" s="4" t="str">
        <f>HYPERLINK("http://141.218.60.56/~jnz1568/getInfo.php?workbook=02_02.xlsx&amp;sheet=U0&amp;row=803&amp;col=8&amp;number=3.699&amp;sourceID=29","3.699")</f>
        <v>3.699</v>
      </c>
      <c r="I803" s="4" t="str">
        <f>HYPERLINK("http://141.218.60.56/~jnz1568/getInfo.php?workbook=02_02.xlsx&amp;sheet=U0&amp;row=803&amp;col=9&amp;number=1.038&amp;sourceID=1","1.038")</f>
        <v>1.038</v>
      </c>
    </row>
    <row r="804" spans="1:9">
      <c r="A804" s="3"/>
      <c r="B804" s="3"/>
      <c r="C804" s="3"/>
      <c r="D804" s="3"/>
      <c r="E804" s="3">
        <v>3</v>
      </c>
      <c r="F804" s="4" t="str">
        <f>HYPERLINK("http://141.218.60.56/~jnz1568/getInfo.php?workbook=02_02.xlsx&amp;sheet=U0&amp;row=804&amp;col=6&amp;number=&amp;sourceID=28","")</f>
        <v/>
      </c>
      <c r="G804" s="4" t="str">
        <f>HYPERLINK("http://141.218.60.56/~jnz1568/getInfo.php?workbook=02_02.xlsx&amp;sheet=U0&amp;row=804&amp;col=7&amp;number=&amp;sourceID=1","")</f>
        <v/>
      </c>
      <c r="H804" s="4" t="str">
        <f>HYPERLINK("http://141.218.60.56/~jnz1568/getInfo.php?workbook=02_02.xlsx&amp;sheet=U0&amp;row=804&amp;col=8&amp;number=4&amp;sourceID=29","4")</f>
        <v>4</v>
      </c>
      <c r="I804" s="4" t="str">
        <f>HYPERLINK("http://141.218.60.56/~jnz1568/getInfo.php?workbook=02_02.xlsx&amp;sheet=U0&amp;row=804&amp;col=9&amp;number=0.902&amp;sourceID=1","0.902")</f>
        <v>0.902</v>
      </c>
    </row>
    <row r="805" spans="1:9">
      <c r="A805" s="3"/>
      <c r="B805" s="3"/>
      <c r="C805" s="3"/>
      <c r="D805" s="3"/>
      <c r="E805" s="3">
        <v>4</v>
      </c>
      <c r="F805" s="4" t="str">
        <f>HYPERLINK("http://141.218.60.56/~jnz1568/getInfo.php?workbook=02_02.xlsx&amp;sheet=U0&amp;row=805&amp;col=6&amp;number=&amp;sourceID=28","")</f>
        <v/>
      </c>
      <c r="G805" s="4" t="str">
        <f>HYPERLINK("http://141.218.60.56/~jnz1568/getInfo.php?workbook=02_02.xlsx&amp;sheet=U0&amp;row=805&amp;col=7&amp;number=&amp;sourceID=1","")</f>
        <v/>
      </c>
      <c r="H805" s="4" t="str">
        <f>HYPERLINK("http://141.218.60.56/~jnz1568/getInfo.php?workbook=02_02.xlsx&amp;sheet=U0&amp;row=805&amp;col=8&amp;number=4.176&amp;sourceID=29","4.176")</f>
        <v>4.176</v>
      </c>
      <c r="I805" s="4" t="str">
        <f>HYPERLINK("http://141.218.60.56/~jnz1568/getInfo.php?workbook=02_02.xlsx&amp;sheet=U0&amp;row=805&amp;col=9&amp;number=0.8001&amp;sourceID=1","0.8001")</f>
        <v>0.8001</v>
      </c>
    </row>
    <row r="806" spans="1:9">
      <c r="A806" s="3"/>
      <c r="B806" s="3"/>
      <c r="C806" s="3"/>
      <c r="D806" s="3"/>
      <c r="E806" s="3">
        <v>5</v>
      </c>
      <c r="F806" s="4" t="str">
        <f>HYPERLINK("http://141.218.60.56/~jnz1568/getInfo.php?workbook=02_02.xlsx&amp;sheet=U0&amp;row=806&amp;col=6&amp;number=&amp;sourceID=28","")</f>
        <v/>
      </c>
      <c r="G806" s="4" t="str">
        <f>HYPERLINK("http://141.218.60.56/~jnz1568/getInfo.php?workbook=02_02.xlsx&amp;sheet=U0&amp;row=806&amp;col=7&amp;number=&amp;sourceID=1","")</f>
        <v/>
      </c>
      <c r="H806" s="4" t="str">
        <f>HYPERLINK("http://141.218.60.56/~jnz1568/getInfo.php?workbook=02_02.xlsx&amp;sheet=U0&amp;row=806&amp;col=8&amp;number=4.301&amp;sourceID=29","4.301")</f>
        <v>4.301</v>
      </c>
      <c r="I806" s="4" t="str">
        <f>HYPERLINK("http://141.218.60.56/~jnz1568/getInfo.php?workbook=02_02.xlsx&amp;sheet=U0&amp;row=806&amp;col=9&amp;number=0.7226&amp;sourceID=1","0.7226")</f>
        <v>0.7226</v>
      </c>
    </row>
    <row r="807" spans="1:9">
      <c r="A807" s="3"/>
      <c r="B807" s="3"/>
      <c r="C807" s="3"/>
      <c r="D807" s="3"/>
      <c r="E807" s="3">
        <v>6</v>
      </c>
      <c r="F807" s="4" t="str">
        <f>HYPERLINK("http://141.218.60.56/~jnz1568/getInfo.php?workbook=02_02.xlsx&amp;sheet=U0&amp;row=807&amp;col=6&amp;number=&amp;sourceID=28","")</f>
        <v/>
      </c>
      <c r="G807" s="4" t="str">
        <f>HYPERLINK("http://141.218.60.56/~jnz1568/getInfo.php?workbook=02_02.xlsx&amp;sheet=U0&amp;row=807&amp;col=7&amp;number=&amp;sourceID=1","")</f>
        <v/>
      </c>
      <c r="H807" s="4" t="str">
        <f>HYPERLINK("http://141.218.60.56/~jnz1568/getInfo.php?workbook=02_02.xlsx&amp;sheet=U0&amp;row=807&amp;col=8&amp;number=4.398&amp;sourceID=29","4.398")</f>
        <v>4.398</v>
      </c>
      <c r="I807" s="4" t="str">
        <f>HYPERLINK("http://141.218.60.56/~jnz1568/getInfo.php?workbook=02_02.xlsx&amp;sheet=U0&amp;row=807&amp;col=9&amp;number=659.3&amp;sourceID=1","659.3")</f>
        <v>659.3</v>
      </c>
    </row>
    <row r="808" spans="1:9">
      <c r="A808" s="3"/>
      <c r="B808" s="3"/>
      <c r="C808" s="3"/>
      <c r="D808" s="3"/>
      <c r="E808" s="3">
        <v>7</v>
      </c>
      <c r="F808" s="4" t="str">
        <f>HYPERLINK("http://141.218.60.56/~jnz1568/getInfo.php?workbook=02_02.xlsx&amp;sheet=U0&amp;row=808&amp;col=6&amp;number=&amp;sourceID=28","")</f>
        <v/>
      </c>
      <c r="G808" s="4" t="str">
        <f>HYPERLINK("http://141.218.60.56/~jnz1568/getInfo.php?workbook=02_02.xlsx&amp;sheet=U0&amp;row=808&amp;col=7&amp;number=&amp;sourceID=1","")</f>
        <v/>
      </c>
      <c r="H808" s="4" t="str">
        <f>HYPERLINK("http://141.218.60.56/~jnz1568/getInfo.php?workbook=02_02.xlsx&amp;sheet=U0&amp;row=808&amp;col=8&amp;number=4.477&amp;sourceID=29","4.477")</f>
        <v>4.477</v>
      </c>
      <c r="I808" s="4" t="str">
        <f>HYPERLINK("http://141.218.60.56/~jnz1568/getInfo.php?workbook=02_02.xlsx&amp;sheet=U0&amp;row=808&amp;col=9&amp;number=0.6066&amp;sourceID=1","0.6066")</f>
        <v>0.6066</v>
      </c>
    </row>
    <row r="809" spans="1:9">
      <c r="A809" s="3">
        <v>2</v>
      </c>
      <c r="B809" s="3">
        <v>2</v>
      </c>
      <c r="C809" s="3">
        <v>16</v>
      </c>
      <c r="D809" s="3">
        <v>7</v>
      </c>
      <c r="E809" s="3">
        <v>1</v>
      </c>
      <c r="F809" s="4" t="str">
        <f>HYPERLINK("http://141.218.60.56/~jnz1568/getInfo.php?workbook=02_02.xlsx&amp;sheet=U0&amp;row=809&amp;col=6&amp;number=&amp;sourceID=28","")</f>
        <v/>
      </c>
      <c r="G809" s="4" t="str">
        <f>HYPERLINK("http://141.218.60.56/~jnz1568/getInfo.php?workbook=02_02.xlsx&amp;sheet=U0&amp;row=809&amp;col=7&amp;number=&amp;sourceID=1","")</f>
        <v/>
      </c>
      <c r="H809" s="4" t="str">
        <f>HYPERLINK("http://141.218.60.56/~jnz1568/getInfo.php?workbook=02_02.xlsx&amp;sheet=U0&amp;row=809&amp;col=8&amp;number=3.301&amp;sourceID=29","3.301")</f>
        <v>3.301</v>
      </c>
      <c r="I809" s="4" t="str">
        <f>HYPERLINK("http://141.218.60.56/~jnz1568/getInfo.php?workbook=02_02.xlsx&amp;sheet=U0&amp;row=809&amp;col=9&amp;number=1.621&amp;sourceID=1","1.621")</f>
        <v>1.621</v>
      </c>
    </row>
    <row r="810" spans="1:9">
      <c r="A810" s="3"/>
      <c r="B810" s="3"/>
      <c r="C810" s="3"/>
      <c r="D810" s="3"/>
      <c r="E810" s="3">
        <v>2</v>
      </c>
      <c r="F810" s="4" t="str">
        <f>HYPERLINK("http://141.218.60.56/~jnz1568/getInfo.php?workbook=02_02.xlsx&amp;sheet=U0&amp;row=810&amp;col=6&amp;number=&amp;sourceID=28","")</f>
        <v/>
      </c>
      <c r="G810" s="4" t="str">
        <f>HYPERLINK("http://141.218.60.56/~jnz1568/getInfo.php?workbook=02_02.xlsx&amp;sheet=U0&amp;row=810&amp;col=7&amp;number=&amp;sourceID=1","")</f>
        <v/>
      </c>
      <c r="H810" s="4" t="str">
        <f>HYPERLINK("http://141.218.60.56/~jnz1568/getInfo.php?workbook=02_02.xlsx&amp;sheet=U0&amp;row=810&amp;col=8&amp;number=3.699&amp;sourceID=29","3.699")</f>
        <v>3.699</v>
      </c>
      <c r="I810" s="4" t="str">
        <f>HYPERLINK("http://141.218.60.56/~jnz1568/getInfo.php?workbook=02_02.xlsx&amp;sheet=U0&amp;row=810&amp;col=9&amp;number=2.244&amp;sourceID=1","2.244")</f>
        <v>2.244</v>
      </c>
    </row>
    <row r="811" spans="1:9">
      <c r="A811" s="3"/>
      <c r="B811" s="3"/>
      <c r="C811" s="3"/>
      <c r="D811" s="3"/>
      <c r="E811" s="3">
        <v>3</v>
      </c>
      <c r="F811" s="4" t="str">
        <f>HYPERLINK("http://141.218.60.56/~jnz1568/getInfo.php?workbook=02_02.xlsx&amp;sheet=U0&amp;row=811&amp;col=6&amp;number=&amp;sourceID=28","")</f>
        <v/>
      </c>
      <c r="G811" s="4" t="str">
        <f>HYPERLINK("http://141.218.60.56/~jnz1568/getInfo.php?workbook=02_02.xlsx&amp;sheet=U0&amp;row=811&amp;col=7&amp;number=&amp;sourceID=1","")</f>
        <v/>
      </c>
      <c r="H811" s="4" t="str">
        <f>HYPERLINK("http://141.218.60.56/~jnz1568/getInfo.php?workbook=02_02.xlsx&amp;sheet=U0&amp;row=811&amp;col=8&amp;number=4&amp;sourceID=29","4")</f>
        <v>4</v>
      </c>
      <c r="I811" s="4" t="str">
        <f>HYPERLINK("http://141.218.60.56/~jnz1568/getInfo.php?workbook=02_02.xlsx&amp;sheet=U0&amp;row=811&amp;col=9&amp;number=3.213&amp;sourceID=1","3.213")</f>
        <v>3.213</v>
      </c>
    </row>
    <row r="812" spans="1:9">
      <c r="A812" s="3"/>
      <c r="B812" s="3"/>
      <c r="C812" s="3"/>
      <c r="D812" s="3"/>
      <c r="E812" s="3">
        <v>4</v>
      </c>
      <c r="F812" s="4" t="str">
        <f>HYPERLINK("http://141.218.60.56/~jnz1568/getInfo.php?workbook=02_02.xlsx&amp;sheet=U0&amp;row=812&amp;col=6&amp;number=&amp;sourceID=28","")</f>
        <v/>
      </c>
      <c r="G812" s="4" t="str">
        <f>HYPERLINK("http://141.218.60.56/~jnz1568/getInfo.php?workbook=02_02.xlsx&amp;sheet=U0&amp;row=812&amp;col=7&amp;number=&amp;sourceID=1","")</f>
        <v/>
      </c>
      <c r="H812" s="4" t="str">
        <f>HYPERLINK("http://141.218.60.56/~jnz1568/getInfo.php?workbook=02_02.xlsx&amp;sheet=U0&amp;row=812&amp;col=8&amp;number=4.176&amp;sourceID=29","4.176")</f>
        <v>4.176</v>
      </c>
      <c r="I812" s="4" t="str">
        <f>HYPERLINK("http://141.218.60.56/~jnz1568/getInfo.php?workbook=02_02.xlsx&amp;sheet=U0&amp;row=812&amp;col=9&amp;number=4.022&amp;sourceID=1","4.022")</f>
        <v>4.022</v>
      </c>
    </row>
    <row r="813" spans="1:9">
      <c r="A813" s="3">
        <v>2</v>
      </c>
      <c r="B813" s="3">
        <v>2</v>
      </c>
      <c r="C813" s="3">
        <v>16</v>
      </c>
      <c r="D813" s="3">
        <v>8</v>
      </c>
      <c r="E813" s="3">
        <v>1</v>
      </c>
      <c r="F813" s="4" t="str">
        <f>HYPERLINK("http://141.218.60.56/~jnz1568/getInfo.php?workbook=02_02.xlsx&amp;sheet=U0&amp;row=813&amp;col=6&amp;number=&amp;sourceID=28","")</f>
        <v/>
      </c>
      <c r="G813" s="4" t="str">
        <f>HYPERLINK("http://141.218.60.56/~jnz1568/getInfo.php?workbook=02_02.xlsx&amp;sheet=U0&amp;row=813&amp;col=7&amp;number=&amp;sourceID=1","")</f>
        <v/>
      </c>
      <c r="H813" s="4" t="str">
        <f>HYPERLINK("http://141.218.60.56/~jnz1568/getInfo.php?workbook=02_02.xlsx&amp;sheet=U0&amp;row=813&amp;col=8&amp;number=3.301&amp;sourceID=29","3.301")</f>
        <v>3.301</v>
      </c>
      <c r="I813" s="4" t="str">
        <f>HYPERLINK("http://141.218.60.56/~jnz1568/getInfo.php?workbook=02_02.xlsx&amp;sheet=U0&amp;row=813&amp;col=9&amp;number=2.099&amp;sourceID=1","2.099")</f>
        <v>2.099</v>
      </c>
    </row>
    <row r="814" spans="1:9">
      <c r="A814" s="3"/>
      <c r="B814" s="3"/>
      <c r="C814" s="3"/>
      <c r="D814" s="3"/>
      <c r="E814" s="3">
        <v>2</v>
      </c>
      <c r="F814" s="4" t="str">
        <f>HYPERLINK("http://141.218.60.56/~jnz1568/getInfo.php?workbook=02_02.xlsx&amp;sheet=U0&amp;row=814&amp;col=6&amp;number=&amp;sourceID=28","")</f>
        <v/>
      </c>
      <c r="G814" s="4" t="str">
        <f>HYPERLINK("http://141.218.60.56/~jnz1568/getInfo.php?workbook=02_02.xlsx&amp;sheet=U0&amp;row=814&amp;col=7&amp;number=&amp;sourceID=1","")</f>
        <v/>
      </c>
      <c r="H814" s="4" t="str">
        <f>HYPERLINK("http://141.218.60.56/~jnz1568/getInfo.php?workbook=02_02.xlsx&amp;sheet=U0&amp;row=814&amp;col=8&amp;number=3.699&amp;sourceID=29","3.699")</f>
        <v>3.699</v>
      </c>
      <c r="I814" s="4" t="str">
        <f>HYPERLINK("http://141.218.60.56/~jnz1568/getInfo.php?workbook=02_02.xlsx&amp;sheet=U0&amp;row=814&amp;col=9&amp;number=2.231&amp;sourceID=1","2.231")</f>
        <v>2.231</v>
      </c>
    </row>
    <row r="815" spans="1:9">
      <c r="A815" s="3"/>
      <c r="B815" s="3"/>
      <c r="C815" s="3"/>
      <c r="D815" s="3"/>
      <c r="E815" s="3">
        <v>3</v>
      </c>
      <c r="F815" s="4" t="str">
        <f>HYPERLINK("http://141.218.60.56/~jnz1568/getInfo.php?workbook=02_02.xlsx&amp;sheet=U0&amp;row=815&amp;col=6&amp;number=&amp;sourceID=28","")</f>
        <v/>
      </c>
      <c r="G815" s="4" t="str">
        <f>HYPERLINK("http://141.218.60.56/~jnz1568/getInfo.php?workbook=02_02.xlsx&amp;sheet=U0&amp;row=815&amp;col=7&amp;number=&amp;sourceID=1","")</f>
        <v/>
      </c>
      <c r="H815" s="4" t="str">
        <f>HYPERLINK("http://141.218.60.56/~jnz1568/getInfo.php?workbook=02_02.xlsx&amp;sheet=U0&amp;row=815&amp;col=8&amp;number=4&amp;sourceID=29","4")</f>
        <v>4</v>
      </c>
      <c r="I815" s="4" t="str">
        <f>HYPERLINK("http://141.218.60.56/~jnz1568/getInfo.php?workbook=02_02.xlsx&amp;sheet=U0&amp;row=815&amp;col=9&amp;number=2.077&amp;sourceID=1","2.077")</f>
        <v>2.077</v>
      </c>
    </row>
    <row r="816" spans="1:9">
      <c r="A816" s="3"/>
      <c r="B816" s="3"/>
      <c r="C816" s="3"/>
      <c r="D816" s="3"/>
      <c r="E816" s="3">
        <v>4</v>
      </c>
      <c r="F816" s="4" t="str">
        <f>HYPERLINK("http://141.218.60.56/~jnz1568/getInfo.php?workbook=02_02.xlsx&amp;sheet=U0&amp;row=816&amp;col=6&amp;number=&amp;sourceID=28","")</f>
        <v/>
      </c>
      <c r="G816" s="4" t="str">
        <f>HYPERLINK("http://141.218.60.56/~jnz1568/getInfo.php?workbook=02_02.xlsx&amp;sheet=U0&amp;row=816&amp;col=7&amp;number=&amp;sourceID=1","")</f>
        <v/>
      </c>
      <c r="H816" s="4" t="str">
        <f>HYPERLINK("http://141.218.60.56/~jnz1568/getInfo.php?workbook=02_02.xlsx&amp;sheet=U0&amp;row=816&amp;col=8&amp;number=4.176&amp;sourceID=29","4.176")</f>
        <v>4.176</v>
      </c>
      <c r="I816" s="4" t="str">
        <f>HYPERLINK("http://141.218.60.56/~jnz1568/getInfo.php?workbook=02_02.xlsx&amp;sheet=U0&amp;row=816&amp;col=9&amp;number=1.898&amp;sourceID=1","1.898")</f>
        <v>1.898</v>
      </c>
    </row>
    <row r="817" spans="1:9">
      <c r="A817" s="3"/>
      <c r="B817" s="3"/>
      <c r="C817" s="3"/>
      <c r="D817" s="3"/>
      <c r="E817" s="3">
        <v>5</v>
      </c>
      <c r="F817" s="4" t="str">
        <f>HYPERLINK("http://141.218.60.56/~jnz1568/getInfo.php?workbook=02_02.xlsx&amp;sheet=U0&amp;row=817&amp;col=6&amp;number=&amp;sourceID=28","")</f>
        <v/>
      </c>
      <c r="G817" s="4" t="str">
        <f>HYPERLINK("http://141.218.60.56/~jnz1568/getInfo.php?workbook=02_02.xlsx&amp;sheet=U0&amp;row=817&amp;col=7&amp;number=&amp;sourceID=1","")</f>
        <v/>
      </c>
      <c r="H817" s="4" t="str">
        <f>HYPERLINK("http://141.218.60.56/~jnz1568/getInfo.php?workbook=02_02.xlsx&amp;sheet=U0&amp;row=817&amp;col=8&amp;number=4.301&amp;sourceID=29","4.301")</f>
        <v>4.301</v>
      </c>
      <c r="I817" s="4" t="str">
        <f>HYPERLINK("http://141.218.60.56/~jnz1568/getInfo.php?workbook=02_02.xlsx&amp;sheet=U0&amp;row=817&amp;col=9&amp;number=1.739&amp;sourceID=1","1.739")</f>
        <v>1.739</v>
      </c>
    </row>
    <row r="818" spans="1:9">
      <c r="A818" s="3"/>
      <c r="B818" s="3"/>
      <c r="C818" s="3"/>
      <c r="D818" s="3"/>
      <c r="E818" s="3">
        <v>6</v>
      </c>
      <c r="F818" s="4" t="str">
        <f>HYPERLINK("http://141.218.60.56/~jnz1568/getInfo.php?workbook=02_02.xlsx&amp;sheet=U0&amp;row=818&amp;col=6&amp;number=&amp;sourceID=28","")</f>
        <v/>
      </c>
      <c r="G818" s="4" t="str">
        <f>HYPERLINK("http://141.218.60.56/~jnz1568/getInfo.php?workbook=02_02.xlsx&amp;sheet=U0&amp;row=818&amp;col=7&amp;number=&amp;sourceID=1","")</f>
        <v/>
      </c>
      <c r="H818" s="4" t="str">
        <f>HYPERLINK("http://141.218.60.56/~jnz1568/getInfo.php?workbook=02_02.xlsx&amp;sheet=U0&amp;row=818&amp;col=8&amp;number=4.398&amp;sourceID=29","4.398")</f>
        <v>4.398</v>
      </c>
      <c r="I818" s="4" t="str">
        <f>HYPERLINK("http://141.218.60.56/~jnz1568/getInfo.php?workbook=02_02.xlsx&amp;sheet=U0&amp;row=818&amp;col=9&amp;number=1.601&amp;sourceID=1","1.601")</f>
        <v>1.601</v>
      </c>
    </row>
    <row r="819" spans="1:9">
      <c r="A819" s="3"/>
      <c r="B819" s="3"/>
      <c r="C819" s="3"/>
      <c r="D819" s="3"/>
      <c r="E819" s="3">
        <v>7</v>
      </c>
      <c r="F819" s="4" t="str">
        <f>HYPERLINK("http://141.218.60.56/~jnz1568/getInfo.php?workbook=02_02.xlsx&amp;sheet=U0&amp;row=819&amp;col=6&amp;number=&amp;sourceID=28","")</f>
        <v/>
      </c>
      <c r="G819" s="4" t="str">
        <f>HYPERLINK("http://141.218.60.56/~jnz1568/getInfo.php?workbook=02_02.xlsx&amp;sheet=U0&amp;row=819&amp;col=7&amp;number=&amp;sourceID=1","")</f>
        <v/>
      </c>
      <c r="H819" s="4" t="str">
        <f>HYPERLINK("http://141.218.60.56/~jnz1568/getInfo.php?workbook=02_02.xlsx&amp;sheet=U0&amp;row=819&amp;col=8&amp;number=4.477&amp;sourceID=29","4.477")</f>
        <v>4.477</v>
      </c>
      <c r="I819" s="4" t="str">
        <f>HYPERLINK("http://141.218.60.56/~jnz1568/getInfo.php?workbook=02_02.xlsx&amp;sheet=U0&amp;row=819&amp;col=9&amp;number=1.482&amp;sourceID=1","1.482")</f>
        <v>1.482</v>
      </c>
    </row>
    <row r="820" spans="1:9">
      <c r="A820" s="3">
        <v>2</v>
      </c>
      <c r="B820" s="3">
        <v>2</v>
      </c>
      <c r="C820" s="3">
        <v>16</v>
      </c>
      <c r="D820" s="3">
        <v>9</v>
      </c>
      <c r="E820" s="3">
        <v>1</v>
      </c>
      <c r="F820" s="4" t="str">
        <f>HYPERLINK("http://141.218.60.56/~jnz1568/getInfo.php?workbook=02_02.xlsx&amp;sheet=U0&amp;row=820&amp;col=6&amp;number=&amp;sourceID=28","")</f>
        <v/>
      </c>
      <c r="G820" s="4" t="str">
        <f>HYPERLINK("http://141.218.60.56/~jnz1568/getInfo.php?workbook=02_02.xlsx&amp;sheet=U0&amp;row=820&amp;col=7&amp;number=&amp;sourceID=1","")</f>
        <v/>
      </c>
      <c r="H820" s="4" t="str">
        <f>HYPERLINK("http://141.218.60.56/~jnz1568/getInfo.php?workbook=02_02.xlsx&amp;sheet=U0&amp;row=820&amp;col=8&amp;number=3.301&amp;sourceID=29","3.301")</f>
        <v>3.301</v>
      </c>
      <c r="I820" s="4" t="str">
        <f>HYPERLINK("http://141.218.60.56/~jnz1568/getInfo.php?workbook=02_02.xlsx&amp;sheet=U0&amp;row=820&amp;col=9&amp;number=2.516&amp;sourceID=1","2.516")</f>
        <v>2.516</v>
      </c>
    </row>
    <row r="821" spans="1:9">
      <c r="A821" s="3"/>
      <c r="B821" s="3"/>
      <c r="C821" s="3"/>
      <c r="D821" s="3"/>
      <c r="E821" s="3">
        <v>2</v>
      </c>
      <c r="F821" s="4" t="str">
        <f>HYPERLINK("http://141.218.60.56/~jnz1568/getInfo.php?workbook=02_02.xlsx&amp;sheet=U0&amp;row=821&amp;col=6&amp;number=&amp;sourceID=28","")</f>
        <v/>
      </c>
      <c r="G821" s="4" t="str">
        <f>HYPERLINK("http://141.218.60.56/~jnz1568/getInfo.php?workbook=02_02.xlsx&amp;sheet=U0&amp;row=821&amp;col=7&amp;number=&amp;sourceID=1","")</f>
        <v/>
      </c>
      <c r="H821" s="4" t="str">
        <f>HYPERLINK("http://141.218.60.56/~jnz1568/getInfo.php?workbook=02_02.xlsx&amp;sheet=U0&amp;row=821&amp;col=8&amp;number=3.699&amp;sourceID=29","3.699")</f>
        <v>3.699</v>
      </c>
      <c r="I821" s="4" t="str">
        <f>HYPERLINK("http://141.218.60.56/~jnz1568/getInfo.php?workbook=02_02.xlsx&amp;sheet=U0&amp;row=821&amp;col=9&amp;number=2.756&amp;sourceID=1","2.756")</f>
        <v>2.756</v>
      </c>
    </row>
    <row r="822" spans="1:9">
      <c r="A822" s="3"/>
      <c r="B822" s="3"/>
      <c r="C822" s="3"/>
      <c r="D822" s="3"/>
      <c r="E822" s="3">
        <v>3</v>
      </c>
      <c r="F822" s="4" t="str">
        <f>HYPERLINK("http://141.218.60.56/~jnz1568/getInfo.php?workbook=02_02.xlsx&amp;sheet=U0&amp;row=822&amp;col=6&amp;number=&amp;sourceID=28","")</f>
        <v/>
      </c>
      <c r="G822" s="4" t="str">
        <f>HYPERLINK("http://141.218.60.56/~jnz1568/getInfo.php?workbook=02_02.xlsx&amp;sheet=U0&amp;row=822&amp;col=7&amp;number=&amp;sourceID=1","")</f>
        <v/>
      </c>
      <c r="H822" s="4" t="str">
        <f>HYPERLINK("http://141.218.60.56/~jnz1568/getInfo.php?workbook=02_02.xlsx&amp;sheet=U0&amp;row=822&amp;col=8&amp;number=4&amp;sourceID=29","4")</f>
        <v>4</v>
      </c>
      <c r="I822" s="4" t="str">
        <f>HYPERLINK("http://141.218.60.56/~jnz1568/getInfo.php?workbook=02_02.xlsx&amp;sheet=U0&amp;row=822&amp;col=9&amp;number=2.718&amp;sourceID=1","2.718")</f>
        <v>2.718</v>
      </c>
    </row>
    <row r="823" spans="1:9">
      <c r="A823" s="3"/>
      <c r="B823" s="3"/>
      <c r="C823" s="3"/>
      <c r="D823" s="3"/>
      <c r="E823" s="3">
        <v>4</v>
      </c>
      <c r="F823" s="4" t="str">
        <f>HYPERLINK("http://141.218.60.56/~jnz1568/getInfo.php?workbook=02_02.xlsx&amp;sheet=U0&amp;row=823&amp;col=6&amp;number=&amp;sourceID=28","")</f>
        <v/>
      </c>
      <c r="G823" s="4" t="str">
        <f>HYPERLINK("http://141.218.60.56/~jnz1568/getInfo.php?workbook=02_02.xlsx&amp;sheet=U0&amp;row=823&amp;col=7&amp;number=&amp;sourceID=1","")</f>
        <v/>
      </c>
      <c r="H823" s="4" t="str">
        <f>HYPERLINK("http://141.218.60.56/~jnz1568/getInfo.php?workbook=02_02.xlsx&amp;sheet=U0&amp;row=823&amp;col=8&amp;number=4.176&amp;sourceID=29","4.176")</f>
        <v>4.176</v>
      </c>
      <c r="I823" s="4" t="str">
        <f>HYPERLINK("http://141.218.60.56/~jnz1568/getInfo.php?workbook=02_02.xlsx&amp;sheet=U0&amp;row=823&amp;col=9&amp;number=2.611&amp;sourceID=1","2.611")</f>
        <v>2.611</v>
      </c>
    </row>
    <row r="824" spans="1:9">
      <c r="A824" s="3"/>
      <c r="B824" s="3"/>
      <c r="C824" s="3"/>
      <c r="D824" s="3"/>
      <c r="E824" s="3">
        <v>5</v>
      </c>
      <c r="F824" s="4" t="str">
        <f>HYPERLINK("http://141.218.60.56/~jnz1568/getInfo.php?workbook=02_02.xlsx&amp;sheet=U0&amp;row=824&amp;col=6&amp;number=&amp;sourceID=28","")</f>
        <v/>
      </c>
      <c r="G824" s="4" t="str">
        <f>HYPERLINK("http://141.218.60.56/~jnz1568/getInfo.php?workbook=02_02.xlsx&amp;sheet=U0&amp;row=824&amp;col=7&amp;number=&amp;sourceID=1","")</f>
        <v/>
      </c>
      <c r="H824" s="4" t="str">
        <f>HYPERLINK("http://141.218.60.56/~jnz1568/getInfo.php?workbook=02_02.xlsx&amp;sheet=U0&amp;row=824&amp;col=8&amp;number=4.301&amp;sourceID=29","4.301")</f>
        <v>4.301</v>
      </c>
      <c r="I824" s="4" t="str">
        <f>HYPERLINK("http://141.218.60.56/~jnz1568/getInfo.php?workbook=02_02.xlsx&amp;sheet=U0&amp;row=824&amp;col=9&amp;number=2.488&amp;sourceID=1","2.488")</f>
        <v>2.488</v>
      </c>
    </row>
    <row r="825" spans="1:9">
      <c r="A825" s="3"/>
      <c r="B825" s="3"/>
      <c r="C825" s="3"/>
      <c r="D825" s="3"/>
      <c r="E825" s="3">
        <v>6</v>
      </c>
      <c r="F825" s="4" t="str">
        <f>HYPERLINK("http://141.218.60.56/~jnz1568/getInfo.php?workbook=02_02.xlsx&amp;sheet=U0&amp;row=825&amp;col=6&amp;number=&amp;sourceID=28","")</f>
        <v/>
      </c>
      <c r="G825" s="4" t="str">
        <f>HYPERLINK("http://141.218.60.56/~jnz1568/getInfo.php?workbook=02_02.xlsx&amp;sheet=U0&amp;row=825&amp;col=7&amp;number=&amp;sourceID=1","")</f>
        <v/>
      </c>
      <c r="H825" s="4" t="str">
        <f>HYPERLINK("http://141.218.60.56/~jnz1568/getInfo.php?workbook=02_02.xlsx&amp;sheet=U0&amp;row=825&amp;col=8&amp;number=4.398&amp;sourceID=29","4.398")</f>
        <v>4.398</v>
      </c>
      <c r="I825" s="4" t="str">
        <f>HYPERLINK("http://141.218.60.56/~jnz1568/getInfo.php?workbook=02_02.xlsx&amp;sheet=U0&amp;row=825&amp;col=9&amp;number=2.364&amp;sourceID=1","2.364")</f>
        <v>2.364</v>
      </c>
    </row>
    <row r="826" spans="1:9">
      <c r="A826" s="3"/>
      <c r="B826" s="3"/>
      <c r="C826" s="3"/>
      <c r="D826" s="3"/>
      <c r="E826" s="3">
        <v>7</v>
      </c>
      <c r="F826" s="4" t="str">
        <f>HYPERLINK("http://141.218.60.56/~jnz1568/getInfo.php?workbook=02_02.xlsx&amp;sheet=U0&amp;row=826&amp;col=6&amp;number=&amp;sourceID=28","")</f>
        <v/>
      </c>
      <c r="G826" s="4" t="str">
        <f>HYPERLINK("http://141.218.60.56/~jnz1568/getInfo.php?workbook=02_02.xlsx&amp;sheet=U0&amp;row=826&amp;col=7&amp;number=&amp;sourceID=1","")</f>
        <v/>
      </c>
      <c r="H826" s="4" t="str">
        <f>HYPERLINK("http://141.218.60.56/~jnz1568/getInfo.php?workbook=02_02.xlsx&amp;sheet=U0&amp;row=826&amp;col=8&amp;number=4.477&amp;sourceID=29","4.477")</f>
        <v>4.477</v>
      </c>
      <c r="I826" s="4" t="str">
        <f>HYPERLINK("http://141.218.60.56/~jnz1568/getInfo.php?workbook=02_02.xlsx&amp;sheet=U0&amp;row=826&amp;col=9&amp;number=2.246&amp;sourceID=1","2.246")</f>
        <v>2.246</v>
      </c>
    </row>
    <row r="827" spans="1:9">
      <c r="A827" s="3">
        <v>2</v>
      </c>
      <c r="B827" s="3">
        <v>2</v>
      </c>
      <c r="C827" s="3">
        <v>16</v>
      </c>
      <c r="D827" s="3">
        <v>10</v>
      </c>
      <c r="E827" s="3">
        <v>1</v>
      </c>
      <c r="F827" s="4" t="str">
        <f>HYPERLINK("http://141.218.60.56/~jnz1568/getInfo.php?workbook=02_02.xlsx&amp;sheet=U0&amp;row=827&amp;col=6&amp;number=&amp;sourceID=28","")</f>
        <v/>
      </c>
      <c r="G827" s="4" t="str">
        <f>HYPERLINK("http://141.218.60.56/~jnz1568/getInfo.php?workbook=02_02.xlsx&amp;sheet=U0&amp;row=827&amp;col=7&amp;number=&amp;sourceID=1","")</f>
        <v/>
      </c>
      <c r="H827" s="4" t="str">
        <f>HYPERLINK("http://141.218.60.56/~jnz1568/getInfo.php?workbook=02_02.xlsx&amp;sheet=U0&amp;row=827&amp;col=8&amp;number=3.301&amp;sourceID=29","3.301")</f>
        <v>3.301</v>
      </c>
      <c r="I827" s="4" t="str">
        <f>HYPERLINK("http://141.218.60.56/~jnz1568/getInfo.php?workbook=02_02.xlsx&amp;sheet=U0&amp;row=827&amp;col=9&amp;number=5.818&amp;sourceID=1","5.818")</f>
        <v>5.818</v>
      </c>
    </row>
    <row r="828" spans="1:9">
      <c r="A828" s="3"/>
      <c r="B828" s="3"/>
      <c r="C828" s="3"/>
      <c r="D828" s="3"/>
      <c r="E828" s="3">
        <v>2</v>
      </c>
      <c r="F828" s="4" t="str">
        <f>HYPERLINK("http://141.218.60.56/~jnz1568/getInfo.php?workbook=02_02.xlsx&amp;sheet=U0&amp;row=828&amp;col=6&amp;number=&amp;sourceID=28","")</f>
        <v/>
      </c>
      <c r="G828" s="4" t="str">
        <f>HYPERLINK("http://141.218.60.56/~jnz1568/getInfo.php?workbook=02_02.xlsx&amp;sheet=U0&amp;row=828&amp;col=7&amp;number=&amp;sourceID=1","")</f>
        <v/>
      </c>
      <c r="H828" s="4" t="str">
        <f>HYPERLINK("http://141.218.60.56/~jnz1568/getInfo.php?workbook=02_02.xlsx&amp;sheet=U0&amp;row=828&amp;col=8&amp;number=3.699&amp;sourceID=29","3.699")</f>
        <v>3.699</v>
      </c>
      <c r="I828" s="4" t="str">
        <f>HYPERLINK("http://141.218.60.56/~jnz1568/getInfo.php?workbook=02_02.xlsx&amp;sheet=U0&amp;row=828&amp;col=9&amp;number=7.367&amp;sourceID=1","7.367")</f>
        <v>7.367</v>
      </c>
    </row>
    <row r="829" spans="1:9">
      <c r="A829" s="3"/>
      <c r="B829" s="3"/>
      <c r="C829" s="3"/>
      <c r="D829" s="3"/>
      <c r="E829" s="3">
        <v>3</v>
      </c>
      <c r="F829" s="4" t="str">
        <f>HYPERLINK("http://141.218.60.56/~jnz1568/getInfo.php?workbook=02_02.xlsx&amp;sheet=U0&amp;row=829&amp;col=6&amp;number=&amp;sourceID=28","")</f>
        <v/>
      </c>
      <c r="G829" s="4" t="str">
        <f>HYPERLINK("http://141.218.60.56/~jnz1568/getInfo.php?workbook=02_02.xlsx&amp;sheet=U0&amp;row=829&amp;col=7&amp;number=&amp;sourceID=1","")</f>
        <v/>
      </c>
      <c r="H829" s="4" t="str">
        <f>HYPERLINK("http://141.218.60.56/~jnz1568/getInfo.php?workbook=02_02.xlsx&amp;sheet=U0&amp;row=829&amp;col=8&amp;number=4&amp;sourceID=29","4")</f>
        <v>4</v>
      </c>
      <c r="I829" s="4" t="str">
        <f>HYPERLINK("http://141.218.60.56/~jnz1568/getInfo.php?workbook=02_02.xlsx&amp;sheet=U0&amp;row=829&amp;col=9&amp;number=10.64&amp;sourceID=1","10.64")</f>
        <v>10.64</v>
      </c>
    </row>
    <row r="830" spans="1:9">
      <c r="A830" s="3">
        <v>2</v>
      </c>
      <c r="B830" s="3">
        <v>2</v>
      </c>
      <c r="C830" s="3">
        <v>16</v>
      </c>
      <c r="D830" s="3">
        <v>11</v>
      </c>
      <c r="E830" s="3">
        <v>1</v>
      </c>
      <c r="F830" s="4" t="str">
        <f>HYPERLINK("http://141.218.60.56/~jnz1568/getInfo.php?workbook=02_02.xlsx&amp;sheet=U0&amp;row=830&amp;col=6&amp;number=&amp;sourceID=28","")</f>
        <v/>
      </c>
      <c r="G830" s="4" t="str">
        <f>HYPERLINK("http://141.218.60.56/~jnz1568/getInfo.php?workbook=02_02.xlsx&amp;sheet=U0&amp;row=830&amp;col=7&amp;number=&amp;sourceID=1","")</f>
        <v/>
      </c>
      <c r="H830" s="4" t="str">
        <f>HYPERLINK("http://141.218.60.56/~jnz1568/getInfo.php?workbook=02_02.xlsx&amp;sheet=U0&amp;row=830&amp;col=8&amp;number=3.301&amp;sourceID=29","3.301")</f>
        <v>3.301</v>
      </c>
      <c r="I830" s="4" t="str">
        <f>HYPERLINK("http://141.218.60.56/~jnz1568/getInfo.php?workbook=02_02.xlsx&amp;sheet=U0&amp;row=830&amp;col=9&amp;number=3.064&amp;sourceID=1","3.064")</f>
        <v>3.064</v>
      </c>
    </row>
    <row r="831" spans="1:9">
      <c r="A831" s="3"/>
      <c r="B831" s="3"/>
      <c r="C831" s="3"/>
      <c r="D831" s="3"/>
      <c r="E831" s="3">
        <v>2</v>
      </c>
      <c r="F831" s="4" t="str">
        <f>HYPERLINK("http://141.218.60.56/~jnz1568/getInfo.php?workbook=02_02.xlsx&amp;sheet=U0&amp;row=831&amp;col=6&amp;number=&amp;sourceID=28","")</f>
        <v/>
      </c>
      <c r="G831" s="4" t="str">
        <f>HYPERLINK("http://141.218.60.56/~jnz1568/getInfo.php?workbook=02_02.xlsx&amp;sheet=U0&amp;row=831&amp;col=7&amp;number=&amp;sourceID=1","")</f>
        <v/>
      </c>
      <c r="H831" s="4" t="str">
        <f>HYPERLINK("http://141.218.60.56/~jnz1568/getInfo.php?workbook=02_02.xlsx&amp;sheet=U0&amp;row=831&amp;col=8&amp;number=3.699&amp;sourceID=29","3.699")</f>
        <v>3.699</v>
      </c>
      <c r="I831" s="4" t="str">
        <f>HYPERLINK("http://141.218.60.56/~jnz1568/getInfo.php?workbook=02_02.xlsx&amp;sheet=U0&amp;row=831&amp;col=9&amp;number=4.206&amp;sourceID=1","4.206")</f>
        <v>4.206</v>
      </c>
    </row>
    <row r="832" spans="1:9">
      <c r="A832" s="3"/>
      <c r="B832" s="3"/>
      <c r="C832" s="3"/>
      <c r="D832" s="3"/>
      <c r="E832" s="3">
        <v>3</v>
      </c>
      <c r="F832" s="4" t="str">
        <f>HYPERLINK("http://141.218.60.56/~jnz1568/getInfo.php?workbook=02_02.xlsx&amp;sheet=U0&amp;row=832&amp;col=6&amp;number=&amp;sourceID=28","")</f>
        <v/>
      </c>
      <c r="G832" s="4" t="str">
        <f>HYPERLINK("http://141.218.60.56/~jnz1568/getInfo.php?workbook=02_02.xlsx&amp;sheet=U0&amp;row=832&amp;col=7&amp;number=&amp;sourceID=1","")</f>
        <v/>
      </c>
      <c r="H832" s="4" t="str">
        <f>HYPERLINK("http://141.218.60.56/~jnz1568/getInfo.php?workbook=02_02.xlsx&amp;sheet=U0&amp;row=832&amp;col=8&amp;number=4&amp;sourceID=29","4")</f>
        <v>4</v>
      </c>
      <c r="I832" s="4" t="str">
        <f>HYPERLINK("http://141.218.60.56/~jnz1568/getInfo.php?workbook=02_02.xlsx&amp;sheet=U0&amp;row=832&amp;col=9&amp;number=5.744&amp;sourceID=1","5.744")</f>
        <v>5.744</v>
      </c>
    </row>
    <row r="833" spans="1:9">
      <c r="A833" s="3"/>
      <c r="B833" s="3"/>
      <c r="C833" s="3"/>
      <c r="D833" s="3"/>
      <c r="E833" s="3">
        <v>4</v>
      </c>
      <c r="F833" s="4" t="str">
        <f>HYPERLINK("http://141.218.60.56/~jnz1568/getInfo.php?workbook=02_02.xlsx&amp;sheet=U0&amp;row=833&amp;col=6&amp;number=&amp;sourceID=28","")</f>
        <v/>
      </c>
      <c r="G833" s="4" t="str">
        <f>HYPERLINK("http://141.218.60.56/~jnz1568/getInfo.php?workbook=02_02.xlsx&amp;sheet=U0&amp;row=833&amp;col=7&amp;number=&amp;sourceID=1","")</f>
        <v/>
      </c>
      <c r="H833" s="4" t="str">
        <f>HYPERLINK("http://141.218.60.56/~jnz1568/getInfo.php?workbook=02_02.xlsx&amp;sheet=U0&amp;row=833&amp;col=8&amp;number=4.176&amp;sourceID=29","4.176")</f>
        <v>4.176</v>
      </c>
      <c r="I833" s="4" t="str">
        <f>HYPERLINK("http://141.218.60.56/~jnz1568/getInfo.php?workbook=02_02.xlsx&amp;sheet=U0&amp;row=833&amp;col=9&amp;number=7.534&amp;sourceID=1","7.534")</f>
        <v>7.534</v>
      </c>
    </row>
    <row r="834" spans="1:9">
      <c r="A834" s="3">
        <v>2</v>
      </c>
      <c r="B834" s="3">
        <v>2</v>
      </c>
      <c r="C834" s="3">
        <v>16</v>
      </c>
      <c r="D834" s="3">
        <v>12</v>
      </c>
      <c r="E834" s="3">
        <v>1</v>
      </c>
      <c r="F834" s="4" t="str">
        <f>HYPERLINK("http://141.218.60.56/~jnz1568/getInfo.php?workbook=02_02.xlsx&amp;sheet=U0&amp;row=834&amp;col=6&amp;number=&amp;sourceID=28","")</f>
        <v/>
      </c>
      <c r="G834" s="4" t="str">
        <f>HYPERLINK("http://141.218.60.56/~jnz1568/getInfo.php?workbook=02_02.xlsx&amp;sheet=U0&amp;row=834&amp;col=7&amp;number=&amp;sourceID=1","")</f>
        <v/>
      </c>
      <c r="H834" s="4" t="str">
        <f>HYPERLINK("http://141.218.60.56/~jnz1568/getInfo.php?workbook=02_02.xlsx&amp;sheet=U0&amp;row=834&amp;col=8&amp;number=3.301&amp;sourceID=29","3.301")</f>
        <v>3.301</v>
      </c>
      <c r="I834" s="4" t="str">
        <f>HYPERLINK("http://141.218.60.56/~jnz1568/getInfo.php?workbook=02_02.xlsx&amp;sheet=U0&amp;row=834&amp;col=9&amp;number=2.999&amp;sourceID=1","2.999")</f>
        <v>2.999</v>
      </c>
    </row>
    <row r="835" spans="1:9">
      <c r="A835" s="3"/>
      <c r="B835" s="3"/>
      <c r="C835" s="3"/>
      <c r="D835" s="3"/>
      <c r="E835" s="3">
        <v>2</v>
      </c>
      <c r="F835" s="4" t="str">
        <f>HYPERLINK("http://141.218.60.56/~jnz1568/getInfo.php?workbook=02_02.xlsx&amp;sheet=U0&amp;row=835&amp;col=6&amp;number=&amp;sourceID=28","")</f>
        <v/>
      </c>
      <c r="G835" s="4" t="str">
        <f>HYPERLINK("http://141.218.60.56/~jnz1568/getInfo.php?workbook=02_02.xlsx&amp;sheet=U0&amp;row=835&amp;col=7&amp;number=&amp;sourceID=1","")</f>
        <v/>
      </c>
      <c r="H835" s="4" t="str">
        <f>HYPERLINK("http://141.218.60.56/~jnz1568/getInfo.php?workbook=02_02.xlsx&amp;sheet=U0&amp;row=835&amp;col=8&amp;number=3.699&amp;sourceID=29","3.699")</f>
        <v>3.699</v>
      </c>
      <c r="I835" s="4" t="str">
        <f>HYPERLINK("http://141.218.60.56/~jnz1568/getInfo.php?workbook=02_02.xlsx&amp;sheet=U0&amp;row=835&amp;col=9&amp;number=2.981&amp;sourceID=1","2.981")</f>
        <v>2.981</v>
      </c>
    </row>
    <row r="836" spans="1:9">
      <c r="A836" s="3"/>
      <c r="B836" s="3"/>
      <c r="C836" s="3"/>
      <c r="D836" s="3"/>
      <c r="E836" s="3">
        <v>3</v>
      </c>
      <c r="F836" s="4" t="str">
        <f>HYPERLINK("http://141.218.60.56/~jnz1568/getInfo.php?workbook=02_02.xlsx&amp;sheet=U0&amp;row=836&amp;col=6&amp;number=&amp;sourceID=28","")</f>
        <v/>
      </c>
      <c r="G836" s="4" t="str">
        <f>HYPERLINK("http://141.218.60.56/~jnz1568/getInfo.php?workbook=02_02.xlsx&amp;sheet=U0&amp;row=836&amp;col=7&amp;number=&amp;sourceID=1","")</f>
        <v/>
      </c>
      <c r="H836" s="4" t="str">
        <f>HYPERLINK("http://141.218.60.56/~jnz1568/getInfo.php?workbook=02_02.xlsx&amp;sheet=U0&amp;row=836&amp;col=8&amp;number=4&amp;sourceID=29","4")</f>
        <v>4</v>
      </c>
      <c r="I836" s="4" t="str">
        <f>HYPERLINK("http://141.218.60.56/~jnz1568/getInfo.php?workbook=02_02.xlsx&amp;sheet=U0&amp;row=836&amp;col=9&amp;number=2.505&amp;sourceID=1","2.505")</f>
        <v>2.505</v>
      </c>
    </row>
    <row r="837" spans="1:9">
      <c r="A837" s="3"/>
      <c r="B837" s="3"/>
      <c r="C837" s="3"/>
      <c r="D837" s="3"/>
      <c r="E837" s="3">
        <v>4</v>
      </c>
      <c r="F837" s="4" t="str">
        <f>HYPERLINK("http://141.218.60.56/~jnz1568/getInfo.php?workbook=02_02.xlsx&amp;sheet=U0&amp;row=837&amp;col=6&amp;number=&amp;sourceID=28","")</f>
        <v/>
      </c>
      <c r="G837" s="4" t="str">
        <f>HYPERLINK("http://141.218.60.56/~jnz1568/getInfo.php?workbook=02_02.xlsx&amp;sheet=U0&amp;row=837&amp;col=7&amp;number=&amp;sourceID=1","")</f>
        <v/>
      </c>
      <c r="H837" s="4" t="str">
        <f>HYPERLINK("http://141.218.60.56/~jnz1568/getInfo.php?workbook=02_02.xlsx&amp;sheet=U0&amp;row=837&amp;col=8&amp;number=4.176&amp;sourceID=29","4.176")</f>
        <v>4.176</v>
      </c>
      <c r="I837" s="4" t="str">
        <f>HYPERLINK("http://141.218.60.56/~jnz1568/getInfo.php?workbook=02_02.xlsx&amp;sheet=U0&amp;row=837&amp;col=9&amp;number=2.125&amp;sourceID=1","2.125")</f>
        <v>2.125</v>
      </c>
    </row>
    <row r="838" spans="1:9">
      <c r="A838" s="3"/>
      <c r="B838" s="3"/>
      <c r="C838" s="3"/>
      <c r="D838" s="3"/>
      <c r="E838" s="3">
        <v>5</v>
      </c>
      <c r="F838" s="4" t="str">
        <f>HYPERLINK("http://141.218.60.56/~jnz1568/getInfo.php?workbook=02_02.xlsx&amp;sheet=U0&amp;row=838&amp;col=6&amp;number=&amp;sourceID=28","")</f>
        <v/>
      </c>
      <c r="G838" s="4" t="str">
        <f>HYPERLINK("http://141.218.60.56/~jnz1568/getInfo.php?workbook=02_02.xlsx&amp;sheet=U0&amp;row=838&amp;col=7&amp;number=&amp;sourceID=1","")</f>
        <v/>
      </c>
      <c r="H838" s="4" t="str">
        <f>HYPERLINK("http://141.218.60.56/~jnz1568/getInfo.php?workbook=02_02.xlsx&amp;sheet=U0&amp;row=838&amp;col=8&amp;number=4.301&amp;sourceID=29","4.301")</f>
        <v>4.301</v>
      </c>
      <c r="I838" s="4" t="str">
        <f>HYPERLINK("http://141.218.60.56/~jnz1568/getInfo.php?workbook=02_02.xlsx&amp;sheet=U0&amp;row=838&amp;col=9&amp;number=1.84&amp;sourceID=1","1.84")</f>
        <v>1.84</v>
      </c>
    </row>
    <row r="839" spans="1:9">
      <c r="A839" s="3"/>
      <c r="B839" s="3"/>
      <c r="C839" s="3"/>
      <c r="D839" s="3"/>
      <c r="E839" s="3">
        <v>6</v>
      </c>
      <c r="F839" s="4" t="str">
        <f>HYPERLINK("http://141.218.60.56/~jnz1568/getInfo.php?workbook=02_02.xlsx&amp;sheet=U0&amp;row=839&amp;col=6&amp;number=&amp;sourceID=28","")</f>
        <v/>
      </c>
      <c r="G839" s="4" t="str">
        <f>HYPERLINK("http://141.218.60.56/~jnz1568/getInfo.php?workbook=02_02.xlsx&amp;sheet=U0&amp;row=839&amp;col=7&amp;number=&amp;sourceID=1","")</f>
        <v/>
      </c>
      <c r="H839" s="4" t="str">
        <f>HYPERLINK("http://141.218.60.56/~jnz1568/getInfo.php?workbook=02_02.xlsx&amp;sheet=U0&amp;row=839&amp;col=8&amp;number=4.398&amp;sourceID=29","4.398")</f>
        <v>4.398</v>
      </c>
      <c r="I839" s="4" t="str">
        <f>HYPERLINK("http://141.218.60.56/~jnz1568/getInfo.php?workbook=02_02.xlsx&amp;sheet=U0&amp;row=839&amp;col=9&amp;number=1.623&amp;sourceID=1","1.623")</f>
        <v>1.623</v>
      </c>
    </row>
    <row r="840" spans="1:9">
      <c r="A840" s="3"/>
      <c r="B840" s="3"/>
      <c r="C840" s="3"/>
      <c r="D840" s="3"/>
      <c r="E840" s="3">
        <v>7</v>
      </c>
      <c r="F840" s="4" t="str">
        <f>HYPERLINK("http://141.218.60.56/~jnz1568/getInfo.php?workbook=02_02.xlsx&amp;sheet=U0&amp;row=840&amp;col=6&amp;number=&amp;sourceID=28","")</f>
        <v/>
      </c>
      <c r="G840" s="4" t="str">
        <f>HYPERLINK("http://141.218.60.56/~jnz1568/getInfo.php?workbook=02_02.xlsx&amp;sheet=U0&amp;row=840&amp;col=7&amp;number=&amp;sourceID=1","")</f>
        <v/>
      </c>
      <c r="H840" s="4" t="str">
        <f>HYPERLINK("http://141.218.60.56/~jnz1568/getInfo.php?workbook=02_02.xlsx&amp;sheet=U0&amp;row=840&amp;col=8&amp;number=4.477&amp;sourceID=29","4.477")</f>
        <v>4.477</v>
      </c>
      <c r="I840" s="4" t="str">
        <f>HYPERLINK("http://141.218.60.56/~jnz1568/getInfo.php?workbook=02_02.xlsx&amp;sheet=U0&amp;row=840&amp;col=9&amp;number=1.452&amp;sourceID=1","1.452")</f>
        <v>1.452</v>
      </c>
    </row>
    <row r="841" spans="1:9">
      <c r="A841" s="3">
        <v>2</v>
      </c>
      <c r="B841" s="3">
        <v>2</v>
      </c>
      <c r="C841" s="3">
        <v>16</v>
      </c>
      <c r="D841" s="3">
        <v>14</v>
      </c>
      <c r="E841" s="3">
        <v>1</v>
      </c>
      <c r="F841" s="4" t="str">
        <f>HYPERLINK("http://141.218.60.56/~jnz1568/getInfo.php?workbook=02_02.xlsx&amp;sheet=U0&amp;row=841&amp;col=6&amp;number=&amp;sourceID=28","")</f>
        <v/>
      </c>
      <c r="G841" s="4" t="str">
        <f>HYPERLINK("http://141.218.60.56/~jnz1568/getInfo.php?workbook=02_02.xlsx&amp;sheet=U0&amp;row=841&amp;col=7&amp;number=&amp;sourceID=1","")</f>
        <v/>
      </c>
      <c r="H841" s="4" t="str">
        <f>HYPERLINK("http://141.218.60.56/~jnz1568/getInfo.php?workbook=02_02.xlsx&amp;sheet=U0&amp;row=841&amp;col=8&amp;number=3.301&amp;sourceID=29","3.301")</f>
        <v>3.301</v>
      </c>
      <c r="I841" s="4" t="str">
        <f>HYPERLINK("http://141.218.60.56/~jnz1568/getInfo.php?workbook=02_02.xlsx&amp;sheet=U0&amp;row=841&amp;col=9&amp;number=8.097&amp;sourceID=1","8.097")</f>
        <v>8.097</v>
      </c>
    </row>
    <row r="842" spans="1:9">
      <c r="A842" s="3"/>
      <c r="B842" s="3"/>
      <c r="C842" s="3"/>
      <c r="D842" s="3"/>
      <c r="E842" s="3">
        <v>2</v>
      </c>
      <c r="F842" s="4" t="str">
        <f>HYPERLINK("http://141.218.60.56/~jnz1568/getInfo.php?workbook=02_02.xlsx&amp;sheet=U0&amp;row=842&amp;col=6&amp;number=&amp;sourceID=28","")</f>
        <v/>
      </c>
      <c r="G842" s="4" t="str">
        <f>HYPERLINK("http://141.218.60.56/~jnz1568/getInfo.php?workbook=02_02.xlsx&amp;sheet=U0&amp;row=842&amp;col=7&amp;number=&amp;sourceID=1","")</f>
        <v/>
      </c>
      <c r="H842" s="4" t="str">
        <f>HYPERLINK("http://141.218.60.56/~jnz1568/getInfo.php?workbook=02_02.xlsx&amp;sheet=U0&amp;row=842&amp;col=8&amp;number=3.699&amp;sourceID=29","3.699")</f>
        <v>3.699</v>
      </c>
      <c r="I842" s="4" t="str">
        <f>HYPERLINK("http://141.218.60.56/~jnz1568/getInfo.php?workbook=02_02.xlsx&amp;sheet=U0&amp;row=842&amp;col=9&amp;number=8.066&amp;sourceID=1","8.066")</f>
        <v>8.066</v>
      </c>
    </row>
    <row r="843" spans="1:9">
      <c r="A843" s="3"/>
      <c r="B843" s="3"/>
      <c r="C843" s="3"/>
      <c r="D843" s="3"/>
      <c r="E843" s="3">
        <v>3</v>
      </c>
      <c r="F843" s="4" t="str">
        <f>HYPERLINK("http://141.218.60.56/~jnz1568/getInfo.php?workbook=02_02.xlsx&amp;sheet=U0&amp;row=843&amp;col=6&amp;number=&amp;sourceID=28","")</f>
        <v/>
      </c>
      <c r="G843" s="4" t="str">
        <f>HYPERLINK("http://141.218.60.56/~jnz1568/getInfo.php?workbook=02_02.xlsx&amp;sheet=U0&amp;row=843&amp;col=7&amp;number=&amp;sourceID=1","")</f>
        <v/>
      </c>
      <c r="H843" s="4" t="str">
        <f>HYPERLINK("http://141.218.60.56/~jnz1568/getInfo.php?workbook=02_02.xlsx&amp;sheet=U0&amp;row=843&amp;col=8&amp;number=4&amp;sourceID=29","4")</f>
        <v>4</v>
      </c>
      <c r="I843" s="4" t="str">
        <f>HYPERLINK("http://141.218.60.56/~jnz1568/getInfo.php?workbook=02_02.xlsx&amp;sheet=U0&amp;row=843&amp;col=9&amp;number=6.842&amp;sourceID=1","6.842")</f>
        <v>6.842</v>
      </c>
    </row>
    <row r="844" spans="1:9">
      <c r="A844" s="3"/>
      <c r="B844" s="3"/>
      <c r="C844" s="3"/>
      <c r="D844" s="3"/>
      <c r="E844" s="3">
        <v>4</v>
      </c>
      <c r="F844" s="4" t="str">
        <f>HYPERLINK("http://141.218.60.56/~jnz1568/getInfo.php?workbook=02_02.xlsx&amp;sheet=U0&amp;row=844&amp;col=6&amp;number=&amp;sourceID=28","")</f>
        <v/>
      </c>
      <c r="G844" s="4" t="str">
        <f>HYPERLINK("http://141.218.60.56/~jnz1568/getInfo.php?workbook=02_02.xlsx&amp;sheet=U0&amp;row=844&amp;col=7&amp;number=&amp;sourceID=1","")</f>
        <v/>
      </c>
      <c r="H844" s="4" t="str">
        <f>HYPERLINK("http://141.218.60.56/~jnz1568/getInfo.php?workbook=02_02.xlsx&amp;sheet=U0&amp;row=844&amp;col=8&amp;number=4.176&amp;sourceID=29","4.176")</f>
        <v>4.176</v>
      </c>
      <c r="I844" s="4" t="str">
        <f>HYPERLINK("http://141.218.60.56/~jnz1568/getInfo.php?workbook=02_02.xlsx&amp;sheet=U0&amp;row=844&amp;col=9&amp;number=5.824&amp;sourceID=1","5.824")</f>
        <v>5.824</v>
      </c>
    </row>
    <row r="845" spans="1:9">
      <c r="A845" s="3"/>
      <c r="B845" s="3"/>
      <c r="C845" s="3"/>
      <c r="D845" s="3"/>
      <c r="E845" s="3">
        <v>5</v>
      </c>
      <c r="F845" s="4" t="str">
        <f>HYPERLINK("http://141.218.60.56/~jnz1568/getInfo.php?workbook=02_02.xlsx&amp;sheet=U0&amp;row=845&amp;col=6&amp;number=&amp;sourceID=28","")</f>
        <v/>
      </c>
      <c r="G845" s="4" t="str">
        <f>HYPERLINK("http://141.218.60.56/~jnz1568/getInfo.php?workbook=02_02.xlsx&amp;sheet=U0&amp;row=845&amp;col=7&amp;number=&amp;sourceID=1","")</f>
        <v/>
      </c>
      <c r="H845" s="4" t="str">
        <f>HYPERLINK("http://141.218.60.56/~jnz1568/getInfo.php?workbook=02_02.xlsx&amp;sheet=U0&amp;row=845&amp;col=8&amp;number=4.301&amp;sourceID=29","4.301")</f>
        <v>4.301</v>
      </c>
      <c r="I845" s="4" t="str">
        <f>HYPERLINK("http://141.218.60.56/~jnz1568/getInfo.php?workbook=02_02.xlsx&amp;sheet=U0&amp;row=845&amp;col=9&amp;number=5.052&amp;sourceID=1","5.052")</f>
        <v>5.052</v>
      </c>
    </row>
    <row r="846" spans="1:9">
      <c r="A846" s="3"/>
      <c r="B846" s="3"/>
      <c r="C846" s="3"/>
      <c r="D846" s="3"/>
      <c r="E846" s="3">
        <v>6</v>
      </c>
      <c r="F846" s="4" t="str">
        <f>HYPERLINK("http://141.218.60.56/~jnz1568/getInfo.php?workbook=02_02.xlsx&amp;sheet=U0&amp;row=846&amp;col=6&amp;number=&amp;sourceID=28","")</f>
        <v/>
      </c>
      <c r="G846" s="4" t="str">
        <f>HYPERLINK("http://141.218.60.56/~jnz1568/getInfo.php?workbook=02_02.xlsx&amp;sheet=U0&amp;row=846&amp;col=7&amp;number=&amp;sourceID=1","")</f>
        <v/>
      </c>
      <c r="H846" s="4" t="str">
        <f>HYPERLINK("http://141.218.60.56/~jnz1568/getInfo.php?workbook=02_02.xlsx&amp;sheet=U0&amp;row=846&amp;col=8&amp;number=4.398&amp;sourceID=29","4.398")</f>
        <v>4.398</v>
      </c>
      <c r="I846" s="4" t="str">
        <f>HYPERLINK("http://141.218.60.56/~jnz1568/getInfo.php?workbook=02_02.xlsx&amp;sheet=U0&amp;row=846&amp;col=9&amp;number=4.458&amp;sourceID=1","4.458")</f>
        <v>4.458</v>
      </c>
    </row>
    <row r="847" spans="1:9">
      <c r="A847" s="3"/>
      <c r="B847" s="3"/>
      <c r="C847" s="3"/>
      <c r="D847" s="3"/>
      <c r="E847" s="3">
        <v>7</v>
      </c>
      <c r="F847" s="4" t="str">
        <f>HYPERLINK("http://141.218.60.56/~jnz1568/getInfo.php?workbook=02_02.xlsx&amp;sheet=U0&amp;row=847&amp;col=6&amp;number=&amp;sourceID=28","")</f>
        <v/>
      </c>
      <c r="G847" s="4" t="str">
        <f>HYPERLINK("http://141.218.60.56/~jnz1568/getInfo.php?workbook=02_02.xlsx&amp;sheet=U0&amp;row=847&amp;col=7&amp;number=&amp;sourceID=1","")</f>
        <v/>
      </c>
      <c r="H847" s="4" t="str">
        <f>HYPERLINK("http://141.218.60.56/~jnz1568/getInfo.php?workbook=02_02.xlsx&amp;sheet=U0&amp;row=847&amp;col=8&amp;number=4.477&amp;sourceID=29","4.477")</f>
        <v>4.477</v>
      </c>
      <c r="I847" s="4" t="str">
        <f>HYPERLINK("http://141.218.60.56/~jnz1568/getInfo.php?workbook=02_02.xlsx&amp;sheet=U0&amp;row=847&amp;col=9&amp;number=3.989&amp;sourceID=1","3.989")</f>
        <v>3.989</v>
      </c>
    </row>
    <row r="848" spans="1:9">
      <c r="A848" s="3">
        <v>2</v>
      </c>
      <c r="B848" s="3">
        <v>2</v>
      </c>
      <c r="C848" s="3">
        <v>16</v>
      </c>
      <c r="D848" s="3">
        <v>15</v>
      </c>
      <c r="E848" s="3">
        <v>1</v>
      </c>
      <c r="F848" s="4" t="str">
        <f>HYPERLINK("http://141.218.60.56/~jnz1568/getInfo.php?workbook=02_02.xlsx&amp;sheet=U0&amp;row=848&amp;col=6&amp;number=&amp;sourceID=28","")</f>
        <v/>
      </c>
      <c r="G848" s="4" t="str">
        <f>HYPERLINK("http://141.218.60.56/~jnz1568/getInfo.php?workbook=02_02.xlsx&amp;sheet=U0&amp;row=848&amp;col=7&amp;number=&amp;sourceID=1","")</f>
        <v/>
      </c>
      <c r="H848" s="4" t="str">
        <f>HYPERLINK("http://141.218.60.56/~jnz1568/getInfo.php?workbook=02_02.xlsx&amp;sheet=U0&amp;row=848&amp;col=8&amp;number=3.301&amp;sourceID=29","3.301")</f>
        <v>3.301</v>
      </c>
      <c r="I848" s="4" t="str">
        <f>HYPERLINK("http://141.218.60.56/~jnz1568/getInfo.php?workbook=02_02.xlsx&amp;sheet=U0&amp;row=848&amp;col=9&amp;number=6.428&amp;sourceID=1","6.428")</f>
        <v>6.428</v>
      </c>
    </row>
    <row r="849" spans="1:9">
      <c r="A849" s="3"/>
      <c r="B849" s="3"/>
      <c r="C849" s="3"/>
      <c r="D849" s="3"/>
      <c r="E849" s="3">
        <v>2</v>
      </c>
      <c r="F849" s="4" t="str">
        <f>HYPERLINK("http://141.218.60.56/~jnz1568/getInfo.php?workbook=02_02.xlsx&amp;sheet=U0&amp;row=849&amp;col=6&amp;number=&amp;sourceID=28","")</f>
        <v/>
      </c>
      <c r="G849" s="4" t="str">
        <f>HYPERLINK("http://141.218.60.56/~jnz1568/getInfo.php?workbook=02_02.xlsx&amp;sheet=U0&amp;row=849&amp;col=7&amp;number=&amp;sourceID=1","")</f>
        <v/>
      </c>
      <c r="H849" s="4" t="str">
        <f>HYPERLINK("http://141.218.60.56/~jnz1568/getInfo.php?workbook=02_02.xlsx&amp;sheet=U0&amp;row=849&amp;col=8&amp;number=3.699&amp;sourceID=29","3.699")</f>
        <v>3.699</v>
      </c>
      <c r="I849" s="4" t="str">
        <f>HYPERLINK("http://141.218.60.56/~jnz1568/getInfo.php?workbook=02_02.xlsx&amp;sheet=U0&amp;row=849&amp;col=9&amp;number=7.694&amp;sourceID=1","7.694")</f>
        <v>7.694</v>
      </c>
    </row>
    <row r="850" spans="1:9">
      <c r="A850" s="3"/>
      <c r="B850" s="3"/>
      <c r="C850" s="3"/>
      <c r="D850" s="3"/>
      <c r="E850" s="3">
        <v>3</v>
      </c>
      <c r="F850" s="4" t="str">
        <f>HYPERLINK("http://141.218.60.56/~jnz1568/getInfo.php?workbook=02_02.xlsx&amp;sheet=U0&amp;row=850&amp;col=6&amp;number=&amp;sourceID=28","")</f>
        <v/>
      </c>
      <c r="G850" s="4" t="str">
        <f>HYPERLINK("http://141.218.60.56/~jnz1568/getInfo.php?workbook=02_02.xlsx&amp;sheet=U0&amp;row=850&amp;col=7&amp;number=&amp;sourceID=1","")</f>
        <v/>
      </c>
      <c r="H850" s="4" t="str">
        <f>HYPERLINK("http://141.218.60.56/~jnz1568/getInfo.php?workbook=02_02.xlsx&amp;sheet=U0&amp;row=850&amp;col=8&amp;number=4&amp;sourceID=29","4")</f>
        <v>4</v>
      </c>
      <c r="I850" s="4" t="str">
        <f>HYPERLINK("http://141.218.60.56/~jnz1568/getInfo.php?workbook=02_02.xlsx&amp;sheet=U0&amp;row=850&amp;col=9&amp;number=7.673&amp;sourceID=1","7.673")</f>
        <v>7.673</v>
      </c>
    </row>
    <row r="851" spans="1:9">
      <c r="A851" s="3"/>
      <c r="B851" s="3"/>
      <c r="C851" s="3"/>
      <c r="D851" s="3"/>
      <c r="E851" s="3">
        <v>4</v>
      </c>
      <c r="F851" s="4" t="str">
        <f>HYPERLINK("http://141.218.60.56/~jnz1568/getInfo.php?workbook=02_02.xlsx&amp;sheet=U0&amp;row=851&amp;col=6&amp;number=&amp;sourceID=28","")</f>
        <v/>
      </c>
      <c r="G851" s="4" t="str">
        <f>HYPERLINK("http://141.218.60.56/~jnz1568/getInfo.php?workbook=02_02.xlsx&amp;sheet=U0&amp;row=851&amp;col=7&amp;number=&amp;sourceID=1","")</f>
        <v/>
      </c>
      <c r="H851" s="4" t="str">
        <f>HYPERLINK("http://141.218.60.56/~jnz1568/getInfo.php?workbook=02_02.xlsx&amp;sheet=U0&amp;row=851&amp;col=8&amp;number=4.176&amp;sourceID=29","4.176")</f>
        <v>4.176</v>
      </c>
      <c r="I851" s="4" t="str">
        <f>HYPERLINK("http://141.218.60.56/~jnz1568/getInfo.php?workbook=02_02.xlsx&amp;sheet=U0&amp;row=851&amp;col=9&amp;number=7.104&amp;sourceID=1","7.104")</f>
        <v>7.104</v>
      </c>
    </row>
    <row r="852" spans="1:9">
      <c r="A852" s="3"/>
      <c r="B852" s="3"/>
      <c r="C852" s="3"/>
      <c r="D852" s="3"/>
      <c r="E852" s="3">
        <v>5</v>
      </c>
      <c r="F852" s="4" t="str">
        <f>HYPERLINK("http://141.218.60.56/~jnz1568/getInfo.php?workbook=02_02.xlsx&amp;sheet=U0&amp;row=852&amp;col=6&amp;number=&amp;sourceID=28","")</f>
        <v/>
      </c>
      <c r="G852" s="4" t="str">
        <f>HYPERLINK("http://141.218.60.56/~jnz1568/getInfo.php?workbook=02_02.xlsx&amp;sheet=U0&amp;row=852&amp;col=7&amp;number=&amp;sourceID=1","")</f>
        <v/>
      </c>
      <c r="H852" s="4" t="str">
        <f>HYPERLINK("http://141.218.60.56/~jnz1568/getInfo.php?workbook=02_02.xlsx&amp;sheet=U0&amp;row=852&amp;col=8&amp;number=4.301&amp;sourceID=29","4.301")</f>
        <v>4.301</v>
      </c>
      <c r="I852" s="4" t="str">
        <f>HYPERLINK("http://141.218.60.56/~jnz1568/getInfo.php?workbook=02_02.xlsx&amp;sheet=U0&amp;row=852&amp;col=9&amp;number=6.487&amp;sourceID=1","6.487")</f>
        <v>6.487</v>
      </c>
    </row>
    <row r="853" spans="1:9">
      <c r="A853" s="3"/>
      <c r="B853" s="3"/>
      <c r="C853" s="3"/>
      <c r="D853" s="3"/>
      <c r="E853" s="3">
        <v>6</v>
      </c>
      <c r="F853" s="4" t="str">
        <f>HYPERLINK("http://141.218.60.56/~jnz1568/getInfo.php?workbook=02_02.xlsx&amp;sheet=U0&amp;row=853&amp;col=6&amp;number=&amp;sourceID=28","")</f>
        <v/>
      </c>
      <c r="G853" s="4" t="str">
        <f>HYPERLINK("http://141.218.60.56/~jnz1568/getInfo.php?workbook=02_02.xlsx&amp;sheet=U0&amp;row=853&amp;col=7&amp;number=&amp;sourceID=1","")</f>
        <v/>
      </c>
      <c r="H853" s="4" t="str">
        <f>HYPERLINK("http://141.218.60.56/~jnz1568/getInfo.php?workbook=02_02.xlsx&amp;sheet=U0&amp;row=853&amp;col=8&amp;number=4.398&amp;sourceID=29","4.398")</f>
        <v>4.398</v>
      </c>
      <c r="I853" s="4" t="str">
        <f>HYPERLINK("http://141.218.60.56/~jnz1568/getInfo.php?workbook=02_02.xlsx&amp;sheet=U0&amp;row=853&amp;col=9&amp;number=5.928&amp;sourceID=1","5.928")</f>
        <v>5.928</v>
      </c>
    </row>
    <row r="854" spans="1:9">
      <c r="A854" s="3"/>
      <c r="B854" s="3"/>
      <c r="C854" s="3"/>
      <c r="D854" s="3"/>
      <c r="E854" s="3">
        <v>7</v>
      </c>
      <c r="F854" s="4" t="str">
        <f>HYPERLINK("http://141.218.60.56/~jnz1568/getInfo.php?workbook=02_02.xlsx&amp;sheet=U0&amp;row=854&amp;col=6&amp;number=&amp;sourceID=28","")</f>
        <v/>
      </c>
      <c r="G854" s="4" t="str">
        <f>HYPERLINK("http://141.218.60.56/~jnz1568/getInfo.php?workbook=02_02.xlsx&amp;sheet=U0&amp;row=854&amp;col=7&amp;number=&amp;sourceID=1","")</f>
        <v/>
      </c>
      <c r="H854" s="4" t="str">
        <f>HYPERLINK("http://141.218.60.56/~jnz1568/getInfo.php?workbook=02_02.xlsx&amp;sheet=U0&amp;row=854&amp;col=8&amp;number=4.477&amp;sourceID=29","4.477")</f>
        <v>4.477</v>
      </c>
      <c r="I854" s="4" t="str">
        <f>HYPERLINK("http://141.218.60.56/~jnz1568/getInfo.php?workbook=02_02.xlsx&amp;sheet=U0&amp;row=854&amp;col=9&amp;number=5.441&amp;sourceID=1","5.441")</f>
        <v>5.441</v>
      </c>
    </row>
    <row r="855" spans="1:9">
      <c r="A855" s="3">
        <v>2</v>
      </c>
      <c r="B855" s="3">
        <v>2</v>
      </c>
      <c r="C855" s="3">
        <v>17</v>
      </c>
      <c r="D855" s="3">
        <v>1</v>
      </c>
      <c r="E855" s="3">
        <v>1</v>
      </c>
      <c r="F855" s="4" t="str">
        <f>HYPERLINK("http://141.218.60.56/~jnz1568/getInfo.php?workbook=02_02.xlsx&amp;sheet=U0&amp;row=855&amp;col=6&amp;number=3.75&amp;sourceID=28","3.75")</f>
        <v>3.75</v>
      </c>
      <c r="G855" s="4" t="str">
        <f>HYPERLINK("http://141.218.60.56/~jnz1568/getInfo.php?workbook=02_02.xlsx&amp;sheet=U0&amp;row=855&amp;col=7&amp;number=0.0005082&amp;sourceID=1","0.0005082")</f>
        <v>0.0005082</v>
      </c>
      <c r="H855" s="4" t="str">
        <f>HYPERLINK("http://141.218.60.56/~jnz1568/getInfo.php?workbook=02_02.xlsx&amp;sheet=U0&amp;row=855&amp;col=8&amp;number=3.301&amp;sourceID=29","3.301")</f>
        <v>3.301</v>
      </c>
      <c r="I855" s="4" t="str">
        <f>HYPERLINK("http://141.218.60.56/~jnz1568/getInfo.php?workbook=02_02.xlsx&amp;sheet=U0&amp;row=855&amp;col=9&amp;number=0.0004191&amp;sourceID=1","0.0004191")</f>
        <v>0.0004191</v>
      </c>
    </row>
    <row r="856" spans="1:9">
      <c r="A856" s="3"/>
      <c r="B856" s="3"/>
      <c r="C856" s="3"/>
      <c r="D856" s="3"/>
      <c r="E856" s="3">
        <v>2</v>
      </c>
      <c r="F856" s="4" t="str">
        <f>HYPERLINK("http://141.218.60.56/~jnz1568/getInfo.php?workbook=02_02.xlsx&amp;sheet=U0&amp;row=856&amp;col=6&amp;number=4&amp;sourceID=28","4")</f>
        <v>4</v>
      </c>
      <c r="G856" s="4" t="str">
        <f>HYPERLINK("http://141.218.60.56/~jnz1568/getInfo.php?workbook=02_02.xlsx&amp;sheet=U0&amp;row=856&amp;col=7&amp;number=0.0004547&amp;sourceID=1","0.0004547")</f>
        <v>0.0004547</v>
      </c>
      <c r="H856" s="4" t="str">
        <f>HYPERLINK("http://141.218.60.56/~jnz1568/getInfo.php?workbook=02_02.xlsx&amp;sheet=U0&amp;row=856&amp;col=8&amp;number=3.699&amp;sourceID=29","3.699")</f>
        <v>3.699</v>
      </c>
      <c r="I856" s="4" t="str">
        <f>HYPERLINK("http://141.218.60.56/~jnz1568/getInfo.php?workbook=02_02.xlsx&amp;sheet=U0&amp;row=856&amp;col=9&amp;number=0.0004535&amp;sourceID=1","0.0004535")</f>
        <v>0.0004535</v>
      </c>
    </row>
    <row r="857" spans="1:9">
      <c r="A857" s="3"/>
      <c r="B857" s="3"/>
      <c r="C857" s="3"/>
      <c r="D857" s="3"/>
      <c r="E857" s="3">
        <v>3</v>
      </c>
      <c r="F857" s="4" t="str">
        <f>HYPERLINK("http://141.218.60.56/~jnz1568/getInfo.php?workbook=02_02.xlsx&amp;sheet=U0&amp;row=857&amp;col=6&amp;number=4.25&amp;sourceID=28","4.25")</f>
        <v>4.25</v>
      </c>
      <c r="G857" s="4" t="str">
        <f>HYPERLINK("http://141.218.60.56/~jnz1568/getInfo.php?workbook=02_02.xlsx&amp;sheet=U0&amp;row=857&amp;col=7&amp;number=0.0003748&amp;sourceID=1","0.0003748")</f>
        <v>0.0003748</v>
      </c>
      <c r="H857" s="4" t="str">
        <f>HYPERLINK("http://141.218.60.56/~jnz1568/getInfo.php?workbook=02_02.xlsx&amp;sheet=U0&amp;row=857&amp;col=8&amp;number=4&amp;sourceID=29","4")</f>
        <v>4</v>
      </c>
      <c r="I857" s="4" t="str">
        <f>HYPERLINK("http://141.218.60.56/~jnz1568/getInfo.php?workbook=02_02.xlsx&amp;sheet=U0&amp;row=857&amp;col=9&amp;number=0.0004905&amp;sourceID=1","0.0004905")</f>
        <v>0.0004905</v>
      </c>
    </row>
    <row r="858" spans="1:9">
      <c r="A858" s="3"/>
      <c r="B858" s="3"/>
      <c r="C858" s="3"/>
      <c r="D858" s="3"/>
      <c r="E858" s="3">
        <v>4</v>
      </c>
      <c r="F858" s="4" t="str">
        <f>HYPERLINK("http://141.218.60.56/~jnz1568/getInfo.php?workbook=02_02.xlsx&amp;sheet=U0&amp;row=858&amp;col=6&amp;number=4.5&amp;sourceID=28","4.5")</f>
        <v>4.5</v>
      </c>
      <c r="G858" s="4" t="str">
        <f>HYPERLINK("http://141.218.60.56/~jnz1568/getInfo.php?workbook=02_02.xlsx&amp;sheet=U0&amp;row=858&amp;col=7&amp;number=0.0002945&amp;sourceID=1","0.0002945")</f>
        <v>0.0002945</v>
      </c>
      <c r="H858" s="4" t="str">
        <f>HYPERLINK("http://141.218.60.56/~jnz1568/getInfo.php?workbook=02_02.xlsx&amp;sheet=U0&amp;row=858&amp;col=8&amp;number=4.176&amp;sourceID=29","4.176")</f>
        <v>4.176</v>
      </c>
      <c r="I858" s="4" t="str">
        <f>HYPERLINK("http://141.218.60.56/~jnz1568/getInfo.php?workbook=02_02.xlsx&amp;sheet=U0&amp;row=858&amp;col=9&amp;number=0.0005083&amp;sourceID=1","0.0005083")</f>
        <v>0.0005083</v>
      </c>
    </row>
    <row r="859" spans="1:9">
      <c r="A859" s="3"/>
      <c r="B859" s="3"/>
      <c r="C859" s="3"/>
      <c r="D859" s="3"/>
      <c r="E859" s="3">
        <v>5</v>
      </c>
      <c r="F859" s="4" t="str">
        <f>HYPERLINK("http://141.218.60.56/~jnz1568/getInfo.php?workbook=02_02.xlsx&amp;sheet=U0&amp;row=859&amp;col=6&amp;number=4.75&amp;sourceID=28","4.75")</f>
        <v>4.75</v>
      </c>
      <c r="G859" s="4" t="str">
        <f>HYPERLINK("http://141.218.60.56/~jnz1568/getInfo.php?workbook=02_02.xlsx&amp;sheet=U0&amp;row=859&amp;col=7&amp;number=0.0002268&amp;sourceID=1","0.0002268")</f>
        <v>0.0002268</v>
      </c>
      <c r="H859" s="4" t="str">
        <f>HYPERLINK("http://141.218.60.56/~jnz1568/getInfo.php?workbook=02_02.xlsx&amp;sheet=U0&amp;row=859&amp;col=8&amp;number=4.301&amp;sourceID=29","4.301")</f>
        <v>4.301</v>
      </c>
      <c r="I859" s="4" t="str">
        <f>HYPERLINK("http://141.218.60.56/~jnz1568/getInfo.php?workbook=02_02.xlsx&amp;sheet=U0&amp;row=859&amp;col=9&amp;number=0.0005122&amp;sourceID=1","0.0005122")</f>
        <v>0.0005122</v>
      </c>
    </row>
    <row r="860" spans="1:9">
      <c r="A860" s="3"/>
      <c r="B860" s="3"/>
      <c r="C860" s="3"/>
      <c r="D860" s="3"/>
      <c r="E860" s="3">
        <v>6</v>
      </c>
      <c r="F860" s="4" t="str">
        <f>HYPERLINK("http://141.218.60.56/~jnz1568/getInfo.php?workbook=02_02.xlsx&amp;sheet=U0&amp;row=860&amp;col=6&amp;number=5&amp;sourceID=28","5")</f>
        <v>5</v>
      </c>
      <c r="G860" s="4" t="str">
        <f>HYPERLINK("http://141.218.60.56/~jnz1568/getInfo.php?workbook=02_02.xlsx&amp;sheet=U0&amp;row=860&amp;col=7&amp;number=0.0001724&amp;sourceID=1","0.0001724")</f>
        <v>0.0001724</v>
      </c>
      <c r="H860" s="4" t="str">
        <f>HYPERLINK("http://141.218.60.56/~jnz1568/getInfo.php?workbook=02_02.xlsx&amp;sheet=U0&amp;row=860&amp;col=8&amp;number=4.398&amp;sourceID=29","4.398")</f>
        <v>4.398</v>
      </c>
      <c r="I860" s="4" t="str">
        <f>HYPERLINK("http://141.218.60.56/~jnz1568/getInfo.php?workbook=02_02.xlsx&amp;sheet=U0&amp;row=860&amp;col=9&amp;number=0.0005076&amp;sourceID=1","0.0005076")</f>
        <v>0.0005076</v>
      </c>
    </row>
    <row r="861" spans="1:9">
      <c r="A861" s="3"/>
      <c r="B861" s="3"/>
      <c r="C861" s="3"/>
      <c r="D861" s="3"/>
      <c r="E861" s="3">
        <v>7</v>
      </c>
      <c r="F861" s="4" t="str">
        <f>HYPERLINK("http://141.218.60.56/~jnz1568/getInfo.php?workbook=02_02.xlsx&amp;sheet=U0&amp;row=861&amp;col=6&amp;number=5.25&amp;sourceID=28","5.25")</f>
        <v>5.25</v>
      </c>
      <c r="G861" s="4" t="str">
        <f>HYPERLINK("http://141.218.60.56/~jnz1568/getInfo.php?workbook=02_02.xlsx&amp;sheet=U0&amp;row=861&amp;col=7&amp;number=0.0001279&amp;sourceID=1","0.0001279")</f>
        <v>0.0001279</v>
      </c>
      <c r="H861" s="4" t="str">
        <f>HYPERLINK("http://141.218.60.56/~jnz1568/getInfo.php?workbook=02_02.xlsx&amp;sheet=U0&amp;row=861&amp;col=8&amp;number=4.477&amp;sourceID=29","4.477")</f>
        <v>4.477</v>
      </c>
      <c r="I861" s="4" t="str">
        <f>HYPERLINK("http://141.218.60.56/~jnz1568/getInfo.php?workbook=02_02.xlsx&amp;sheet=U0&amp;row=861&amp;col=9&amp;number=0.000498&amp;sourceID=1","0.000498")</f>
        <v>0.000498</v>
      </c>
    </row>
    <row r="862" spans="1:9">
      <c r="A862" s="3"/>
      <c r="B862" s="3"/>
      <c r="C862" s="3"/>
      <c r="D862" s="3"/>
      <c r="E862" s="3">
        <v>8</v>
      </c>
      <c r="F862" s="4" t="str">
        <f>HYPERLINK("http://141.218.60.56/~jnz1568/getInfo.php?workbook=02_02.xlsx&amp;sheet=U0&amp;row=862&amp;col=6&amp;number=5.5&amp;sourceID=28","5.5")</f>
        <v>5.5</v>
      </c>
      <c r="G862" s="4" t="str">
        <f>HYPERLINK("http://141.218.60.56/~jnz1568/getInfo.php?workbook=02_02.xlsx&amp;sheet=U0&amp;row=862&amp;col=7&amp;number=9.081e-05&amp;sourceID=1","9.081e-05")</f>
        <v>9.081e-05</v>
      </c>
      <c r="H862" s="4" t="str">
        <f>HYPERLINK("http://141.218.60.56/~jnz1568/getInfo.php?workbook=02_02.xlsx&amp;sheet=U0&amp;row=862&amp;col=8&amp;number=&amp;sourceID=29","")</f>
        <v/>
      </c>
      <c r="I862" s="4" t="str">
        <f>HYPERLINK("http://141.218.60.56/~jnz1568/getInfo.php?workbook=02_02.xlsx&amp;sheet=U0&amp;row=862&amp;col=9&amp;number=&amp;sourceID=1","")</f>
        <v/>
      </c>
    </row>
    <row r="863" spans="1:9">
      <c r="A863" s="3"/>
      <c r="B863" s="3"/>
      <c r="C863" s="3"/>
      <c r="D863" s="3"/>
      <c r="E863" s="3">
        <v>9</v>
      </c>
      <c r="F863" s="4" t="str">
        <f>HYPERLINK("http://141.218.60.56/~jnz1568/getInfo.php?workbook=02_02.xlsx&amp;sheet=U0&amp;row=863&amp;col=6&amp;number=5.75&amp;sourceID=28","5.75")</f>
        <v>5.75</v>
      </c>
      <c r="G863" s="4" t="str">
        <f>HYPERLINK("http://141.218.60.56/~jnz1568/getInfo.php?workbook=02_02.xlsx&amp;sheet=U0&amp;row=863&amp;col=7&amp;number=6.114e-05&amp;sourceID=1","6.114e-05")</f>
        <v>6.114e-05</v>
      </c>
      <c r="H863" s="4" t="str">
        <f>HYPERLINK("http://141.218.60.56/~jnz1568/getInfo.php?workbook=02_02.xlsx&amp;sheet=U0&amp;row=863&amp;col=8&amp;number=&amp;sourceID=29","")</f>
        <v/>
      </c>
      <c r="I863" s="4" t="str">
        <f>HYPERLINK("http://141.218.60.56/~jnz1568/getInfo.php?workbook=02_02.xlsx&amp;sheet=U0&amp;row=863&amp;col=9&amp;number=&amp;sourceID=1","")</f>
        <v/>
      </c>
    </row>
    <row r="864" spans="1:9">
      <c r="A864" s="3">
        <v>2</v>
      </c>
      <c r="B864" s="3">
        <v>2</v>
      </c>
      <c r="C864" s="3">
        <v>17</v>
      </c>
      <c r="D864" s="3">
        <v>2</v>
      </c>
      <c r="E864" s="3">
        <v>1</v>
      </c>
      <c r="F864" s="4" t="str">
        <f>HYPERLINK("http://141.218.60.56/~jnz1568/getInfo.php?workbook=02_02.xlsx&amp;sheet=U0&amp;row=864&amp;col=6&amp;number=3.75&amp;sourceID=28","3.75")</f>
        <v>3.75</v>
      </c>
      <c r="G864" s="4" t="str">
        <f>HYPERLINK("http://141.218.60.56/~jnz1568/getInfo.php?workbook=02_02.xlsx&amp;sheet=U0&amp;row=864&amp;col=7&amp;number=0.3325&amp;sourceID=1","0.3325")</f>
        <v>0.3325</v>
      </c>
      <c r="H864" s="4" t="str">
        <f>HYPERLINK("http://141.218.60.56/~jnz1568/getInfo.php?workbook=02_02.xlsx&amp;sheet=U0&amp;row=864&amp;col=8&amp;number=3.301&amp;sourceID=29","3.301")</f>
        <v>3.301</v>
      </c>
      <c r="I864" s="4" t="str">
        <f>HYPERLINK("http://141.218.60.56/~jnz1568/getInfo.php?workbook=02_02.xlsx&amp;sheet=U0&amp;row=864&amp;col=9&amp;number=0.2387&amp;sourceID=1","0.2387")</f>
        <v>0.2387</v>
      </c>
    </row>
    <row r="865" spans="1:9">
      <c r="A865" s="3"/>
      <c r="B865" s="3"/>
      <c r="C865" s="3"/>
      <c r="D865" s="3"/>
      <c r="E865" s="3">
        <v>2</v>
      </c>
      <c r="F865" s="4" t="str">
        <f>HYPERLINK("http://141.218.60.56/~jnz1568/getInfo.php?workbook=02_02.xlsx&amp;sheet=U0&amp;row=865&amp;col=6&amp;number=4&amp;sourceID=28","4")</f>
        <v>4</v>
      </c>
      <c r="G865" s="4" t="str">
        <f>HYPERLINK("http://141.218.60.56/~jnz1568/getInfo.php?workbook=02_02.xlsx&amp;sheet=U0&amp;row=865&amp;col=7&amp;number=0.3889&amp;sourceID=1","0.3889")</f>
        <v>0.3889</v>
      </c>
      <c r="H865" s="4" t="str">
        <f>HYPERLINK("http://141.218.60.56/~jnz1568/getInfo.php?workbook=02_02.xlsx&amp;sheet=U0&amp;row=865&amp;col=8&amp;number=3.699&amp;sourceID=29","3.699")</f>
        <v>3.699</v>
      </c>
      <c r="I865" s="4" t="str">
        <f>HYPERLINK("http://141.218.60.56/~jnz1568/getInfo.php?workbook=02_02.xlsx&amp;sheet=U0&amp;row=865&amp;col=9&amp;number=0.3495&amp;sourceID=1","0.3495")</f>
        <v>0.3495</v>
      </c>
    </row>
    <row r="866" spans="1:9">
      <c r="A866" s="3"/>
      <c r="B866" s="3"/>
      <c r="C866" s="3"/>
      <c r="D866" s="3"/>
      <c r="E866" s="3">
        <v>3</v>
      </c>
      <c r="F866" s="4" t="str">
        <f>HYPERLINK("http://141.218.60.56/~jnz1568/getInfo.php?workbook=02_02.xlsx&amp;sheet=U0&amp;row=866&amp;col=6&amp;number=4.25&amp;sourceID=28","4.25")</f>
        <v>4.25</v>
      </c>
      <c r="G866" s="4" t="str">
        <f>HYPERLINK("http://141.218.60.56/~jnz1568/getInfo.php?workbook=02_02.xlsx&amp;sheet=U0&amp;row=866&amp;col=7&amp;number=0.462&amp;sourceID=1","0.462")</f>
        <v>0.462</v>
      </c>
      <c r="H866" s="4" t="str">
        <f>HYPERLINK("http://141.218.60.56/~jnz1568/getInfo.php?workbook=02_02.xlsx&amp;sheet=U0&amp;row=866&amp;col=8&amp;number=4&amp;sourceID=29","4")</f>
        <v>4</v>
      </c>
      <c r="I866" s="4" t="str">
        <f>HYPERLINK("http://141.218.60.56/~jnz1568/getInfo.php?workbook=02_02.xlsx&amp;sheet=U0&amp;row=866&amp;col=9&amp;number=0.5047&amp;sourceID=1","0.5047")</f>
        <v>0.5047</v>
      </c>
    </row>
    <row r="867" spans="1:9">
      <c r="A867" s="3"/>
      <c r="B867" s="3"/>
      <c r="C867" s="3"/>
      <c r="D867" s="3"/>
      <c r="E867" s="3">
        <v>4</v>
      </c>
      <c r="F867" s="4" t="str">
        <f>HYPERLINK("http://141.218.60.56/~jnz1568/getInfo.php?workbook=02_02.xlsx&amp;sheet=U0&amp;row=867&amp;col=6&amp;number=4.5&amp;sourceID=28","4.5")</f>
        <v>4.5</v>
      </c>
      <c r="G867" s="4" t="str">
        <f>HYPERLINK("http://141.218.60.56/~jnz1568/getInfo.php?workbook=02_02.xlsx&amp;sheet=U0&amp;row=867&amp;col=7&amp;number=0.5534&amp;sourceID=1","0.5534")</f>
        <v>0.5534</v>
      </c>
      <c r="H867" s="4" t="str">
        <f>HYPERLINK("http://141.218.60.56/~jnz1568/getInfo.php?workbook=02_02.xlsx&amp;sheet=U0&amp;row=867&amp;col=8&amp;number=4.176&amp;sourceID=29","4.176")</f>
        <v>4.176</v>
      </c>
      <c r="I867" s="4" t="str">
        <f>HYPERLINK("http://141.218.60.56/~jnz1568/getInfo.php?workbook=02_02.xlsx&amp;sheet=U0&amp;row=867&amp;col=9&amp;number=0.6204&amp;sourceID=1","0.6204")</f>
        <v>0.6204</v>
      </c>
    </row>
    <row r="868" spans="1:9">
      <c r="A868" s="3"/>
      <c r="B868" s="3"/>
      <c r="C868" s="3"/>
      <c r="D868" s="3"/>
      <c r="E868" s="3">
        <v>5</v>
      </c>
      <c r="F868" s="4" t="str">
        <f>HYPERLINK("http://141.218.60.56/~jnz1568/getInfo.php?workbook=02_02.xlsx&amp;sheet=U0&amp;row=868&amp;col=6&amp;number=4.75&amp;sourceID=28","4.75")</f>
        <v>4.75</v>
      </c>
      <c r="G868" s="4" t="str">
        <f>HYPERLINK("http://141.218.60.56/~jnz1568/getInfo.php?workbook=02_02.xlsx&amp;sheet=U0&amp;row=868&amp;col=7&amp;number=0.6671&amp;sourceID=1","0.6671")</f>
        <v>0.6671</v>
      </c>
      <c r="H868" s="4" t="str">
        <f>HYPERLINK("http://141.218.60.56/~jnz1568/getInfo.php?workbook=02_02.xlsx&amp;sheet=U0&amp;row=868&amp;col=8&amp;number=4.301&amp;sourceID=29","4.301")</f>
        <v>4.301</v>
      </c>
      <c r="I868" s="4" t="str">
        <f>HYPERLINK("http://141.218.60.56/~jnz1568/getInfo.php?workbook=02_02.xlsx&amp;sheet=U0&amp;row=868&amp;col=9&amp;number=0.7001&amp;sourceID=1","0.7001")</f>
        <v>0.7001</v>
      </c>
    </row>
    <row r="869" spans="1:9">
      <c r="A869" s="3"/>
      <c r="B869" s="3"/>
      <c r="C869" s="3"/>
      <c r="D869" s="3"/>
      <c r="E869" s="3">
        <v>6</v>
      </c>
      <c r="F869" s="4" t="str">
        <f>HYPERLINK("http://141.218.60.56/~jnz1568/getInfo.php?workbook=02_02.xlsx&amp;sheet=U0&amp;row=869&amp;col=6&amp;number=5&amp;sourceID=28","5")</f>
        <v>5</v>
      </c>
      <c r="G869" s="4" t="str">
        <f>HYPERLINK("http://141.218.60.56/~jnz1568/getInfo.php?workbook=02_02.xlsx&amp;sheet=U0&amp;row=869&amp;col=7&amp;number=0.7814&amp;sourceID=1","0.7814")</f>
        <v>0.7814</v>
      </c>
      <c r="H869" s="4" t="str">
        <f>HYPERLINK("http://141.218.60.56/~jnz1568/getInfo.php?workbook=02_02.xlsx&amp;sheet=U0&amp;row=869&amp;col=8&amp;number=4.398&amp;sourceID=29","4.398")</f>
        <v>4.398</v>
      </c>
      <c r="I869" s="4" t="str">
        <f>HYPERLINK("http://141.218.60.56/~jnz1568/getInfo.php?workbook=02_02.xlsx&amp;sheet=U0&amp;row=869&amp;col=9&amp;number=0.7523&amp;sourceID=1","0.7523")</f>
        <v>0.7523</v>
      </c>
    </row>
    <row r="870" spans="1:9">
      <c r="A870" s="3"/>
      <c r="B870" s="3"/>
      <c r="C870" s="3"/>
      <c r="D870" s="3"/>
      <c r="E870" s="3">
        <v>7</v>
      </c>
      <c r="F870" s="4" t="str">
        <f>HYPERLINK("http://141.218.60.56/~jnz1568/getInfo.php?workbook=02_02.xlsx&amp;sheet=U0&amp;row=870&amp;col=6&amp;number=5.25&amp;sourceID=28","5.25")</f>
        <v>5.25</v>
      </c>
      <c r="G870" s="4" t="str">
        <f>HYPERLINK("http://141.218.60.56/~jnz1568/getInfo.php?workbook=02_02.xlsx&amp;sheet=U0&amp;row=870&amp;col=7&amp;number=0.8556&amp;sourceID=1","0.8556")</f>
        <v>0.8556</v>
      </c>
      <c r="H870" s="4" t="str">
        <f>HYPERLINK("http://141.218.60.56/~jnz1568/getInfo.php?workbook=02_02.xlsx&amp;sheet=U0&amp;row=870&amp;col=8&amp;number=4.477&amp;sourceID=29","4.477")</f>
        <v>4.477</v>
      </c>
      <c r="I870" s="4" t="str">
        <f>HYPERLINK("http://141.218.60.56/~jnz1568/getInfo.php?workbook=02_02.xlsx&amp;sheet=U0&amp;row=870&amp;col=9&amp;number=0.7841&amp;sourceID=1","0.7841")</f>
        <v>0.7841</v>
      </c>
    </row>
    <row r="871" spans="1:9">
      <c r="A871" s="3"/>
      <c r="B871" s="3"/>
      <c r="C871" s="3"/>
      <c r="D871" s="3"/>
      <c r="E871" s="3">
        <v>8</v>
      </c>
      <c r="F871" s="4" t="str">
        <f>HYPERLINK("http://141.218.60.56/~jnz1568/getInfo.php?workbook=02_02.xlsx&amp;sheet=U0&amp;row=871&amp;col=6&amp;number=5.5&amp;sourceID=28","5.5")</f>
        <v>5.5</v>
      </c>
      <c r="G871" s="4" t="str">
        <f>HYPERLINK("http://141.218.60.56/~jnz1568/getInfo.php?workbook=02_02.xlsx&amp;sheet=U0&amp;row=871&amp;col=7&amp;number=0.8707&amp;sourceID=1","0.8707")</f>
        <v>0.8707</v>
      </c>
      <c r="H871" s="4" t="str">
        <f>HYPERLINK("http://141.218.60.56/~jnz1568/getInfo.php?workbook=02_02.xlsx&amp;sheet=U0&amp;row=871&amp;col=8&amp;number=&amp;sourceID=29","")</f>
        <v/>
      </c>
      <c r="I871" s="4" t="str">
        <f>HYPERLINK("http://141.218.60.56/~jnz1568/getInfo.php?workbook=02_02.xlsx&amp;sheet=U0&amp;row=871&amp;col=9&amp;number=&amp;sourceID=1","")</f>
        <v/>
      </c>
    </row>
    <row r="872" spans="1:9">
      <c r="A872" s="3"/>
      <c r="B872" s="3"/>
      <c r="C872" s="3"/>
      <c r="D872" s="3"/>
      <c r="E872" s="3">
        <v>9</v>
      </c>
      <c r="F872" s="4" t="str">
        <f>HYPERLINK("http://141.218.60.56/~jnz1568/getInfo.php?workbook=02_02.xlsx&amp;sheet=U0&amp;row=872&amp;col=6&amp;number=5.75&amp;sourceID=28","5.75")</f>
        <v>5.75</v>
      </c>
      <c r="G872" s="4" t="str">
        <f>HYPERLINK("http://141.218.60.56/~jnz1568/getInfo.php?workbook=02_02.xlsx&amp;sheet=U0&amp;row=872&amp;col=7&amp;number=0.8385&amp;sourceID=1","0.8385")</f>
        <v>0.8385</v>
      </c>
      <c r="H872" s="4" t="str">
        <f>HYPERLINK("http://141.218.60.56/~jnz1568/getInfo.php?workbook=02_02.xlsx&amp;sheet=U0&amp;row=872&amp;col=8&amp;number=&amp;sourceID=29","")</f>
        <v/>
      </c>
      <c r="I872" s="4" t="str">
        <f>HYPERLINK("http://141.218.60.56/~jnz1568/getInfo.php?workbook=02_02.xlsx&amp;sheet=U0&amp;row=872&amp;col=9&amp;number=&amp;sourceID=1","")</f>
        <v/>
      </c>
    </row>
    <row r="873" spans="1:9">
      <c r="A873" s="3">
        <v>2</v>
      </c>
      <c r="B873" s="3">
        <v>2</v>
      </c>
      <c r="C873" s="3">
        <v>17</v>
      </c>
      <c r="D873" s="3">
        <v>3</v>
      </c>
      <c r="E873" s="3">
        <v>1</v>
      </c>
      <c r="F873" s="4" t="str">
        <f>HYPERLINK("http://141.218.60.56/~jnz1568/getInfo.php?workbook=02_02.xlsx&amp;sheet=U0&amp;row=873&amp;col=6&amp;number=3.75&amp;sourceID=28","3.75")</f>
        <v>3.75</v>
      </c>
      <c r="G873" s="4" t="str">
        <f>HYPERLINK("http://141.218.60.56/~jnz1568/getInfo.php?workbook=02_02.xlsx&amp;sheet=U0&amp;row=873&amp;col=7&amp;number=0.05952&amp;sourceID=1","0.05952")</f>
        <v>0.05952</v>
      </c>
      <c r="H873" s="4" t="str">
        <f>HYPERLINK("http://141.218.60.56/~jnz1568/getInfo.php?workbook=02_02.xlsx&amp;sheet=U0&amp;row=873&amp;col=8&amp;number=3.301&amp;sourceID=29","3.301")</f>
        <v>3.301</v>
      </c>
      <c r="I873" s="4" t="str">
        <f>HYPERLINK("http://141.218.60.56/~jnz1568/getInfo.php?workbook=02_02.xlsx&amp;sheet=U0&amp;row=873&amp;col=9&amp;number=0.05643&amp;sourceID=1","0.05643")</f>
        <v>0.05643</v>
      </c>
    </row>
    <row r="874" spans="1:9">
      <c r="A874" s="3"/>
      <c r="B874" s="3"/>
      <c r="C874" s="3"/>
      <c r="D874" s="3"/>
      <c r="E874" s="3">
        <v>2</v>
      </c>
      <c r="F874" s="4" t="str">
        <f>HYPERLINK("http://141.218.60.56/~jnz1568/getInfo.php?workbook=02_02.xlsx&amp;sheet=U0&amp;row=874&amp;col=6&amp;number=4&amp;sourceID=28","4")</f>
        <v>4</v>
      </c>
      <c r="G874" s="4" t="str">
        <f>HYPERLINK("http://141.218.60.56/~jnz1568/getInfo.php?workbook=02_02.xlsx&amp;sheet=U0&amp;row=874&amp;col=7&amp;number=0.06338&amp;sourceID=1","0.06338")</f>
        <v>0.06338</v>
      </c>
      <c r="H874" s="4" t="str">
        <f>HYPERLINK("http://141.218.60.56/~jnz1568/getInfo.php?workbook=02_02.xlsx&amp;sheet=U0&amp;row=874&amp;col=8&amp;number=3.699&amp;sourceID=29","3.699")</f>
        <v>3.699</v>
      </c>
      <c r="I874" s="4" t="str">
        <f>HYPERLINK("http://141.218.60.56/~jnz1568/getInfo.php?workbook=02_02.xlsx&amp;sheet=U0&amp;row=874&amp;col=9&amp;number=0.07061&amp;sourceID=1","0.07061")</f>
        <v>0.07061</v>
      </c>
    </row>
    <row r="875" spans="1:9">
      <c r="A875" s="3"/>
      <c r="B875" s="3"/>
      <c r="C875" s="3"/>
      <c r="D875" s="3"/>
      <c r="E875" s="3">
        <v>3</v>
      </c>
      <c r="F875" s="4" t="str">
        <f>HYPERLINK("http://141.218.60.56/~jnz1568/getInfo.php?workbook=02_02.xlsx&amp;sheet=U0&amp;row=875&amp;col=6&amp;number=4.25&amp;sourceID=28","4.25")</f>
        <v>4.25</v>
      </c>
      <c r="G875" s="4" t="str">
        <f>HYPERLINK("http://141.218.60.56/~jnz1568/getInfo.php?workbook=02_02.xlsx&amp;sheet=U0&amp;row=875&amp;col=7&amp;number=0.06369&amp;sourceID=1","0.06369")</f>
        <v>0.06369</v>
      </c>
      <c r="H875" s="4" t="str">
        <f>HYPERLINK("http://141.218.60.56/~jnz1568/getInfo.php?workbook=02_02.xlsx&amp;sheet=U0&amp;row=875&amp;col=8&amp;number=4&amp;sourceID=29","4")</f>
        <v>4</v>
      </c>
      <c r="I875" s="4" t="str">
        <f>HYPERLINK("http://141.218.60.56/~jnz1568/getInfo.php?workbook=02_02.xlsx&amp;sheet=U0&amp;row=875&amp;col=9&amp;number=0.0867&amp;sourceID=1","0.0867")</f>
        <v>0.0867</v>
      </c>
    </row>
    <row r="876" spans="1:9">
      <c r="A876" s="3"/>
      <c r="B876" s="3"/>
      <c r="C876" s="3"/>
      <c r="D876" s="3"/>
      <c r="E876" s="3">
        <v>4</v>
      </c>
      <c r="F876" s="4" t="str">
        <f>HYPERLINK("http://141.218.60.56/~jnz1568/getInfo.php?workbook=02_02.xlsx&amp;sheet=U0&amp;row=876&amp;col=6&amp;number=4.5&amp;sourceID=28","4.5")</f>
        <v>4.5</v>
      </c>
      <c r="G876" s="4" t="str">
        <f>HYPERLINK("http://141.218.60.56/~jnz1568/getInfo.php?workbook=02_02.xlsx&amp;sheet=U0&amp;row=876&amp;col=7&amp;number=0.05925&amp;sourceID=1","0.05925")</f>
        <v>0.05925</v>
      </c>
      <c r="H876" s="4" t="str">
        <f>HYPERLINK("http://141.218.60.56/~jnz1568/getInfo.php?workbook=02_02.xlsx&amp;sheet=U0&amp;row=876&amp;col=8&amp;number=4.176&amp;sourceID=29","4.176")</f>
        <v>4.176</v>
      </c>
      <c r="I876" s="4" t="str">
        <f>HYPERLINK("http://141.218.60.56/~jnz1568/getInfo.php?workbook=02_02.xlsx&amp;sheet=U0&amp;row=876&amp;col=9&amp;number=0.0943&amp;sourceID=1","0.0943")</f>
        <v>0.0943</v>
      </c>
    </row>
    <row r="877" spans="1:9">
      <c r="A877" s="3"/>
      <c r="B877" s="3"/>
      <c r="C877" s="3"/>
      <c r="D877" s="3"/>
      <c r="E877" s="3">
        <v>5</v>
      </c>
      <c r="F877" s="4" t="str">
        <f>HYPERLINK("http://141.218.60.56/~jnz1568/getInfo.php?workbook=02_02.xlsx&amp;sheet=U0&amp;row=877&amp;col=6&amp;number=4.75&amp;sourceID=28","4.75")</f>
        <v>4.75</v>
      </c>
      <c r="G877" s="4" t="str">
        <f>HYPERLINK("http://141.218.60.56/~jnz1568/getInfo.php?workbook=02_02.xlsx&amp;sheet=U0&amp;row=877&amp;col=7&amp;number=0.05112&amp;sourceID=1","0.05112")</f>
        <v>0.05112</v>
      </c>
      <c r="H877" s="4" t="str">
        <f>HYPERLINK("http://141.218.60.56/~jnz1568/getInfo.php?workbook=02_02.xlsx&amp;sheet=U0&amp;row=877&amp;col=8&amp;number=4.301&amp;sourceID=29","4.301")</f>
        <v>4.301</v>
      </c>
      <c r="I877" s="4" t="str">
        <f>HYPERLINK("http://141.218.60.56/~jnz1568/getInfo.php?workbook=02_02.xlsx&amp;sheet=U0&amp;row=877&amp;col=9&amp;number=0.0966&amp;sourceID=1","0.0966")</f>
        <v>0.0966</v>
      </c>
    </row>
    <row r="878" spans="1:9">
      <c r="A878" s="3"/>
      <c r="B878" s="3"/>
      <c r="C878" s="3"/>
      <c r="D878" s="3"/>
      <c r="E878" s="3">
        <v>6</v>
      </c>
      <c r="F878" s="4" t="str">
        <f>HYPERLINK("http://141.218.60.56/~jnz1568/getInfo.php?workbook=02_02.xlsx&amp;sheet=U0&amp;row=878&amp;col=6&amp;number=5&amp;sourceID=28","5")</f>
        <v>5</v>
      </c>
      <c r="G878" s="4" t="str">
        <f>HYPERLINK("http://141.218.60.56/~jnz1568/getInfo.php?workbook=02_02.xlsx&amp;sheet=U0&amp;row=878&amp;col=7&amp;number=0.04083&amp;sourceID=1","0.04083")</f>
        <v>0.04083</v>
      </c>
      <c r="H878" s="4" t="str">
        <f>HYPERLINK("http://141.218.60.56/~jnz1568/getInfo.php?workbook=02_02.xlsx&amp;sheet=U0&amp;row=878&amp;col=8&amp;number=4.398&amp;sourceID=29","4.398")</f>
        <v>4.398</v>
      </c>
      <c r="I878" s="4" t="str">
        <f>HYPERLINK("http://141.218.60.56/~jnz1568/getInfo.php?workbook=02_02.xlsx&amp;sheet=U0&amp;row=878&amp;col=9&amp;number=0.09611&amp;sourceID=1","0.09611")</f>
        <v>0.09611</v>
      </c>
    </row>
    <row r="879" spans="1:9">
      <c r="A879" s="3"/>
      <c r="B879" s="3"/>
      <c r="C879" s="3"/>
      <c r="D879" s="3"/>
      <c r="E879" s="3">
        <v>7</v>
      </c>
      <c r="F879" s="4" t="str">
        <f>HYPERLINK("http://141.218.60.56/~jnz1568/getInfo.php?workbook=02_02.xlsx&amp;sheet=U0&amp;row=879&amp;col=6&amp;number=5.25&amp;sourceID=28","5.25")</f>
        <v>5.25</v>
      </c>
      <c r="G879" s="4" t="str">
        <f>HYPERLINK("http://141.218.60.56/~jnz1568/getInfo.php?workbook=02_02.xlsx&amp;sheet=U0&amp;row=879&amp;col=7&amp;number=0.03011&amp;sourceID=1","0.03011")</f>
        <v>0.03011</v>
      </c>
      <c r="H879" s="4" t="str">
        <f>HYPERLINK("http://141.218.60.56/~jnz1568/getInfo.php?workbook=02_02.xlsx&amp;sheet=U0&amp;row=879&amp;col=8&amp;number=4.477&amp;sourceID=29","4.477")</f>
        <v>4.477</v>
      </c>
      <c r="I879" s="4" t="str">
        <f>HYPERLINK("http://141.218.60.56/~jnz1568/getInfo.php?workbook=02_02.xlsx&amp;sheet=U0&amp;row=879&amp;col=9&amp;number=0.09415&amp;sourceID=1","0.09415")</f>
        <v>0.09415</v>
      </c>
    </row>
    <row r="880" spans="1:9">
      <c r="A880" s="3"/>
      <c r="B880" s="3"/>
      <c r="C880" s="3"/>
      <c r="D880" s="3"/>
      <c r="E880" s="3">
        <v>8</v>
      </c>
      <c r="F880" s="4" t="str">
        <f>HYPERLINK("http://141.218.60.56/~jnz1568/getInfo.php?workbook=02_02.xlsx&amp;sheet=U0&amp;row=880&amp;col=6&amp;number=5.5&amp;sourceID=28","5.5")</f>
        <v>5.5</v>
      </c>
      <c r="G880" s="4" t="str">
        <f>HYPERLINK("http://141.218.60.56/~jnz1568/getInfo.php?workbook=02_02.xlsx&amp;sheet=U0&amp;row=880&amp;col=7&amp;number=0.02062&amp;sourceID=1","0.02062")</f>
        <v>0.02062</v>
      </c>
      <c r="H880" s="4" t="str">
        <f>HYPERLINK("http://141.218.60.56/~jnz1568/getInfo.php?workbook=02_02.xlsx&amp;sheet=U0&amp;row=880&amp;col=8&amp;number=&amp;sourceID=29","")</f>
        <v/>
      </c>
      <c r="I880" s="4" t="str">
        <f>HYPERLINK("http://141.218.60.56/~jnz1568/getInfo.php?workbook=02_02.xlsx&amp;sheet=U0&amp;row=880&amp;col=9&amp;number=&amp;sourceID=1","")</f>
        <v/>
      </c>
    </row>
    <row r="881" spans="1:9">
      <c r="A881" s="3"/>
      <c r="B881" s="3"/>
      <c r="C881" s="3"/>
      <c r="D881" s="3"/>
      <c r="E881" s="3">
        <v>9</v>
      </c>
      <c r="F881" s="4" t="str">
        <f>HYPERLINK("http://141.218.60.56/~jnz1568/getInfo.php?workbook=02_02.xlsx&amp;sheet=U0&amp;row=881&amp;col=6&amp;number=5.75&amp;sourceID=28","5.75")</f>
        <v>5.75</v>
      </c>
      <c r="G881" s="4" t="str">
        <f>HYPERLINK("http://141.218.60.56/~jnz1568/getInfo.php?workbook=02_02.xlsx&amp;sheet=U0&amp;row=881&amp;col=7&amp;number=0.0133&amp;sourceID=1","0.0133")</f>
        <v>0.0133</v>
      </c>
      <c r="H881" s="4" t="str">
        <f>HYPERLINK("http://141.218.60.56/~jnz1568/getInfo.php?workbook=02_02.xlsx&amp;sheet=U0&amp;row=881&amp;col=8&amp;number=&amp;sourceID=29","")</f>
        <v/>
      </c>
      <c r="I881" s="4" t="str">
        <f>HYPERLINK("http://141.218.60.56/~jnz1568/getInfo.php?workbook=02_02.xlsx&amp;sheet=U0&amp;row=881&amp;col=9&amp;number=&amp;sourceID=1","")</f>
        <v/>
      </c>
    </row>
    <row r="882" spans="1:9">
      <c r="A882" s="3">
        <v>2</v>
      </c>
      <c r="B882" s="3">
        <v>2</v>
      </c>
      <c r="C882" s="3">
        <v>17</v>
      </c>
      <c r="D882" s="3">
        <v>4</v>
      </c>
      <c r="E882" s="3">
        <v>1</v>
      </c>
      <c r="F882" s="4" t="str">
        <f>HYPERLINK("http://141.218.60.56/~jnz1568/getInfo.php?workbook=02_02.xlsx&amp;sheet=U0&amp;row=882&amp;col=6&amp;number=3.75&amp;sourceID=28","3.75")</f>
        <v>3.75</v>
      </c>
      <c r="G882" s="4" t="str">
        <f>HYPERLINK("http://141.218.60.56/~jnz1568/getInfo.php?workbook=02_02.xlsx&amp;sheet=U0&amp;row=882&amp;col=7&amp;number=2.4&amp;sourceID=1","2.4")</f>
        <v>2.4</v>
      </c>
      <c r="H882" s="4" t="str">
        <f>HYPERLINK("http://141.218.60.56/~jnz1568/getInfo.php?workbook=02_02.xlsx&amp;sheet=U0&amp;row=882&amp;col=8&amp;number=3.301&amp;sourceID=29","3.301")</f>
        <v>3.301</v>
      </c>
      <c r="I882" s="4" t="str">
        <f>HYPERLINK("http://141.218.60.56/~jnz1568/getInfo.php?workbook=02_02.xlsx&amp;sheet=U0&amp;row=882&amp;col=9&amp;number=1.054&amp;sourceID=1","1.054")</f>
        <v>1.054</v>
      </c>
    </row>
    <row r="883" spans="1:9">
      <c r="A883" s="3"/>
      <c r="B883" s="3"/>
      <c r="C883" s="3"/>
      <c r="D883" s="3"/>
      <c r="E883" s="3">
        <v>2</v>
      </c>
      <c r="F883" s="4" t="str">
        <f>HYPERLINK("http://141.218.60.56/~jnz1568/getInfo.php?workbook=02_02.xlsx&amp;sheet=U0&amp;row=883&amp;col=6&amp;number=4&amp;sourceID=28","4")</f>
        <v>4</v>
      </c>
      <c r="G883" s="4" t="str">
        <f>HYPERLINK("http://141.218.60.56/~jnz1568/getInfo.php?workbook=02_02.xlsx&amp;sheet=U0&amp;row=883&amp;col=7&amp;number=2.836&amp;sourceID=1","2.836")</f>
        <v>2.836</v>
      </c>
      <c r="H883" s="4" t="str">
        <f>HYPERLINK("http://141.218.60.56/~jnz1568/getInfo.php?workbook=02_02.xlsx&amp;sheet=U0&amp;row=883&amp;col=8&amp;number=3.699&amp;sourceID=29","3.699")</f>
        <v>3.699</v>
      </c>
      <c r="I883" s="4" t="str">
        <f>HYPERLINK("http://141.218.60.56/~jnz1568/getInfo.php?workbook=02_02.xlsx&amp;sheet=U0&amp;row=883&amp;col=9&amp;number=1.462&amp;sourceID=1","1.462")</f>
        <v>1.462</v>
      </c>
    </row>
    <row r="884" spans="1:9">
      <c r="A884" s="3"/>
      <c r="B884" s="3"/>
      <c r="C884" s="3"/>
      <c r="D884" s="3"/>
      <c r="E884" s="3">
        <v>3</v>
      </c>
      <c r="F884" s="4" t="str">
        <f>HYPERLINK("http://141.218.60.56/~jnz1568/getInfo.php?workbook=02_02.xlsx&amp;sheet=U0&amp;row=884&amp;col=6&amp;number=4.25&amp;sourceID=28","4.25")</f>
        <v>4.25</v>
      </c>
      <c r="G884" s="4" t="str">
        <f>HYPERLINK("http://141.218.60.56/~jnz1568/getInfo.php?workbook=02_02.xlsx&amp;sheet=U0&amp;row=884&amp;col=7&amp;number=3.497&amp;sourceID=1","3.497")</f>
        <v>3.497</v>
      </c>
      <c r="H884" s="4" t="str">
        <f>HYPERLINK("http://141.218.60.56/~jnz1568/getInfo.php?workbook=02_02.xlsx&amp;sheet=U0&amp;row=884&amp;col=8&amp;number=4&amp;sourceID=29","4")</f>
        <v>4</v>
      </c>
      <c r="I884" s="4" t="str">
        <f>HYPERLINK("http://141.218.60.56/~jnz1568/getInfo.php?workbook=02_02.xlsx&amp;sheet=U0&amp;row=884&amp;col=9&amp;number=2.18&amp;sourceID=1","2.18")</f>
        <v>2.18</v>
      </c>
    </row>
    <row r="885" spans="1:9">
      <c r="A885" s="3"/>
      <c r="B885" s="3"/>
      <c r="C885" s="3"/>
      <c r="D885" s="3"/>
      <c r="E885" s="3">
        <v>4</v>
      </c>
      <c r="F885" s="4" t="str">
        <f>HYPERLINK("http://141.218.60.56/~jnz1568/getInfo.php?workbook=02_02.xlsx&amp;sheet=U0&amp;row=885&amp;col=6&amp;number=4.5&amp;sourceID=28","4.5")</f>
        <v>4.5</v>
      </c>
      <c r="G885" s="4" t="str">
        <f>HYPERLINK("http://141.218.60.56/~jnz1568/getInfo.php?workbook=02_02.xlsx&amp;sheet=U0&amp;row=885&amp;col=7&amp;number=4.478&amp;sourceID=1","4.478")</f>
        <v>4.478</v>
      </c>
      <c r="H885" s="4" t="str">
        <f>HYPERLINK("http://141.218.60.56/~jnz1568/getInfo.php?workbook=02_02.xlsx&amp;sheet=U0&amp;row=885&amp;col=8&amp;number=4.176&amp;sourceID=29","4.176")</f>
        <v>4.176</v>
      </c>
      <c r="I885" s="4" t="str">
        <f>HYPERLINK("http://141.218.60.56/~jnz1568/getInfo.php?workbook=02_02.xlsx&amp;sheet=U0&amp;row=885&amp;col=9&amp;number=2.865&amp;sourceID=1","2.865")</f>
        <v>2.865</v>
      </c>
    </row>
    <row r="886" spans="1:9">
      <c r="A886" s="3"/>
      <c r="B886" s="3"/>
      <c r="C886" s="3"/>
      <c r="D886" s="3"/>
      <c r="E886" s="3">
        <v>5</v>
      </c>
      <c r="F886" s="4" t="str">
        <f>HYPERLINK("http://141.218.60.56/~jnz1568/getInfo.php?workbook=02_02.xlsx&amp;sheet=U0&amp;row=886&amp;col=6&amp;number=4.75&amp;sourceID=28","4.75")</f>
        <v>4.75</v>
      </c>
      <c r="G886" s="4" t="str">
        <f>HYPERLINK("http://141.218.60.56/~jnz1568/getInfo.php?workbook=02_02.xlsx&amp;sheet=U0&amp;row=886&amp;col=7&amp;number=5.866&amp;sourceID=1","5.866")</f>
        <v>5.866</v>
      </c>
      <c r="H886" s="4" t="str">
        <f>HYPERLINK("http://141.218.60.56/~jnz1568/getInfo.php?workbook=02_02.xlsx&amp;sheet=U0&amp;row=886&amp;col=8&amp;number=4.301&amp;sourceID=29","4.301")</f>
        <v>4.301</v>
      </c>
      <c r="I886" s="4" t="str">
        <f>HYPERLINK("http://141.218.60.56/~jnz1568/getInfo.php?workbook=02_02.xlsx&amp;sheet=U0&amp;row=886&amp;col=9&amp;number=3.434&amp;sourceID=1","3.434")</f>
        <v>3.434</v>
      </c>
    </row>
    <row r="887" spans="1:9">
      <c r="A887" s="3"/>
      <c r="B887" s="3"/>
      <c r="C887" s="3"/>
      <c r="D887" s="3"/>
      <c r="E887" s="3">
        <v>6</v>
      </c>
      <c r="F887" s="4" t="str">
        <f>HYPERLINK("http://141.218.60.56/~jnz1568/getInfo.php?workbook=02_02.xlsx&amp;sheet=U0&amp;row=887&amp;col=6&amp;number=5&amp;sourceID=28","5")</f>
        <v>5</v>
      </c>
      <c r="G887" s="4" t="str">
        <f>HYPERLINK("http://141.218.60.56/~jnz1568/getInfo.php?workbook=02_02.xlsx&amp;sheet=U0&amp;row=887&amp;col=7&amp;number=7.49&amp;sourceID=1","7.49")</f>
        <v>7.49</v>
      </c>
      <c r="H887" s="4" t="str">
        <f>HYPERLINK("http://141.218.60.56/~jnz1568/getInfo.php?workbook=02_02.xlsx&amp;sheet=U0&amp;row=887&amp;col=8&amp;number=4.398&amp;sourceID=29","4.398")</f>
        <v>4.398</v>
      </c>
      <c r="I887" s="4" t="str">
        <f>HYPERLINK("http://141.218.60.56/~jnz1568/getInfo.php?workbook=02_02.xlsx&amp;sheet=U0&amp;row=887&amp;col=9&amp;number=3.872&amp;sourceID=1","3.872")</f>
        <v>3.872</v>
      </c>
    </row>
    <row r="888" spans="1:9">
      <c r="A888" s="3"/>
      <c r="B888" s="3"/>
      <c r="C888" s="3"/>
      <c r="D888" s="3"/>
      <c r="E888" s="3">
        <v>7</v>
      </c>
      <c r="F888" s="4" t="str">
        <f>HYPERLINK("http://141.218.60.56/~jnz1568/getInfo.php?workbook=02_02.xlsx&amp;sheet=U0&amp;row=888&amp;col=6&amp;number=5.25&amp;sourceID=28","5.25")</f>
        <v>5.25</v>
      </c>
      <c r="G888" s="4" t="str">
        <f>HYPERLINK("http://141.218.60.56/~jnz1568/getInfo.php?workbook=02_02.xlsx&amp;sheet=U0&amp;row=888&amp;col=7&amp;number=8.936&amp;sourceID=1","8.936")</f>
        <v>8.936</v>
      </c>
      <c r="H888" s="4" t="str">
        <f>HYPERLINK("http://141.218.60.56/~jnz1568/getInfo.php?workbook=02_02.xlsx&amp;sheet=U0&amp;row=888&amp;col=8&amp;number=4.477&amp;sourceID=29","4.477")</f>
        <v>4.477</v>
      </c>
      <c r="I888" s="4" t="str">
        <f>HYPERLINK("http://141.218.60.56/~jnz1568/getInfo.php?workbook=02_02.xlsx&amp;sheet=U0&amp;row=888&amp;col=9&amp;number=4.192&amp;sourceID=1","4.192")</f>
        <v>4.192</v>
      </c>
    </row>
    <row r="889" spans="1:9">
      <c r="A889" s="3"/>
      <c r="B889" s="3"/>
      <c r="C889" s="3"/>
      <c r="D889" s="3"/>
      <c r="E889" s="3">
        <v>8</v>
      </c>
      <c r="F889" s="4" t="str">
        <f>HYPERLINK("http://141.218.60.56/~jnz1568/getInfo.php?workbook=02_02.xlsx&amp;sheet=U0&amp;row=889&amp;col=6&amp;number=5.5&amp;sourceID=28","5.5")</f>
        <v>5.5</v>
      </c>
      <c r="G889" s="4" t="str">
        <f>HYPERLINK("http://141.218.60.56/~jnz1568/getInfo.php?workbook=02_02.xlsx&amp;sheet=U0&amp;row=889&amp;col=7&amp;number=9.92&amp;sourceID=1","9.92")</f>
        <v>9.92</v>
      </c>
      <c r="H889" s="4" t="str">
        <f>HYPERLINK("http://141.218.60.56/~jnz1568/getInfo.php?workbook=02_02.xlsx&amp;sheet=U0&amp;row=889&amp;col=8&amp;number=&amp;sourceID=29","")</f>
        <v/>
      </c>
      <c r="I889" s="4" t="str">
        <f>HYPERLINK("http://141.218.60.56/~jnz1568/getInfo.php?workbook=02_02.xlsx&amp;sheet=U0&amp;row=889&amp;col=9&amp;number=&amp;sourceID=1","")</f>
        <v/>
      </c>
    </row>
    <row r="890" spans="1:9">
      <c r="A890" s="3"/>
      <c r="B890" s="3"/>
      <c r="C890" s="3"/>
      <c r="D890" s="3"/>
      <c r="E890" s="3">
        <v>9</v>
      </c>
      <c r="F890" s="4" t="str">
        <f>HYPERLINK("http://141.218.60.56/~jnz1568/getInfo.php?workbook=02_02.xlsx&amp;sheet=U0&amp;row=890&amp;col=6&amp;number=5.75&amp;sourceID=28","5.75")</f>
        <v>5.75</v>
      </c>
      <c r="G890" s="4" t="str">
        <f>HYPERLINK("http://141.218.60.56/~jnz1568/getInfo.php?workbook=02_02.xlsx&amp;sheet=U0&amp;row=890&amp;col=7&amp;number=10.43&amp;sourceID=1","10.43")</f>
        <v>10.43</v>
      </c>
      <c r="H890" s="4" t="str">
        <f>HYPERLINK("http://141.218.60.56/~jnz1568/getInfo.php?workbook=02_02.xlsx&amp;sheet=U0&amp;row=890&amp;col=8&amp;number=&amp;sourceID=29","")</f>
        <v/>
      </c>
      <c r="I890" s="4" t="str">
        <f>HYPERLINK("http://141.218.60.56/~jnz1568/getInfo.php?workbook=02_02.xlsx&amp;sheet=U0&amp;row=890&amp;col=9&amp;number=&amp;sourceID=1","")</f>
        <v/>
      </c>
    </row>
    <row r="891" spans="1:9">
      <c r="A891" s="3">
        <v>2</v>
      </c>
      <c r="B891" s="3">
        <v>2</v>
      </c>
      <c r="C891" s="3">
        <v>17</v>
      </c>
      <c r="D891" s="3">
        <v>5</v>
      </c>
      <c r="E891" s="3">
        <v>1</v>
      </c>
      <c r="F891" s="4" t="str">
        <f>HYPERLINK("http://141.218.60.56/~jnz1568/getInfo.php?workbook=02_02.xlsx&amp;sheet=U0&amp;row=891&amp;col=6&amp;number=&amp;sourceID=28","")</f>
        <v/>
      </c>
      <c r="G891" s="4" t="str">
        <f>HYPERLINK("http://141.218.60.56/~jnz1568/getInfo.php?workbook=02_02.xlsx&amp;sheet=U0&amp;row=891&amp;col=7&amp;number=&amp;sourceID=1","")</f>
        <v/>
      </c>
      <c r="H891" s="4" t="str">
        <f>HYPERLINK("http://141.218.60.56/~jnz1568/getInfo.php?workbook=02_02.xlsx&amp;sheet=U0&amp;row=891&amp;col=8&amp;number=3.301&amp;sourceID=29","3.301")</f>
        <v>3.301</v>
      </c>
      <c r="I891" s="4" t="str">
        <f>HYPERLINK("http://141.218.60.56/~jnz1568/getInfo.php?workbook=02_02.xlsx&amp;sheet=U0&amp;row=891&amp;col=9&amp;number=0.1322&amp;sourceID=1","0.1322")</f>
        <v>0.1322</v>
      </c>
    </row>
    <row r="892" spans="1:9">
      <c r="A892" s="3"/>
      <c r="B892" s="3"/>
      <c r="C892" s="3"/>
      <c r="D892" s="3"/>
      <c r="E892" s="3">
        <v>2</v>
      </c>
      <c r="F892" s="4" t="str">
        <f>HYPERLINK("http://141.218.60.56/~jnz1568/getInfo.php?workbook=02_02.xlsx&amp;sheet=U0&amp;row=892&amp;col=6&amp;number=&amp;sourceID=28","")</f>
        <v/>
      </c>
      <c r="G892" s="4" t="str">
        <f>HYPERLINK("http://141.218.60.56/~jnz1568/getInfo.php?workbook=02_02.xlsx&amp;sheet=U0&amp;row=892&amp;col=7&amp;number=&amp;sourceID=1","")</f>
        <v/>
      </c>
      <c r="H892" s="4" t="str">
        <f>HYPERLINK("http://141.218.60.56/~jnz1568/getInfo.php?workbook=02_02.xlsx&amp;sheet=U0&amp;row=892&amp;col=8&amp;number=3.699&amp;sourceID=29","3.699")</f>
        <v>3.699</v>
      </c>
      <c r="I892" s="4" t="str">
        <f>HYPERLINK("http://141.218.60.56/~jnz1568/getInfo.php?workbook=02_02.xlsx&amp;sheet=U0&amp;row=892&amp;col=9&amp;number=0.1573&amp;sourceID=1","0.1573")</f>
        <v>0.1573</v>
      </c>
    </row>
    <row r="893" spans="1:9">
      <c r="A893" s="3"/>
      <c r="B893" s="3"/>
      <c r="C893" s="3"/>
      <c r="D893" s="3"/>
      <c r="E893" s="3">
        <v>3</v>
      </c>
      <c r="F893" s="4" t="str">
        <f>HYPERLINK("http://141.218.60.56/~jnz1568/getInfo.php?workbook=02_02.xlsx&amp;sheet=U0&amp;row=893&amp;col=6&amp;number=&amp;sourceID=28","")</f>
        <v/>
      </c>
      <c r="G893" s="4" t="str">
        <f>HYPERLINK("http://141.218.60.56/~jnz1568/getInfo.php?workbook=02_02.xlsx&amp;sheet=U0&amp;row=893&amp;col=7&amp;number=&amp;sourceID=1","")</f>
        <v/>
      </c>
      <c r="H893" s="4" t="str">
        <f>HYPERLINK("http://141.218.60.56/~jnz1568/getInfo.php?workbook=02_02.xlsx&amp;sheet=U0&amp;row=893&amp;col=8&amp;number=4&amp;sourceID=29","4")</f>
        <v>4</v>
      </c>
      <c r="I893" s="4" t="str">
        <f>HYPERLINK("http://141.218.60.56/~jnz1568/getInfo.php?workbook=02_02.xlsx&amp;sheet=U0&amp;row=893&amp;col=9&amp;number=0.1851&amp;sourceID=1","0.1851")</f>
        <v>0.1851</v>
      </c>
    </row>
    <row r="894" spans="1:9">
      <c r="A894" s="3"/>
      <c r="B894" s="3"/>
      <c r="C894" s="3"/>
      <c r="D894" s="3"/>
      <c r="E894" s="3">
        <v>4</v>
      </c>
      <c r="F894" s="4" t="str">
        <f>HYPERLINK("http://141.218.60.56/~jnz1568/getInfo.php?workbook=02_02.xlsx&amp;sheet=U0&amp;row=894&amp;col=6&amp;number=&amp;sourceID=28","")</f>
        <v/>
      </c>
      <c r="G894" s="4" t="str">
        <f>HYPERLINK("http://141.218.60.56/~jnz1568/getInfo.php?workbook=02_02.xlsx&amp;sheet=U0&amp;row=894&amp;col=7&amp;number=&amp;sourceID=1","")</f>
        <v/>
      </c>
      <c r="H894" s="4" t="str">
        <f>HYPERLINK("http://141.218.60.56/~jnz1568/getInfo.php?workbook=02_02.xlsx&amp;sheet=U0&amp;row=894&amp;col=8&amp;number=4.176&amp;sourceID=29","4.176")</f>
        <v>4.176</v>
      </c>
      <c r="I894" s="4" t="str">
        <f>HYPERLINK("http://141.218.60.56/~jnz1568/getInfo.php?workbook=02_02.xlsx&amp;sheet=U0&amp;row=894&amp;col=9&amp;number=0.2017&amp;sourceID=1","0.2017")</f>
        <v>0.2017</v>
      </c>
    </row>
    <row r="895" spans="1:9">
      <c r="A895" s="3"/>
      <c r="B895" s="3"/>
      <c r="C895" s="3"/>
      <c r="D895" s="3"/>
      <c r="E895" s="3">
        <v>5</v>
      </c>
      <c r="F895" s="4" t="str">
        <f>HYPERLINK("http://141.218.60.56/~jnz1568/getInfo.php?workbook=02_02.xlsx&amp;sheet=U0&amp;row=895&amp;col=6&amp;number=&amp;sourceID=28","")</f>
        <v/>
      </c>
      <c r="G895" s="4" t="str">
        <f>HYPERLINK("http://141.218.60.56/~jnz1568/getInfo.php?workbook=02_02.xlsx&amp;sheet=U0&amp;row=895&amp;col=7&amp;number=&amp;sourceID=1","")</f>
        <v/>
      </c>
      <c r="H895" s="4" t="str">
        <f>HYPERLINK("http://141.218.60.56/~jnz1568/getInfo.php?workbook=02_02.xlsx&amp;sheet=U0&amp;row=895&amp;col=8&amp;number=4.301&amp;sourceID=29","4.301")</f>
        <v>4.301</v>
      </c>
      <c r="I895" s="4" t="str">
        <f>HYPERLINK("http://141.218.60.56/~jnz1568/getInfo.php?workbook=02_02.xlsx&amp;sheet=U0&amp;row=895&amp;col=9&amp;number=0.2087&amp;sourceID=1","0.2087")</f>
        <v>0.2087</v>
      </c>
    </row>
    <row r="896" spans="1:9">
      <c r="A896" s="3"/>
      <c r="B896" s="3"/>
      <c r="C896" s="3"/>
      <c r="D896" s="3"/>
      <c r="E896" s="3">
        <v>6</v>
      </c>
      <c r="F896" s="4" t="str">
        <f>HYPERLINK("http://141.218.60.56/~jnz1568/getInfo.php?workbook=02_02.xlsx&amp;sheet=U0&amp;row=896&amp;col=6&amp;number=&amp;sourceID=28","")</f>
        <v/>
      </c>
      <c r="G896" s="4" t="str">
        <f>HYPERLINK("http://141.218.60.56/~jnz1568/getInfo.php?workbook=02_02.xlsx&amp;sheet=U0&amp;row=896&amp;col=7&amp;number=&amp;sourceID=1","")</f>
        <v/>
      </c>
      <c r="H896" s="4" t="str">
        <f>HYPERLINK("http://141.218.60.56/~jnz1568/getInfo.php?workbook=02_02.xlsx&amp;sheet=U0&amp;row=896&amp;col=8&amp;number=4.398&amp;sourceID=29","4.398")</f>
        <v>4.398</v>
      </c>
      <c r="I896" s="4" t="str">
        <f>HYPERLINK("http://141.218.60.56/~jnz1568/getInfo.php?workbook=02_02.xlsx&amp;sheet=U0&amp;row=896&amp;col=9&amp;number=0.2098&amp;sourceID=1","0.2098")</f>
        <v>0.2098</v>
      </c>
    </row>
    <row r="897" spans="1:9">
      <c r="A897" s="3"/>
      <c r="B897" s="3"/>
      <c r="C897" s="3"/>
      <c r="D897" s="3"/>
      <c r="E897" s="3">
        <v>7</v>
      </c>
      <c r="F897" s="4" t="str">
        <f>HYPERLINK("http://141.218.60.56/~jnz1568/getInfo.php?workbook=02_02.xlsx&amp;sheet=U0&amp;row=897&amp;col=6&amp;number=&amp;sourceID=28","")</f>
        <v/>
      </c>
      <c r="G897" s="4" t="str">
        <f>HYPERLINK("http://141.218.60.56/~jnz1568/getInfo.php?workbook=02_02.xlsx&amp;sheet=U0&amp;row=897&amp;col=7&amp;number=&amp;sourceID=1","")</f>
        <v/>
      </c>
      <c r="H897" s="4" t="str">
        <f>HYPERLINK("http://141.218.60.56/~jnz1568/getInfo.php?workbook=02_02.xlsx&amp;sheet=U0&amp;row=897&amp;col=8&amp;number=4.477&amp;sourceID=29","4.477")</f>
        <v>4.477</v>
      </c>
      <c r="I897" s="4" t="str">
        <f>HYPERLINK("http://141.218.60.56/~jnz1568/getInfo.php?workbook=02_02.xlsx&amp;sheet=U0&amp;row=897&amp;col=9&amp;number=0.2074&amp;sourceID=1","0.2074")</f>
        <v>0.2074</v>
      </c>
    </row>
    <row r="898" spans="1:9">
      <c r="A898" s="3">
        <v>2</v>
      </c>
      <c r="B898" s="3">
        <v>2</v>
      </c>
      <c r="C898" s="3">
        <v>17</v>
      </c>
      <c r="D898" s="3">
        <v>6</v>
      </c>
      <c r="E898" s="3">
        <v>1</v>
      </c>
      <c r="F898" s="4" t="str">
        <f>HYPERLINK("http://141.218.60.56/~jnz1568/getInfo.php?workbook=02_02.xlsx&amp;sheet=U0&amp;row=898&amp;col=6&amp;number=&amp;sourceID=28","")</f>
        <v/>
      </c>
      <c r="G898" s="4" t="str">
        <f>HYPERLINK("http://141.218.60.56/~jnz1568/getInfo.php?workbook=02_02.xlsx&amp;sheet=U0&amp;row=898&amp;col=7&amp;number=&amp;sourceID=1","")</f>
        <v/>
      </c>
      <c r="H898" s="4" t="str">
        <f>HYPERLINK("http://141.218.60.56/~jnz1568/getInfo.php?workbook=02_02.xlsx&amp;sheet=U0&amp;row=898&amp;col=8&amp;number=3.301&amp;sourceID=29","3.301")</f>
        <v>3.301</v>
      </c>
      <c r="I898" s="4" t="str">
        <f>HYPERLINK("http://141.218.60.56/~jnz1568/getInfo.php?workbook=02_02.xlsx&amp;sheet=U0&amp;row=898&amp;col=9&amp;number=4.944&amp;sourceID=1","4.944")</f>
        <v>4.944</v>
      </c>
    </row>
    <row r="899" spans="1:9">
      <c r="A899" s="3"/>
      <c r="B899" s="3"/>
      <c r="C899" s="3"/>
      <c r="D899" s="3"/>
      <c r="E899" s="3">
        <v>2</v>
      </c>
      <c r="F899" s="4" t="str">
        <f>HYPERLINK("http://141.218.60.56/~jnz1568/getInfo.php?workbook=02_02.xlsx&amp;sheet=U0&amp;row=899&amp;col=6&amp;number=&amp;sourceID=28","")</f>
        <v/>
      </c>
      <c r="G899" s="4" t="str">
        <f>HYPERLINK("http://141.218.60.56/~jnz1568/getInfo.php?workbook=02_02.xlsx&amp;sheet=U0&amp;row=899&amp;col=7&amp;number=&amp;sourceID=1","")</f>
        <v/>
      </c>
      <c r="H899" s="4" t="str">
        <f>HYPERLINK("http://141.218.60.56/~jnz1568/getInfo.php?workbook=02_02.xlsx&amp;sheet=U0&amp;row=899&amp;col=8&amp;number=3.699&amp;sourceID=29","3.699")</f>
        <v>3.699</v>
      </c>
      <c r="I899" s="4" t="str">
        <f>HYPERLINK("http://141.218.60.56/~jnz1568/getInfo.php?workbook=02_02.xlsx&amp;sheet=U0&amp;row=899&amp;col=9&amp;number=8.224&amp;sourceID=1","8.224")</f>
        <v>8.224</v>
      </c>
    </row>
    <row r="900" spans="1:9">
      <c r="A900" s="3"/>
      <c r="B900" s="3"/>
      <c r="C900" s="3"/>
      <c r="D900" s="3"/>
      <c r="E900" s="3">
        <v>3</v>
      </c>
      <c r="F900" s="4" t="str">
        <f>HYPERLINK("http://141.218.60.56/~jnz1568/getInfo.php?workbook=02_02.xlsx&amp;sheet=U0&amp;row=900&amp;col=6&amp;number=&amp;sourceID=28","")</f>
        <v/>
      </c>
      <c r="G900" s="4" t="str">
        <f>HYPERLINK("http://141.218.60.56/~jnz1568/getInfo.php?workbook=02_02.xlsx&amp;sheet=U0&amp;row=900&amp;col=7&amp;number=&amp;sourceID=1","")</f>
        <v/>
      </c>
      <c r="H900" s="4" t="str">
        <f>HYPERLINK("http://141.218.60.56/~jnz1568/getInfo.php?workbook=02_02.xlsx&amp;sheet=U0&amp;row=900&amp;col=8&amp;number=4&amp;sourceID=29","4")</f>
        <v>4</v>
      </c>
      <c r="I900" s="4" t="str">
        <f>HYPERLINK("http://141.218.60.56/~jnz1568/getInfo.php?workbook=02_02.xlsx&amp;sheet=U0&amp;row=900&amp;col=9&amp;number=12.5&amp;sourceID=1","12.5")</f>
        <v>12.5</v>
      </c>
    </row>
    <row r="901" spans="1:9">
      <c r="A901" s="3"/>
      <c r="B901" s="3"/>
      <c r="C901" s="3"/>
      <c r="D901" s="3"/>
      <c r="E901" s="3">
        <v>4</v>
      </c>
      <c r="F901" s="4" t="str">
        <f>HYPERLINK("http://141.218.60.56/~jnz1568/getInfo.php?workbook=02_02.xlsx&amp;sheet=U0&amp;row=901&amp;col=6&amp;number=&amp;sourceID=28","")</f>
        <v/>
      </c>
      <c r="G901" s="4" t="str">
        <f>HYPERLINK("http://141.218.60.56/~jnz1568/getInfo.php?workbook=02_02.xlsx&amp;sheet=U0&amp;row=901&amp;col=7&amp;number=&amp;sourceID=1","")</f>
        <v/>
      </c>
      <c r="H901" s="4" t="str">
        <f>HYPERLINK("http://141.218.60.56/~jnz1568/getInfo.php?workbook=02_02.xlsx&amp;sheet=U0&amp;row=901&amp;col=8&amp;number=4.176&amp;sourceID=29","4.176")</f>
        <v>4.176</v>
      </c>
      <c r="I901" s="4" t="str">
        <f>HYPERLINK("http://141.218.60.56/~jnz1568/getInfo.php?workbook=02_02.xlsx&amp;sheet=U0&amp;row=901&amp;col=9&amp;number=15.56&amp;sourceID=1","15.56")</f>
        <v>15.56</v>
      </c>
    </row>
    <row r="902" spans="1:9">
      <c r="A902" s="3"/>
      <c r="B902" s="3"/>
      <c r="C902" s="3"/>
      <c r="D902" s="3"/>
      <c r="E902" s="3">
        <v>5</v>
      </c>
      <c r="F902" s="4" t="str">
        <f>HYPERLINK("http://141.218.60.56/~jnz1568/getInfo.php?workbook=02_02.xlsx&amp;sheet=U0&amp;row=902&amp;col=6&amp;number=&amp;sourceID=28","")</f>
        <v/>
      </c>
      <c r="G902" s="4" t="str">
        <f>HYPERLINK("http://141.218.60.56/~jnz1568/getInfo.php?workbook=02_02.xlsx&amp;sheet=U0&amp;row=902&amp;col=7&amp;number=&amp;sourceID=1","")</f>
        <v/>
      </c>
      <c r="H902" s="4" t="str">
        <f>HYPERLINK("http://141.218.60.56/~jnz1568/getInfo.php?workbook=02_02.xlsx&amp;sheet=U0&amp;row=902&amp;col=8&amp;number=4.301&amp;sourceID=29","4.301")</f>
        <v>4.301</v>
      </c>
      <c r="I902" s="4" t="str">
        <f>HYPERLINK("http://141.218.60.56/~jnz1568/getInfo.php?workbook=02_02.xlsx&amp;sheet=U0&amp;row=902&amp;col=9&amp;number=17.56&amp;sourceID=1","17.56")</f>
        <v>17.56</v>
      </c>
    </row>
    <row r="903" spans="1:9">
      <c r="A903" s="3"/>
      <c r="B903" s="3"/>
      <c r="C903" s="3"/>
      <c r="D903" s="3"/>
      <c r="E903" s="3">
        <v>6</v>
      </c>
      <c r="F903" s="4" t="str">
        <f>HYPERLINK("http://141.218.60.56/~jnz1568/getInfo.php?workbook=02_02.xlsx&amp;sheet=U0&amp;row=903&amp;col=6&amp;number=&amp;sourceID=28","")</f>
        <v/>
      </c>
      <c r="G903" s="4" t="str">
        <f>HYPERLINK("http://141.218.60.56/~jnz1568/getInfo.php?workbook=02_02.xlsx&amp;sheet=U0&amp;row=903&amp;col=7&amp;number=&amp;sourceID=1","")</f>
        <v/>
      </c>
      <c r="H903" s="4" t="str">
        <f>HYPERLINK("http://141.218.60.56/~jnz1568/getInfo.php?workbook=02_02.xlsx&amp;sheet=U0&amp;row=903&amp;col=8&amp;number=4.398&amp;sourceID=29","4.398")</f>
        <v>4.398</v>
      </c>
      <c r="I903" s="4" t="str">
        <f>HYPERLINK("http://141.218.60.56/~jnz1568/getInfo.php?workbook=02_02.xlsx&amp;sheet=U0&amp;row=903&amp;col=9&amp;number=18.79&amp;sourceID=1","18.79")</f>
        <v>18.79</v>
      </c>
    </row>
    <row r="904" spans="1:9">
      <c r="A904" s="3"/>
      <c r="B904" s="3"/>
      <c r="C904" s="3"/>
      <c r="D904" s="3"/>
      <c r="E904" s="3">
        <v>7</v>
      </c>
      <c r="F904" s="4" t="str">
        <f>HYPERLINK("http://141.218.60.56/~jnz1568/getInfo.php?workbook=02_02.xlsx&amp;sheet=U0&amp;row=904&amp;col=6&amp;number=&amp;sourceID=28","")</f>
        <v/>
      </c>
      <c r="G904" s="4" t="str">
        <f>HYPERLINK("http://141.218.60.56/~jnz1568/getInfo.php?workbook=02_02.xlsx&amp;sheet=U0&amp;row=904&amp;col=7&amp;number=&amp;sourceID=1","")</f>
        <v/>
      </c>
      <c r="H904" s="4" t="str">
        <f>HYPERLINK("http://141.218.60.56/~jnz1568/getInfo.php?workbook=02_02.xlsx&amp;sheet=U0&amp;row=904&amp;col=8&amp;number=4.477&amp;sourceID=29","4.477")</f>
        <v>4.477</v>
      </c>
      <c r="I904" s="4" t="str">
        <f>HYPERLINK("http://141.218.60.56/~jnz1568/getInfo.php?workbook=02_02.xlsx&amp;sheet=U0&amp;row=904&amp;col=9&amp;number=19.48&amp;sourceID=1","19.48")</f>
        <v>19.48</v>
      </c>
    </row>
    <row r="905" spans="1:9">
      <c r="A905" s="3">
        <v>2</v>
      </c>
      <c r="B905" s="3">
        <v>2</v>
      </c>
      <c r="C905" s="3">
        <v>17</v>
      </c>
      <c r="D905" s="3">
        <v>7</v>
      </c>
      <c r="E905" s="3">
        <v>1</v>
      </c>
      <c r="F905" s="4" t="str">
        <f>HYPERLINK("http://141.218.60.56/~jnz1568/getInfo.php?workbook=02_02.xlsx&amp;sheet=U0&amp;row=905&amp;col=6&amp;number=&amp;sourceID=28","")</f>
        <v/>
      </c>
      <c r="G905" s="4" t="str">
        <f>HYPERLINK("http://141.218.60.56/~jnz1568/getInfo.php?workbook=02_02.xlsx&amp;sheet=U0&amp;row=905&amp;col=7&amp;number=&amp;sourceID=1","")</f>
        <v/>
      </c>
      <c r="H905" s="4" t="str">
        <f>HYPERLINK("http://141.218.60.56/~jnz1568/getInfo.php?workbook=02_02.xlsx&amp;sheet=U0&amp;row=905&amp;col=8&amp;number=3.301&amp;sourceID=29","3.301")</f>
        <v>3.301</v>
      </c>
      <c r="I905" s="4" t="str">
        <f>HYPERLINK("http://141.218.60.56/~jnz1568/getInfo.php?workbook=02_02.xlsx&amp;sheet=U0&amp;row=905&amp;col=9&amp;number=0.8547&amp;sourceID=1","0.8547")</f>
        <v>0.8547</v>
      </c>
    </row>
    <row r="906" spans="1:9">
      <c r="A906" s="3"/>
      <c r="B906" s="3"/>
      <c r="C906" s="3"/>
      <c r="D906" s="3"/>
      <c r="E906" s="3">
        <v>2</v>
      </c>
      <c r="F906" s="4" t="str">
        <f>HYPERLINK("http://141.218.60.56/~jnz1568/getInfo.php?workbook=02_02.xlsx&amp;sheet=U0&amp;row=906&amp;col=6&amp;number=&amp;sourceID=28","")</f>
        <v/>
      </c>
      <c r="G906" s="4" t="str">
        <f>HYPERLINK("http://141.218.60.56/~jnz1568/getInfo.php?workbook=02_02.xlsx&amp;sheet=U0&amp;row=906&amp;col=7&amp;number=&amp;sourceID=1","")</f>
        <v/>
      </c>
      <c r="H906" s="4" t="str">
        <f>HYPERLINK("http://141.218.60.56/~jnz1568/getInfo.php?workbook=02_02.xlsx&amp;sheet=U0&amp;row=906&amp;col=8&amp;number=3.699&amp;sourceID=29","3.699")</f>
        <v>3.699</v>
      </c>
      <c r="I906" s="4" t="str">
        <f>HYPERLINK("http://141.218.60.56/~jnz1568/getInfo.php?workbook=02_02.xlsx&amp;sheet=U0&amp;row=906&amp;col=9&amp;number=1.109&amp;sourceID=1","1.109")</f>
        <v>1.109</v>
      </c>
    </row>
    <row r="907" spans="1:9">
      <c r="A907" s="3"/>
      <c r="B907" s="3"/>
      <c r="C907" s="3"/>
      <c r="D907" s="3"/>
      <c r="E907" s="3">
        <v>3</v>
      </c>
      <c r="F907" s="4" t="str">
        <f>HYPERLINK("http://141.218.60.56/~jnz1568/getInfo.php?workbook=02_02.xlsx&amp;sheet=U0&amp;row=907&amp;col=6&amp;number=&amp;sourceID=28","")</f>
        <v/>
      </c>
      <c r="G907" s="4" t="str">
        <f>HYPERLINK("http://141.218.60.56/~jnz1568/getInfo.php?workbook=02_02.xlsx&amp;sheet=U0&amp;row=907&amp;col=7&amp;number=&amp;sourceID=1","")</f>
        <v/>
      </c>
      <c r="H907" s="4" t="str">
        <f>HYPERLINK("http://141.218.60.56/~jnz1568/getInfo.php?workbook=02_02.xlsx&amp;sheet=U0&amp;row=907&amp;col=8&amp;number=4&amp;sourceID=29","4")</f>
        <v>4</v>
      </c>
      <c r="I907" s="4" t="str">
        <f>HYPERLINK("http://141.218.60.56/~jnz1568/getInfo.php?workbook=02_02.xlsx&amp;sheet=U0&amp;row=907&amp;col=9&amp;number=1.267&amp;sourceID=1","1.267")</f>
        <v>1.267</v>
      </c>
    </row>
    <row r="908" spans="1:9">
      <c r="A908" s="3"/>
      <c r="B908" s="3"/>
      <c r="C908" s="3"/>
      <c r="D908" s="3"/>
      <c r="E908" s="3">
        <v>4</v>
      </c>
      <c r="F908" s="4" t="str">
        <f>HYPERLINK("http://141.218.60.56/~jnz1568/getInfo.php?workbook=02_02.xlsx&amp;sheet=U0&amp;row=908&amp;col=6&amp;number=&amp;sourceID=28","")</f>
        <v/>
      </c>
      <c r="G908" s="4" t="str">
        <f>HYPERLINK("http://141.218.60.56/~jnz1568/getInfo.php?workbook=02_02.xlsx&amp;sheet=U0&amp;row=908&amp;col=7&amp;number=&amp;sourceID=1","")</f>
        <v/>
      </c>
      <c r="H908" s="4" t="str">
        <f>HYPERLINK("http://141.218.60.56/~jnz1568/getInfo.php?workbook=02_02.xlsx&amp;sheet=U0&amp;row=908&amp;col=8&amp;number=4.176&amp;sourceID=29","4.176")</f>
        <v>4.176</v>
      </c>
      <c r="I908" s="4" t="str">
        <f>HYPERLINK("http://141.218.60.56/~jnz1568/getInfo.php?workbook=02_02.xlsx&amp;sheet=U0&amp;row=908&amp;col=9&amp;number=1.285&amp;sourceID=1","1.285")</f>
        <v>1.285</v>
      </c>
    </row>
    <row r="909" spans="1:9">
      <c r="A909" s="3"/>
      <c r="B909" s="3"/>
      <c r="C909" s="3"/>
      <c r="D909" s="3"/>
      <c r="E909" s="3">
        <v>5</v>
      </c>
      <c r="F909" s="4" t="str">
        <f>HYPERLINK("http://141.218.60.56/~jnz1568/getInfo.php?workbook=02_02.xlsx&amp;sheet=U0&amp;row=909&amp;col=6&amp;number=&amp;sourceID=28","")</f>
        <v/>
      </c>
      <c r="G909" s="4" t="str">
        <f>HYPERLINK("http://141.218.60.56/~jnz1568/getInfo.php?workbook=02_02.xlsx&amp;sheet=U0&amp;row=909&amp;col=7&amp;number=&amp;sourceID=1","")</f>
        <v/>
      </c>
      <c r="H909" s="4" t="str">
        <f>HYPERLINK("http://141.218.60.56/~jnz1568/getInfo.php?workbook=02_02.xlsx&amp;sheet=U0&amp;row=909&amp;col=8&amp;number=4.301&amp;sourceID=29","4.301")</f>
        <v>4.301</v>
      </c>
      <c r="I909" s="4" t="str">
        <f>HYPERLINK("http://141.218.60.56/~jnz1568/getInfo.php?workbook=02_02.xlsx&amp;sheet=U0&amp;row=909&amp;col=9&amp;number=1.245&amp;sourceID=1","1.245")</f>
        <v>1.245</v>
      </c>
    </row>
    <row r="910" spans="1:9">
      <c r="A910" s="3"/>
      <c r="B910" s="3"/>
      <c r="C910" s="3"/>
      <c r="D910" s="3"/>
      <c r="E910" s="3">
        <v>6</v>
      </c>
      <c r="F910" s="4" t="str">
        <f>HYPERLINK("http://141.218.60.56/~jnz1568/getInfo.php?workbook=02_02.xlsx&amp;sheet=U0&amp;row=910&amp;col=6&amp;number=&amp;sourceID=28","")</f>
        <v/>
      </c>
      <c r="G910" s="4" t="str">
        <f>HYPERLINK("http://141.218.60.56/~jnz1568/getInfo.php?workbook=02_02.xlsx&amp;sheet=U0&amp;row=910&amp;col=7&amp;number=&amp;sourceID=1","")</f>
        <v/>
      </c>
      <c r="H910" s="4" t="str">
        <f>HYPERLINK("http://141.218.60.56/~jnz1568/getInfo.php?workbook=02_02.xlsx&amp;sheet=U0&amp;row=910&amp;col=8&amp;number=4.398&amp;sourceID=29","4.398")</f>
        <v>4.398</v>
      </c>
      <c r="I910" s="4" t="str">
        <f>HYPERLINK("http://141.218.60.56/~jnz1568/getInfo.php?workbook=02_02.xlsx&amp;sheet=U0&amp;row=910&amp;col=9&amp;number=1.185&amp;sourceID=1","1.185")</f>
        <v>1.185</v>
      </c>
    </row>
    <row r="911" spans="1:9">
      <c r="A911" s="3"/>
      <c r="B911" s="3"/>
      <c r="C911" s="3"/>
      <c r="D911" s="3"/>
      <c r="E911" s="3">
        <v>7</v>
      </c>
      <c r="F911" s="4" t="str">
        <f>HYPERLINK("http://141.218.60.56/~jnz1568/getInfo.php?workbook=02_02.xlsx&amp;sheet=U0&amp;row=911&amp;col=6&amp;number=&amp;sourceID=28","")</f>
        <v/>
      </c>
      <c r="G911" s="4" t="str">
        <f>HYPERLINK("http://141.218.60.56/~jnz1568/getInfo.php?workbook=02_02.xlsx&amp;sheet=U0&amp;row=911&amp;col=7&amp;number=&amp;sourceID=1","")</f>
        <v/>
      </c>
      <c r="H911" s="4" t="str">
        <f>HYPERLINK("http://141.218.60.56/~jnz1568/getInfo.php?workbook=02_02.xlsx&amp;sheet=U0&amp;row=911&amp;col=8&amp;number=4.477&amp;sourceID=29","4.477")</f>
        <v>4.477</v>
      </c>
      <c r="I911" s="4" t="str">
        <f>HYPERLINK("http://141.218.60.56/~jnz1568/getInfo.php?workbook=02_02.xlsx&amp;sheet=U0&amp;row=911&amp;col=9&amp;number=1.121&amp;sourceID=1","1.121")</f>
        <v>1.121</v>
      </c>
    </row>
    <row r="912" spans="1:9">
      <c r="A912" s="3">
        <v>2</v>
      </c>
      <c r="B912" s="3">
        <v>2</v>
      </c>
      <c r="C912" s="3">
        <v>17</v>
      </c>
      <c r="D912" s="3">
        <v>8</v>
      </c>
      <c r="E912" s="3">
        <v>1</v>
      </c>
      <c r="F912" s="4" t="str">
        <f>HYPERLINK("http://141.218.60.56/~jnz1568/getInfo.php?workbook=02_02.xlsx&amp;sheet=U0&amp;row=912&amp;col=6&amp;number=&amp;sourceID=28","")</f>
        <v/>
      </c>
      <c r="G912" s="4" t="str">
        <f>HYPERLINK("http://141.218.60.56/~jnz1568/getInfo.php?workbook=02_02.xlsx&amp;sheet=U0&amp;row=912&amp;col=7&amp;number=&amp;sourceID=1","")</f>
        <v/>
      </c>
      <c r="H912" s="4" t="str">
        <f>HYPERLINK("http://141.218.60.56/~jnz1568/getInfo.php?workbook=02_02.xlsx&amp;sheet=U0&amp;row=912&amp;col=8&amp;number=3.301&amp;sourceID=29","3.301")</f>
        <v>3.301</v>
      </c>
      <c r="I912" s="4" t="str">
        <f>HYPERLINK("http://141.218.60.56/~jnz1568/getInfo.php?workbook=02_02.xlsx&amp;sheet=U0&amp;row=912&amp;col=9&amp;number=10.15&amp;sourceID=1","10.15")</f>
        <v>10.15</v>
      </c>
    </row>
    <row r="913" spans="1:9">
      <c r="A913" s="3"/>
      <c r="B913" s="3"/>
      <c r="C913" s="3"/>
      <c r="D913" s="3"/>
      <c r="E913" s="3">
        <v>2</v>
      </c>
      <c r="F913" s="4" t="str">
        <f>HYPERLINK("http://141.218.60.56/~jnz1568/getInfo.php?workbook=02_02.xlsx&amp;sheet=U0&amp;row=913&amp;col=6&amp;number=&amp;sourceID=28","")</f>
        <v/>
      </c>
      <c r="G913" s="4" t="str">
        <f>HYPERLINK("http://141.218.60.56/~jnz1568/getInfo.php?workbook=02_02.xlsx&amp;sheet=U0&amp;row=913&amp;col=7&amp;number=&amp;sourceID=1","")</f>
        <v/>
      </c>
      <c r="H913" s="4" t="str">
        <f>HYPERLINK("http://141.218.60.56/~jnz1568/getInfo.php?workbook=02_02.xlsx&amp;sheet=U0&amp;row=913&amp;col=8&amp;number=3.699&amp;sourceID=29","3.699")</f>
        <v>3.699</v>
      </c>
      <c r="I913" s="4" t="str">
        <f>HYPERLINK("http://141.218.60.56/~jnz1568/getInfo.php?workbook=02_02.xlsx&amp;sheet=U0&amp;row=913&amp;col=9&amp;number=16.43&amp;sourceID=1","16.43")</f>
        <v>16.43</v>
      </c>
    </row>
    <row r="914" spans="1:9">
      <c r="A914" s="3"/>
      <c r="B914" s="3"/>
      <c r="C914" s="3"/>
      <c r="D914" s="3"/>
      <c r="E914" s="3">
        <v>3</v>
      </c>
      <c r="F914" s="4" t="str">
        <f>HYPERLINK("http://141.218.60.56/~jnz1568/getInfo.php?workbook=02_02.xlsx&amp;sheet=U0&amp;row=914&amp;col=6&amp;number=&amp;sourceID=28","")</f>
        <v/>
      </c>
      <c r="G914" s="4" t="str">
        <f>HYPERLINK("http://141.218.60.56/~jnz1568/getInfo.php?workbook=02_02.xlsx&amp;sheet=U0&amp;row=914&amp;col=7&amp;number=&amp;sourceID=1","")</f>
        <v/>
      </c>
      <c r="H914" s="4" t="str">
        <f>HYPERLINK("http://141.218.60.56/~jnz1568/getInfo.php?workbook=02_02.xlsx&amp;sheet=U0&amp;row=914&amp;col=8&amp;number=4&amp;sourceID=29","4")</f>
        <v>4</v>
      </c>
      <c r="I914" s="4" t="str">
        <f>HYPERLINK("http://141.218.60.56/~jnz1568/getInfo.php?workbook=02_02.xlsx&amp;sheet=U0&amp;row=914&amp;col=9&amp;number=29.94&amp;sourceID=1","29.94")</f>
        <v>29.94</v>
      </c>
    </row>
    <row r="915" spans="1:9">
      <c r="A915" s="3"/>
      <c r="B915" s="3"/>
      <c r="C915" s="3"/>
      <c r="D915" s="3"/>
      <c r="E915" s="3">
        <v>4</v>
      </c>
      <c r="F915" s="4" t="str">
        <f>HYPERLINK("http://141.218.60.56/~jnz1568/getInfo.php?workbook=02_02.xlsx&amp;sheet=U0&amp;row=915&amp;col=6&amp;number=&amp;sourceID=28","")</f>
        <v/>
      </c>
      <c r="G915" s="4" t="str">
        <f>HYPERLINK("http://141.218.60.56/~jnz1568/getInfo.php?workbook=02_02.xlsx&amp;sheet=U0&amp;row=915&amp;col=7&amp;number=&amp;sourceID=1","")</f>
        <v/>
      </c>
      <c r="H915" s="4" t="str">
        <f>HYPERLINK("http://141.218.60.56/~jnz1568/getInfo.php?workbook=02_02.xlsx&amp;sheet=U0&amp;row=915&amp;col=8&amp;number=4.176&amp;sourceID=29","4.176")</f>
        <v>4.176</v>
      </c>
      <c r="I915" s="4" t="str">
        <f>HYPERLINK("http://141.218.60.56/~jnz1568/getInfo.php?workbook=02_02.xlsx&amp;sheet=U0&amp;row=915&amp;col=9&amp;number=0&amp;sourceID=1","0")</f>
        <v>0</v>
      </c>
    </row>
    <row r="916" spans="1:9">
      <c r="A916" s="3"/>
      <c r="B916" s="3"/>
      <c r="C916" s="3"/>
      <c r="D916" s="3"/>
      <c r="E916" s="3">
        <v>5</v>
      </c>
      <c r="F916" s="4" t="str">
        <f>HYPERLINK("http://141.218.60.56/~jnz1568/getInfo.php?workbook=02_02.xlsx&amp;sheet=U0&amp;row=916&amp;col=6&amp;number=&amp;sourceID=28","")</f>
        <v/>
      </c>
      <c r="G916" s="4" t="str">
        <f>HYPERLINK("http://141.218.60.56/~jnz1568/getInfo.php?workbook=02_02.xlsx&amp;sheet=U0&amp;row=916&amp;col=7&amp;number=&amp;sourceID=1","")</f>
        <v/>
      </c>
      <c r="H916" s="4" t="str">
        <f>HYPERLINK("http://141.218.60.56/~jnz1568/getInfo.php?workbook=02_02.xlsx&amp;sheet=U0&amp;row=916&amp;col=8&amp;number=4.301&amp;sourceID=29","4.301")</f>
        <v>4.301</v>
      </c>
      <c r="I916" s="4" t="str">
        <f>HYPERLINK("http://141.218.60.56/~jnz1568/getInfo.php?workbook=02_02.xlsx&amp;sheet=U0&amp;row=916&amp;col=9&amp;number=0&amp;sourceID=1","0")</f>
        <v>0</v>
      </c>
    </row>
    <row r="917" spans="1:9">
      <c r="A917" s="3"/>
      <c r="B917" s="3"/>
      <c r="C917" s="3"/>
      <c r="D917" s="3"/>
      <c r="E917" s="3">
        <v>6</v>
      </c>
      <c r="F917" s="4" t="str">
        <f>HYPERLINK("http://141.218.60.56/~jnz1568/getInfo.php?workbook=02_02.xlsx&amp;sheet=U0&amp;row=917&amp;col=6&amp;number=&amp;sourceID=28","")</f>
        <v/>
      </c>
      <c r="G917" s="4" t="str">
        <f>HYPERLINK("http://141.218.60.56/~jnz1568/getInfo.php?workbook=02_02.xlsx&amp;sheet=U0&amp;row=917&amp;col=7&amp;number=&amp;sourceID=1","")</f>
        <v/>
      </c>
      <c r="H917" s="4" t="str">
        <f>HYPERLINK("http://141.218.60.56/~jnz1568/getInfo.php?workbook=02_02.xlsx&amp;sheet=U0&amp;row=917&amp;col=8&amp;number=4.398&amp;sourceID=29","4.398")</f>
        <v>4.398</v>
      </c>
      <c r="I917" s="4" t="str">
        <f>HYPERLINK("http://141.218.60.56/~jnz1568/getInfo.php?workbook=02_02.xlsx&amp;sheet=U0&amp;row=917&amp;col=9&amp;number=0&amp;sourceID=1","0")</f>
        <v>0</v>
      </c>
    </row>
    <row r="918" spans="1:9">
      <c r="A918" s="3"/>
      <c r="B918" s="3"/>
      <c r="C918" s="3"/>
      <c r="D918" s="3"/>
      <c r="E918" s="3">
        <v>7</v>
      </c>
      <c r="F918" s="4" t="str">
        <f>HYPERLINK("http://141.218.60.56/~jnz1568/getInfo.php?workbook=02_02.xlsx&amp;sheet=U0&amp;row=918&amp;col=6&amp;number=&amp;sourceID=28","")</f>
        <v/>
      </c>
      <c r="G918" s="4" t="str">
        <f>HYPERLINK("http://141.218.60.56/~jnz1568/getInfo.php?workbook=02_02.xlsx&amp;sheet=U0&amp;row=918&amp;col=7&amp;number=&amp;sourceID=1","")</f>
        <v/>
      </c>
      <c r="H918" s="4" t="str">
        <f>HYPERLINK("http://141.218.60.56/~jnz1568/getInfo.php?workbook=02_02.xlsx&amp;sheet=U0&amp;row=918&amp;col=8&amp;number=4.477&amp;sourceID=29","4.477")</f>
        <v>4.477</v>
      </c>
      <c r="I918" s="4" t="str">
        <f>HYPERLINK("http://141.218.60.56/~jnz1568/getInfo.php?workbook=02_02.xlsx&amp;sheet=U0&amp;row=918&amp;col=9&amp;number=0&amp;sourceID=1","0")</f>
        <v>0</v>
      </c>
    </row>
    <row r="919" spans="1:9">
      <c r="A919" s="3">
        <v>2</v>
      </c>
      <c r="B919" s="3">
        <v>2</v>
      </c>
      <c r="C919" s="3">
        <v>17</v>
      </c>
      <c r="D919" s="3">
        <v>9</v>
      </c>
      <c r="E919" s="3">
        <v>1</v>
      </c>
      <c r="F919" s="4" t="str">
        <f>HYPERLINK("http://141.218.60.56/~jnz1568/getInfo.php?workbook=02_02.xlsx&amp;sheet=U0&amp;row=919&amp;col=6&amp;number=&amp;sourceID=28","")</f>
        <v/>
      </c>
      <c r="G919" s="4" t="str">
        <f>HYPERLINK("http://141.218.60.56/~jnz1568/getInfo.php?workbook=02_02.xlsx&amp;sheet=U0&amp;row=919&amp;col=7&amp;number=&amp;sourceID=1","")</f>
        <v/>
      </c>
      <c r="H919" s="4" t="str">
        <f>HYPERLINK("http://141.218.60.56/~jnz1568/getInfo.php?workbook=02_02.xlsx&amp;sheet=U0&amp;row=919&amp;col=8&amp;number=3.301&amp;sourceID=29","3.301")</f>
        <v>3.301</v>
      </c>
      <c r="I919" s="4" t="str">
        <f>HYPERLINK("http://141.218.60.56/~jnz1568/getInfo.php?workbook=02_02.xlsx&amp;sheet=U0&amp;row=919&amp;col=9&amp;number=30&amp;sourceID=1","30")</f>
        <v>30</v>
      </c>
    </row>
    <row r="920" spans="1:9">
      <c r="A920" s="3"/>
      <c r="B920" s="3"/>
      <c r="C920" s="3"/>
      <c r="D920" s="3"/>
      <c r="E920" s="3">
        <v>2</v>
      </c>
      <c r="F920" s="4" t="str">
        <f>HYPERLINK("http://141.218.60.56/~jnz1568/getInfo.php?workbook=02_02.xlsx&amp;sheet=U0&amp;row=920&amp;col=6&amp;number=&amp;sourceID=28","")</f>
        <v/>
      </c>
      <c r="G920" s="4" t="str">
        <f>HYPERLINK("http://141.218.60.56/~jnz1568/getInfo.php?workbook=02_02.xlsx&amp;sheet=U0&amp;row=920&amp;col=7&amp;number=&amp;sourceID=1","")</f>
        <v/>
      </c>
      <c r="H920" s="4" t="str">
        <f>HYPERLINK("http://141.218.60.56/~jnz1568/getInfo.php?workbook=02_02.xlsx&amp;sheet=U0&amp;row=920&amp;col=8&amp;number=3.699&amp;sourceID=29","3.699")</f>
        <v>3.699</v>
      </c>
      <c r="I920" s="4" t="str">
        <f>HYPERLINK("http://141.218.60.56/~jnz1568/getInfo.php?workbook=02_02.xlsx&amp;sheet=U0&amp;row=920&amp;col=9&amp;number=40.98&amp;sourceID=1","40.98")</f>
        <v>40.98</v>
      </c>
    </row>
    <row r="921" spans="1:9">
      <c r="A921" s="3"/>
      <c r="B921" s="3"/>
      <c r="C921" s="3"/>
      <c r="D921" s="3"/>
      <c r="E921" s="3">
        <v>3</v>
      </c>
      <c r="F921" s="4" t="str">
        <f>HYPERLINK("http://141.218.60.56/~jnz1568/getInfo.php?workbook=02_02.xlsx&amp;sheet=U0&amp;row=921&amp;col=6&amp;number=&amp;sourceID=28","")</f>
        <v/>
      </c>
      <c r="G921" s="4" t="str">
        <f>HYPERLINK("http://141.218.60.56/~jnz1568/getInfo.php?workbook=02_02.xlsx&amp;sheet=U0&amp;row=921&amp;col=7&amp;number=&amp;sourceID=1","")</f>
        <v/>
      </c>
      <c r="H921" s="4" t="str">
        <f>HYPERLINK("http://141.218.60.56/~jnz1568/getInfo.php?workbook=02_02.xlsx&amp;sheet=U0&amp;row=921&amp;col=8&amp;number=4&amp;sourceID=29","4")</f>
        <v>4</v>
      </c>
      <c r="I921" s="4" t="str">
        <f>HYPERLINK("http://141.218.60.56/~jnz1568/getInfo.php?workbook=02_02.xlsx&amp;sheet=U0&amp;row=921&amp;col=9&amp;number=63.7&amp;sourceID=1","63.7")</f>
        <v>63.7</v>
      </c>
    </row>
    <row r="922" spans="1:9">
      <c r="A922" s="3"/>
      <c r="B922" s="3"/>
      <c r="C922" s="3"/>
      <c r="D922" s="3"/>
      <c r="E922" s="3">
        <v>4</v>
      </c>
      <c r="F922" s="4" t="str">
        <f>HYPERLINK("http://141.218.60.56/~jnz1568/getInfo.php?workbook=02_02.xlsx&amp;sheet=U0&amp;row=922&amp;col=6&amp;number=&amp;sourceID=28","")</f>
        <v/>
      </c>
      <c r="G922" s="4" t="str">
        <f>HYPERLINK("http://141.218.60.56/~jnz1568/getInfo.php?workbook=02_02.xlsx&amp;sheet=U0&amp;row=922&amp;col=7&amp;number=&amp;sourceID=1","")</f>
        <v/>
      </c>
      <c r="H922" s="4" t="str">
        <f>HYPERLINK("http://141.218.60.56/~jnz1568/getInfo.php?workbook=02_02.xlsx&amp;sheet=U0&amp;row=922&amp;col=8&amp;number=4.176&amp;sourceID=29","4.176")</f>
        <v>4.176</v>
      </c>
      <c r="I922" s="4" t="str">
        <f>HYPERLINK("http://141.218.60.56/~jnz1568/getInfo.php?workbook=02_02.xlsx&amp;sheet=U0&amp;row=922&amp;col=9&amp;number=92.33&amp;sourceID=1","92.33")</f>
        <v>92.33</v>
      </c>
    </row>
    <row r="923" spans="1:9">
      <c r="A923" s="3"/>
      <c r="B923" s="3"/>
      <c r="C923" s="3"/>
      <c r="D923" s="3"/>
      <c r="E923" s="3">
        <v>5</v>
      </c>
      <c r="F923" s="4" t="str">
        <f>HYPERLINK("http://141.218.60.56/~jnz1568/getInfo.php?workbook=02_02.xlsx&amp;sheet=U0&amp;row=923&amp;col=6&amp;number=&amp;sourceID=28","")</f>
        <v/>
      </c>
      <c r="G923" s="4" t="str">
        <f>HYPERLINK("http://141.218.60.56/~jnz1568/getInfo.php?workbook=02_02.xlsx&amp;sheet=U0&amp;row=923&amp;col=7&amp;number=&amp;sourceID=1","")</f>
        <v/>
      </c>
      <c r="H923" s="4" t="str">
        <f>HYPERLINK("http://141.218.60.56/~jnz1568/getInfo.php?workbook=02_02.xlsx&amp;sheet=U0&amp;row=923&amp;col=8&amp;number=4.301&amp;sourceID=29","4.301")</f>
        <v>4.301</v>
      </c>
      <c r="I923" s="4" t="str">
        <f>HYPERLINK("http://141.218.60.56/~jnz1568/getInfo.php?workbook=02_02.xlsx&amp;sheet=U0&amp;row=923&amp;col=9&amp;number=0&amp;sourceID=1","0")</f>
        <v>0</v>
      </c>
    </row>
    <row r="924" spans="1:9">
      <c r="A924" s="3"/>
      <c r="B924" s="3"/>
      <c r="C924" s="3"/>
      <c r="D924" s="3"/>
      <c r="E924" s="3">
        <v>6</v>
      </c>
      <c r="F924" s="4" t="str">
        <f>HYPERLINK("http://141.218.60.56/~jnz1568/getInfo.php?workbook=02_02.xlsx&amp;sheet=U0&amp;row=924&amp;col=6&amp;number=&amp;sourceID=28","")</f>
        <v/>
      </c>
      <c r="G924" s="4" t="str">
        <f>HYPERLINK("http://141.218.60.56/~jnz1568/getInfo.php?workbook=02_02.xlsx&amp;sheet=U0&amp;row=924&amp;col=7&amp;number=&amp;sourceID=1","")</f>
        <v/>
      </c>
      <c r="H924" s="4" t="str">
        <f>HYPERLINK("http://141.218.60.56/~jnz1568/getInfo.php?workbook=02_02.xlsx&amp;sheet=U0&amp;row=924&amp;col=8&amp;number=4.398&amp;sourceID=29","4.398")</f>
        <v>4.398</v>
      </c>
      <c r="I924" s="4" t="str">
        <f>HYPERLINK("http://141.218.60.56/~jnz1568/getInfo.php?workbook=02_02.xlsx&amp;sheet=U0&amp;row=924&amp;col=9&amp;number=0&amp;sourceID=1","0")</f>
        <v>0</v>
      </c>
    </row>
    <row r="925" spans="1:9">
      <c r="A925" s="3"/>
      <c r="B925" s="3"/>
      <c r="C925" s="3"/>
      <c r="D925" s="3"/>
      <c r="E925" s="3">
        <v>7</v>
      </c>
      <c r="F925" s="4" t="str">
        <f>HYPERLINK("http://141.218.60.56/~jnz1568/getInfo.php?workbook=02_02.xlsx&amp;sheet=U0&amp;row=925&amp;col=6&amp;number=&amp;sourceID=28","")</f>
        <v/>
      </c>
      <c r="G925" s="4" t="str">
        <f>HYPERLINK("http://141.218.60.56/~jnz1568/getInfo.php?workbook=02_02.xlsx&amp;sheet=U0&amp;row=925&amp;col=7&amp;number=&amp;sourceID=1","")</f>
        <v/>
      </c>
      <c r="H925" s="4" t="str">
        <f>HYPERLINK("http://141.218.60.56/~jnz1568/getInfo.php?workbook=02_02.xlsx&amp;sheet=U0&amp;row=925&amp;col=8&amp;number=4.477&amp;sourceID=29","4.477")</f>
        <v>4.477</v>
      </c>
      <c r="I925" s="4" t="str">
        <f>HYPERLINK("http://141.218.60.56/~jnz1568/getInfo.php?workbook=02_02.xlsx&amp;sheet=U0&amp;row=925&amp;col=9&amp;number=0&amp;sourceID=1","0")</f>
        <v>0</v>
      </c>
    </row>
    <row r="926" spans="1:9">
      <c r="A926" s="3">
        <v>2</v>
      </c>
      <c r="B926" s="3">
        <v>2</v>
      </c>
      <c r="C926" s="3">
        <v>17</v>
      </c>
      <c r="D926" s="3">
        <v>10</v>
      </c>
      <c r="E926" s="3">
        <v>1</v>
      </c>
      <c r="F926" s="4" t="str">
        <f>HYPERLINK("http://141.218.60.56/~jnz1568/getInfo.php?workbook=02_02.xlsx&amp;sheet=U0&amp;row=926&amp;col=6&amp;number=&amp;sourceID=28","")</f>
        <v/>
      </c>
      <c r="G926" s="4" t="str">
        <f>HYPERLINK("http://141.218.60.56/~jnz1568/getInfo.php?workbook=02_02.xlsx&amp;sheet=U0&amp;row=926&amp;col=7&amp;number=&amp;sourceID=1","")</f>
        <v/>
      </c>
      <c r="H926" s="4" t="str">
        <f>HYPERLINK("http://141.218.60.56/~jnz1568/getInfo.php?workbook=02_02.xlsx&amp;sheet=U0&amp;row=926&amp;col=8&amp;number=3.301&amp;sourceID=29","3.301")</f>
        <v>3.301</v>
      </c>
      <c r="I926" s="4" t="str">
        <f>HYPERLINK("http://141.218.60.56/~jnz1568/getInfo.php?workbook=02_02.xlsx&amp;sheet=U0&amp;row=926&amp;col=9&amp;number=2.518&amp;sourceID=1","2.518")</f>
        <v>2.518</v>
      </c>
    </row>
    <row r="927" spans="1:9">
      <c r="A927" s="3"/>
      <c r="B927" s="3"/>
      <c r="C927" s="3"/>
      <c r="D927" s="3"/>
      <c r="E927" s="3">
        <v>2</v>
      </c>
      <c r="F927" s="4" t="str">
        <f>HYPERLINK("http://141.218.60.56/~jnz1568/getInfo.php?workbook=02_02.xlsx&amp;sheet=U0&amp;row=927&amp;col=6&amp;number=&amp;sourceID=28","")</f>
        <v/>
      </c>
      <c r="G927" s="4" t="str">
        <f>HYPERLINK("http://141.218.60.56/~jnz1568/getInfo.php?workbook=02_02.xlsx&amp;sheet=U0&amp;row=927&amp;col=7&amp;number=&amp;sourceID=1","")</f>
        <v/>
      </c>
      <c r="H927" s="4" t="str">
        <f>HYPERLINK("http://141.218.60.56/~jnz1568/getInfo.php?workbook=02_02.xlsx&amp;sheet=U0&amp;row=927&amp;col=8&amp;number=3.699&amp;sourceID=29","3.699")</f>
        <v>3.699</v>
      </c>
      <c r="I927" s="4" t="str">
        <f>HYPERLINK("http://141.218.60.56/~jnz1568/getInfo.php?workbook=02_02.xlsx&amp;sheet=U0&amp;row=927&amp;col=9&amp;number=3.122&amp;sourceID=1","3.122")</f>
        <v>3.122</v>
      </c>
    </row>
    <row r="928" spans="1:9">
      <c r="A928" s="3"/>
      <c r="B928" s="3"/>
      <c r="C928" s="3"/>
      <c r="D928" s="3"/>
      <c r="E928" s="3">
        <v>3</v>
      </c>
      <c r="F928" s="4" t="str">
        <f>HYPERLINK("http://141.218.60.56/~jnz1568/getInfo.php?workbook=02_02.xlsx&amp;sheet=U0&amp;row=928&amp;col=6&amp;number=&amp;sourceID=28","")</f>
        <v/>
      </c>
      <c r="G928" s="4" t="str">
        <f>HYPERLINK("http://141.218.60.56/~jnz1568/getInfo.php?workbook=02_02.xlsx&amp;sheet=U0&amp;row=928&amp;col=7&amp;number=&amp;sourceID=1","")</f>
        <v/>
      </c>
      <c r="H928" s="4" t="str">
        <f>HYPERLINK("http://141.218.60.56/~jnz1568/getInfo.php?workbook=02_02.xlsx&amp;sheet=U0&amp;row=928&amp;col=8&amp;number=4&amp;sourceID=29","4")</f>
        <v>4</v>
      </c>
      <c r="I928" s="4" t="str">
        <f>HYPERLINK("http://141.218.60.56/~jnz1568/getInfo.php?workbook=02_02.xlsx&amp;sheet=U0&amp;row=928&amp;col=9&amp;number=3.477&amp;sourceID=1","3.477")</f>
        <v>3.477</v>
      </c>
    </row>
    <row r="929" spans="1:9">
      <c r="A929" s="3"/>
      <c r="B929" s="3"/>
      <c r="C929" s="3"/>
      <c r="D929" s="3"/>
      <c r="E929" s="3">
        <v>4</v>
      </c>
      <c r="F929" s="4" t="str">
        <f>HYPERLINK("http://141.218.60.56/~jnz1568/getInfo.php?workbook=02_02.xlsx&amp;sheet=U0&amp;row=929&amp;col=6&amp;number=&amp;sourceID=28","")</f>
        <v/>
      </c>
      <c r="G929" s="4" t="str">
        <f>HYPERLINK("http://141.218.60.56/~jnz1568/getInfo.php?workbook=02_02.xlsx&amp;sheet=U0&amp;row=929&amp;col=7&amp;number=&amp;sourceID=1","")</f>
        <v/>
      </c>
      <c r="H929" s="4" t="str">
        <f>HYPERLINK("http://141.218.60.56/~jnz1568/getInfo.php?workbook=02_02.xlsx&amp;sheet=U0&amp;row=929&amp;col=8&amp;number=4.176&amp;sourceID=29","4.176")</f>
        <v>4.176</v>
      </c>
      <c r="I929" s="4" t="str">
        <f>HYPERLINK("http://141.218.60.56/~jnz1568/getInfo.php?workbook=02_02.xlsx&amp;sheet=U0&amp;row=929&amp;col=9&amp;number=3.543&amp;sourceID=1","3.543")</f>
        <v>3.543</v>
      </c>
    </row>
    <row r="930" spans="1:9">
      <c r="A930" s="3"/>
      <c r="B930" s="3"/>
      <c r="C930" s="3"/>
      <c r="D930" s="3"/>
      <c r="E930" s="3">
        <v>5</v>
      </c>
      <c r="F930" s="4" t="str">
        <f>HYPERLINK("http://141.218.60.56/~jnz1568/getInfo.php?workbook=02_02.xlsx&amp;sheet=U0&amp;row=930&amp;col=6&amp;number=&amp;sourceID=28","")</f>
        <v/>
      </c>
      <c r="G930" s="4" t="str">
        <f>HYPERLINK("http://141.218.60.56/~jnz1568/getInfo.php?workbook=02_02.xlsx&amp;sheet=U0&amp;row=930&amp;col=7&amp;number=&amp;sourceID=1","")</f>
        <v/>
      </c>
      <c r="H930" s="4" t="str">
        <f>HYPERLINK("http://141.218.60.56/~jnz1568/getInfo.php?workbook=02_02.xlsx&amp;sheet=U0&amp;row=930&amp;col=8&amp;number=4.301&amp;sourceID=29","4.301")</f>
        <v>4.301</v>
      </c>
      <c r="I930" s="4" t="str">
        <f>HYPERLINK("http://141.218.60.56/~jnz1568/getInfo.php?workbook=02_02.xlsx&amp;sheet=U0&amp;row=930&amp;col=9&amp;number=3.477&amp;sourceID=1","3.477")</f>
        <v>3.477</v>
      </c>
    </row>
    <row r="931" spans="1:9">
      <c r="A931" s="3"/>
      <c r="B931" s="3"/>
      <c r="C931" s="3"/>
      <c r="D931" s="3"/>
      <c r="E931" s="3">
        <v>6</v>
      </c>
      <c r="F931" s="4" t="str">
        <f>HYPERLINK("http://141.218.60.56/~jnz1568/getInfo.php?workbook=02_02.xlsx&amp;sheet=U0&amp;row=931&amp;col=6&amp;number=&amp;sourceID=28","")</f>
        <v/>
      </c>
      <c r="G931" s="4" t="str">
        <f>HYPERLINK("http://141.218.60.56/~jnz1568/getInfo.php?workbook=02_02.xlsx&amp;sheet=U0&amp;row=931&amp;col=7&amp;number=&amp;sourceID=1","")</f>
        <v/>
      </c>
      <c r="H931" s="4" t="str">
        <f>HYPERLINK("http://141.218.60.56/~jnz1568/getInfo.php?workbook=02_02.xlsx&amp;sheet=U0&amp;row=931&amp;col=8&amp;number=4.398&amp;sourceID=29","4.398")</f>
        <v>4.398</v>
      </c>
      <c r="I931" s="4" t="str">
        <f>HYPERLINK("http://141.218.60.56/~jnz1568/getInfo.php?workbook=02_02.xlsx&amp;sheet=U0&amp;row=931&amp;col=9&amp;number=3.357&amp;sourceID=1","3.357")</f>
        <v>3.357</v>
      </c>
    </row>
    <row r="932" spans="1:9">
      <c r="A932" s="3"/>
      <c r="B932" s="3"/>
      <c r="C932" s="3"/>
      <c r="D932" s="3"/>
      <c r="E932" s="3">
        <v>7</v>
      </c>
      <c r="F932" s="4" t="str">
        <f>HYPERLINK("http://141.218.60.56/~jnz1568/getInfo.php?workbook=02_02.xlsx&amp;sheet=U0&amp;row=932&amp;col=6&amp;number=&amp;sourceID=28","")</f>
        <v/>
      </c>
      <c r="G932" s="4" t="str">
        <f>HYPERLINK("http://141.218.60.56/~jnz1568/getInfo.php?workbook=02_02.xlsx&amp;sheet=U0&amp;row=932&amp;col=7&amp;number=&amp;sourceID=1","")</f>
        <v/>
      </c>
      <c r="H932" s="4" t="str">
        <f>HYPERLINK("http://141.218.60.56/~jnz1568/getInfo.php?workbook=02_02.xlsx&amp;sheet=U0&amp;row=932&amp;col=8&amp;number=4.477&amp;sourceID=29","4.477")</f>
        <v>4.477</v>
      </c>
      <c r="I932" s="4" t="str">
        <f>HYPERLINK("http://141.218.60.56/~jnz1568/getInfo.php?workbook=02_02.xlsx&amp;sheet=U0&amp;row=932&amp;col=9&amp;number=3.216&amp;sourceID=1","3.216")</f>
        <v>3.216</v>
      </c>
    </row>
    <row r="933" spans="1:9">
      <c r="A933" s="3">
        <v>2</v>
      </c>
      <c r="B933" s="3">
        <v>2</v>
      </c>
      <c r="C933" s="3">
        <v>17</v>
      </c>
      <c r="D933" s="3">
        <v>11</v>
      </c>
      <c r="E933" s="3">
        <v>1</v>
      </c>
      <c r="F933" s="4" t="str">
        <f>HYPERLINK("http://141.218.60.56/~jnz1568/getInfo.php?workbook=02_02.xlsx&amp;sheet=U0&amp;row=933&amp;col=6&amp;number=&amp;sourceID=28","")</f>
        <v/>
      </c>
      <c r="G933" s="4" t="str">
        <f>HYPERLINK("http://141.218.60.56/~jnz1568/getInfo.php?workbook=02_02.xlsx&amp;sheet=U0&amp;row=933&amp;col=7&amp;number=&amp;sourceID=1","")</f>
        <v/>
      </c>
      <c r="H933" s="4" t="str">
        <f>HYPERLINK("http://141.218.60.56/~jnz1568/getInfo.php?workbook=02_02.xlsx&amp;sheet=U0&amp;row=933&amp;col=8&amp;number=3.301&amp;sourceID=29","3.301")</f>
        <v>3.301</v>
      </c>
      <c r="I933" s="4" t="str">
        <f>HYPERLINK("http://141.218.60.56/~jnz1568/getInfo.php?workbook=02_02.xlsx&amp;sheet=U0&amp;row=933&amp;col=9&amp;number=1.097&amp;sourceID=1","1.097")</f>
        <v>1.097</v>
      </c>
    </row>
    <row r="934" spans="1:9">
      <c r="A934" s="3"/>
      <c r="B934" s="3"/>
      <c r="C934" s="3"/>
      <c r="D934" s="3"/>
      <c r="E934" s="3">
        <v>2</v>
      </c>
      <c r="F934" s="4" t="str">
        <f>HYPERLINK("http://141.218.60.56/~jnz1568/getInfo.php?workbook=02_02.xlsx&amp;sheet=U0&amp;row=934&amp;col=6&amp;number=&amp;sourceID=28","")</f>
        <v/>
      </c>
      <c r="G934" s="4" t="str">
        <f>HYPERLINK("http://141.218.60.56/~jnz1568/getInfo.php?workbook=02_02.xlsx&amp;sheet=U0&amp;row=934&amp;col=7&amp;number=&amp;sourceID=1","")</f>
        <v/>
      </c>
      <c r="H934" s="4" t="str">
        <f>HYPERLINK("http://141.218.60.56/~jnz1568/getInfo.php?workbook=02_02.xlsx&amp;sheet=U0&amp;row=934&amp;col=8&amp;number=3.699&amp;sourceID=29","3.699")</f>
        <v>3.699</v>
      </c>
      <c r="I934" s="4" t="str">
        <f>HYPERLINK("http://141.218.60.56/~jnz1568/getInfo.php?workbook=02_02.xlsx&amp;sheet=U0&amp;row=934&amp;col=9&amp;number=1.48&amp;sourceID=1","1.48")</f>
        <v>1.48</v>
      </c>
    </row>
    <row r="935" spans="1:9">
      <c r="A935" s="3"/>
      <c r="B935" s="3"/>
      <c r="C935" s="3"/>
      <c r="D935" s="3"/>
      <c r="E935" s="3">
        <v>3</v>
      </c>
      <c r="F935" s="4" t="str">
        <f>HYPERLINK("http://141.218.60.56/~jnz1568/getInfo.php?workbook=02_02.xlsx&amp;sheet=U0&amp;row=935&amp;col=6&amp;number=&amp;sourceID=28","")</f>
        <v/>
      </c>
      <c r="G935" s="4" t="str">
        <f>HYPERLINK("http://141.218.60.56/~jnz1568/getInfo.php?workbook=02_02.xlsx&amp;sheet=U0&amp;row=935&amp;col=7&amp;number=&amp;sourceID=1","")</f>
        <v/>
      </c>
      <c r="H935" s="4" t="str">
        <f>HYPERLINK("http://141.218.60.56/~jnz1568/getInfo.php?workbook=02_02.xlsx&amp;sheet=U0&amp;row=935&amp;col=8&amp;number=4&amp;sourceID=29","4")</f>
        <v>4</v>
      </c>
      <c r="I935" s="4" t="str">
        <f>HYPERLINK("http://141.218.60.56/~jnz1568/getInfo.php?workbook=02_02.xlsx&amp;sheet=U0&amp;row=935&amp;col=9&amp;number=1.773&amp;sourceID=1","1.773")</f>
        <v>1.773</v>
      </c>
    </row>
    <row r="936" spans="1:9">
      <c r="A936" s="3"/>
      <c r="B936" s="3"/>
      <c r="C936" s="3"/>
      <c r="D936" s="3"/>
      <c r="E936" s="3">
        <v>4</v>
      </c>
      <c r="F936" s="4" t="str">
        <f>HYPERLINK("http://141.218.60.56/~jnz1568/getInfo.php?workbook=02_02.xlsx&amp;sheet=U0&amp;row=936&amp;col=6&amp;number=&amp;sourceID=28","")</f>
        <v/>
      </c>
      <c r="G936" s="4" t="str">
        <f>HYPERLINK("http://141.218.60.56/~jnz1568/getInfo.php?workbook=02_02.xlsx&amp;sheet=U0&amp;row=936&amp;col=7&amp;number=&amp;sourceID=1","")</f>
        <v/>
      </c>
      <c r="H936" s="4" t="str">
        <f>HYPERLINK("http://141.218.60.56/~jnz1568/getInfo.php?workbook=02_02.xlsx&amp;sheet=U0&amp;row=936&amp;col=8&amp;number=4.176&amp;sourceID=29","4.176")</f>
        <v>4.176</v>
      </c>
      <c r="I936" s="4" t="str">
        <f>HYPERLINK("http://141.218.60.56/~jnz1568/getInfo.php?workbook=02_02.xlsx&amp;sheet=U0&amp;row=936&amp;col=9&amp;number=1.894&amp;sourceID=1","1.894")</f>
        <v>1.894</v>
      </c>
    </row>
    <row r="937" spans="1:9">
      <c r="A937" s="3"/>
      <c r="B937" s="3"/>
      <c r="C937" s="3"/>
      <c r="D937" s="3"/>
      <c r="E937" s="3">
        <v>5</v>
      </c>
      <c r="F937" s="4" t="str">
        <f>HYPERLINK("http://141.218.60.56/~jnz1568/getInfo.php?workbook=02_02.xlsx&amp;sheet=U0&amp;row=937&amp;col=6&amp;number=&amp;sourceID=28","")</f>
        <v/>
      </c>
      <c r="G937" s="4" t="str">
        <f>HYPERLINK("http://141.218.60.56/~jnz1568/getInfo.php?workbook=02_02.xlsx&amp;sheet=U0&amp;row=937&amp;col=7&amp;number=&amp;sourceID=1","")</f>
        <v/>
      </c>
      <c r="H937" s="4" t="str">
        <f>HYPERLINK("http://141.218.60.56/~jnz1568/getInfo.php?workbook=02_02.xlsx&amp;sheet=U0&amp;row=937&amp;col=8&amp;number=4.301&amp;sourceID=29","4.301")</f>
        <v>4.301</v>
      </c>
      <c r="I937" s="4" t="str">
        <f>HYPERLINK("http://141.218.60.56/~jnz1568/getInfo.php?workbook=02_02.xlsx&amp;sheet=U0&amp;row=937&amp;col=9&amp;number=1.918&amp;sourceID=1","1.918")</f>
        <v>1.918</v>
      </c>
    </row>
    <row r="938" spans="1:9">
      <c r="A938" s="3"/>
      <c r="B938" s="3"/>
      <c r="C938" s="3"/>
      <c r="D938" s="3"/>
      <c r="E938" s="3">
        <v>6</v>
      </c>
      <c r="F938" s="4" t="str">
        <f>HYPERLINK("http://141.218.60.56/~jnz1568/getInfo.php?workbook=02_02.xlsx&amp;sheet=U0&amp;row=938&amp;col=6&amp;number=&amp;sourceID=28","")</f>
        <v/>
      </c>
      <c r="G938" s="4" t="str">
        <f>HYPERLINK("http://141.218.60.56/~jnz1568/getInfo.php?workbook=02_02.xlsx&amp;sheet=U0&amp;row=938&amp;col=7&amp;number=&amp;sourceID=1","")</f>
        <v/>
      </c>
      <c r="H938" s="4" t="str">
        <f>HYPERLINK("http://141.218.60.56/~jnz1568/getInfo.php?workbook=02_02.xlsx&amp;sheet=U0&amp;row=938&amp;col=8&amp;number=4.398&amp;sourceID=29","4.398")</f>
        <v>4.398</v>
      </c>
      <c r="I938" s="4" t="str">
        <f>HYPERLINK("http://141.218.60.56/~jnz1568/getInfo.php?workbook=02_02.xlsx&amp;sheet=U0&amp;row=938&amp;col=9&amp;number=1.89&amp;sourceID=1","1.89")</f>
        <v>1.89</v>
      </c>
    </row>
    <row r="939" spans="1:9">
      <c r="A939" s="3"/>
      <c r="B939" s="3"/>
      <c r="C939" s="3"/>
      <c r="D939" s="3"/>
      <c r="E939" s="3">
        <v>7</v>
      </c>
      <c r="F939" s="4" t="str">
        <f>HYPERLINK("http://141.218.60.56/~jnz1568/getInfo.php?workbook=02_02.xlsx&amp;sheet=U0&amp;row=939&amp;col=6&amp;number=&amp;sourceID=28","")</f>
        <v/>
      </c>
      <c r="G939" s="4" t="str">
        <f>HYPERLINK("http://141.218.60.56/~jnz1568/getInfo.php?workbook=02_02.xlsx&amp;sheet=U0&amp;row=939&amp;col=7&amp;number=&amp;sourceID=1","")</f>
        <v/>
      </c>
      <c r="H939" s="4" t="str">
        <f>HYPERLINK("http://141.218.60.56/~jnz1568/getInfo.php?workbook=02_02.xlsx&amp;sheet=U0&amp;row=939&amp;col=8&amp;number=4.477&amp;sourceID=29","4.477")</f>
        <v>4.477</v>
      </c>
      <c r="I939" s="4" t="str">
        <f>HYPERLINK("http://141.218.60.56/~jnz1568/getInfo.php?workbook=02_02.xlsx&amp;sheet=U0&amp;row=939&amp;col=9&amp;number=1.838&amp;sourceID=1","1.838")</f>
        <v>1.838</v>
      </c>
    </row>
    <row r="940" spans="1:9">
      <c r="A940" s="3">
        <v>2</v>
      </c>
      <c r="B940" s="3">
        <v>2</v>
      </c>
      <c r="C940" s="3">
        <v>17</v>
      </c>
      <c r="D940" s="3">
        <v>12</v>
      </c>
      <c r="E940" s="3">
        <v>1</v>
      </c>
      <c r="F940" s="4" t="str">
        <f>HYPERLINK("http://141.218.60.56/~jnz1568/getInfo.php?workbook=02_02.xlsx&amp;sheet=U0&amp;row=940&amp;col=6&amp;number=&amp;sourceID=28","")</f>
        <v/>
      </c>
      <c r="G940" s="4" t="str">
        <f>HYPERLINK("http://141.218.60.56/~jnz1568/getInfo.php?workbook=02_02.xlsx&amp;sheet=U0&amp;row=940&amp;col=7&amp;number=&amp;sourceID=1","")</f>
        <v/>
      </c>
      <c r="H940" s="4" t="str">
        <f>HYPERLINK("http://141.218.60.56/~jnz1568/getInfo.php?workbook=02_02.xlsx&amp;sheet=U0&amp;row=940&amp;col=8&amp;number=3.301&amp;sourceID=29","3.301")</f>
        <v>3.301</v>
      </c>
      <c r="I940" s="4" t="str">
        <f>HYPERLINK("http://141.218.60.56/~jnz1568/getInfo.php?workbook=02_02.xlsx&amp;sheet=U0&amp;row=940&amp;col=9&amp;number=54.37&amp;sourceID=1","54.37")</f>
        <v>54.37</v>
      </c>
    </row>
    <row r="941" spans="1:9">
      <c r="A941" s="3"/>
      <c r="B941" s="3"/>
      <c r="C941" s="3"/>
      <c r="D941" s="3"/>
      <c r="E941" s="3">
        <v>2</v>
      </c>
      <c r="F941" s="4" t="str">
        <f>HYPERLINK("http://141.218.60.56/~jnz1568/getInfo.php?workbook=02_02.xlsx&amp;sheet=U0&amp;row=941&amp;col=6&amp;number=&amp;sourceID=28","")</f>
        <v/>
      </c>
      <c r="G941" s="4" t="str">
        <f>HYPERLINK("http://141.218.60.56/~jnz1568/getInfo.php?workbook=02_02.xlsx&amp;sheet=U0&amp;row=941&amp;col=7&amp;number=&amp;sourceID=1","")</f>
        <v/>
      </c>
      <c r="H941" s="4" t="str">
        <f>HYPERLINK("http://141.218.60.56/~jnz1568/getInfo.php?workbook=02_02.xlsx&amp;sheet=U0&amp;row=941&amp;col=8&amp;number=3.699&amp;sourceID=29","3.699")</f>
        <v>3.699</v>
      </c>
      <c r="I941" s="4" t="str">
        <f>HYPERLINK("http://141.218.60.56/~jnz1568/getInfo.php?workbook=02_02.xlsx&amp;sheet=U0&amp;row=941&amp;col=9&amp;number=54.34&amp;sourceID=1","54.34")</f>
        <v>54.34</v>
      </c>
    </row>
    <row r="942" spans="1:9">
      <c r="A942" s="3"/>
      <c r="B942" s="3"/>
      <c r="C942" s="3"/>
      <c r="D942" s="3"/>
      <c r="E942" s="3">
        <v>3</v>
      </c>
      <c r="F942" s="4" t="str">
        <f>HYPERLINK("http://141.218.60.56/~jnz1568/getInfo.php?workbook=02_02.xlsx&amp;sheet=U0&amp;row=942&amp;col=6&amp;number=&amp;sourceID=28","")</f>
        <v/>
      </c>
      <c r="G942" s="4" t="str">
        <f>HYPERLINK("http://141.218.60.56/~jnz1568/getInfo.php?workbook=02_02.xlsx&amp;sheet=U0&amp;row=942&amp;col=7&amp;number=&amp;sourceID=1","")</f>
        <v/>
      </c>
      <c r="H942" s="4" t="str">
        <f>HYPERLINK("http://141.218.60.56/~jnz1568/getInfo.php?workbook=02_02.xlsx&amp;sheet=U0&amp;row=942&amp;col=8&amp;number=4&amp;sourceID=29","4")</f>
        <v>4</v>
      </c>
      <c r="I942" s="4" t="str">
        <f>HYPERLINK("http://141.218.60.56/~jnz1568/getInfo.php?workbook=02_02.xlsx&amp;sheet=U0&amp;row=942&amp;col=9&amp;number=44.91&amp;sourceID=1","44.91")</f>
        <v>44.91</v>
      </c>
    </row>
    <row r="943" spans="1:9">
      <c r="A943" s="3"/>
      <c r="B943" s="3"/>
      <c r="C943" s="3"/>
      <c r="D943" s="3"/>
      <c r="E943" s="3">
        <v>4</v>
      </c>
      <c r="F943" s="4" t="str">
        <f>HYPERLINK("http://141.218.60.56/~jnz1568/getInfo.php?workbook=02_02.xlsx&amp;sheet=U0&amp;row=943&amp;col=6&amp;number=&amp;sourceID=28","")</f>
        <v/>
      </c>
      <c r="G943" s="4" t="str">
        <f>HYPERLINK("http://141.218.60.56/~jnz1568/getInfo.php?workbook=02_02.xlsx&amp;sheet=U0&amp;row=943&amp;col=7&amp;number=&amp;sourceID=1","")</f>
        <v/>
      </c>
      <c r="H943" s="4" t="str">
        <f>HYPERLINK("http://141.218.60.56/~jnz1568/getInfo.php?workbook=02_02.xlsx&amp;sheet=U0&amp;row=943&amp;col=8&amp;number=4.176&amp;sourceID=29","4.176")</f>
        <v>4.176</v>
      </c>
      <c r="I943" s="4" t="str">
        <f>HYPERLINK("http://141.218.60.56/~jnz1568/getInfo.php?workbook=02_02.xlsx&amp;sheet=U0&amp;row=943&amp;col=9&amp;number=39.06&amp;sourceID=1","39.06")</f>
        <v>39.06</v>
      </c>
    </row>
    <row r="944" spans="1:9">
      <c r="A944" s="3"/>
      <c r="B944" s="3"/>
      <c r="C944" s="3"/>
      <c r="D944" s="3"/>
      <c r="E944" s="3">
        <v>5</v>
      </c>
      <c r="F944" s="4" t="str">
        <f>HYPERLINK("http://141.218.60.56/~jnz1568/getInfo.php?workbook=02_02.xlsx&amp;sheet=U0&amp;row=944&amp;col=6&amp;number=&amp;sourceID=28","")</f>
        <v/>
      </c>
      <c r="G944" s="4" t="str">
        <f>HYPERLINK("http://141.218.60.56/~jnz1568/getInfo.php?workbook=02_02.xlsx&amp;sheet=U0&amp;row=944&amp;col=7&amp;number=&amp;sourceID=1","")</f>
        <v/>
      </c>
      <c r="H944" s="4" t="str">
        <f>HYPERLINK("http://141.218.60.56/~jnz1568/getInfo.php?workbook=02_02.xlsx&amp;sheet=U0&amp;row=944&amp;col=8&amp;number=4.301&amp;sourceID=29","4.301")</f>
        <v>4.301</v>
      </c>
      <c r="I944" s="4" t="str">
        <f>HYPERLINK("http://141.218.60.56/~jnz1568/getInfo.php?workbook=02_02.xlsx&amp;sheet=U0&amp;row=944&amp;col=9&amp;number=35.21&amp;sourceID=1","35.21")</f>
        <v>35.21</v>
      </c>
    </row>
    <row r="945" spans="1:9">
      <c r="A945" s="3"/>
      <c r="B945" s="3"/>
      <c r="C945" s="3"/>
      <c r="D945" s="3"/>
      <c r="E945" s="3">
        <v>6</v>
      </c>
      <c r="F945" s="4" t="str">
        <f>HYPERLINK("http://141.218.60.56/~jnz1568/getInfo.php?workbook=02_02.xlsx&amp;sheet=U0&amp;row=945&amp;col=6&amp;number=&amp;sourceID=28","")</f>
        <v/>
      </c>
      <c r="G945" s="4" t="str">
        <f>HYPERLINK("http://141.218.60.56/~jnz1568/getInfo.php?workbook=02_02.xlsx&amp;sheet=U0&amp;row=945&amp;col=7&amp;number=&amp;sourceID=1","")</f>
        <v/>
      </c>
      <c r="H945" s="4" t="str">
        <f>HYPERLINK("http://141.218.60.56/~jnz1568/getInfo.php?workbook=02_02.xlsx&amp;sheet=U0&amp;row=945&amp;col=8&amp;number=4.398&amp;sourceID=29","4.398")</f>
        <v>4.398</v>
      </c>
      <c r="I945" s="4" t="str">
        <f>HYPERLINK("http://141.218.60.56/~jnz1568/getInfo.php?workbook=02_02.xlsx&amp;sheet=U0&amp;row=945&amp;col=9&amp;number=32.39&amp;sourceID=1","32.39")</f>
        <v>32.39</v>
      </c>
    </row>
    <row r="946" spans="1:9">
      <c r="A946" s="3"/>
      <c r="B946" s="3"/>
      <c r="C946" s="3"/>
      <c r="D946" s="3"/>
      <c r="E946" s="3">
        <v>7</v>
      </c>
      <c r="F946" s="4" t="str">
        <f>HYPERLINK("http://141.218.60.56/~jnz1568/getInfo.php?workbook=02_02.xlsx&amp;sheet=U0&amp;row=946&amp;col=6&amp;number=&amp;sourceID=28","")</f>
        <v/>
      </c>
      <c r="G946" s="4" t="str">
        <f>HYPERLINK("http://141.218.60.56/~jnz1568/getInfo.php?workbook=02_02.xlsx&amp;sheet=U0&amp;row=946&amp;col=7&amp;number=&amp;sourceID=1","")</f>
        <v/>
      </c>
      <c r="H946" s="4" t="str">
        <f>HYPERLINK("http://141.218.60.56/~jnz1568/getInfo.php?workbook=02_02.xlsx&amp;sheet=U0&amp;row=946&amp;col=8&amp;number=4.477&amp;sourceID=29","4.477")</f>
        <v>4.477</v>
      </c>
      <c r="I946" s="4" t="str">
        <f>HYPERLINK("http://141.218.60.56/~jnz1568/getInfo.php?workbook=02_02.xlsx&amp;sheet=U0&amp;row=946&amp;col=9&amp;number=30.17&amp;sourceID=1","30.17")</f>
        <v>30.17</v>
      </c>
    </row>
    <row r="947" spans="1:9">
      <c r="A947" s="3">
        <v>2</v>
      </c>
      <c r="B947" s="3">
        <v>2</v>
      </c>
      <c r="C947" s="3">
        <v>17</v>
      </c>
      <c r="D947" s="3">
        <v>13</v>
      </c>
      <c r="E947" s="3">
        <v>1</v>
      </c>
      <c r="F947" s="4" t="str">
        <f>HYPERLINK("http://141.218.60.56/~jnz1568/getInfo.php?workbook=02_02.xlsx&amp;sheet=U0&amp;row=947&amp;col=6&amp;number=&amp;sourceID=28","")</f>
        <v/>
      </c>
      <c r="G947" s="4" t="str">
        <f>HYPERLINK("http://141.218.60.56/~jnz1568/getInfo.php?workbook=02_02.xlsx&amp;sheet=U0&amp;row=947&amp;col=7&amp;number=&amp;sourceID=1","")</f>
        <v/>
      </c>
      <c r="H947" s="4" t="str">
        <f>HYPERLINK("http://141.218.60.56/~jnz1568/getInfo.php?workbook=02_02.xlsx&amp;sheet=U0&amp;row=947&amp;col=8&amp;number=3.301&amp;sourceID=29","3.301")</f>
        <v>3.301</v>
      </c>
      <c r="I947" s="4" t="str">
        <f>HYPERLINK("http://141.218.60.56/~jnz1568/getInfo.php?workbook=02_02.xlsx&amp;sheet=U0&amp;row=947&amp;col=9&amp;number=1.884&amp;sourceID=1","1.884")</f>
        <v>1.884</v>
      </c>
    </row>
    <row r="948" spans="1:9">
      <c r="A948" s="3"/>
      <c r="B948" s="3"/>
      <c r="C948" s="3"/>
      <c r="D948" s="3"/>
      <c r="E948" s="3">
        <v>2</v>
      </c>
      <c r="F948" s="4" t="str">
        <f>HYPERLINK("http://141.218.60.56/~jnz1568/getInfo.php?workbook=02_02.xlsx&amp;sheet=U0&amp;row=948&amp;col=6&amp;number=&amp;sourceID=28","")</f>
        <v/>
      </c>
      <c r="G948" s="4" t="str">
        <f>HYPERLINK("http://141.218.60.56/~jnz1568/getInfo.php?workbook=02_02.xlsx&amp;sheet=U0&amp;row=948&amp;col=7&amp;number=&amp;sourceID=1","")</f>
        <v/>
      </c>
      <c r="H948" s="4" t="str">
        <f>HYPERLINK("http://141.218.60.56/~jnz1568/getInfo.php?workbook=02_02.xlsx&amp;sheet=U0&amp;row=948&amp;col=8&amp;number=3.699&amp;sourceID=29","3.699")</f>
        <v>3.699</v>
      </c>
      <c r="I948" s="4" t="str">
        <f>HYPERLINK("http://141.218.60.56/~jnz1568/getInfo.php?workbook=02_02.xlsx&amp;sheet=U0&amp;row=948&amp;col=9&amp;number=2.137&amp;sourceID=1","2.137")</f>
        <v>2.137</v>
      </c>
    </row>
    <row r="949" spans="1:9">
      <c r="A949" s="3"/>
      <c r="B949" s="3"/>
      <c r="C949" s="3"/>
      <c r="D949" s="3"/>
      <c r="E949" s="3">
        <v>3</v>
      </c>
      <c r="F949" s="4" t="str">
        <f>HYPERLINK("http://141.218.60.56/~jnz1568/getInfo.php?workbook=02_02.xlsx&amp;sheet=U0&amp;row=949&amp;col=6&amp;number=&amp;sourceID=28","")</f>
        <v/>
      </c>
      <c r="G949" s="4" t="str">
        <f>HYPERLINK("http://141.218.60.56/~jnz1568/getInfo.php?workbook=02_02.xlsx&amp;sheet=U0&amp;row=949&amp;col=7&amp;number=&amp;sourceID=1","")</f>
        <v/>
      </c>
      <c r="H949" s="4" t="str">
        <f>HYPERLINK("http://141.218.60.56/~jnz1568/getInfo.php?workbook=02_02.xlsx&amp;sheet=U0&amp;row=949&amp;col=8&amp;number=4&amp;sourceID=29","4")</f>
        <v>4</v>
      </c>
      <c r="I949" s="4" t="str">
        <f>HYPERLINK("http://141.218.60.56/~jnz1568/getInfo.php?workbook=02_02.xlsx&amp;sheet=U0&amp;row=949&amp;col=9&amp;number=1.957&amp;sourceID=1","1.957")</f>
        <v>1.957</v>
      </c>
    </row>
    <row r="950" spans="1:9">
      <c r="A950" s="3"/>
      <c r="B950" s="3"/>
      <c r="C950" s="3"/>
      <c r="D950" s="3"/>
      <c r="E950" s="3">
        <v>4</v>
      </c>
      <c r="F950" s="4" t="str">
        <f>HYPERLINK("http://141.218.60.56/~jnz1568/getInfo.php?workbook=02_02.xlsx&amp;sheet=U0&amp;row=950&amp;col=6&amp;number=&amp;sourceID=28","")</f>
        <v/>
      </c>
      <c r="G950" s="4" t="str">
        <f>HYPERLINK("http://141.218.60.56/~jnz1568/getInfo.php?workbook=02_02.xlsx&amp;sheet=U0&amp;row=950&amp;col=7&amp;number=&amp;sourceID=1","")</f>
        <v/>
      </c>
      <c r="H950" s="4" t="str">
        <f>HYPERLINK("http://141.218.60.56/~jnz1568/getInfo.php?workbook=02_02.xlsx&amp;sheet=U0&amp;row=950&amp;col=8&amp;number=4.176&amp;sourceID=29","4.176")</f>
        <v>4.176</v>
      </c>
      <c r="I950" s="4" t="str">
        <f>HYPERLINK("http://141.218.60.56/~jnz1568/getInfo.php?workbook=02_02.xlsx&amp;sheet=U0&amp;row=950&amp;col=9&amp;number=1.725&amp;sourceID=1","1.725")</f>
        <v>1.725</v>
      </c>
    </row>
    <row r="951" spans="1:9">
      <c r="A951" s="3"/>
      <c r="B951" s="3"/>
      <c r="C951" s="3"/>
      <c r="D951" s="3"/>
      <c r="E951" s="3">
        <v>5</v>
      </c>
      <c r="F951" s="4" t="str">
        <f>HYPERLINK("http://141.218.60.56/~jnz1568/getInfo.php?workbook=02_02.xlsx&amp;sheet=U0&amp;row=951&amp;col=6&amp;number=&amp;sourceID=28","")</f>
        <v/>
      </c>
      <c r="G951" s="4" t="str">
        <f>HYPERLINK("http://141.218.60.56/~jnz1568/getInfo.php?workbook=02_02.xlsx&amp;sheet=U0&amp;row=951&amp;col=7&amp;number=&amp;sourceID=1","")</f>
        <v/>
      </c>
      <c r="H951" s="4" t="str">
        <f>HYPERLINK("http://141.218.60.56/~jnz1568/getInfo.php?workbook=02_02.xlsx&amp;sheet=U0&amp;row=951&amp;col=8&amp;number=4.301&amp;sourceID=29","4.301")</f>
        <v>4.301</v>
      </c>
      <c r="I951" s="4" t="str">
        <f>HYPERLINK("http://141.218.60.56/~jnz1568/getInfo.php?workbook=02_02.xlsx&amp;sheet=U0&amp;row=951&amp;col=9&amp;number=1.525&amp;sourceID=1","1.525")</f>
        <v>1.525</v>
      </c>
    </row>
    <row r="952" spans="1:9">
      <c r="A952" s="3"/>
      <c r="B952" s="3"/>
      <c r="C952" s="3"/>
      <c r="D952" s="3"/>
      <c r="E952" s="3">
        <v>6</v>
      </c>
      <c r="F952" s="4" t="str">
        <f>HYPERLINK("http://141.218.60.56/~jnz1568/getInfo.php?workbook=02_02.xlsx&amp;sheet=U0&amp;row=952&amp;col=6&amp;number=&amp;sourceID=28","")</f>
        <v/>
      </c>
      <c r="G952" s="4" t="str">
        <f>HYPERLINK("http://141.218.60.56/~jnz1568/getInfo.php?workbook=02_02.xlsx&amp;sheet=U0&amp;row=952&amp;col=7&amp;number=&amp;sourceID=1","")</f>
        <v/>
      </c>
      <c r="H952" s="4" t="str">
        <f>HYPERLINK("http://141.218.60.56/~jnz1568/getInfo.php?workbook=02_02.xlsx&amp;sheet=U0&amp;row=952&amp;col=8&amp;number=4.398&amp;sourceID=29","4.398")</f>
        <v>4.398</v>
      </c>
      <c r="I952" s="4" t="str">
        <f>HYPERLINK("http://141.218.60.56/~jnz1568/getInfo.php?workbook=02_02.xlsx&amp;sheet=U0&amp;row=952&amp;col=9&amp;number=1.361&amp;sourceID=1","1.361")</f>
        <v>1.361</v>
      </c>
    </row>
    <row r="953" spans="1:9">
      <c r="A953" s="3"/>
      <c r="B953" s="3"/>
      <c r="C953" s="3"/>
      <c r="D953" s="3"/>
      <c r="E953" s="3">
        <v>7</v>
      </c>
      <c r="F953" s="4" t="str">
        <f>HYPERLINK("http://141.218.60.56/~jnz1568/getInfo.php?workbook=02_02.xlsx&amp;sheet=U0&amp;row=953&amp;col=6&amp;number=&amp;sourceID=28","")</f>
        <v/>
      </c>
      <c r="G953" s="4" t="str">
        <f>HYPERLINK("http://141.218.60.56/~jnz1568/getInfo.php?workbook=02_02.xlsx&amp;sheet=U0&amp;row=953&amp;col=7&amp;number=&amp;sourceID=1","")</f>
        <v/>
      </c>
      <c r="H953" s="4" t="str">
        <f>HYPERLINK("http://141.218.60.56/~jnz1568/getInfo.php?workbook=02_02.xlsx&amp;sheet=U0&amp;row=953&amp;col=8&amp;number=4.477&amp;sourceID=29","4.477")</f>
        <v>4.477</v>
      </c>
      <c r="I953" s="4" t="str">
        <f>HYPERLINK("http://141.218.60.56/~jnz1568/getInfo.php?workbook=02_02.xlsx&amp;sheet=U0&amp;row=953&amp;col=9&amp;number=1.227&amp;sourceID=1","1.227")</f>
        <v>1.227</v>
      </c>
    </row>
    <row r="954" spans="1:9">
      <c r="A954" s="3">
        <v>2</v>
      </c>
      <c r="B954" s="3">
        <v>2</v>
      </c>
      <c r="C954" s="3">
        <v>17</v>
      </c>
      <c r="D954" s="3">
        <v>16</v>
      </c>
      <c r="E954" s="3">
        <v>1</v>
      </c>
      <c r="F954" s="4" t="str">
        <f>HYPERLINK("http://141.218.60.56/~jnz1568/getInfo.php?workbook=02_02.xlsx&amp;sheet=U0&amp;row=954&amp;col=6&amp;number=&amp;sourceID=28","")</f>
        <v/>
      </c>
      <c r="G954" s="4" t="str">
        <f>HYPERLINK("http://141.218.60.56/~jnz1568/getInfo.php?workbook=02_02.xlsx&amp;sheet=U0&amp;row=954&amp;col=7&amp;number=&amp;sourceID=1","")</f>
        <v/>
      </c>
      <c r="H954" s="4" t="str">
        <f>HYPERLINK("http://141.218.60.56/~jnz1568/getInfo.php?workbook=02_02.xlsx&amp;sheet=U0&amp;row=954&amp;col=8&amp;number=3.301&amp;sourceID=29","3.301")</f>
        <v>3.301</v>
      </c>
      <c r="I954" s="4" t="str">
        <f>HYPERLINK("http://141.218.60.56/~jnz1568/getInfo.php?workbook=02_02.xlsx&amp;sheet=U0&amp;row=954&amp;col=9&amp;number=6.887&amp;sourceID=1","6.887")</f>
        <v>6.887</v>
      </c>
    </row>
    <row r="955" spans="1:9">
      <c r="A955" s="3"/>
      <c r="B955" s="3"/>
      <c r="C955" s="3"/>
      <c r="D955" s="3"/>
      <c r="E955" s="3">
        <v>2</v>
      </c>
      <c r="F955" s="4" t="str">
        <f>HYPERLINK("http://141.218.60.56/~jnz1568/getInfo.php?workbook=02_02.xlsx&amp;sheet=U0&amp;row=955&amp;col=6&amp;number=&amp;sourceID=28","")</f>
        <v/>
      </c>
      <c r="G955" s="4" t="str">
        <f>HYPERLINK("http://141.218.60.56/~jnz1568/getInfo.php?workbook=02_02.xlsx&amp;sheet=U0&amp;row=955&amp;col=7&amp;number=&amp;sourceID=1","")</f>
        <v/>
      </c>
      <c r="H955" s="4" t="str">
        <f>HYPERLINK("http://141.218.60.56/~jnz1568/getInfo.php?workbook=02_02.xlsx&amp;sheet=U0&amp;row=955&amp;col=8&amp;number=3.699&amp;sourceID=29","3.699")</f>
        <v>3.699</v>
      </c>
      <c r="I955" s="4" t="str">
        <f>HYPERLINK("http://141.218.60.56/~jnz1568/getInfo.php?workbook=02_02.xlsx&amp;sheet=U0&amp;row=955&amp;col=9&amp;number=8.035&amp;sourceID=1","8.035")</f>
        <v>8.035</v>
      </c>
    </row>
    <row r="956" spans="1:9">
      <c r="A956" s="3"/>
      <c r="B956" s="3"/>
      <c r="C956" s="3"/>
      <c r="D956" s="3"/>
      <c r="E956" s="3">
        <v>3</v>
      </c>
      <c r="F956" s="4" t="str">
        <f>HYPERLINK("http://141.218.60.56/~jnz1568/getInfo.php?workbook=02_02.xlsx&amp;sheet=U0&amp;row=956&amp;col=6&amp;number=&amp;sourceID=28","")</f>
        <v/>
      </c>
      <c r="G956" s="4" t="str">
        <f>HYPERLINK("http://141.218.60.56/~jnz1568/getInfo.php?workbook=02_02.xlsx&amp;sheet=U0&amp;row=956&amp;col=7&amp;number=&amp;sourceID=1","")</f>
        <v/>
      </c>
      <c r="H956" s="4" t="str">
        <f>HYPERLINK("http://141.218.60.56/~jnz1568/getInfo.php?workbook=02_02.xlsx&amp;sheet=U0&amp;row=956&amp;col=8&amp;number=4&amp;sourceID=29","4")</f>
        <v>4</v>
      </c>
      <c r="I956" s="4" t="str">
        <f>HYPERLINK("http://141.218.60.56/~jnz1568/getInfo.php?workbook=02_02.xlsx&amp;sheet=U0&amp;row=956&amp;col=9&amp;number=7.731&amp;sourceID=1","7.731")</f>
        <v>7.731</v>
      </c>
    </row>
    <row r="957" spans="1:9">
      <c r="A957" s="3"/>
      <c r="B957" s="3"/>
      <c r="C957" s="3"/>
      <c r="D957" s="3"/>
      <c r="E957" s="3">
        <v>4</v>
      </c>
      <c r="F957" s="4" t="str">
        <f>HYPERLINK("http://141.218.60.56/~jnz1568/getInfo.php?workbook=02_02.xlsx&amp;sheet=U0&amp;row=957&amp;col=6&amp;number=&amp;sourceID=28","")</f>
        <v/>
      </c>
      <c r="G957" s="4" t="str">
        <f>HYPERLINK("http://141.218.60.56/~jnz1568/getInfo.php?workbook=02_02.xlsx&amp;sheet=U0&amp;row=957&amp;col=7&amp;number=&amp;sourceID=1","")</f>
        <v/>
      </c>
      <c r="H957" s="4" t="str">
        <f>HYPERLINK("http://141.218.60.56/~jnz1568/getInfo.php?workbook=02_02.xlsx&amp;sheet=U0&amp;row=957&amp;col=8&amp;number=4.176&amp;sourceID=29","4.176")</f>
        <v>4.176</v>
      </c>
      <c r="I957" s="4" t="str">
        <f>HYPERLINK("http://141.218.60.56/~jnz1568/getInfo.php?workbook=02_02.xlsx&amp;sheet=U0&amp;row=957&amp;col=9&amp;number=7.062&amp;sourceID=1","7.062")</f>
        <v>7.062</v>
      </c>
    </row>
    <row r="958" spans="1:9">
      <c r="A958" s="3"/>
      <c r="B958" s="3"/>
      <c r="C958" s="3"/>
      <c r="D958" s="3"/>
      <c r="E958" s="3">
        <v>5</v>
      </c>
      <c r="F958" s="4" t="str">
        <f>HYPERLINK("http://141.218.60.56/~jnz1568/getInfo.php?workbook=02_02.xlsx&amp;sheet=U0&amp;row=958&amp;col=6&amp;number=&amp;sourceID=28","")</f>
        <v/>
      </c>
      <c r="G958" s="4" t="str">
        <f>HYPERLINK("http://141.218.60.56/~jnz1568/getInfo.php?workbook=02_02.xlsx&amp;sheet=U0&amp;row=958&amp;col=7&amp;number=&amp;sourceID=1","")</f>
        <v/>
      </c>
      <c r="H958" s="4" t="str">
        <f>HYPERLINK("http://141.218.60.56/~jnz1568/getInfo.php?workbook=02_02.xlsx&amp;sheet=U0&amp;row=958&amp;col=8&amp;number=4.301&amp;sourceID=29","4.301")</f>
        <v>4.301</v>
      </c>
      <c r="I958" s="4" t="str">
        <f>HYPERLINK("http://141.218.60.56/~jnz1568/getInfo.php?workbook=02_02.xlsx&amp;sheet=U0&amp;row=958&amp;col=9&amp;number=6.407&amp;sourceID=1","6.407")</f>
        <v>6.407</v>
      </c>
    </row>
    <row r="959" spans="1:9">
      <c r="A959" s="3"/>
      <c r="B959" s="3"/>
      <c r="C959" s="3"/>
      <c r="D959" s="3"/>
      <c r="E959" s="3">
        <v>6</v>
      </c>
      <c r="F959" s="4" t="str">
        <f>HYPERLINK("http://141.218.60.56/~jnz1568/getInfo.php?workbook=02_02.xlsx&amp;sheet=U0&amp;row=959&amp;col=6&amp;number=&amp;sourceID=28","")</f>
        <v/>
      </c>
      <c r="G959" s="4" t="str">
        <f>HYPERLINK("http://141.218.60.56/~jnz1568/getInfo.php?workbook=02_02.xlsx&amp;sheet=U0&amp;row=959&amp;col=7&amp;number=&amp;sourceID=1","")</f>
        <v/>
      </c>
      <c r="H959" s="4" t="str">
        <f>HYPERLINK("http://141.218.60.56/~jnz1568/getInfo.php?workbook=02_02.xlsx&amp;sheet=U0&amp;row=959&amp;col=8&amp;number=4.398&amp;sourceID=29","4.398")</f>
        <v>4.398</v>
      </c>
      <c r="I959" s="4" t="str">
        <f>HYPERLINK("http://141.218.60.56/~jnz1568/getInfo.php?workbook=02_02.xlsx&amp;sheet=U0&amp;row=959&amp;col=9&amp;number=5.832&amp;sourceID=1","5.832")</f>
        <v>5.832</v>
      </c>
    </row>
    <row r="960" spans="1:9">
      <c r="A960" s="3"/>
      <c r="B960" s="3"/>
      <c r="C960" s="3"/>
      <c r="D960" s="3"/>
      <c r="E960" s="3">
        <v>7</v>
      </c>
      <c r="F960" s="4" t="str">
        <f>HYPERLINK("http://141.218.60.56/~jnz1568/getInfo.php?workbook=02_02.xlsx&amp;sheet=U0&amp;row=960&amp;col=6&amp;number=&amp;sourceID=28","")</f>
        <v/>
      </c>
      <c r="G960" s="4" t="str">
        <f>HYPERLINK("http://141.218.60.56/~jnz1568/getInfo.php?workbook=02_02.xlsx&amp;sheet=U0&amp;row=960&amp;col=7&amp;number=&amp;sourceID=1","")</f>
        <v/>
      </c>
      <c r="H960" s="4" t="str">
        <f>HYPERLINK("http://141.218.60.56/~jnz1568/getInfo.php?workbook=02_02.xlsx&amp;sheet=U0&amp;row=960&amp;col=8&amp;number=4.477&amp;sourceID=29","4.477")</f>
        <v>4.477</v>
      </c>
      <c r="I960" s="4" t="str">
        <f>HYPERLINK("http://141.218.60.56/~jnz1568/getInfo.php?workbook=02_02.xlsx&amp;sheet=U0&amp;row=960&amp;col=9&amp;number=5.338&amp;sourceID=1","5.338")</f>
        <v>5.338</v>
      </c>
    </row>
    <row r="961" spans="1:9">
      <c r="A961" s="3">
        <v>2</v>
      </c>
      <c r="B961" s="3">
        <v>2</v>
      </c>
      <c r="C961" s="3">
        <v>18</v>
      </c>
      <c r="D961" s="3">
        <v>1</v>
      </c>
      <c r="E961" s="3">
        <v>1</v>
      </c>
      <c r="F961" s="4" t="str">
        <f>HYPERLINK("http://141.218.60.56/~jnz1568/getInfo.php?workbook=02_02.xlsx&amp;sheet=U0&amp;row=961&amp;col=6&amp;number=3.75&amp;sourceID=28","3.75")</f>
        <v>3.75</v>
      </c>
      <c r="G961" s="4" t="str">
        <f>HYPERLINK("http://141.218.60.56/~jnz1568/getInfo.php?workbook=02_02.xlsx&amp;sheet=U0&amp;row=961&amp;col=7&amp;number=0.0005864&amp;sourceID=1","0.0005864")</f>
        <v>0.0005864</v>
      </c>
      <c r="H961" s="4" t="str">
        <f>HYPERLINK("http://141.218.60.56/~jnz1568/getInfo.php?workbook=02_02.xlsx&amp;sheet=U0&amp;row=961&amp;col=8&amp;number=3.301&amp;sourceID=29","3.301")</f>
        <v>3.301</v>
      </c>
      <c r="I961" s="4" t="str">
        <f>HYPERLINK("http://141.218.60.56/~jnz1568/getInfo.php?workbook=02_02.xlsx&amp;sheet=U0&amp;row=961&amp;col=9&amp;number=0.0006752&amp;sourceID=1","0.0006752")</f>
        <v>0.0006752</v>
      </c>
    </row>
    <row r="962" spans="1:9">
      <c r="A962" s="3"/>
      <c r="B962" s="3"/>
      <c r="C962" s="3"/>
      <c r="D962" s="3"/>
      <c r="E962" s="3">
        <v>2</v>
      </c>
      <c r="F962" s="4" t="str">
        <f>HYPERLINK("http://141.218.60.56/~jnz1568/getInfo.php?workbook=02_02.xlsx&amp;sheet=U0&amp;row=962&amp;col=6&amp;number=4&amp;sourceID=28","4")</f>
        <v>4</v>
      </c>
      <c r="G962" s="4" t="str">
        <f>HYPERLINK("http://141.218.60.56/~jnz1568/getInfo.php?workbook=02_02.xlsx&amp;sheet=U0&amp;row=962&amp;col=7&amp;number=0.0004917&amp;sourceID=1","0.0004917")</f>
        <v>0.0004917</v>
      </c>
      <c r="H962" s="4" t="str">
        <f>HYPERLINK("http://141.218.60.56/~jnz1568/getInfo.php?workbook=02_02.xlsx&amp;sheet=U0&amp;row=962&amp;col=8&amp;number=3.699&amp;sourceID=29","3.699")</f>
        <v>3.699</v>
      </c>
      <c r="I962" s="4" t="str">
        <f>HYPERLINK("http://141.218.60.56/~jnz1568/getInfo.php?workbook=02_02.xlsx&amp;sheet=U0&amp;row=962&amp;col=9&amp;number=0.0007163&amp;sourceID=1","0.0007163")</f>
        <v>0.0007163</v>
      </c>
    </row>
    <row r="963" spans="1:9">
      <c r="A963" s="3"/>
      <c r="B963" s="3"/>
      <c r="C963" s="3"/>
      <c r="D963" s="3"/>
      <c r="E963" s="3">
        <v>3</v>
      </c>
      <c r="F963" s="4" t="str">
        <f>HYPERLINK("http://141.218.60.56/~jnz1568/getInfo.php?workbook=02_02.xlsx&amp;sheet=U0&amp;row=963&amp;col=6&amp;number=4.25&amp;sourceID=28","4.25")</f>
        <v>4.25</v>
      </c>
      <c r="G963" s="4" t="str">
        <f>HYPERLINK("http://141.218.60.56/~jnz1568/getInfo.php?workbook=02_02.xlsx&amp;sheet=U0&amp;row=963&amp;col=7&amp;number=0.0004101&amp;sourceID=1","0.0004101")</f>
        <v>0.0004101</v>
      </c>
      <c r="H963" s="4" t="str">
        <f>HYPERLINK("http://141.218.60.56/~jnz1568/getInfo.php?workbook=02_02.xlsx&amp;sheet=U0&amp;row=963&amp;col=8&amp;number=4&amp;sourceID=29","4")</f>
        <v>4</v>
      </c>
      <c r="I963" s="4" t="str">
        <f>HYPERLINK("http://141.218.60.56/~jnz1568/getInfo.php?workbook=02_02.xlsx&amp;sheet=U0&amp;row=963&amp;col=9&amp;number=0.0007591&amp;sourceID=1","0.0007591")</f>
        <v>0.0007591</v>
      </c>
    </row>
    <row r="964" spans="1:9">
      <c r="A964" s="3"/>
      <c r="B964" s="3"/>
      <c r="C964" s="3"/>
      <c r="D964" s="3"/>
      <c r="E964" s="3">
        <v>4</v>
      </c>
      <c r="F964" s="4" t="str">
        <f>HYPERLINK("http://141.218.60.56/~jnz1568/getInfo.php?workbook=02_02.xlsx&amp;sheet=U0&amp;row=964&amp;col=6&amp;number=4.5&amp;sourceID=28","4.5")</f>
        <v>4.5</v>
      </c>
      <c r="G964" s="4" t="str">
        <f>HYPERLINK("http://141.218.60.56/~jnz1568/getInfo.php?workbook=02_02.xlsx&amp;sheet=U0&amp;row=964&amp;col=7&amp;number=0.0003467&amp;sourceID=1","0.0003467")</f>
        <v>0.0003467</v>
      </c>
      <c r="H964" s="4" t="str">
        <f>HYPERLINK("http://141.218.60.56/~jnz1568/getInfo.php?workbook=02_02.xlsx&amp;sheet=U0&amp;row=964&amp;col=8&amp;number=4.176&amp;sourceID=29","4.176")</f>
        <v>4.176</v>
      </c>
      <c r="I964" s="4" t="str">
        <f>HYPERLINK("http://141.218.60.56/~jnz1568/getInfo.php?workbook=02_02.xlsx&amp;sheet=U0&amp;row=964&amp;col=9&amp;number=0.0007737&amp;sourceID=1","0.0007737")</f>
        <v>0.0007737</v>
      </c>
    </row>
    <row r="965" spans="1:9">
      <c r="A965" s="3"/>
      <c r="B965" s="3"/>
      <c r="C965" s="3"/>
      <c r="D965" s="3"/>
      <c r="E965" s="3">
        <v>5</v>
      </c>
      <c r="F965" s="4" t="str">
        <f>HYPERLINK("http://141.218.60.56/~jnz1568/getInfo.php?workbook=02_02.xlsx&amp;sheet=U0&amp;row=965&amp;col=6&amp;number=4.75&amp;sourceID=28","4.75")</f>
        <v>4.75</v>
      </c>
      <c r="G965" s="4" t="str">
        <f>HYPERLINK("http://141.218.60.56/~jnz1568/getInfo.php?workbook=02_02.xlsx&amp;sheet=U0&amp;row=965&amp;col=7&amp;number=0.0003011&amp;sourceID=1","0.0003011")</f>
        <v>0.0003011</v>
      </c>
      <c r="H965" s="4" t="str">
        <f>HYPERLINK("http://141.218.60.56/~jnz1568/getInfo.php?workbook=02_02.xlsx&amp;sheet=U0&amp;row=965&amp;col=8&amp;number=4.301&amp;sourceID=29","4.301")</f>
        <v>4.301</v>
      </c>
      <c r="I965" s="4" t="str">
        <f>HYPERLINK("http://141.218.60.56/~jnz1568/getInfo.php?workbook=02_02.xlsx&amp;sheet=U0&amp;row=965&amp;col=9&amp;number=0.0007709&amp;sourceID=1","0.0007709")</f>
        <v>0.0007709</v>
      </c>
    </row>
    <row r="966" spans="1:9">
      <c r="A966" s="3"/>
      <c r="B966" s="3"/>
      <c r="C966" s="3"/>
      <c r="D966" s="3"/>
      <c r="E966" s="3">
        <v>6</v>
      </c>
      <c r="F966" s="4" t="str">
        <f>HYPERLINK("http://141.218.60.56/~jnz1568/getInfo.php?workbook=02_02.xlsx&amp;sheet=U0&amp;row=966&amp;col=6&amp;number=5&amp;sourceID=28","5")</f>
        <v>5</v>
      </c>
      <c r="G966" s="4" t="str">
        <f>HYPERLINK("http://141.218.60.56/~jnz1568/getInfo.php?workbook=02_02.xlsx&amp;sheet=U0&amp;row=966&amp;col=7&amp;number=0.0002697&amp;sourceID=1","0.0002697")</f>
        <v>0.0002697</v>
      </c>
      <c r="H966" s="4" t="str">
        <f>HYPERLINK("http://141.218.60.56/~jnz1568/getInfo.php?workbook=02_02.xlsx&amp;sheet=U0&amp;row=966&amp;col=8&amp;number=4.398&amp;sourceID=29","4.398")</f>
        <v>4.398</v>
      </c>
      <c r="I966" s="4" t="str">
        <f>HYPERLINK("http://141.218.60.56/~jnz1568/getInfo.php?workbook=02_02.xlsx&amp;sheet=U0&amp;row=966&amp;col=9&amp;number=0.0007594&amp;sourceID=1","0.0007594")</f>
        <v>0.0007594</v>
      </c>
    </row>
    <row r="967" spans="1:9">
      <c r="A967" s="3"/>
      <c r="B967" s="3"/>
      <c r="C967" s="3"/>
      <c r="D967" s="3"/>
      <c r="E967" s="3">
        <v>7</v>
      </c>
      <c r="F967" s="4" t="str">
        <f>HYPERLINK("http://141.218.60.56/~jnz1568/getInfo.php?workbook=02_02.xlsx&amp;sheet=U0&amp;row=967&amp;col=6&amp;number=5.25&amp;sourceID=28","5.25")</f>
        <v>5.25</v>
      </c>
      <c r="G967" s="4" t="str">
        <f>HYPERLINK("http://141.218.60.56/~jnz1568/getInfo.php?workbook=02_02.xlsx&amp;sheet=U0&amp;row=967&amp;col=7&amp;number=0.0002436&amp;sourceID=1","0.0002436")</f>
        <v>0.0002436</v>
      </c>
      <c r="H967" s="4" t="str">
        <f>HYPERLINK("http://141.218.60.56/~jnz1568/getInfo.php?workbook=02_02.xlsx&amp;sheet=U0&amp;row=967&amp;col=8&amp;number=4.477&amp;sourceID=29","4.477")</f>
        <v>4.477</v>
      </c>
      <c r="I967" s="4" t="str">
        <f>HYPERLINK("http://141.218.60.56/~jnz1568/getInfo.php?workbook=02_02.xlsx&amp;sheet=U0&amp;row=967&amp;col=9&amp;number=0.0007431&amp;sourceID=1","0.0007431")</f>
        <v>0.0007431</v>
      </c>
    </row>
    <row r="968" spans="1:9">
      <c r="A968" s="3"/>
      <c r="B968" s="3"/>
      <c r="C968" s="3"/>
      <c r="D968" s="3"/>
      <c r="E968" s="3">
        <v>8</v>
      </c>
      <c r="F968" s="4" t="str">
        <f>HYPERLINK("http://141.218.60.56/~jnz1568/getInfo.php?workbook=02_02.xlsx&amp;sheet=U0&amp;row=968&amp;col=6&amp;number=5.5&amp;sourceID=28","5.5")</f>
        <v>5.5</v>
      </c>
      <c r="G968" s="4" t="str">
        <f>HYPERLINK("http://141.218.60.56/~jnz1568/getInfo.php?workbook=02_02.xlsx&amp;sheet=U0&amp;row=968&amp;col=7&amp;number=0.0002135&amp;sourceID=1","0.0002135")</f>
        <v>0.0002135</v>
      </c>
      <c r="H968" s="4" t="str">
        <f>HYPERLINK("http://141.218.60.56/~jnz1568/getInfo.php?workbook=02_02.xlsx&amp;sheet=U0&amp;row=968&amp;col=8&amp;number=&amp;sourceID=29","")</f>
        <v/>
      </c>
      <c r="I968" s="4" t="str">
        <f>HYPERLINK("http://141.218.60.56/~jnz1568/getInfo.php?workbook=02_02.xlsx&amp;sheet=U0&amp;row=968&amp;col=9&amp;number=&amp;sourceID=1","")</f>
        <v/>
      </c>
    </row>
    <row r="969" spans="1:9">
      <c r="A969" s="3"/>
      <c r="B969" s="3"/>
      <c r="C969" s="3"/>
      <c r="D969" s="3"/>
      <c r="E969" s="3">
        <v>9</v>
      </c>
      <c r="F969" s="4" t="str">
        <f>HYPERLINK("http://141.218.60.56/~jnz1568/getInfo.php?workbook=02_02.xlsx&amp;sheet=U0&amp;row=969&amp;col=6&amp;number=5.75&amp;sourceID=28","5.75")</f>
        <v>5.75</v>
      </c>
      <c r="G969" s="4" t="str">
        <f>HYPERLINK("http://141.218.60.56/~jnz1568/getInfo.php?workbook=02_02.xlsx&amp;sheet=U0&amp;row=969&amp;col=7&amp;number=0.0001781&amp;sourceID=1","0.0001781")</f>
        <v>0.0001781</v>
      </c>
      <c r="H969" s="4" t="str">
        <f>HYPERLINK("http://141.218.60.56/~jnz1568/getInfo.php?workbook=02_02.xlsx&amp;sheet=U0&amp;row=969&amp;col=8&amp;number=&amp;sourceID=29","")</f>
        <v/>
      </c>
      <c r="I969" s="4" t="str">
        <f>HYPERLINK("http://141.218.60.56/~jnz1568/getInfo.php?workbook=02_02.xlsx&amp;sheet=U0&amp;row=969&amp;col=9&amp;number=&amp;sourceID=1","")</f>
        <v/>
      </c>
    </row>
    <row r="970" spans="1:9">
      <c r="A970" s="3">
        <v>2</v>
      </c>
      <c r="B970" s="3">
        <v>2</v>
      </c>
      <c r="C970" s="3">
        <v>18</v>
      </c>
      <c r="D970" s="3">
        <v>2</v>
      </c>
      <c r="E970" s="3">
        <v>1</v>
      </c>
      <c r="F970" s="4" t="str">
        <f>HYPERLINK("http://141.218.60.56/~jnz1568/getInfo.php?workbook=02_02.xlsx&amp;sheet=U0&amp;row=970&amp;col=6&amp;number=3.75&amp;sourceID=28","3.75")</f>
        <v>3.75</v>
      </c>
      <c r="G970" s="4" t="str">
        <f>HYPERLINK("http://141.218.60.56/~jnz1568/getInfo.php?workbook=02_02.xlsx&amp;sheet=U0&amp;row=970&amp;col=7&amp;number=0.04106&amp;sourceID=1","0.04106")</f>
        <v>0.04106</v>
      </c>
      <c r="H970" s="4" t="str">
        <f>HYPERLINK("http://141.218.60.56/~jnz1568/getInfo.php?workbook=02_02.xlsx&amp;sheet=U0&amp;row=970&amp;col=8&amp;number=3.301&amp;sourceID=29","3.301")</f>
        <v>3.301</v>
      </c>
      <c r="I970" s="4" t="str">
        <f>HYPERLINK("http://141.218.60.56/~jnz1568/getInfo.php?workbook=02_02.xlsx&amp;sheet=U0&amp;row=970&amp;col=9&amp;number=0.04153&amp;sourceID=1","0.04153")</f>
        <v>0.04153</v>
      </c>
    </row>
    <row r="971" spans="1:9">
      <c r="A971" s="3"/>
      <c r="B971" s="3"/>
      <c r="C971" s="3"/>
      <c r="D971" s="3"/>
      <c r="E971" s="3">
        <v>2</v>
      </c>
      <c r="F971" s="4" t="str">
        <f>HYPERLINK("http://141.218.60.56/~jnz1568/getInfo.php?workbook=02_02.xlsx&amp;sheet=U0&amp;row=971&amp;col=6&amp;number=4&amp;sourceID=28","4")</f>
        <v>4</v>
      </c>
      <c r="G971" s="4" t="str">
        <f>HYPERLINK("http://141.218.60.56/~jnz1568/getInfo.php?workbook=02_02.xlsx&amp;sheet=U0&amp;row=971&amp;col=7&amp;number=0.04019&amp;sourceID=1","0.04019")</f>
        <v>0.04019</v>
      </c>
      <c r="H971" s="4" t="str">
        <f>HYPERLINK("http://141.218.60.56/~jnz1568/getInfo.php?workbook=02_02.xlsx&amp;sheet=U0&amp;row=971&amp;col=8&amp;number=3.699&amp;sourceID=29","3.699")</f>
        <v>3.699</v>
      </c>
      <c r="I971" s="4" t="str">
        <f>HYPERLINK("http://141.218.60.56/~jnz1568/getInfo.php?workbook=02_02.xlsx&amp;sheet=U0&amp;row=971&amp;col=9&amp;number=0.0453&amp;sourceID=1","0.0453")</f>
        <v>0.0453</v>
      </c>
    </row>
    <row r="972" spans="1:9">
      <c r="A972" s="3"/>
      <c r="B972" s="3"/>
      <c r="C972" s="3"/>
      <c r="D972" s="3"/>
      <c r="E972" s="3">
        <v>3</v>
      </c>
      <c r="F972" s="4" t="str">
        <f>HYPERLINK("http://141.218.60.56/~jnz1568/getInfo.php?workbook=02_02.xlsx&amp;sheet=U0&amp;row=972&amp;col=6&amp;number=4.25&amp;sourceID=28","4.25")</f>
        <v>4.25</v>
      </c>
      <c r="G972" s="4" t="str">
        <f>HYPERLINK("http://141.218.60.56/~jnz1568/getInfo.php?workbook=02_02.xlsx&amp;sheet=U0&amp;row=972&amp;col=7&amp;number=0.03838&amp;sourceID=1","0.03838")</f>
        <v>0.03838</v>
      </c>
      <c r="H972" s="4" t="str">
        <f>HYPERLINK("http://141.218.60.56/~jnz1568/getInfo.php?workbook=02_02.xlsx&amp;sheet=U0&amp;row=972&amp;col=8&amp;number=4&amp;sourceID=29","4")</f>
        <v>4</v>
      </c>
      <c r="I972" s="4" t="str">
        <f>HYPERLINK("http://141.218.60.56/~jnz1568/getInfo.php?workbook=02_02.xlsx&amp;sheet=U0&amp;row=972&amp;col=9&amp;number=0.05055&amp;sourceID=1","0.05055")</f>
        <v>0.05055</v>
      </c>
    </row>
    <row r="973" spans="1:9">
      <c r="A973" s="3"/>
      <c r="B973" s="3"/>
      <c r="C973" s="3"/>
      <c r="D973" s="3"/>
      <c r="E973" s="3">
        <v>4</v>
      </c>
      <c r="F973" s="4" t="str">
        <f>HYPERLINK("http://141.218.60.56/~jnz1568/getInfo.php?workbook=02_02.xlsx&amp;sheet=U0&amp;row=973&amp;col=6&amp;number=4.5&amp;sourceID=28","4.5")</f>
        <v>4.5</v>
      </c>
      <c r="G973" s="4" t="str">
        <f>HYPERLINK("http://141.218.60.56/~jnz1568/getInfo.php?workbook=02_02.xlsx&amp;sheet=U0&amp;row=973&amp;col=7&amp;number=0.03475&amp;sourceID=1","0.03475")</f>
        <v>0.03475</v>
      </c>
      <c r="H973" s="4" t="str">
        <f>HYPERLINK("http://141.218.60.56/~jnz1568/getInfo.php?workbook=02_02.xlsx&amp;sheet=U0&amp;row=973&amp;col=8&amp;number=4.176&amp;sourceID=29","4.176")</f>
        <v>4.176</v>
      </c>
      <c r="I973" s="4" t="str">
        <f>HYPERLINK("http://141.218.60.56/~jnz1568/getInfo.php?workbook=02_02.xlsx&amp;sheet=U0&amp;row=973&amp;col=9&amp;number=0.05314&amp;sourceID=1","0.05314")</f>
        <v>0.05314</v>
      </c>
    </row>
    <row r="974" spans="1:9">
      <c r="A974" s="3"/>
      <c r="B974" s="3"/>
      <c r="C974" s="3"/>
      <c r="D974" s="3"/>
      <c r="E974" s="3">
        <v>5</v>
      </c>
      <c r="F974" s="4" t="str">
        <f>HYPERLINK("http://141.218.60.56/~jnz1568/getInfo.php?workbook=02_02.xlsx&amp;sheet=U0&amp;row=974&amp;col=6&amp;number=4.75&amp;sourceID=28","4.75")</f>
        <v>4.75</v>
      </c>
      <c r="G974" s="4" t="str">
        <f>HYPERLINK("http://141.218.60.56/~jnz1568/getInfo.php?workbook=02_02.xlsx&amp;sheet=U0&amp;row=974&amp;col=7&amp;number=0.02954&amp;sourceID=1","0.02954")</f>
        <v>0.02954</v>
      </c>
      <c r="H974" s="4" t="str">
        <f>HYPERLINK("http://141.218.60.56/~jnz1568/getInfo.php?workbook=02_02.xlsx&amp;sheet=U0&amp;row=974&amp;col=8&amp;number=4.301&amp;sourceID=29","4.301")</f>
        <v>4.301</v>
      </c>
      <c r="I974" s="4" t="str">
        <f>HYPERLINK("http://141.218.60.56/~jnz1568/getInfo.php?workbook=02_02.xlsx&amp;sheet=U0&amp;row=974&amp;col=9&amp;number=0.05367&amp;sourceID=1","0.05367")</f>
        <v>0.05367</v>
      </c>
    </row>
    <row r="975" spans="1:9">
      <c r="A975" s="3"/>
      <c r="B975" s="3"/>
      <c r="C975" s="3"/>
      <c r="D975" s="3"/>
      <c r="E975" s="3">
        <v>6</v>
      </c>
      <c r="F975" s="4" t="str">
        <f>HYPERLINK("http://141.218.60.56/~jnz1568/getInfo.php?workbook=02_02.xlsx&amp;sheet=U0&amp;row=975&amp;col=6&amp;number=5&amp;sourceID=28","5")</f>
        <v>5</v>
      </c>
      <c r="G975" s="4" t="str">
        <f>HYPERLINK("http://141.218.60.56/~jnz1568/getInfo.php?workbook=02_02.xlsx&amp;sheet=U0&amp;row=975&amp;col=7&amp;number=0.02341&amp;sourceID=1","0.02341")</f>
        <v>0.02341</v>
      </c>
      <c r="H975" s="4" t="str">
        <f>HYPERLINK("http://141.218.60.56/~jnz1568/getInfo.php?workbook=02_02.xlsx&amp;sheet=U0&amp;row=975&amp;col=8&amp;number=4.398&amp;sourceID=29","4.398")</f>
        <v>4.398</v>
      </c>
      <c r="I975" s="4" t="str">
        <f>HYPERLINK("http://141.218.60.56/~jnz1568/getInfo.php?workbook=02_02.xlsx&amp;sheet=U0&amp;row=975&amp;col=9&amp;number=0.05303&amp;sourceID=1","0.05303")</f>
        <v>0.05303</v>
      </c>
    </row>
    <row r="976" spans="1:9">
      <c r="A976" s="3"/>
      <c r="B976" s="3"/>
      <c r="C976" s="3"/>
      <c r="D976" s="3"/>
      <c r="E976" s="3">
        <v>7</v>
      </c>
      <c r="F976" s="4" t="str">
        <f>HYPERLINK("http://141.218.60.56/~jnz1568/getInfo.php?workbook=02_02.xlsx&amp;sheet=U0&amp;row=976&amp;col=6&amp;number=5.25&amp;sourceID=28","5.25")</f>
        <v>5.25</v>
      </c>
      <c r="G976" s="4" t="str">
        <f>HYPERLINK("http://141.218.60.56/~jnz1568/getInfo.php?workbook=02_02.xlsx&amp;sheet=U0&amp;row=976&amp;col=7&amp;number=0.01719&amp;sourceID=1","0.01719")</f>
        <v>0.01719</v>
      </c>
      <c r="H976" s="4" t="str">
        <f>HYPERLINK("http://141.218.60.56/~jnz1568/getInfo.php?workbook=02_02.xlsx&amp;sheet=U0&amp;row=976&amp;col=8&amp;number=4.477&amp;sourceID=29","4.477")</f>
        <v>4.477</v>
      </c>
      <c r="I976" s="4" t="str">
        <f>HYPERLINK("http://141.218.60.56/~jnz1568/getInfo.php?workbook=02_02.xlsx&amp;sheet=U0&amp;row=976&amp;col=9&amp;number=0.05183&amp;sourceID=1","0.05183")</f>
        <v>0.05183</v>
      </c>
    </row>
    <row r="977" spans="1:9">
      <c r="A977" s="3"/>
      <c r="B977" s="3"/>
      <c r="C977" s="3"/>
      <c r="D977" s="3"/>
      <c r="E977" s="3">
        <v>8</v>
      </c>
      <c r="F977" s="4" t="str">
        <f>HYPERLINK("http://141.218.60.56/~jnz1568/getInfo.php?workbook=02_02.xlsx&amp;sheet=U0&amp;row=977&amp;col=6&amp;number=5.5&amp;sourceID=28","5.5")</f>
        <v>5.5</v>
      </c>
      <c r="G977" s="4" t="str">
        <f>HYPERLINK("http://141.218.60.56/~jnz1568/getInfo.php?workbook=02_02.xlsx&amp;sheet=U0&amp;row=977&amp;col=7&amp;number=0.01175&amp;sourceID=1","0.01175")</f>
        <v>0.01175</v>
      </c>
      <c r="H977" s="4" t="str">
        <f>HYPERLINK("http://141.218.60.56/~jnz1568/getInfo.php?workbook=02_02.xlsx&amp;sheet=U0&amp;row=977&amp;col=8&amp;number=&amp;sourceID=29","")</f>
        <v/>
      </c>
      <c r="I977" s="4" t="str">
        <f>HYPERLINK("http://141.218.60.56/~jnz1568/getInfo.php?workbook=02_02.xlsx&amp;sheet=U0&amp;row=977&amp;col=9&amp;number=&amp;sourceID=1","")</f>
        <v/>
      </c>
    </row>
    <row r="978" spans="1:9">
      <c r="A978" s="3"/>
      <c r="B978" s="3"/>
      <c r="C978" s="3"/>
      <c r="D978" s="3"/>
      <c r="E978" s="3">
        <v>9</v>
      </c>
      <c r="F978" s="4" t="str">
        <f>HYPERLINK("http://141.218.60.56/~jnz1568/getInfo.php?workbook=02_02.xlsx&amp;sheet=U0&amp;row=978&amp;col=6&amp;number=5.75&amp;sourceID=28","5.75")</f>
        <v>5.75</v>
      </c>
      <c r="G978" s="4" t="str">
        <f>HYPERLINK("http://141.218.60.56/~jnz1568/getInfo.php?workbook=02_02.xlsx&amp;sheet=U0&amp;row=978&amp;col=7&amp;number=0.007577&amp;sourceID=1","0.007577")</f>
        <v>0.007577</v>
      </c>
      <c r="H978" s="4" t="str">
        <f>HYPERLINK("http://141.218.60.56/~jnz1568/getInfo.php?workbook=02_02.xlsx&amp;sheet=U0&amp;row=978&amp;col=8&amp;number=&amp;sourceID=29","")</f>
        <v/>
      </c>
      <c r="I978" s="4" t="str">
        <f>HYPERLINK("http://141.218.60.56/~jnz1568/getInfo.php?workbook=02_02.xlsx&amp;sheet=U0&amp;row=978&amp;col=9&amp;number=&amp;sourceID=1","")</f>
        <v/>
      </c>
    </row>
    <row r="979" spans="1:9">
      <c r="A979" s="3">
        <v>2</v>
      </c>
      <c r="B979" s="3">
        <v>2</v>
      </c>
      <c r="C979" s="3">
        <v>18</v>
      </c>
      <c r="D979" s="3">
        <v>3</v>
      </c>
      <c r="E979" s="3">
        <v>1</v>
      </c>
      <c r="F979" s="4" t="str">
        <f>HYPERLINK("http://141.218.60.56/~jnz1568/getInfo.php?workbook=02_02.xlsx&amp;sheet=U0&amp;row=979&amp;col=6&amp;number=3.75&amp;sourceID=28","3.75")</f>
        <v>3.75</v>
      </c>
      <c r="G979" s="4" t="str">
        <f>HYPERLINK("http://141.218.60.56/~jnz1568/getInfo.php?workbook=02_02.xlsx&amp;sheet=U0&amp;row=979&amp;col=7&amp;number=0.1837&amp;sourceID=1","0.1837")</f>
        <v>0.1837</v>
      </c>
      <c r="H979" s="4" t="str">
        <f>HYPERLINK("http://141.218.60.56/~jnz1568/getInfo.php?workbook=02_02.xlsx&amp;sheet=U0&amp;row=979&amp;col=8&amp;number=3.301&amp;sourceID=29","3.301")</f>
        <v>3.301</v>
      </c>
      <c r="I979" s="4" t="str">
        <f>HYPERLINK("http://141.218.60.56/~jnz1568/getInfo.php?workbook=02_02.xlsx&amp;sheet=U0&amp;row=979&amp;col=9&amp;number=0.09998&amp;sourceID=1","0.09998")</f>
        <v>0.09998</v>
      </c>
    </row>
    <row r="980" spans="1:9">
      <c r="A980" s="3"/>
      <c r="B980" s="3"/>
      <c r="C980" s="3"/>
      <c r="D980" s="3"/>
      <c r="E980" s="3">
        <v>2</v>
      </c>
      <c r="F980" s="4" t="str">
        <f>HYPERLINK("http://141.218.60.56/~jnz1568/getInfo.php?workbook=02_02.xlsx&amp;sheet=U0&amp;row=980&amp;col=6&amp;number=4&amp;sourceID=28","4")</f>
        <v>4</v>
      </c>
      <c r="G980" s="4" t="str">
        <f>HYPERLINK("http://141.218.60.56/~jnz1568/getInfo.php?workbook=02_02.xlsx&amp;sheet=U0&amp;row=980&amp;col=7&amp;number=0.223&amp;sourceID=1","0.223")</f>
        <v>0.223</v>
      </c>
      <c r="H980" s="4" t="str">
        <f>HYPERLINK("http://141.218.60.56/~jnz1568/getInfo.php?workbook=02_02.xlsx&amp;sheet=U0&amp;row=980&amp;col=8&amp;number=3.699&amp;sourceID=29","3.699")</f>
        <v>3.699</v>
      </c>
      <c r="I980" s="4" t="str">
        <f>HYPERLINK("http://141.218.60.56/~jnz1568/getInfo.php?workbook=02_02.xlsx&amp;sheet=U0&amp;row=980&amp;col=9&amp;number=0.1591&amp;sourceID=1","0.1591")</f>
        <v>0.1591</v>
      </c>
    </row>
    <row r="981" spans="1:9">
      <c r="A981" s="3"/>
      <c r="B981" s="3"/>
      <c r="C981" s="3"/>
      <c r="D981" s="3"/>
      <c r="E981" s="3">
        <v>3</v>
      </c>
      <c r="F981" s="4" t="str">
        <f>HYPERLINK("http://141.218.60.56/~jnz1568/getInfo.php?workbook=02_02.xlsx&amp;sheet=U0&amp;row=981&amp;col=6&amp;number=4.25&amp;sourceID=28","4.25")</f>
        <v>4.25</v>
      </c>
      <c r="G981" s="4" t="str">
        <f>HYPERLINK("http://141.218.60.56/~jnz1568/getInfo.php?workbook=02_02.xlsx&amp;sheet=U0&amp;row=981&amp;col=7&amp;number=0.2829&amp;sourceID=1","0.2829")</f>
        <v>0.2829</v>
      </c>
      <c r="H981" s="4" t="str">
        <f>HYPERLINK("http://141.218.60.56/~jnz1568/getInfo.php?workbook=02_02.xlsx&amp;sheet=U0&amp;row=981&amp;col=8&amp;number=4&amp;sourceID=29","4")</f>
        <v>4</v>
      </c>
      <c r="I981" s="4" t="str">
        <f>HYPERLINK("http://141.218.60.56/~jnz1568/getInfo.php?workbook=02_02.xlsx&amp;sheet=U0&amp;row=981&amp;col=9&amp;number=0.2584&amp;sourceID=1","0.2584")</f>
        <v>0.2584</v>
      </c>
    </row>
    <row r="982" spans="1:9">
      <c r="A982" s="3"/>
      <c r="B982" s="3"/>
      <c r="C982" s="3"/>
      <c r="D982" s="3"/>
      <c r="E982" s="3">
        <v>4</v>
      </c>
      <c r="F982" s="4" t="str">
        <f>HYPERLINK("http://141.218.60.56/~jnz1568/getInfo.php?workbook=02_02.xlsx&amp;sheet=U0&amp;row=982&amp;col=6&amp;number=4.5&amp;sourceID=28","4.5")</f>
        <v>4.5</v>
      </c>
      <c r="G982" s="4" t="str">
        <f>HYPERLINK("http://141.218.60.56/~jnz1568/getInfo.php?workbook=02_02.xlsx&amp;sheet=U0&amp;row=982&amp;col=7&amp;number=0.3657&amp;sourceID=1","0.3657")</f>
        <v>0.3657</v>
      </c>
      <c r="H982" s="4" t="str">
        <f>HYPERLINK("http://141.218.60.56/~jnz1568/getInfo.php?workbook=02_02.xlsx&amp;sheet=U0&amp;row=982&amp;col=8&amp;number=4.176&amp;sourceID=29","4.176")</f>
        <v>4.176</v>
      </c>
      <c r="I982" s="4" t="str">
        <f>HYPERLINK("http://141.218.60.56/~jnz1568/getInfo.php?workbook=02_02.xlsx&amp;sheet=U0&amp;row=982&amp;col=9&amp;number=0.34&amp;sourceID=1","0.34")</f>
        <v>0.34</v>
      </c>
    </row>
    <row r="983" spans="1:9">
      <c r="A983" s="3"/>
      <c r="B983" s="3"/>
      <c r="C983" s="3"/>
      <c r="D983" s="3"/>
      <c r="E983" s="3">
        <v>5</v>
      </c>
      <c r="F983" s="4" t="str">
        <f>HYPERLINK("http://141.218.60.56/~jnz1568/getInfo.php?workbook=02_02.xlsx&amp;sheet=U0&amp;row=983&amp;col=6&amp;number=4.75&amp;sourceID=28","4.75")</f>
        <v>4.75</v>
      </c>
      <c r="G983" s="4" t="str">
        <f>HYPERLINK("http://141.218.60.56/~jnz1568/getInfo.php?workbook=02_02.xlsx&amp;sheet=U0&amp;row=983&amp;col=7&amp;number=0.4717&amp;sourceID=1","0.4717")</f>
        <v>0.4717</v>
      </c>
      <c r="H983" s="4" t="str">
        <f>HYPERLINK("http://141.218.60.56/~jnz1568/getInfo.php?workbook=02_02.xlsx&amp;sheet=U0&amp;row=983&amp;col=8&amp;number=4.301&amp;sourceID=29","4.301")</f>
        <v>4.301</v>
      </c>
      <c r="I983" s="4" t="str">
        <f>HYPERLINK("http://141.218.60.56/~jnz1568/getInfo.php?workbook=02_02.xlsx&amp;sheet=U0&amp;row=983&amp;col=9&amp;number=0.3998&amp;sourceID=1","0.3998")</f>
        <v>0.3998</v>
      </c>
    </row>
    <row r="984" spans="1:9">
      <c r="A984" s="3"/>
      <c r="B984" s="3"/>
      <c r="C984" s="3"/>
      <c r="D984" s="3"/>
      <c r="E984" s="3">
        <v>6</v>
      </c>
      <c r="F984" s="4" t="str">
        <f>HYPERLINK("http://141.218.60.56/~jnz1568/getInfo.php?workbook=02_02.xlsx&amp;sheet=U0&amp;row=984&amp;col=6&amp;number=5&amp;sourceID=28","5")</f>
        <v>5</v>
      </c>
      <c r="G984" s="4" t="str">
        <f>HYPERLINK("http://141.218.60.56/~jnz1568/getInfo.php?workbook=02_02.xlsx&amp;sheet=U0&amp;row=984&amp;col=7&amp;number=0.5799&amp;sourceID=1","0.5799")</f>
        <v>0.5799</v>
      </c>
      <c r="H984" s="4" t="str">
        <f>HYPERLINK("http://141.218.60.56/~jnz1568/getInfo.php?workbook=02_02.xlsx&amp;sheet=U0&amp;row=984&amp;col=8&amp;number=4.398&amp;sourceID=29","4.398")</f>
        <v>4.398</v>
      </c>
      <c r="I984" s="4" t="str">
        <f>HYPERLINK("http://141.218.60.56/~jnz1568/getInfo.php?workbook=02_02.xlsx&amp;sheet=U0&amp;row=984&amp;col=9&amp;number=0.4413&amp;sourceID=1","0.4413")</f>
        <v>0.4413</v>
      </c>
    </row>
    <row r="985" spans="1:9">
      <c r="A985" s="3"/>
      <c r="B985" s="3"/>
      <c r="C985" s="3"/>
      <c r="D985" s="3"/>
      <c r="E985" s="3">
        <v>7</v>
      </c>
      <c r="F985" s="4" t="str">
        <f>HYPERLINK("http://141.218.60.56/~jnz1568/getInfo.php?workbook=02_02.xlsx&amp;sheet=U0&amp;row=985&amp;col=6&amp;number=5.25&amp;sourceID=28","5.25")</f>
        <v>5.25</v>
      </c>
      <c r="G985" s="4" t="str">
        <f>HYPERLINK("http://141.218.60.56/~jnz1568/getInfo.php?workbook=02_02.xlsx&amp;sheet=U0&amp;row=985&amp;col=7&amp;number=0.6564&amp;sourceID=1","0.6564")</f>
        <v>0.6564</v>
      </c>
      <c r="H985" s="4" t="str">
        <f>HYPERLINK("http://141.218.60.56/~jnz1568/getInfo.php?workbook=02_02.xlsx&amp;sheet=U0&amp;row=985&amp;col=8&amp;number=4.477&amp;sourceID=29","4.477")</f>
        <v>4.477</v>
      </c>
      <c r="I985" s="4" t="str">
        <f>HYPERLINK("http://141.218.60.56/~jnz1568/getInfo.php?workbook=02_02.xlsx&amp;sheet=U0&amp;row=985&amp;col=9&amp;number=0.4684&amp;sourceID=1","0.4684")</f>
        <v>0.4684</v>
      </c>
    </row>
    <row r="986" spans="1:9">
      <c r="A986" s="3"/>
      <c r="B986" s="3"/>
      <c r="C986" s="3"/>
      <c r="D986" s="3"/>
      <c r="E986" s="3">
        <v>8</v>
      </c>
      <c r="F986" s="4" t="str">
        <f>HYPERLINK("http://141.218.60.56/~jnz1568/getInfo.php?workbook=02_02.xlsx&amp;sheet=U0&amp;row=986&amp;col=6&amp;number=5.5&amp;sourceID=28","5.5")</f>
        <v>5.5</v>
      </c>
      <c r="G986" s="4" t="str">
        <f>HYPERLINK("http://141.218.60.56/~jnz1568/getInfo.php?workbook=02_02.xlsx&amp;sheet=U0&amp;row=986&amp;col=7&amp;number=0.6864&amp;sourceID=1","0.6864")</f>
        <v>0.6864</v>
      </c>
      <c r="H986" s="4" t="str">
        <f>HYPERLINK("http://141.218.60.56/~jnz1568/getInfo.php?workbook=02_02.xlsx&amp;sheet=U0&amp;row=986&amp;col=8&amp;number=&amp;sourceID=29","")</f>
        <v/>
      </c>
      <c r="I986" s="4" t="str">
        <f>HYPERLINK("http://141.218.60.56/~jnz1568/getInfo.php?workbook=02_02.xlsx&amp;sheet=U0&amp;row=986&amp;col=9&amp;number=&amp;sourceID=1","")</f>
        <v/>
      </c>
    </row>
    <row r="987" spans="1:9">
      <c r="A987" s="3"/>
      <c r="B987" s="3"/>
      <c r="C987" s="3"/>
      <c r="D987" s="3"/>
      <c r="E987" s="3">
        <v>9</v>
      </c>
      <c r="F987" s="4" t="str">
        <f>HYPERLINK("http://141.218.60.56/~jnz1568/getInfo.php?workbook=02_02.xlsx&amp;sheet=U0&amp;row=987&amp;col=6&amp;number=5.75&amp;sourceID=28","5.75")</f>
        <v>5.75</v>
      </c>
      <c r="G987" s="4" t="str">
        <f>HYPERLINK("http://141.218.60.56/~jnz1568/getInfo.php?workbook=02_02.xlsx&amp;sheet=U0&amp;row=987&amp;col=7&amp;number=0.6807&amp;sourceID=1","0.6807")</f>
        <v>0.6807</v>
      </c>
      <c r="H987" s="4" t="str">
        <f>HYPERLINK("http://141.218.60.56/~jnz1568/getInfo.php?workbook=02_02.xlsx&amp;sheet=U0&amp;row=987&amp;col=8&amp;number=&amp;sourceID=29","")</f>
        <v/>
      </c>
      <c r="I987" s="4" t="str">
        <f>HYPERLINK("http://141.218.60.56/~jnz1568/getInfo.php?workbook=02_02.xlsx&amp;sheet=U0&amp;row=987&amp;col=9&amp;number=&amp;sourceID=1","")</f>
        <v/>
      </c>
    </row>
    <row r="988" spans="1:9">
      <c r="A988" s="3">
        <v>2</v>
      </c>
      <c r="B988" s="3">
        <v>2</v>
      </c>
      <c r="C988" s="3">
        <v>18</v>
      </c>
      <c r="D988" s="3">
        <v>4</v>
      </c>
      <c r="E988" s="3">
        <v>1</v>
      </c>
      <c r="F988" s="4" t="str">
        <f>HYPERLINK("http://141.218.60.56/~jnz1568/getInfo.php?workbook=02_02.xlsx&amp;sheet=U0&amp;row=988&amp;col=6&amp;number=3.75&amp;sourceID=28","3.75")</f>
        <v>3.75</v>
      </c>
      <c r="G988" s="4" t="str">
        <f>HYPERLINK("http://141.218.60.56/~jnz1568/getInfo.php?workbook=02_02.xlsx&amp;sheet=U0&amp;row=988&amp;col=7&amp;number=0.2011&amp;sourceID=1","0.2011")</f>
        <v>0.2011</v>
      </c>
      <c r="H988" s="4" t="str">
        <f>HYPERLINK("http://141.218.60.56/~jnz1568/getInfo.php?workbook=02_02.xlsx&amp;sheet=U0&amp;row=988&amp;col=8&amp;number=3.301&amp;sourceID=29","3.301")</f>
        <v>3.301</v>
      </c>
      <c r="I988" s="4" t="str">
        <f>HYPERLINK("http://141.218.60.56/~jnz1568/getInfo.php?workbook=02_02.xlsx&amp;sheet=U0&amp;row=988&amp;col=9&amp;number=0.1273&amp;sourceID=1","0.1273")</f>
        <v>0.1273</v>
      </c>
    </row>
    <row r="989" spans="1:9">
      <c r="A989" s="3"/>
      <c r="B989" s="3"/>
      <c r="C989" s="3"/>
      <c r="D989" s="3"/>
      <c r="E989" s="3">
        <v>2</v>
      </c>
      <c r="F989" s="4" t="str">
        <f>HYPERLINK("http://141.218.60.56/~jnz1568/getInfo.php?workbook=02_02.xlsx&amp;sheet=U0&amp;row=989&amp;col=6&amp;number=4&amp;sourceID=28","4")</f>
        <v>4</v>
      </c>
      <c r="G989" s="4" t="str">
        <f>HYPERLINK("http://141.218.60.56/~jnz1568/getInfo.php?workbook=02_02.xlsx&amp;sheet=U0&amp;row=989&amp;col=7&amp;number=0.1921&amp;sourceID=1","0.1921")</f>
        <v>0.1921</v>
      </c>
      <c r="H989" s="4" t="str">
        <f>HYPERLINK("http://141.218.60.56/~jnz1568/getInfo.php?workbook=02_02.xlsx&amp;sheet=U0&amp;row=989&amp;col=8&amp;number=3.699&amp;sourceID=29","3.699")</f>
        <v>3.699</v>
      </c>
      <c r="I989" s="4" t="str">
        <f>HYPERLINK("http://141.218.60.56/~jnz1568/getInfo.php?workbook=02_02.xlsx&amp;sheet=U0&amp;row=989&amp;col=9&amp;number=0.1364&amp;sourceID=1","0.1364")</f>
        <v>0.1364</v>
      </c>
    </row>
    <row r="990" spans="1:9">
      <c r="A990" s="3"/>
      <c r="B990" s="3"/>
      <c r="C990" s="3"/>
      <c r="D990" s="3"/>
      <c r="E990" s="3">
        <v>3</v>
      </c>
      <c r="F990" s="4" t="str">
        <f>HYPERLINK("http://141.218.60.56/~jnz1568/getInfo.php?workbook=02_02.xlsx&amp;sheet=U0&amp;row=990&amp;col=6&amp;number=4.25&amp;sourceID=28","4.25")</f>
        <v>4.25</v>
      </c>
      <c r="G990" s="4" t="str">
        <f>HYPERLINK("http://141.218.60.56/~jnz1568/getInfo.php?workbook=02_02.xlsx&amp;sheet=U0&amp;row=990&amp;col=7&amp;number=0.183&amp;sourceID=1","0.183")</f>
        <v>0.183</v>
      </c>
      <c r="H990" s="4" t="str">
        <f>HYPERLINK("http://141.218.60.56/~jnz1568/getInfo.php?workbook=02_02.xlsx&amp;sheet=U0&amp;row=990&amp;col=8&amp;number=4&amp;sourceID=29","4")</f>
        <v>4</v>
      </c>
      <c r="I990" s="4" t="str">
        <f>HYPERLINK("http://141.218.60.56/~jnz1568/getInfo.php?workbook=02_02.xlsx&amp;sheet=U0&amp;row=990&amp;col=9&amp;number=0.1557&amp;sourceID=1","0.1557")</f>
        <v>0.1557</v>
      </c>
    </row>
    <row r="991" spans="1:9">
      <c r="A991" s="3"/>
      <c r="B991" s="3"/>
      <c r="C991" s="3"/>
      <c r="D991" s="3"/>
      <c r="E991" s="3">
        <v>4</v>
      </c>
      <c r="F991" s="4" t="str">
        <f>HYPERLINK("http://141.218.60.56/~jnz1568/getInfo.php?workbook=02_02.xlsx&amp;sheet=U0&amp;row=991&amp;col=6&amp;number=4.5&amp;sourceID=28","4.5")</f>
        <v>4.5</v>
      </c>
      <c r="G991" s="4" t="str">
        <f>HYPERLINK("http://141.218.60.56/~jnz1568/getInfo.php?workbook=02_02.xlsx&amp;sheet=U0&amp;row=991&amp;col=7&amp;number=0.1683&amp;sourceID=1","0.1683")</f>
        <v>0.1683</v>
      </c>
      <c r="H991" s="4" t="str">
        <f>HYPERLINK("http://141.218.60.56/~jnz1568/getInfo.php?workbook=02_02.xlsx&amp;sheet=U0&amp;row=991&amp;col=8&amp;number=4.176&amp;sourceID=29","4.176")</f>
        <v>4.176</v>
      </c>
      <c r="I991" s="4" t="str">
        <f>HYPERLINK("http://141.218.60.56/~jnz1568/getInfo.php?workbook=02_02.xlsx&amp;sheet=U0&amp;row=991&amp;col=9&amp;number=0.1693&amp;sourceID=1","0.1693")</f>
        <v>0.1693</v>
      </c>
    </row>
    <row r="992" spans="1:9">
      <c r="A992" s="3"/>
      <c r="B992" s="3"/>
      <c r="C992" s="3"/>
      <c r="D992" s="3"/>
      <c r="E992" s="3">
        <v>5</v>
      </c>
      <c r="F992" s="4" t="str">
        <f>HYPERLINK("http://141.218.60.56/~jnz1568/getInfo.php?workbook=02_02.xlsx&amp;sheet=U0&amp;row=992&amp;col=6&amp;number=4.75&amp;sourceID=28","4.75")</f>
        <v>4.75</v>
      </c>
      <c r="G992" s="4" t="str">
        <f>HYPERLINK("http://141.218.60.56/~jnz1568/getInfo.php?workbook=02_02.xlsx&amp;sheet=U0&amp;row=992&amp;col=7&amp;number=0.1458&amp;sourceID=1","0.1458")</f>
        <v>0.1458</v>
      </c>
      <c r="H992" s="4" t="str">
        <f>HYPERLINK("http://141.218.60.56/~jnz1568/getInfo.php?workbook=02_02.xlsx&amp;sheet=U0&amp;row=992&amp;col=8&amp;number=4.301&amp;sourceID=29","4.301")</f>
        <v>4.301</v>
      </c>
      <c r="I992" s="4" t="str">
        <f>HYPERLINK("http://141.218.60.56/~jnz1568/getInfo.php?workbook=02_02.xlsx&amp;sheet=U0&amp;row=992&amp;col=9&amp;number=0.1754&amp;sourceID=1","0.1754")</f>
        <v>0.1754</v>
      </c>
    </row>
    <row r="993" spans="1:9">
      <c r="A993" s="3"/>
      <c r="B993" s="3"/>
      <c r="C993" s="3"/>
      <c r="D993" s="3"/>
      <c r="E993" s="3">
        <v>6</v>
      </c>
      <c r="F993" s="4" t="str">
        <f>HYPERLINK("http://141.218.60.56/~jnz1568/getInfo.php?workbook=02_02.xlsx&amp;sheet=U0&amp;row=993&amp;col=6&amp;number=5&amp;sourceID=28","5")</f>
        <v>5</v>
      </c>
      <c r="G993" s="4" t="str">
        <f>HYPERLINK("http://141.218.60.56/~jnz1568/getInfo.php?workbook=02_02.xlsx&amp;sheet=U0&amp;row=993&amp;col=7&amp;number=0.117&amp;sourceID=1","0.117")</f>
        <v>0.117</v>
      </c>
      <c r="H993" s="4" t="str">
        <f>HYPERLINK("http://141.218.60.56/~jnz1568/getInfo.php?workbook=02_02.xlsx&amp;sheet=U0&amp;row=993&amp;col=8&amp;number=4.398&amp;sourceID=29","4.398")</f>
        <v>4.398</v>
      </c>
      <c r="I993" s="4" t="str">
        <f>HYPERLINK("http://141.218.60.56/~jnz1568/getInfo.php?workbook=02_02.xlsx&amp;sheet=U0&amp;row=993&amp;col=9&amp;number=0.1767&amp;sourceID=1","0.1767")</f>
        <v>0.1767</v>
      </c>
    </row>
    <row r="994" spans="1:9">
      <c r="A994" s="3"/>
      <c r="B994" s="3"/>
      <c r="C994" s="3"/>
      <c r="D994" s="3"/>
      <c r="E994" s="3">
        <v>7</v>
      </c>
      <c r="F994" s="4" t="str">
        <f>HYPERLINK("http://141.218.60.56/~jnz1568/getInfo.php?workbook=02_02.xlsx&amp;sheet=U0&amp;row=994&amp;col=6&amp;number=5.25&amp;sourceID=28","5.25")</f>
        <v>5.25</v>
      </c>
      <c r="G994" s="4" t="str">
        <f>HYPERLINK("http://141.218.60.56/~jnz1568/getInfo.php?workbook=02_02.xlsx&amp;sheet=U0&amp;row=994&amp;col=7&amp;number=0.08647&amp;sourceID=1","0.08647")</f>
        <v>0.08647</v>
      </c>
      <c r="H994" s="4" t="str">
        <f>HYPERLINK("http://141.218.60.56/~jnz1568/getInfo.php?workbook=02_02.xlsx&amp;sheet=U0&amp;row=994&amp;col=8&amp;number=4.477&amp;sourceID=29","4.477")</f>
        <v>4.477</v>
      </c>
      <c r="I994" s="4" t="str">
        <f>HYPERLINK("http://141.218.60.56/~jnz1568/getInfo.php?workbook=02_02.xlsx&amp;sheet=U0&amp;row=994&amp;col=9&amp;number=0.1751&amp;sourceID=1","0.1751")</f>
        <v>0.1751</v>
      </c>
    </row>
    <row r="995" spans="1:9">
      <c r="A995" s="3"/>
      <c r="B995" s="3"/>
      <c r="C995" s="3"/>
      <c r="D995" s="3"/>
      <c r="E995" s="3">
        <v>8</v>
      </c>
      <c r="F995" s="4" t="str">
        <f>HYPERLINK("http://141.218.60.56/~jnz1568/getInfo.php?workbook=02_02.xlsx&amp;sheet=U0&amp;row=995&amp;col=6&amp;number=5.5&amp;sourceID=28","5.5")</f>
        <v>5.5</v>
      </c>
      <c r="G995" s="4" t="str">
        <f>HYPERLINK("http://141.218.60.56/~jnz1568/getInfo.php?workbook=02_02.xlsx&amp;sheet=U0&amp;row=995&amp;col=7&amp;number=0.05919&amp;sourceID=1","0.05919")</f>
        <v>0.05919</v>
      </c>
      <c r="H995" s="4" t="str">
        <f>HYPERLINK("http://141.218.60.56/~jnz1568/getInfo.php?workbook=02_02.xlsx&amp;sheet=U0&amp;row=995&amp;col=8&amp;number=&amp;sourceID=29","")</f>
        <v/>
      </c>
      <c r="I995" s="4" t="str">
        <f>HYPERLINK("http://141.218.60.56/~jnz1568/getInfo.php?workbook=02_02.xlsx&amp;sheet=U0&amp;row=995&amp;col=9&amp;number=&amp;sourceID=1","")</f>
        <v/>
      </c>
    </row>
    <row r="996" spans="1:9">
      <c r="A996" s="3"/>
      <c r="B996" s="3"/>
      <c r="C996" s="3"/>
      <c r="D996" s="3"/>
      <c r="E996" s="3">
        <v>9</v>
      </c>
      <c r="F996" s="4" t="str">
        <f>HYPERLINK("http://141.218.60.56/~jnz1568/getInfo.php?workbook=02_02.xlsx&amp;sheet=U0&amp;row=996&amp;col=6&amp;number=5.75&amp;sourceID=28","5.75")</f>
        <v>5.75</v>
      </c>
      <c r="G996" s="4" t="str">
        <f>HYPERLINK("http://141.218.60.56/~jnz1568/getInfo.php?workbook=02_02.xlsx&amp;sheet=U0&amp;row=996&amp;col=7&amp;number=0.03814&amp;sourceID=1","0.03814")</f>
        <v>0.03814</v>
      </c>
      <c r="H996" s="4" t="str">
        <f>HYPERLINK("http://141.218.60.56/~jnz1568/getInfo.php?workbook=02_02.xlsx&amp;sheet=U0&amp;row=996&amp;col=8&amp;number=&amp;sourceID=29","")</f>
        <v/>
      </c>
      <c r="I996" s="4" t="str">
        <f>HYPERLINK("http://141.218.60.56/~jnz1568/getInfo.php?workbook=02_02.xlsx&amp;sheet=U0&amp;row=996&amp;col=9&amp;number=&amp;sourceID=1","")</f>
        <v/>
      </c>
    </row>
    <row r="997" spans="1:9">
      <c r="A997" s="3">
        <v>2</v>
      </c>
      <c r="B997" s="3">
        <v>2</v>
      </c>
      <c r="C997" s="3">
        <v>18</v>
      </c>
      <c r="D997" s="3">
        <v>5</v>
      </c>
      <c r="E997" s="3">
        <v>1</v>
      </c>
      <c r="F997" s="4" t="str">
        <f>HYPERLINK("http://141.218.60.56/~jnz1568/getInfo.php?workbook=02_02.xlsx&amp;sheet=U0&amp;row=997&amp;col=6&amp;number=&amp;sourceID=28","")</f>
        <v/>
      </c>
      <c r="G997" s="4" t="str">
        <f>HYPERLINK("http://141.218.60.56/~jnz1568/getInfo.php?workbook=02_02.xlsx&amp;sheet=U0&amp;row=997&amp;col=7&amp;number=&amp;sourceID=1","")</f>
        <v/>
      </c>
      <c r="H997" s="4" t="str">
        <f>HYPERLINK("http://141.218.60.56/~jnz1568/getInfo.php?workbook=02_02.xlsx&amp;sheet=U0&amp;row=997&amp;col=8&amp;number=3.301&amp;sourceID=29","3.301")</f>
        <v>3.301</v>
      </c>
      <c r="I997" s="4" t="str">
        <f>HYPERLINK("http://141.218.60.56/~jnz1568/getInfo.php?workbook=02_02.xlsx&amp;sheet=U0&amp;row=997&amp;col=9&amp;number=0.387&amp;sourceID=1","0.387")</f>
        <v>0.387</v>
      </c>
    </row>
    <row r="998" spans="1:9">
      <c r="A998" s="3"/>
      <c r="B998" s="3"/>
      <c r="C998" s="3"/>
      <c r="D998" s="3"/>
      <c r="E998" s="3">
        <v>2</v>
      </c>
      <c r="F998" s="4" t="str">
        <f>HYPERLINK("http://141.218.60.56/~jnz1568/getInfo.php?workbook=02_02.xlsx&amp;sheet=U0&amp;row=998&amp;col=6&amp;number=&amp;sourceID=28","")</f>
        <v/>
      </c>
      <c r="G998" s="4" t="str">
        <f>HYPERLINK("http://141.218.60.56/~jnz1568/getInfo.php?workbook=02_02.xlsx&amp;sheet=U0&amp;row=998&amp;col=7&amp;number=&amp;sourceID=1","")</f>
        <v/>
      </c>
      <c r="H998" s="4" t="str">
        <f>HYPERLINK("http://141.218.60.56/~jnz1568/getInfo.php?workbook=02_02.xlsx&amp;sheet=U0&amp;row=998&amp;col=8&amp;number=3.699&amp;sourceID=29","3.699")</f>
        <v>3.699</v>
      </c>
      <c r="I998" s="4" t="str">
        <f>HYPERLINK("http://141.218.60.56/~jnz1568/getInfo.php?workbook=02_02.xlsx&amp;sheet=U0&amp;row=998&amp;col=9&amp;number=0.5215&amp;sourceID=1","0.5215")</f>
        <v>0.5215</v>
      </c>
    </row>
    <row r="999" spans="1:9">
      <c r="A999" s="3"/>
      <c r="B999" s="3"/>
      <c r="C999" s="3"/>
      <c r="D999" s="3"/>
      <c r="E999" s="3">
        <v>3</v>
      </c>
      <c r="F999" s="4" t="str">
        <f>HYPERLINK("http://141.218.60.56/~jnz1568/getInfo.php?workbook=02_02.xlsx&amp;sheet=U0&amp;row=999&amp;col=6&amp;number=&amp;sourceID=28","")</f>
        <v/>
      </c>
      <c r="G999" s="4" t="str">
        <f>HYPERLINK("http://141.218.60.56/~jnz1568/getInfo.php?workbook=02_02.xlsx&amp;sheet=U0&amp;row=999&amp;col=7&amp;number=&amp;sourceID=1","")</f>
        <v/>
      </c>
      <c r="H999" s="4" t="str">
        <f>HYPERLINK("http://141.218.60.56/~jnz1568/getInfo.php?workbook=02_02.xlsx&amp;sheet=U0&amp;row=999&amp;col=8&amp;number=4&amp;sourceID=29","4")</f>
        <v>4</v>
      </c>
      <c r="I999" s="4" t="str">
        <f>HYPERLINK("http://141.218.60.56/~jnz1568/getInfo.php?workbook=02_02.xlsx&amp;sheet=U0&amp;row=999&amp;col=9&amp;number=0.8126&amp;sourceID=1","0.8126")</f>
        <v>0.8126</v>
      </c>
    </row>
    <row r="1000" spans="1:9">
      <c r="A1000" s="3"/>
      <c r="B1000" s="3"/>
      <c r="C1000" s="3"/>
      <c r="D1000" s="3"/>
      <c r="E1000" s="3">
        <v>4</v>
      </c>
      <c r="F1000" s="4" t="str">
        <f>HYPERLINK("http://141.218.60.56/~jnz1568/getInfo.php?workbook=02_02.xlsx&amp;sheet=U0&amp;row=1000&amp;col=6&amp;number=&amp;sourceID=28","")</f>
        <v/>
      </c>
      <c r="G1000" s="4" t="str">
        <f>HYPERLINK("http://141.218.60.56/~jnz1568/getInfo.php?workbook=02_02.xlsx&amp;sheet=U0&amp;row=1000&amp;col=7&amp;number=&amp;sourceID=1","")</f>
        <v/>
      </c>
      <c r="H1000" s="4" t="str">
        <f>HYPERLINK("http://141.218.60.56/~jnz1568/getInfo.php?workbook=02_02.xlsx&amp;sheet=U0&amp;row=1000&amp;col=8&amp;number=4.176&amp;sourceID=29","4.176")</f>
        <v>4.176</v>
      </c>
      <c r="I1000" s="4" t="str">
        <f>HYPERLINK("http://141.218.60.56/~jnz1568/getInfo.php?workbook=02_02.xlsx&amp;sheet=U0&amp;row=1000&amp;col=9&amp;number=1.113&amp;sourceID=1","1.113")</f>
        <v>1.113</v>
      </c>
    </row>
    <row r="1001" spans="1:9">
      <c r="A1001" s="3"/>
      <c r="B1001" s="3"/>
      <c r="C1001" s="3"/>
      <c r="D1001" s="3"/>
      <c r="E1001" s="3">
        <v>5</v>
      </c>
      <c r="F1001" s="4" t="str">
        <f>HYPERLINK("http://141.218.60.56/~jnz1568/getInfo.php?workbook=02_02.xlsx&amp;sheet=U0&amp;row=1001&amp;col=6&amp;number=&amp;sourceID=28","")</f>
        <v/>
      </c>
      <c r="G1001" s="4" t="str">
        <f>HYPERLINK("http://141.218.60.56/~jnz1568/getInfo.php?workbook=02_02.xlsx&amp;sheet=U0&amp;row=1001&amp;col=7&amp;number=&amp;sourceID=1","")</f>
        <v/>
      </c>
      <c r="H1001" s="4" t="str">
        <f>HYPERLINK("http://141.218.60.56/~jnz1568/getInfo.php?workbook=02_02.xlsx&amp;sheet=U0&amp;row=1001&amp;col=8&amp;number=4.301&amp;sourceID=29","4.301")</f>
        <v>4.301</v>
      </c>
      <c r="I1001" s="4" t="str">
        <f>HYPERLINK("http://141.218.60.56/~jnz1568/getInfo.php?workbook=02_02.xlsx&amp;sheet=U0&amp;row=1001&amp;col=9&amp;number=1.371&amp;sourceID=1","1.371")</f>
        <v>1.371</v>
      </c>
    </row>
    <row r="1002" spans="1:9">
      <c r="A1002" s="3"/>
      <c r="B1002" s="3"/>
      <c r="C1002" s="3"/>
      <c r="D1002" s="3"/>
      <c r="E1002" s="3">
        <v>6</v>
      </c>
      <c r="F1002" s="4" t="str">
        <f>HYPERLINK("http://141.218.60.56/~jnz1568/getInfo.php?workbook=02_02.xlsx&amp;sheet=U0&amp;row=1002&amp;col=6&amp;number=&amp;sourceID=28","")</f>
        <v/>
      </c>
      <c r="G1002" s="4" t="str">
        <f>HYPERLINK("http://141.218.60.56/~jnz1568/getInfo.php?workbook=02_02.xlsx&amp;sheet=U0&amp;row=1002&amp;col=7&amp;number=&amp;sourceID=1","")</f>
        <v/>
      </c>
      <c r="H1002" s="4" t="str">
        <f>HYPERLINK("http://141.218.60.56/~jnz1568/getInfo.php?workbook=02_02.xlsx&amp;sheet=U0&amp;row=1002&amp;col=8&amp;number=4.398&amp;sourceID=29","4.398")</f>
        <v>4.398</v>
      </c>
      <c r="I1002" s="4" t="str">
        <f>HYPERLINK("http://141.218.60.56/~jnz1568/getInfo.php?workbook=02_02.xlsx&amp;sheet=U0&amp;row=1002&amp;col=9&amp;number=1.576&amp;sourceID=1","1.576")</f>
        <v>1.576</v>
      </c>
    </row>
    <row r="1003" spans="1:9">
      <c r="A1003" s="3"/>
      <c r="B1003" s="3"/>
      <c r="C1003" s="3"/>
      <c r="D1003" s="3"/>
      <c r="E1003" s="3">
        <v>7</v>
      </c>
      <c r="F1003" s="4" t="str">
        <f>HYPERLINK("http://141.218.60.56/~jnz1568/getInfo.php?workbook=02_02.xlsx&amp;sheet=U0&amp;row=1003&amp;col=6&amp;number=&amp;sourceID=28","")</f>
        <v/>
      </c>
      <c r="G1003" s="4" t="str">
        <f>HYPERLINK("http://141.218.60.56/~jnz1568/getInfo.php?workbook=02_02.xlsx&amp;sheet=U0&amp;row=1003&amp;col=7&amp;number=&amp;sourceID=1","")</f>
        <v/>
      </c>
      <c r="H1003" s="4" t="str">
        <f>HYPERLINK("http://141.218.60.56/~jnz1568/getInfo.php?workbook=02_02.xlsx&amp;sheet=U0&amp;row=1003&amp;col=8&amp;number=4.477&amp;sourceID=29","4.477")</f>
        <v>4.477</v>
      </c>
      <c r="I1003" s="4" t="str">
        <f>HYPERLINK("http://141.218.60.56/~jnz1568/getInfo.php?workbook=02_02.xlsx&amp;sheet=U0&amp;row=1003&amp;col=9&amp;number=1.729&amp;sourceID=1","1.729")</f>
        <v>1.729</v>
      </c>
    </row>
    <row r="1004" spans="1:9">
      <c r="A1004" s="3">
        <v>2</v>
      </c>
      <c r="B1004" s="3">
        <v>2</v>
      </c>
      <c r="C1004" s="3">
        <v>18</v>
      </c>
      <c r="D1004" s="3">
        <v>6</v>
      </c>
      <c r="E1004" s="3">
        <v>1</v>
      </c>
      <c r="F1004" s="4" t="str">
        <f>HYPERLINK("http://141.218.60.56/~jnz1568/getInfo.php?workbook=02_02.xlsx&amp;sheet=U0&amp;row=1004&amp;col=6&amp;number=&amp;sourceID=28","")</f>
        <v/>
      </c>
      <c r="G1004" s="4" t="str">
        <f>HYPERLINK("http://141.218.60.56/~jnz1568/getInfo.php?workbook=02_02.xlsx&amp;sheet=U0&amp;row=1004&amp;col=7&amp;number=&amp;sourceID=1","")</f>
        <v/>
      </c>
      <c r="H1004" s="4" t="str">
        <f>HYPERLINK("http://141.218.60.56/~jnz1568/getInfo.php?workbook=02_02.xlsx&amp;sheet=U0&amp;row=1004&amp;col=8&amp;number=3.301&amp;sourceID=29","3.301")</f>
        <v>3.301</v>
      </c>
      <c r="I1004" s="4" t="str">
        <f>HYPERLINK("http://141.218.60.56/~jnz1568/getInfo.php?workbook=02_02.xlsx&amp;sheet=U0&amp;row=1004&amp;col=9&amp;number=0.6866&amp;sourceID=1","0.6866")</f>
        <v>0.6866</v>
      </c>
    </row>
    <row r="1005" spans="1:9">
      <c r="A1005" s="3"/>
      <c r="B1005" s="3"/>
      <c r="C1005" s="3"/>
      <c r="D1005" s="3"/>
      <c r="E1005" s="3">
        <v>2</v>
      </c>
      <c r="F1005" s="4" t="str">
        <f>HYPERLINK("http://141.218.60.56/~jnz1568/getInfo.php?workbook=02_02.xlsx&amp;sheet=U0&amp;row=1005&amp;col=6&amp;number=&amp;sourceID=28","")</f>
        <v/>
      </c>
      <c r="G1005" s="4" t="str">
        <f>HYPERLINK("http://141.218.60.56/~jnz1568/getInfo.php?workbook=02_02.xlsx&amp;sheet=U0&amp;row=1005&amp;col=7&amp;number=&amp;sourceID=1","")</f>
        <v/>
      </c>
      <c r="H1005" s="4" t="str">
        <f>HYPERLINK("http://141.218.60.56/~jnz1568/getInfo.php?workbook=02_02.xlsx&amp;sheet=U0&amp;row=1005&amp;col=8&amp;number=3.699&amp;sourceID=29","3.699")</f>
        <v>3.699</v>
      </c>
      <c r="I1005" s="4" t="str">
        <f>HYPERLINK("http://141.218.60.56/~jnz1568/getInfo.php?workbook=02_02.xlsx&amp;sheet=U0&amp;row=1005&amp;col=9&amp;number=0.9257&amp;sourceID=1","0.9257")</f>
        <v>0.9257</v>
      </c>
    </row>
    <row r="1006" spans="1:9">
      <c r="A1006" s="3"/>
      <c r="B1006" s="3"/>
      <c r="C1006" s="3"/>
      <c r="D1006" s="3"/>
      <c r="E1006" s="3">
        <v>3</v>
      </c>
      <c r="F1006" s="4" t="str">
        <f>HYPERLINK("http://141.218.60.56/~jnz1568/getInfo.php?workbook=02_02.xlsx&amp;sheet=U0&amp;row=1006&amp;col=6&amp;number=&amp;sourceID=28","")</f>
        <v/>
      </c>
      <c r="G1006" s="4" t="str">
        <f>HYPERLINK("http://141.218.60.56/~jnz1568/getInfo.php?workbook=02_02.xlsx&amp;sheet=U0&amp;row=1006&amp;col=7&amp;number=&amp;sourceID=1","")</f>
        <v/>
      </c>
      <c r="H1006" s="4" t="str">
        <f>HYPERLINK("http://141.218.60.56/~jnz1568/getInfo.php?workbook=02_02.xlsx&amp;sheet=U0&amp;row=1006&amp;col=8&amp;number=4&amp;sourceID=29","4")</f>
        <v>4</v>
      </c>
      <c r="I1006" s="4" t="str">
        <f>HYPERLINK("http://141.218.60.56/~jnz1568/getInfo.php?workbook=02_02.xlsx&amp;sheet=U0&amp;row=1006&amp;col=9&amp;number=1.076&amp;sourceID=1","1.076")</f>
        <v>1.076</v>
      </c>
    </row>
    <row r="1007" spans="1:9">
      <c r="A1007" s="3"/>
      <c r="B1007" s="3"/>
      <c r="C1007" s="3"/>
      <c r="D1007" s="3"/>
      <c r="E1007" s="3">
        <v>4</v>
      </c>
      <c r="F1007" s="4" t="str">
        <f>HYPERLINK("http://141.218.60.56/~jnz1568/getInfo.php?workbook=02_02.xlsx&amp;sheet=U0&amp;row=1007&amp;col=6&amp;number=&amp;sourceID=28","")</f>
        <v/>
      </c>
      <c r="G1007" s="4" t="str">
        <f>HYPERLINK("http://141.218.60.56/~jnz1568/getInfo.php?workbook=02_02.xlsx&amp;sheet=U0&amp;row=1007&amp;col=7&amp;number=&amp;sourceID=1","")</f>
        <v/>
      </c>
      <c r="H1007" s="4" t="str">
        <f>HYPERLINK("http://141.218.60.56/~jnz1568/getInfo.php?workbook=02_02.xlsx&amp;sheet=U0&amp;row=1007&amp;col=8&amp;number=4.176&amp;sourceID=29","4.176")</f>
        <v>4.176</v>
      </c>
      <c r="I1007" s="4" t="str">
        <f>HYPERLINK("http://141.218.60.56/~jnz1568/getInfo.php?workbook=02_02.xlsx&amp;sheet=U0&amp;row=1007&amp;col=9&amp;number=1.098&amp;sourceID=1","1.098")</f>
        <v>1.098</v>
      </c>
    </row>
    <row r="1008" spans="1:9">
      <c r="A1008" s="3"/>
      <c r="B1008" s="3"/>
      <c r="C1008" s="3"/>
      <c r="D1008" s="3"/>
      <c r="E1008" s="3">
        <v>5</v>
      </c>
      <c r="F1008" s="4" t="str">
        <f>HYPERLINK("http://141.218.60.56/~jnz1568/getInfo.php?workbook=02_02.xlsx&amp;sheet=U0&amp;row=1008&amp;col=6&amp;number=&amp;sourceID=28","")</f>
        <v/>
      </c>
      <c r="G1008" s="4" t="str">
        <f>HYPERLINK("http://141.218.60.56/~jnz1568/getInfo.php?workbook=02_02.xlsx&amp;sheet=U0&amp;row=1008&amp;col=7&amp;number=&amp;sourceID=1","")</f>
        <v/>
      </c>
      <c r="H1008" s="4" t="str">
        <f>HYPERLINK("http://141.218.60.56/~jnz1568/getInfo.php?workbook=02_02.xlsx&amp;sheet=U0&amp;row=1008&amp;col=8&amp;number=4.301&amp;sourceID=29","4.301")</f>
        <v>4.301</v>
      </c>
      <c r="I1008" s="4" t="str">
        <f>HYPERLINK("http://141.218.60.56/~jnz1568/getInfo.php?workbook=02_02.xlsx&amp;sheet=U0&amp;row=1008&amp;col=9&amp;number=1.068&amp;sourceID=1","1.068")</f>
        <v>1.068</v>
      </c>
    </row>
    <row r="1009" spans="1:9">
      <c r="A1009" s="3"/>
      <c r="B1009" s="3"/>
      <c r="C1009" s="3"/>
      <c r="D1009" s="3"/>
      <c r="E1009" s="3">
        <v>6</v>
      </c>
      <c r="F1009" s="4" t="str">
        <f>HYPERLINK("http://141.218.60.56/~jnz1568/getInfo.php?workbook=02_02.xlsx&amp;sheet=U0&amp;row=1009&amp;col=6&amp;number=&amp;sourceID=28","")</f>
        <v/>
      </c>
      <c r="G1009" s="4" t="str">
        <f>HYPERLINK("http://141.218.60.56/~jnz1568/getInfo.php?workbook=02_02.xlsx&amp;sheet=U0&amp;row=1009&amp;col=7&amp;number=&amp;sourceID=1","")</f>
        <v/>
      </c>
      <c r="H1009" s="4" t="str">
        <f>HYPERLINK("http://141.218.60.56/~jnz1568/getInfo.php?workbook=02_02.xlsx&amp;sheet=U0&amp;row=1009&amp;col=8&amp;number=4.398&amp;sourceID=29","4.398")</f>
        <v>4.398</v>
      </c>
      <c r="I1009" s="4" t="str">
        <f>HYPERLINK("http://141.218.60.56/~jnz1568/getInfo.php?workbook=02_02.xlsx&amp;sheet=U0&amp;row=1009&amp;col=9&amp;number=1.02&amp;sourceID=1","1.02")</f>
        <v>1.02</v>
      </c>
    </row>
    <row r="1010" spans="1:9">
      <c r="A1010" s="3"/>
      <c r="B1010" s="3"/>
      <c r="C1010" s="3"/>
      <c r="D1010" s="3"/>
      <c r="E1010" s="3">
        <v>7</v>
      </c>
      <c r="F1010" s="4" t="str">
        <f>HYPERLINK("http://141.218.60.56/~jnz1568/getInfo.php?workbook=02_02.xlsx&amp;sheet=U0&amp;row=1010&amp;col=6&amp;number=&amp;sourceID=28","")</f>
        <v/>
      </c>
      <c r="G1010" s="4" t="str">
        <f>HYPERLINK("http://141.218.60.56/~jnz1568/getInfo.php?workbook=02_02.xlsx&amp;sheet=U0&amp;row=1010&amp;col=7&amp;number=&amp;sourceID=1","")</f>
        <v/>
      </c>
      <c r="H1010" s="4" t="str">
        <f>HYPERLINK("http://141.218.60.56/~jnz1568/getInfo.php?workbook=02_02.xlsx&amp;sheet=U0&amp;row=1010&amp;col=8&amp;number=4.477&amp;sourceID=29","4.477")</f>
        <v>4.477</v>
      </c>
      <c r="I1010" s="4" t="str">
        <f>HYPERLINK("http://141.218.60.56/~jnz1568/getInfo.php?workbook=02_02.xlsx&amp;sheet=U0&amp;row=1010&amp;col=9&amp;number=0.9669&amp;sourceID=1","0.9669")</f>
        <v>0.9669</v>
      </c>
    </row>
    <row r="1011" spans="1:9">
      <c r="A1011" s="3">
        <v>2</v>
      </c>
      <c r="B1011" s="3">
        <v>2</v>
      </c>
      <c r="C1011" s="3">
        <v>18</v>
      </c>
      <c r="D1011" s="3">
        <v>7</v>
      </c>
      <c r="E1011" s="3">
        <v>1</v>
      </c>
      <c r="F1011" s="4" t="str">
        <f>HYPERLINK("http://141.218.60.56/~jnz1568/getInfo.php?workbook=02_02.xlsx&amp;sheet=U0&amp;row=1011&amp;col=6&amp;number=&amp;sourceID=28","")</f>
        <v/>
      </c>
      <c r="G1011" s="4" t="str">
        <f>HYPERLINK("http://141.218.60.56/~jnz1568/getInfo.php?workbook=02_02.xlsx&amp;sheet=U0&amp;row=1011&amp;col=7&amp;number=&amp;sourceID=1","")</f>
        <v/>
      </c>
      <c r="H1011" s="4" t="str">
        <f>HYPERLINK("http://141.218.60.56/~jnz1568/getInfo.php?workbook=02_02.xlsx&amp;sheet=U0&amp;row=1011&amp;col=8&amp;number=3.301&amp;sourceID=29","3.301")</f>
        <v>3.301</v>
      </c>
      <c r="I1011" s="4" t="str">
        <f>HYPERLINK("http://141.218.60.56/~jnz1568/getInfo.php?workbook=02_02.xlsx&amp;sheet=U0&amp;row=1011&amp;col=9&amp;number=1.49&amp;sourceID=1","1.49")</f>
        <v>1.49</v>
      </c>
    </row>
    <row r="1012" spans="1:9">
      <c r="A1012" s="3"/>
      <c r="B1012" s="3"/>
      <c r="C1012" s="3"/>
      <c r="D1012" s="3"/>
      <c r="E1012" s="3">
        <v>2</v>
      </c>
      <c r="F1012" s="4" t="str">
        <f>HYPERLINK("http://141.218.60.56/~jnz1568/getInfo.php?workbook=02_02.xlsx&amp;sheet=U0&amp;row=1012&amp;col=6&amp;number=&amp;sourceID=28","")</f>
        <v/>
      </c>
      <c r="G1012" s="4" t="str">
        <f>HYPERLINK("http://141.218.60.56/~jnz1568/getInfo.php?workbook=02_02.xlsx&amp;sheet=U0&amp;row=1012&amp;col=7&amp;number=&amp;sourceID=1","")</f>
        <v/>
      </c>
      <c r="H1012" s="4" t="str">
        <f>HYPERLINK("http://141.218.60.56/~jnz1568/getInfo.php?workbook=02_02.xlsx&amp;sheet=U0&amp;row=1012&amp;col=8&amp;number=3.699&amp;sourceID=29","3.699")</f>
        <v>3.699</v>
      </c>
      <c r="I1012" s="4" t="str">
        <f>HYPERLINK("http://141.218.60.56/~jnz1568/getInfo.php?workbook=02_02.xlsx&amp;sheet=U0&amp;row=1012&amp;col=9&amp;number=2.628&amp;sourceID=1","2.628")</f>
        <v>2.628</v>
      </c>
    </row>
    <row r="1013" spans="1:9">
      <c r="A1013" s="3"/>
      <c r="B1013" s="3"/>
      <c r="C1013" s="3"/>
      <c r="D1013" s="3"/>
      <c r="E1013" s="3">
        <v>3</v>
      </c>
      <c r="F1013" s="4" t="str">
        <f>HYPERLINK("http://141.218.60.56/~jnz1568/getInfo.php?workbook=02_02.xlsx&amp;sheet=U0&amp;row=1013&amp;col=6&amp;number=&amp;sourceID=28","")</f>
        <v/>
      </c>
      <c r="G1013" s="4" t="str">
        <f>HYPERLINK("http://141.218.60.56/~jnz1568/getInfo.php?workbook=02_02.xlsx&amp;sheet=U0&amp;row=1013&amp;col=7&amp;number=&amp;sourceID=1","")</f>
        <v/>
      </c>
      <c r="H1013" s="4" t="str">
        <f>HYPERLINK("http://141.218.60.56/~jnz1568/getInfo.php?workbook=02_02.xlsx&amp;sheet=U0&amp;row=1013&amp;col=8&amp;number=4&amp;sourceID=29","4")</f>
        <v>4</v>
      </c>
      <c r="I1013" s="4" t="str">
        <f>HYPERLINK("http://141.218.60.56/~jnz1568/getInfo.php?workbook=02_02.xlsx&amp;sheet=U0&amp;row=1013&amp;col=9&amp;number=4.159&amp;sourceID=1","4.159")</f>
        <v>4.159</v>
      </c>
    </row>
    <row r="1014" spans="1:9">
      <c r="A1014" s="3"/>
      <c r="B1014" s="3"/>
      <c r="C1014" s="3"/>
      <c r="D1014" s="3"/>
      <c r="E1014" s="3">
        <v>4</v>
      </c>
      <c r="F1014" s="4" t="str">
        <f>HYPERLINK("http://141.218.60.56/~jnz1568/getInfo.php?workbook=02_02.xlsx&amp;sheet=U0&amp;row=1014&amp;col=6&amp;number=&amp;sourceID=28","")</f>
        <v/>
      </c>
      <c r="G1014" s="4" t="str">
        <f>HYPERLINK("http://141.218.60.56/~jnz1568/getInfo.php?workbook=02_02.xlsx&amp;sheet=U0&amp;row=1014&amp;col=7&amp;number=&amp;sourceID=1","")</f>
        <v/>
      </c>
      <c r="H1014" s="4" t="str">
        <f>HYPERLINK("http://141.218.60.56/~jnz1568/getInfo.php?workbook=02_02.xlsx&amp;sheet=U0&amp;row=1014&amp;col=8&amp;number=4.176&amp;sourceID=29","4.176")</f>
        <v>4.176</v>
      </c>
      <c r="I1014" s="4" t="str">
        <f>HYPERLINK("http://141.218.60.56/~jnz1568/getInfo.php?workbook=02_02.xlsx&amp;sheet=U0&amp;row=1014&amp;col=9&amp;number=5.305&amp;sourceID=1","5.305")</f>
        <v>5.305</v>
      </c>
    </row>
    <row r="1015" spans="1:9">
      <c r="A1015" s="3"/>
      <c r="B1015" s="3"/>
      <c r="C1015" s="3"/>
      <c r="D1015" s="3"/>
      <c r="E1015" s="3">
        <v>5</v>
      </c>
      <c r="F1015" s="4" t="str">
        <f>HYPERLINK("http://141.218.60.56/~jnz1568/getInfo.php?workbook=02_02.xlsx&amp;sheet=U0&amp;row=1015&amp;col=6&amp;number=&amp;sourceID=28","")</f>
        <v/>
      </c>
      <c r="G1015" s="4" t="str">
        <f>HYPERLINK("http://141.218.60.56/~jnz1568/getInfo.php?workbook=02_02.xlsx&amp;sheet=U0&amp;row=1015&amp;col=7&amp;number=&amp;sourceID=1","")</f>
        <v/>
      </c>
      <c r="H1015" s="4" t="str">
        <f>HYPERLINK("http://141.218.60.56/~jnz1568/getInfo.php?workbook=02_02.xlsx&amp;sheet=U0&amp;row=1015&amp;col=8&amp;number=4.301&amp;sourceID=29","4.301")</f>
        <v>4.301</v>
      </c>
      <c r="I1015" s="4" t="str">
        <f>HYPERLINK("http://141.218.60.56/~jnz1568/getInfo.php?workbook=02_02.xlsx&amp;sheet=U0&amp;row=1015&amp;col=9&amp;number=6.087&amp;sourceID=1","6.087")</f>
        <v>6.087</v>
      </c>
    </row>
    <row r="1016" spans="1:9">
      <c r="A1016" s="3"/>
      <c r="B1016" s="3"/>
      <c r="C1016" s="3"/>
      <c r="D1016" s="3"/>
      <c r="E1016" s="3">
        <v>6</v>
      </c>
      <c r="F1016" s="4" t="str">
        <f>HYPERLINK("http://141.218.60.56/~jnz1568/getInfo.php?workbook=02_02.xlsx&amp;sheet=U0&amp;row=1016&amp;col=6&amp;number=&amp;sourceID=28","")</f>
        <v/>
      </c>
      <c r="G1016" s="4" t="str">
        <f>HYPERLINK("http://141.218.60.56/~jnz1568/getInfo.php?workbook=02_02.xlsx&amp;sheet=U0&amp;row=1016&amp;col=7&amp;number=&amp;sourceID=1","")</f>
        <v/>
      </c>
      <c r="H1016" s="4" t="str">
        <f>HYPERLINK("http://141.218.60.56/~jnz1568/getInfo.php?workbook=02_02.xlsx&amp;sheet=U0&amp;row=1016&amp;col=8&amp;number=4.398&amp;sourceID=29","4.398")</f>
        <v>4.398</v>
      </c>
      <c r="I1016" s="4" t="str">
        <f>HYPERLINK("http://141.218.60.56/~jnz1568/getInfo.php?workbook=02_02.xlsx&amp;sheet=U0&amp;row=1016&amp;col=9&amp;number=6.588&amp;sourceID=1","6.588")</f>
        <v>6.588</v>
      </c>
    </row>
    <row r="1017" spans="1:9">
      <c r="A1017" s="3"/>
      <c r="B1017" s="3"/>
      <c r="C1017" s="3"/>
      <c r="D1017" s="3"/>
      <c r="E1017" s="3">
        <v>7</v>
      </c>
      <c r="F1017" s="4" t="str">
        <f>HYPERLINK("http://141.218.60.56/~jnz1568/getInfo.php?workbook=02_02.xlsx&amp;sheet=U0&amp;row=1017&amp;col=6&amp;number=&amp;sourceID=28","")</f>
        <v/>
      </c>
      <c r="G1017" s="4" t="str">
        <f>HYPERLINK("http://141.218.60.56/~jnz1568/getInfo.php?workbook=02_02.xlsx&amp;sheet=U0&amp;row=1017&amp;col=7&amp;number=&amp;sourceID=1","")</f>
        <v/>
      </c>
      <c r="H1017" s="4" t="str">
        <f>HYPERLINK("http://141.218.60.56/~jnz1568/getInfo.php?workbook=02_02.xlsx&amp;sheet=U0&amp;row=1017&amp;col=8&amp;number=4.477&amp;sourceID=29","4.477")</f>
        <v>4.477</v>
      </c>
      <c r="I1017" s="4" t="str">
        <f>HYPERLINK("http://141.218.60.56/~jnz1568/getInfo.php?workbook=02_02.xlsx&amp;sheet=U0&amp;row=1017&amp;col=9&amp;number=6.884&amp;sourceID=1","6.884")</f>
        <v>6.884</v>
      </c>
    </row>
    <row r="1018" spans="1:9">
      <c r="A1018" s="3">
        <v>2</v>
      </c>
      <c r="B1018" s="3">
        <v>2</v>
      </c>
      <c r="C1018" s="3">
        <v>18</v>
      </c>
      <c r="D1018" s="3">
        <v>8</v>
      </c>
      <c r="E1018" s="3">
        <v>1</v>
      </c>
      <c r="F1018" s="4" t="str">
        <f>HYPERLINK("http://141.218.60.56/~jnz1568/getInfo.php?workbook=02_02.xlsx&amp;sheet=U0&amp;row=1018&amp;col=6&amp;number=&amp;sourceID=28","")</f>
        <v/>
      </c>
      <c r="G1018" s="4" t="str">
        <f>HYPERLINK("http://141.218.60.56/~jnz1568/getInfo.php?workbook=02_02.xlsx&amp;sheet=U0&amp;row=1018&amp;col=7&amp;number=&amp;sourceID=1","")</f>
        <v/>
      </c>
      <c r="H1018" s="4" t="str">
        <f>HYPERLINK("http://141.218.60.56/~jnz1568/getInfo.php?workbook=02_02.xlsx&amp;sheet=U0&amp;row=1018&amp;col=8&amp;number=3.301&amp;sourceID=29","3.301")</f>
        <v>3.301</v>
      </c>
      <c r="I1018" s="4" t="str">
        <f>HYPERLINK("http://141.218.60.56/~jnz1568/getInfo.php?workbook=02_02.xlsx&amp;sheet=U0&amp;row=1018&amp;col=9&amp;number=1.269&amp;sourceID=1","1.269")</f>
        <v>1.269</v>
      </c>
    </row>
    <row r="1019" spans="1:9">
      <c r="A1019" s="3"/>
      <c r="B1019" s="3"/>
      <c r="C1019" s="3"/>
      <c r="D1019" s="3"/>
      <c r="E1019" s="3">
        <v>2</v>
      </c>
      <c r="F1019" s="4" t="str">
        <f>HYPERLINK("http://141.218.60.56/~jnz1568/getInfo.php?workbook=02_02.xlsx&amp;sheet=U0&amp;row=1019&amp;col=6&amp;number=&amp;sourceID=28","")</f>
        <v/>
      </c>
      <c r="G1019" s="4" t="str">
        <f>HYPERLINK("http://141.218.60.56/~jnz1568/getInfo.php?workbook=02_02.xlsx&amp;sheet=U0&amp;row=1019&amp;col=7&amp;number=&amp;sourceID=1","")</f>
        <v/>
      </c>
      <c r="H1019" s="4" t="str">
        <f>HYPERLINK("http://141.218.60.56/~jnz1568/getInfo.php?workbook=02_02.xlsx&amp;sheet=U0&amp;row=1019&amp;col=8&amp;number=3.699&amp;sourceID=29","3.699")</f>
        <v>3.699</v>
      </c>
      <c r="I1019" s="4" t="str">
        <f>HYPERLINK("http://141.218.60.56/~jnz1568/getInfo.php?workbook=02_02.xlsx&amp;sheet=U0&amp;row=1019&amp;col=9&amp;number=1.589&amp;sourceID=1","1.589")</f>
        <v>1.589</v>
      </c>
    </row>
    <row r="1020" spans="1:9">
      <c r="A1020" s="3"/>
      <c r="B1020" s="3"/>
      <c r="C1020" s="3"/>
      <c r="D1020" s="3"/>
      <c r="E1020" s="3">
        <v>3</v>
      </c>
      <c r="F1020" s="4" t="str">
        <f>HYPERLINK("http://141.218.60.56/~jnz1568/getInfo.php?workbook=02_02.xlsx&amp;sheet=U0&amp;row=1020&amp;col=6&amp;number=&amp;sourceID=28","")</f>
        <v/>
      </c>
      <c r="G1020" s="4" t="str">
        <f>HYPERLINK("http://141.218.60.56/~jnz1568/getInfo.php?workbook=02_02.xlsx&amp;sheet=U0&amp;row=1020&amp;col=7&amp;number=&amp;sourceID=1","")</f>
        <v/>
      </c>
      <c r="H1020" s="4" t="str">
        <f>HYPERLINK("http://141.218.60.56/~jnz1568/getInfo.php?workbook=02_02.xlsx&amp;sheet=U0&amp;row=1020&amp;col=8&amp;number=4&amp;sourceID=29","4")</f>
        <v>4</v>
      </c>
      <c r="I1020" s="4" t="str">
        <f>HYPERLINK("http://141.218.60.56/~jnz1568/getInfo.php?workbook=02_02.xlsx&amp;sheet=U0&amp;row=1020&amp;col=9&amp;number=1.885&amp;sourceID=1","1.885")</f>
        <v>1.885</v>
      </c>
    </row>
    <row r="1021" spans="1:9">
      <c r="A1021" s="3"/>
      <c r="B1021" s="3"/>
      <c r="C1021" s="3"/>
      <c r="D1021" s="3"/>
      <c r="E1021" s="3">
        <v>4</v>
      </c>
      <c r="F1021" s="4" t="str">
        <f>HYPERLINK("http://141.218.60.56/~jnz1568/getInfo.php?workbook=02_02.xlsx&amp;sheet=U0&amp;row=1021&amp;col=6&amp;number=&amp;sourceID=28","")</f>
        <v/>
      </c>
      <c r="G1021" s="4" t="str">
        <f>HYPERLINK("http://141.218.60.56/~jnz1568/getInfo.php?workbook=02_02.xlsx&amp;sheet=U0&amp;row=1021&amp;col=7&amp;number=&amp;sourceID=1","")</f>
        <v/>
      </c>
      <c r="H1021" s="4" t="str">
        <f>HYPERLINK("http://141.218.60.56/~jnz1568/getInfo.php?workbook=02_02.xlsx&amp;sheet=U0&amp;row=1021&amp;col=8&amp;number=4.176&amp;sourceID=29","4.176")</f>
        <v>4.176</v>
      </c>
      <c r="I1021" s="4" t="str">
        <f>HYPERLINK("http://141.218.60.56/~jnz1568/getInfo.php?workbook=02_02.xlsx&amp;sheet=U0&amp;row=1021&amp;col=9&amp;number=2.01&amp;sourceID=1","2.01")</f>
        <v>2.01</v>
      </c>
    </row>
    <row r="1022" spans="1:9">
      <c r="A1022" s="3"/>
      <c r="B1022" s="3"/>
      <c r="C1022" s="3"/>
      <c r="D1022" s="3"/>
      <c r="E1022" s="3">
        <v>5</v>
      </c>
      <c r="F1022" s="4" t="str">
        <f>HYPERLINK("http://141.218.60.56/~jnz1568/getInfo.php?workbook=02_02.xlsx&amp;sheet=U0&amp;row=1022&amp;col=6&amp;number=&amp;sourceID=28","")</f>
        <v/>
      </c>
      <c r="G1022" s="4" t="str">
        <f>HYPERLINK("http://141.218.60.56/~jnz1568/getInfo.php?workbook=02_02.xlsx&amp;sheet=U0&amp;row=1022&amp;col=7&amp;number=&amp;sourceID=1","")</f>
        <v/>
      </c>
      <c r="H1022" s="4" t="str">
        <f>HYPERLINK("http://141.218.60.56/~jnz1568/getInfo.php?workbook=02_02.xlsx&amp;sheet=U0&amp;row=1022&amp;col=8&amp;number=4.301&amp;sourceID=29","4.301")</f>
        <v>4.301</v>
      </c>
      <c r="I1022" s="4" t="str">
        <f>HYPERLINK("http://141.218.60.56/~jnz1568/getInfo.php?workbook=02_02.xlsx&amp;sheet=U0&amp;row=1022&amp;col=9&amp;number=2.032&amp;sourceID=1","2.032")</f>
        <v>2.032</v>
      </c>
    </row>
    <row r="1023" spans="1:9">
      <c r="A1023" s="3"/>
      <c r="B1023" s="3"/>
      <c r="C1023" s="3"/>
      <c r="D1023" s="3"/>
      <c r="E1023" s="3">
        <v>6</v>
      </c>
      <c r="F1023" s="4" t="str">
        <f>HYPERLINK("http://141.218.60.56/~jnz1568/getInfo.php?workbook=02_02.xlsx&amp;sheet=U0&amp;row=1023&amp;col=6&amp;number=&amp;sourceID=28","")</f>
        <v/>
      </c>
      <c r="G1023" s="4" t="str">
        <f>HYPERLINK("http://141.218.60.56/~jnz1568/getInfo.php?workbook=02_02.xlsx&amp;sheet=U0&amp;row=1023&amp;col=7&amp;number=&amp;sourceID=1","")</f>
        <v/>
      </c>
      <c r="H1023" s="4" t="str">
        <f>HYPERLINK("http://141.218.60.56/~jnz1568/getInfo.php?workbook=02_02.xlsx&amp;sheet=U0&amp;row=1023&amp;col=8&amp;number=4.398&amp;sourceID=29","4.398")</f>
        <v>4.398</v>
      </c>
      <c r="I1023" s="4" t="str">
        <f>HYPERLINK("http://141.218.60.56/~jnz1568/getInfo.php?workbook=02_02.xlsx&amp;sheet=U0&amp;row=1023&amp;col=9&amp;number=2.001&amp;sourceID=1","2.001")</f>
        <v>2.001</v>
      </c>
    </row>
    <row r="1024" spans="1:9">
      <c r="A1024" s="3"/>
      <c r="B1024" s="3"/>
      <c r="C1024" s="3"/>
      <c r="D1024" s="3"/>
      <c r="E1024" s="3">
        <v>7</v>
      </c>
      <c r="F1024" s="4" t="str">
        <f>HYPERLINK("http://141.218.60.56/~jnz1568/getInfo.php?workbook=02_02.xlsx&amp;sheet=U0&amp;row=1024&amp;col=6&amp;number=&amp;sourceID=28","")</f>
        <v/>
      </c>
      <c r="G1024" s="4" t="str">
        <f>HYPERLINK("http://141.218.60.56/~jnz1568/getInfo.php?workbook=02_02.xlsx&amp;sheet=U0&amp;row=1024&amp;col=7&amp;number=&amp;sourceID=1","")</f>
        <v/>
      </c>
      <c r="H1024" s="4" t="str">
        <f>HYPERLINK("http://141.218.60.56/~jnz1568/getInfo.php?workbook=02_02.xlsx&amp;sheet=U0&amp;row=1024&amp;col=8&amp;number=4.477&amp;sourceID=29","4.477")</f>
        <v>4.477</v>
      </c>
      <c r="I1024" s="4" t="str">
        <f>HYPERLINK("http://141.218.60.56/~jnz1568/getInfo.php?workbook=02_02.xlsx&amp;sheet=U0&amp;row=1024&amp;col=9&amp;number=1.943&amp;sourceID=1","1.943")</f>
        <v>1.943</v>
      </c>
    </row>
    <row r="1025" spans="1:9">
      <c r="A1025" s="3">
        <v>2</v>
      </c>
      <c r="B1025" s="3">
        <v>2</v>
      </c>
      <c r="C1025" s="3">
        <v>18</v>
      </c>
      <c r="D1025" s="3">
        <v>9</v>
      </c>
      <c r="E1025" s="3">
        <v>1</v>
      </c>
      <c r="F1025" s="4" t="str">
        <f>HYPERLINK("http://141.218.60.56/~jnz1568/getInfo.php?workbook=02_02.xlsx&amp;sheet=U0&amp;row=1025&amp;col=6&amp;number=&amp;sourceID=28","")</f>
        <v/>
      </c>
      <c r="G1025" s="4" t="str">
        <f>HYPERLINK("http://141.218.60.56/~jnz1568/getInfo.php?workbook=02_02.xlsx&amp;sheet=U0&amp;row=1025&amp;col=7&amp;number=&amp;sourceID=1","")</f>
        <v/>
      </c>
      <c r="H1025" s="4" t="str">
        <f>HYPERLINK("http://141.218.60.56/~jnz1568/getInfo.php?workbook=02_02.xlsx&amp;sheet=U0&amp;row=1025&amp;col=8&amp;number=3.301&amp;sourceID=29","3.301")</f>
        <v>3.301</v>
      </c>
      <c r="I1025" s="4" t="str">
        <f>HYPERLINK("http://141.218.60.56/~jnz1568/getInfo.php?workbook=02_02.xlsx&amp;sheet=U0&amp;row=1025&amp;col=9&amp;number=2.483&amp;sourceID=1","2.483")</f>
        <v>2.483</v>
      </c>
    </row>
    <row r="1026" spans="1:9">
      <c r="A1026" s="3"/>
      <c r="B1026" s="3"/>
      <c r="C1026" s="3"/>
      <c r="D1026" s="3"/>
      <c r="E1026" s="3">
        <v>2</v>
      </c>
      <c r="F1026" s="4" t="str">
        <f>HYPERLINK("http://141.218.60.56/~jnz1568/getInfo.php?workbook=02_02.xlsx&amp;sheet=U0&amp;row=1026&amp;col=6&amp;number=&amp;sourceID=28","")</f>
        <v/>
      </c>
      <c r="G1026" s="4" t="str">
        <f>HYPERLINK("http://141.218.60.56/~jnz1568/getInfo.php?workbook=02_02.xlsx&amp;sheet=U0&amp;row=1026&amp;col=7&amp;number=&amp;sourceID=1","")</f>
        <v/>
      </c>
      <c r="H1026" s="4" t="str">
        <f>HYPERLINK("http://141.218.60.56/~jnz1568/getInfo.php?workbook=02_02.xlsx&amp;sheet=U0&amp;row=1026&amp;col=8&amp;number=3.699&amp;sourceID=29","3.699")</f>
        <v>3.699</v>
      </c>
      <c r="I1026" s="4" t="str">
        <f>HYPERLINK("http://141.218.60.56/~jnz1568/getInfo.php?workbook=02_02.xlsx&amp;sheet=U0&amp;row=1026&amp;col=9&amp;number=2.966&amp;sourceID=1","2.966")</f>
        <v>2.966</v>
      </c>
    </row>
    <row r="1027" spans="1:9">
      <c r="A1027" s="3"/>
      <c r="B1027" s="3"/>
      <c r="C1027" s="3"/>
      <c r="D1027" s="3"/>
      <c r="E1027" s="3">
        <v>3</v>
      </c>
      <c r="F1027" s="4" t="str">
        <f>HYPERLINK("http://141.218.60.56/~jnz1568/getInfo.php?workbook=02_02.xlsx&amp;sheet=U0&amp;row=1027&amp;col=6&amp;number=&amp;sourceID=28","")</f>
        <v/>
      </c>
      <c r="G1027" s="4" t="str">
        <f>HYPERLINK("http://141.218.60.56/~jnz1568/getInfo.php?workbook=02_02.xlsx&amp;sheet=U0&amp;row=1027&amp;col=7&amp;number=&amp;sourceID=1","")</f>
        <v/>
      </c>
      <c r="H1027" s="4" t="str">
        <f>HYPERLINK("http://141.218.60.56/~jnz1568/getInfo.php?workbook=02_02.xlsx&amp;sheet=U0&amp;row=1027&amp;col=8&amp;number=4&amp;sourceID=29","4")</f>
        <v>4</v>
      </c>
      <c r="I1027" s="4" t="str">
        <f>HYPERLINK("http://141.218.60.56/~jnz1568/getInfo.php?workbook=02_02.xlsx&amp;sheet=U0&amp;row=1027&amp;col=9&amp;number=3.245&amp;sourceID=1","3.245")</f>
        <v>3.245</v>
      </c>
    </row>
    <row r="1028" spans="1:9">
      <c r="A1028" s="3"/>
      <c r="B1028" s="3"/>
      <c r="C1028" s="3"/>
      <c r="D1028" s="3"/>
      <c r="E1028" s="3">
        <v>4</v>
      </c>
      <c r="F1028" s="4" t="str">
        <f>HYPERLINK("http://141.218.60.56/~jnz1568/getInfo.php?workbook=02_02.xlsx&amp;sheet=U0&amp;row=1028&amp;col=6&amp;number=&amp;sourceID=28","")</f>
        <v/>
      </c>
      <c r="G1028" s="4" t="str">
        <f>HYPERLINK("http://141.218.60.56/~jnz1568/getInfo.php?workbook=02_02.xlsx&amp;sheet=U0&amp;row=1028&amp;col=7&amp;number=&amp;sourceID=1","")</f>
        <v/>
      </c>
      <c r="H1028" s="4" t="str">
        <f>HYPERLINK("http://141.218.60.56/~jnz1568/getInfo.php?workbook=02_02.xlsx&amp;sheet=U0&amp;row=1028&amp;col=8&amp;number=4.176&amp;sourceID=29","4.176")</f>
        <v>4.176</v>
      </c>
      <c r="I1028" s="4" t="str">
        <f>HYPERLINK("http://141.218.60.56/~jnz1568/getInfo.php?workbook=02_02.xlsx&amp;sheet=U0&amp;row=1028&amp;col=9&amp;number=3.295&amp;sourceID=1","3.295")</f>
        <v>3.295</v>
      </c>
    </row>
    <row r="1029" spans="1:9">
      <c r="A1029" s="3"/>
      <c r="B1029" s="3"/>
      <c r="C1029" s="3"/>
      <c r="D1029" s="3"/>
      <c r="E1029" s="3">
        <v>5</v>
      </c>
      <c r="F1029" s="4" t="str">
        <f>HYPERLINK("http://141.218.60.56/~jnz1568/getInfo.php?workbook=02_02.xlsx&amp;sheet=U0&amp;row=1029&amp;col=6&amp;number=&amp;sourceID=28","")</f>
        <v/>
      </c>
      <c r="G1029" s="4" t="str">
        <f>HYPERLINK("http://141.218.60.56/~jnz1568/getInfo.php?workbook=02_02.xlsx&amp;sheet=U0&amp;row=1029&amp;col=7&amp;number=&amp;sourceID=1","")</f>
        <v/>
      </c>
      <c r="H1029" s="4" t="str">
        <f>HYPERLINK("http://141.218.60.56/~jnz1568/getInfo.php?workbook=02_02.xlsx&amp;sheet=U0&amp;row=1029&amp;col=8&amp;number=4.301&amp;sourceID=29","4.301")</f>
        <v>4.301</v>
      </c>
      <c r="I1029" s="4" t="str">
        <f>HYPERLINK("http://141.218.60.56/~jnz1568/getInfo.php?workbook=02_02.xlsx&amp;sheet=U0&amp;row=1029&amp;col=9&amp;number=3.238&amp;sourceID=1","3.238")</f>
        <v>3.238</v>
      </c>
    </row>
    <row r="1030" spans="1:9">
      <c r="A1030" s="3"/>
      <c r="B1030" s="3"/>
      <c r="C1030" s="3"/>
      <c r="D1030" s="3"/>
      <c r="E1030" s="3">
        <v>6</v>
      </c>
      <c r="F1030" s="4" t="str">
        <f>HYPERLINK("http://141.218.60.56/~jnz1568/getInfo.php?workbook=02_02.xlsx&amp;sheet=U0&amp;row=1030&amp;col=6&amp;number=&amp;sourceID=28","")</f>
        <v/>
      </c>
      <c r="G1030" s="4" t="str">
        <f>HYPERLINK("http://141.218.60.56/~jnz1568/getInfo.php?workbook=02_02.xlsx&amp;sheet=U0&amp;row=1030&amp;col=7&amp;number=&amp;sourceID=1","")</f>
        <v/>
      </c>
      <c r="H1030" s="4" t="str">
        <f>HYPERLINK("http://141.218.60.56/~jnz1568/getInfo.php?workbook=02_02.xlsx&amp;sheet=U0&amp;row=1030&amp;col=8&amp;number=4.398&amp;sourceID=29","4.398")</f>
        <v>4.398</v>
      </c>
      <c r="I1030" s="4" t="str">
        <f>HYPERLINK("http://141.218.60.56/~jnz1568/getInfo.php?workbook=02_02.xlsx&amp;sheet=U0&amp;row=1030&amp;col=9&amp;number=3.132&amp;sourceID=1","3.132")</f>
        <v>3.132</v>
      </c>
    </row>
    <row r="1031" spans="1:9">
      <c r="A1031" s="3"/>
      <c r="B1031" s="3"/>
      <c r="C1031" s="3"/>
      <c r="D1031" s="3"/>
      <c r="E1031" s="3">
        <v>7</v>
      </c>
      <c r="F1031" s="4" t="str">
        <f>HYPERLINK("http://141.218.60.56/~jnz1568/getInfo.php?workbook=02_02.xlsx&amp;sheet=U0&amp;row=1031&amp;col=6&amp;number=&amp;sourceID=28","")</f>
        <v/>
      </c>
      <c r="G1031" s="4" t="str">
        <f>HYPERLINK("http://141.218.60.56/~jnz1568/getInfo.php?workbook=02_02.xlsx&amp;sheet=U0&amp;row=1031&amp;col=7&amp;number=&amp;sourceID=1","")</f>
        <v/>
      </c>
      <c r="H1031" s="4" t="str">
        <f>HYPERLINK("http://141.218.60.56/~jnz1568/getInfo.php?workbook=02_02.xlsx&amp;sheet=U0&amp;row=1031&amp;col=8&amp;number=4.477&amp;sourceID=29","4.477")</f>
        <v>4.477</v>
      </c>
      <c r="I1031" s="4" t="str">
        <f>HYPERLINK("http://141.218.60.56/~jnz1568/getInfo.php?workbook=02_02.xlsx&amp;sheet=U0&amp;row=1031&amp;col=9&amp;number=3.007&amp;sourceID=1","3.007")</f>
        <v>3.007</v>
      </c>
    </row>
    <row r="1032" spans="1:9">
      <c r="A1032" s="3">
        <v>2</v>
      </c>
      <c r="B1032" s="3">
        <v>2</v>
      </c>
      <c r="C1032" s="3">
        <v>18</v>
      </c>
      <c r="D1032" s="3">
        <v>10</v>
      </c>
      <c r="E1032" s="3">
        <v>1</v>
      </c>
      <c r="F1032" s="4" t="str">
        <f>HYPERLINK("http://141.218.60.56/~jnz1568/getInfo.php?workbook=02_02.xlsx&amp;sheet=U0&amp;row=1032&amp;col=6&amp;number=&amp;sourceID=28","")</f>
        <v/>
      </c>
      <c r="G1032" s="4" t="str">
        <f>HYPERLINK("http://141.218.60.56/~jnz1568/getInfo.php?workbook=02_02.xlsx&amp;sheet=U0&amp;row=1032&amp;col=7&amp;number=&amp;sourceID=1","")</f>
        <v/>
      </c>
      <c r="H1032" s="4" t="str">
        <f>HYPERLINK("http://141.218.60.56/~jnz1568/getInfo.php?workbook=02_02.xlsx&amp;sheet=U0&amp;row=1032&amp;col=8&amp;number=3.301&amp;sourceID=29","3.301")</f>
        <v>3.301</v>
      </c>
      <c r="I1032" s="4" t="str">
        <f>HYPERLINK("http://141.218.60.56/~jnz1568/getInfo.php?workbook=02_02.xlsx&amp;sheet=U0&amp;row=1032&amp;col=9&amp;number=8.859&amp;sourceID=1","8.859")</f>
        <v>8.859</v>
      </c>
    </row>
    <row r="1033" spans="1:9">
      <c r="A1033" s="3"/>
      <c r="B1033" s="3"/>
      <c r="C1033" s="3"/>
      <c r="D1033" s="3"/>
      <c r="E1033" s="3">
        <v>2</v>
      </c>
      <c r="F1033" s="4" t="str">
        <f>HYPERLINK("http://141.218.60.56/~jnz1568/getInfo.php?workbook=02_02.xlsx&amp;sheet=U0&amp;row=1033&amp;col=6&amp;number=&amp;sourceID=28","")</f>
        <v/>
      </c>
      <c r="G1033" s="4" t="str">
        <f>HYPERLINK("http://141.218.60.56/~jnz1568/getInfo.php?workbook=02_02.xlsx&amp;sheet=U0&amp;row=1033&amp;col=7&amp;number=&amp;sourceID=1","")</f>
        <v/>
      </c>
      <c r="H1033" s="4" t="str">
        <f>HYPERLINK("http://141.218.60.56/~jnz1568/getInfo.php?workbook=02_02.xlsx&amp;sheet=U0&amp;row=1033&amp;col=8&amp;number=3.699&amp;sourceID=29","3.699")</f>
        <v>3.699</v>
      </c>
      <c r="I1033" s="4" t="str">
        <f>HYPERLINK("http://141.218.60.56/~jnz1568/getInfo.php?workbook=02_02.xlsx&amp;sheet=U0&amp;row=1033&amp;col=9&amp;number=12.84&amp;sourceID=1","12.84")</f>
        <v>12.84</v>
      </c>
    </row>
    <row r="1034" spans="1:9">
      <c r="A1034" s="3"/>
      <c r="B1034" s="3"/>
      <c r="C1034" s="3"/>
      <c r="D1034" s="3"/>
      <c r="E1034" s="3">
        <v>3</v>
      </c>
      <c r="F1034" s="4" t="str">
        <f>HYPERLINK("http://141.218.60.56/~jnz1568/getInfo.php?workbook=02_02.xlsx&amp;sheet=U0&amp;row=1034&amp;col=6&amp;number=&amp;sourceID=28","")</f>
        <v/>
      </c>
      <c r="G1034" s="4" t="str">
        <f>HYPERLINK("http://141.218.60.56/~jnz1568/getInfo.php?workbook=02_02.xlsx&amp;sheet=U0&amp;row=1034&amp;col=7&amp;number=&amp;sourceID=1","")</f>
        <v/>
      </c>
      <c r="H1034" s="4" t="str">
        <f>HYPERLINK("http://141.218.60.56/~jnz1568/getInfo.php?workbook=02_02.xlsx&amp;sheet=U0&amp;row=1034&amp;col=8&amp;number=4&amp;sourceID=29","4")</f>
        <v>4</v>
      </c>
      <c r="I1034" s="4" t="str">
        <f>HYPERLINK("http://141.218.60.56/~jnz1568/getInfo.php?workbook=02_02.xlsx&amp;sheet=U0&amp;row=1034&amp;col=9&amp;number=21.39&amp;sourceID=1","21.39")</f>
        <v>21.39</v>
      </c>
    </row>
    <row r="1035" spans="1:9">
      <c r="A1035" s="3"/>
      <c r="B1035" s="3"/>
      <c r="C1035" s="3"/>
      <c r="D1035" s="3"/>
      <c r="E1035" s="3">
        <v>4</v>
      </c>
      <c r="F1035" s="4" t="str">
        <f>HYPERLINK("http://141.218.60.56/~jnz1568/getInfo.php?workbook=02_02.xlsx&amp;sheet=U0&amp;row=1035&amp;col=6&amp;number=&amp;sourceID=28","")</f>
        <v/>
      </c>
      <c r="G1035" s="4" t="str">
        <f>HYPERLINK("http://141.218.60.56/~jnz1568/getInfo.php?workbook=02_02.xlsx&amp;sheet=U0&amp;row=1035&amp;col=7&amp;number=&amp;sourceID=1","")</f>
        <v/>
      </c>
      <c r="H1035" s="4" t="str">
        <f>HYPERLINK("http://141.218.60.56/~jnz1568/getInfo.php?workbook=02_02.xlsx&amp;sheet=U0&amp;row=1035&amp;col=8&amp;number=4.176&amp;sourceID=29","4.176")</f>
        <v>4.176</v>
      </c>
      <c r="I1035" s="4" t="str">
        <f>HYPERLINK("http://141.218.60.56/~jnz1568/getInfo.php?workbook=02_02.xlsx&amp;sheet=U0&amp;row=1035&amp;col=9&amp;number=31.74&amp;sourceID=1","31.74")</f>
        <v>31.74</v>
      </c>
    </row>
    <row r="1036" spans="1:9">
      <c r="A1036" s="3">
        <v>2</v>
      </c>
      <c r="B1036" s="3">
        <v>2</v>
      </c>
      <c r="C1036" s="3">
        <v>18</v>
      </c>
      <c r="D1036" s="3">
        <v>11</v>
      </c>
      <c r="E1036" s="3">
        <v>1</v>
      </c>
      <c r="F1036" s="4" t="str">
        <f>HYPERLINK("http://141.218.60.56/~jnz1568/getInfo.php?workbook=02_02.xlsx&amp;sheet=U0&amp;row=1036&amp;col=6&amp;number=&amp;sourceID=28","")</f>
        <v/>
      </c>
      <c r="G1036" s="4" t="str">
        <f>HYPERLINK("http://141.218.60.56/~jnz1568/getInfo.php?workbook=02_02.xlsx&amp;sheet=U0&amp;row=1036&amp;col=7&amp;number=&amp;sourceID=1","")</f>
        <v/>
      </c>
      <c r="H1036" s="4" t="str">
        <f>HYPERLINK("http://141.218.60.56/~jnz1568/getInfo.php?workbook=02_02.xlsx&amp;sheet=U0&amp;row=1036&amp;col=8&amp;number=3.301&amp;sourceID=29","3.301")</f>
        <v>3.301</v>
      </c>
      <c r="I1036" s="4" t="str">
        <f>HYPERLINK("http://141.218.60.56/~jnz1568/getInfo.php?workbook=02_02.xlsx&amp;sheet=U0&amp;row=1036&amp;col=9&amp;number=3.556&amp;sourceID=1","3.556")</f>
        <v>3.556</v>
      </c>
    </row>
    <row r="1037" spans="1:9">
      <c r="A1037" s="3"/>
      <c r="B1037" s="3"/>
      <c r="C1037" s="3"/>
      <c r="D1037" s="3"/>
      <c r="E1037" s="3">
        <v>2</v>
      </c>
      <c r="F1037" s="4" t="str">
        <f>HYPERLINK("http://141.218.60.56/~jnz1568/getInfo.php?workbook=02_02.xlsx&amp;sheet=U0&amp;row=1037&amp;col=6&amp;number=&amp;sourceID=28","")</f>
        <v/>
      </c>
      <c r="G1037" s="4" t="str">
        <f>HYPERLINK("http://141.218.60.56/~jnz1568/getInfo.php?workbook=02_02.xlsx&amp;sheet=U0&amp;row=1037&amp;col=7&amp;number=&amp;sourceID=1","")</f>
        <v/>
      </c>
      <c r="H1037" s="4" t="str">
        <f>HYPERLINK("http://141.218.60.56/~jnz1568/getInfo.php?workbook=02_02.xlsx&amp;sheet=U0&amp;row=1037&amp;col=8&amp;number=3.699&amp;sourceID=29","3.699")</f>
        <v>3.699</v>
      </c>
      <c r="I1037" s="4" t="str">
        <f>HYPERLINK("http://141.218.60.56/~jnz1568/getInfo.php?workbook=02_02.xlsx&amp;sheet=U0&amp;row=1037&amp;col=9&amp;number=4.789&amp;sourceID=1","4.789")</f>
        <v>4.789</v>
      </c>
    </row>
    <row r="1038" spans="1:9">
      <c r="A1038" s="3"/>
      <c r="B1038" s="3"/>
      <c r="C1038" s="3"/>
      <c r="D1038" s="3"/>
      <c r="E1038" s="3">
        <v>3</v>
      </c>
      <c r="F1038" s="4" t="str">
        <f>HYPERLINK("http://141.218.60.56/~jnz1568/getInfo.php?workbook=02_02.xlsx&amp;sheet=U0&amp;row=1038&amp;col=6&amp;number=&amp;sourceID=28","")</f>
        <v/>
      </c>
      <c r="G1038" s="4" t="str">
        <f>HYPERLINK("http://141.218.60.56/~jnz1568/getInfo.php?workbook=02_02.xlsx&amp;sheet=U0&amp;row=1038&amp;col=7&amp;number=&amp;sourceID=1","")</f>
        <v/>
      </c>
      <c r="H1038" s="4" t="str">
        <f>HYPERLINK("http://141.218.60.56/~jnz1568/getInfo.php?workbook=02_02.xlsx&amp;sheet=U0&amp;row=1038&amp;col=8&amp;number=4&amp;sourceID=29","4")</f>
        <v>4</v>
      </c>
      <c r="I1038" s="4" t="str">
        <f>HYPERLINK("http://141.218.60.56/~jnz1568/getInfo.php?workbook=02_02.xlsx&amp;sheet=U0&amp;row=1038&amp;col=9&amp;number=8.647&amp;sourceID=1","8.647")</f>
        <v>8.647</v>
      </c>
    </row>
    <row r="1039" spans="1:9">
      <c r="A1039" s="3">
        <v>2</v>
      </c>
      <c r="B1039" s="3">
        <v>2</v>
      </c>
      <c r="C1039" s="3">
        <v>18</v>
      </c>
      <c r="D1039" s="3">
        <v>12</v>
      </c>
      <c r="E1039" s="3">
        <v>1</v>
      </c>
      <c r="F1039" s="4" t="str">
        <f>HYPERLINK("http://141.218.60.56/~jnz1568/getInfo.php?workbook=02_02.xlsx&amp;sheet=U0&amp;row=1039&amp;col=6&amp;number=&amp;sourceID=28","")</f>
        <v/>
      </c>
      <c r="G1039" s="4" t="str">
        <f>HYPERLINK("http://141.218.60.56/~jnz1568/getInfo.php?workbook=02_02.xlsx&amp;sheet=U0&amp;row=1039&amp;col=7&amp;number=&amp;sourceID=1","")</f>
        <v/>
      </c>
      <c r="H1039" s="4" t="str">
        <f>HYPERLINK("http://141.218.60.56/~jnz1568/getInfo.php?workbook=02_02.xlsx&amp;sheet=U0&amp;row=1039&amp;col=8&amp;number=3.301&amp;sourceID=29","3.301")</f>
        <v>3.301</v>
      </c>
      <c r="I1039" s="4" t="str">
        <f>HYPERLINK("http://141.218.60.56/~jnz1568/getInfo.php?workbook=02_02.xlsx&amp;sheet=U0&amp;row=1039&amp;col=9&amp;number=1.914&amp;sourceID=1","1.914")</f>
        <v>1.914</v>
      </c>
    </row>
    <row r="1040" spans="1:9">
      <c r="A1040" s="3"/>
      <c r="B1040" s="3"/>
      <c r="C1040" s="3"/>
      <c r="D1040" s="3"/>
      <c r="E1040" s="3">
        <v>2</v>
      </c>
      <c r="F1040" s="4" t="str">
        <f>HYPERLINK("http://141.218.60.56/~jnz1568/getInfo.php?workbook=02_02.xlsx&amp;sheet=U0&amp;row=1040&amp;col=6&amp;number=&amp;sourceID=28","")</f>
        <v/>
      </c>
      <c r="G1040" s="4" t="str">
        <f>HYPERLINK("http://141.218.60.56/~jnz1568/getInfo.php?workbook=02_02.xlsx&amp;sheet=U0&amp;row=1040&amp;col=7&amp;number=&amp;sourceID=1","")</f>
        <v/>
      </c>
      <c r="H1040" s="4" t="str">
        <f>HYPERLINK("http://141.218.60.56/~jnz1568/getInfo.php?workbook=02_02.xlsx&amp;sheet=U0&amp;row=1040&amp;col=8&amp;number=3.699&amp;sourceID=29","3.699")</f>
        <v>3.699</v>
      </c>
      <c r="I1040" s="4" t="str">
        <f>HYPERLINK("http://141.218.60.56/~jnz1568/getInfo.php?workbook=02_02.xlsx&amp;sheet=U0&amp;row=1040&amp;col=9&amp;number=2.211&amp;sourceID=1","2.211")</f>
        <v>2.211</v>
      </c>
    </row>
    <row r="1041" spans="1:9">
      <c r="A1041" s="3"/>
      <c r="B1041" s="3"/>
      <c r="C1041" s="3"/>
      <c r="D1041" s="3"/>
      <c r="E1041" s="3">
        <v>3</v>
      </c>
      <c r="F1041" s="4" t="str">
        <f>HYPERLINK("http://141.218.60.56/~jnz1568/getInfo.php?workbook=02_02.xlsx&amp;sheet=U0&amp;row=1041&amp;col=6&amp;number=&amp;sourceID=28","")</f>
        <v/>
      </c>
      <c r="G1041" s="4" t="str">
        <f>HYPERLINK("http://141.218.60.56/~jnz1568/getInfo.php?workbook=02_02.xlsx&amp;sheet=U0&amp;row=1041&amp;col=7&amp;number=&amp;sourceID=1","")</f>
        <v/>
      </c>
      <c r="H1041" s="4" t="str">
        <f>HYPERLINK("http://141.218.60.56/~jnz1568/getInfo.php?workbook=02_02.xlsx&amp;sheet=U0&amp;row=1041&amp;col=8&amp;number=4&amp;sourceID=29","4")</f>
        <v>4</v>
      </c>
      <c r="I1041" s="4" t="str">
        <f>HYPERLINK("http://141.218.60.56/~jnz1568/getInfo.php?workbook=02_02.xlsx&amp;sheet=U0&amp;row=1041&amp;col=9&amp;number=2.058&amp;sourceID=1","2.058")</f>
        <v>2.058</v>
      </c>
    </row>
    <row r="1042" spans="1:9">
      <c r="A1042" s="3"/>
      <c r="B1042" s="3"/>
      <c r="C1042" s="3"/>
      <c r="D1042" s="3"/>
      <c r="E1042" s="3">
        <v>4</v>
      </c>
      <c r="F1042" s="4" t="str">
        <f>HYPERLINK("http://141.218.60.56/~jnz1568/getInfo.php?workbook=02_02.xlsx&amp;sheet=U0&amp;row=1042&amp;col=6&amp;number=&amp;sourceID=28","")</f>
        <v/>
      </c>
      <c r="G1042" s="4" t="str">
        <f>HYPERLINK("http://141.218.60.56/~jnz1568/getInfo.php?workbook=02_02.xlsx&amp;sheet=U0&amp;row=1042&amp;col=7&amp;number=&amp;sourceID=1","")</f>
        <v/>
      </c>
      <c r="H1042" s="4" t="str">
        <f>HYPERLINK("http://141.218.60.56/~jnz1568/getInfo.php?workbook=02_02.xlsx&amp;sheet=U0&amp;row=1042&amp;col=8&amp;number=4.176&amp;sourceID=29","4.176")</f>
        <v>4.176</v>
      </c>
      <c r="I1042" s="4" t="str">
        <f>HYPERLINK("http://141.218.60.56/~jnz1568/getInfo.php?workbook=02_02.xlsx&amp;sheet=U0&amp;row=1042&amp;col=9&amp;number=1.833&amp;sourceID=1","1.833")</f>
        <v>1.833</v>
      </c>
    </row>
    <row r="1043" spans="1:9">
      <c r="A1043" s="3"/>
      <c r="B1043" s="3"/>
      <c r="C1043" s="3"/>
      <c r="D1043" s="3"/>
      <c r="E1043" s="3">
        <v>5</v>
      </c>
      <c r="F1043" s="4" t="str">
        <f>HYPERLINK("http://141.218.60.56/~jnz1568/getInfo.php?workbook=02_02.xlsx&amp;sheet=U0&amp;row=1043&amp;col=6&amp;number=&amp;sourceID=28","")</f>
        <v/>
      </c>
      <c r="G1043" s="4" t="str">
        <f>HYPERLINK("http://141.218.60.56/~jnz1568/getInfo.php?workbook=02_02.xlsx&amp;sheet=U0&amp;row=1043&amp;col=7&amp;number=&amp;sourceID=1","")</f>
        <v/>
      </c>
      <c r="H1043" s="4" t="str">
        <f>HYPERLINK("http://141.218.60.56/~jnz1568/getInfo.php?workbook=02_02.xlsx&amp;sheet=U0&amp;row=1043&amp;col=8&amp;number=4.301&amp;sourceID=29","4.301")</f>
        <v>4.301</v>
      </c>
      <c r="I1043" s="4" t="str">
        <f>HYPERLINK("http://141.218.60.56/~jnz1568/getInfo.php?workbook=02_02.xlsx&amp;sheet=U0&amp;row=1043&amp;col=9&amp;number=1.633&amp;sourceID=1","1.633")</f>
        <v>1.633</v>
      </c>
    </row>
    <row r="1044" spans="1:9">
      <c r="A1044" s="3"/>
      <c r="B1044" s="3"/>
      <c r="C1044" s="3"/>
      <c r="D1044" s="3"/>
      <c r="E1044" s="3">
        <v>6</v>
      </c>
      <c r="F1044" s="4" t="str">
        <f>HYPERLINK("http://141.218.60.56/~jnz1568/getInfo.php?workbook=02_02.xlsx&amp;sheet=U0&amp;row=1044&amp;col=6&amp;number=&amp;sourceID=28","")</f>
        <v/>
      </c>
      <c r="G1044" s="4" t="str">
        <f>HYPERLINK("http://141.218.60.56/~jnz1568/getInfo.php?workbook=02_02.xlsx&amp;sheet=U0&amp;row=1044&amp;col=7&amp;number=&amp;sourceID=1","")</f>
        <v/>
      </c>
      <c r="H1044" s="4" t="str">
        <f>HYPERLINK("http://141.218.60.56/~jnz1568/getInfo.php?workbook=02_02.xlsx&amp;sheet=U0&amp;row=1044&amp;col=8&amp;number=4.398&amp;sourceID=29","4.398")</f>
        <v>4.398</v>
      </c>
      <c r="I1044" s="4" t="str">
        <f>HYPERLINK("http://141.218.60.56/~jnz1568/getInfo.php?workbook=02_02.xlsx&amp;sheet=U0&amp;row=1044&amp;col=9&amp;number=1.466&amp;sourceID=1","1.466")</f>
        <v>1.466</v>
      </c>
    </row>
    <row r="1045" spans="1:9">
      <c r="A1045" s="3"/>
      <c r="B1045" s="3"/>
      <c r="C1045" s="3"/>
      <c r="D1045" s="3"/>
      <c r="E1045" s="3">
        <v>7</v>
      </c>
      <c r="F1045" s="4" t="str">
        <f>HYPERLINK("http://141.218.60.56/~jnz1568/getInfo.php?workbook=02_02.xlsx&amp;sheet=U0&amp;row=1045&amp;col=6&amp;number=&amp;sourceID=28","")</f>
        <v/>
      </c>
      <c r="G1045" s="4" t="str">
        <f>HYPERLINK("http://141.218.60.56/~jnz1568/getInfo.php?workbook=02_02.xlsx&amp;sheet=U0&amp;row=1045&amp;col=7&amp;number=&amp;sourceID=1","")</f>
        <v/>
      </c>
      <c r="H1045" s="4" t="str">
        <f>HYPERLINK("http://141.218.60.56/~jnz1568/getInfo.php?workbook=02_02.xlsx&amp;sheet=U0&amp;row=1045&amp;col=8&amp;number=4.477&amp;sourceID=29","4.477")</f>
        <v>4.477</v>
      </c>
      <c r="I1045" s="4" t="str">
        <f>HYPERLINK("http://141.218.60.56/~jnz1568/getInfo.php?workbook=02_02.xlsx&amp;sheet=U0&amp;row=1045&amp;col=9&amp;number=1.328&amp;sourceID=1","1.328")</f>
        <v>1.328</v>
      </c>
    </row>
    <row r="1046" spans="1:9">
      <c r="A1046" s="3">
        <v>2</v>
      </c>
      <c r="B1046" s="3">
        <v>2</v>
      </c>
      <c r="C1046" s="3">
        <v>18</v>
      </c>
      <c r="D1046" s="3">
        <v>13</v>
      </c>
      <c r="E1046" s="3">
        <v>1</v>
      </c>
      <c r="F1046" s="4" t="str">
        <f>HYPERLINK("http://141.218.60.56/~jnz1568/getInfo.php?workbook=02_02.xlsx&amp;sheet=U0&amp;row=1046&amp;col=6&amp;number=&amp;sourceID=28","")</f>
        <v/>
      </c>
      <c r="G1046" s="4" t="str">
        <f>HYPERLINK("http://141.218.60.56/~jnz1568/getInfo.php?workbook=02_02.xlsx&amp;sheet=U0&amp;row=1046&amp;col=7&amp;number=&amp;sourceID=1","")</f>
        <v/>
      </c>
      <c r="H1046" s="4" t="str">
        <f>HYPERLINK("http://141.218.60.56/~jnz1568/getInfo.php?workbook=02_02.xlsx&amp;sheet=U0&amp;row=1046&amp;col=8&amp;number=3.301&amp;sourceID=29","3.301")</f>
        <v>3.301</v>
      </c>
      <c r="I1046" s="4" t="str">
        <f>HYPERLINK("http://141.218.60.56/~jnz1568/getInfo.php?workbook=02_02.xlsx&amp;sheet=U0&amp;row=1046&amp;col=9&amp;number=23.14&amp;sourceID=1","23.14")</f>
        <v>23.14</v>
      </c>
    </row>
    <row r="1047" spans="1:9">
      <c r="A1047" s="3"/>
      <c r="B1047" s="3"/>
      <c r="C1047" s="3"/>
      <c r="D1047" s="3"/>
      <c r="E1047" s="3">
        <v>2</v>
      </c>
      <c r="F1047" s="4" t="str">
        <f>HYPERLINK("http://141.218.60.56/~jnz1568/getInfo.php?workbook=02_02.xlsx&amp;sheet=U0&amp;row=1047&amp;col=6&amp;number=&amp;sourceID=28","")</f>
        <v/>
      </c>
      <c r="G1047" s="4" t="str">
        <f>HYPERLINK("http://141.218.60.56/~jnz1568/getInfo.php?workbook=02_02.xlsx&amp;sheet=U0&amp;row=1047&amp;col=7&amp;number=&amp;sourceID=1","")</f>
        <v/>
      </c>
      <c r="H1047" s="4" t="str">
        <f>HYPERLINK("http://141.218.60.56/~jnz1568/getInfo.php?workbook=02_02.xlsx&amp;sheet=U0&amp;row=1047&amp;col=8&amp;number=3.699&amp;sourceID=29","3.699")</f>
        <v>3.699</v>
      </c>
      <c r="I1047" s="4" t="str">
        <f>HYPERLINK("http://141.218.60.56/~jnz1568/getInfo.php?workbook=02_02.xlsx&amp;sheet=U0&amp;row=1047&amp;col=9&amp;number=20.15&amp;sourceID=1","20.15")</f>
        <v>20.15</v>
      </c>
    </row>
    <row r="1048" spans="1:9">
      <c r="A1048" s="3"/>
      <c r="B1048" s="3"/>
      <c r="C1048" s="3"/>
      <c r="D1048" s="3"/>
      <c r="E1048" s="3">
        <v>3</v>
      </c>
      <c r="F1048" s="4" t="str">
        <f>HYPERLINK("http://141.218.60.56/~jnz1568/getInfo.php?workbook=02_02.xlsx&amp;sheet=U0&amp;row=1048&amp;col=6&amp;number=&amp;sourceID=28","")</f>
        <v/>
      </c>
      <c r="G1048" s="4" t="str">
        <f>HYPERLINK("http://141.218.60.56/~jnz1568/getInfo.php?workbook=02_02.xlsx&amp;sheet=U0&amp;row=1048&amp;col=7&amp;number=&amp;sourceID=1","")</f>
        <v/>
      </c>
      <c r="H1048" s="4" t="str">
        <f>HYPERLINK("http://141.218.60.56/~jnz1568/getInfo.php?workbook=02_02.xlsx&amp;sheet=U0&amp;row=1048&amp;col=8&amp;number=4&amp;sourceID=29","4")</f>
        <v>4</v>
      </c>
      <c r="I1048" s="4" t="str">
        <f>HYPERLINK("http://141.218.60.56/~jnz1568/getInfo.php?workbook=02_02.xlsx&amp;sheet=U0&amp;row=1048&amp;col=9&amp;number=15.16&amp;sourceID=1","15.16")</f>
        <v>15.16</v>
      </c>
    </row>
    <row r="1049" spans="1:9">
      <c r="A1049" s="3"/>
      <c r="B1049" s="3"/>
      <c r="C1049" s="3"/>
      <c r="D1049" s="3"/>
      <c r="E1049" s="3">
        <v>4</v>
      </c>
      <c r="F1049" s="4" t="str">
        <f>HYPERLINK("http://141.218.60.56/~jnz1568/getInfo.php?workbook=02_02.xlsx&amp;sheet=U0&amp;row=1049&amp;col=6&amp;number=&amp;sourceID=28","")</f>
        <v/>
      </c>
      <c r="G1049" s="4" t="str">
        <f>HYPERLINK("http://141.218.60.56/~jnz1568/getInfo.php?workbook=02_02.xlsx&amp;sheet=U0&amp;row=1049&amp;col=7&amp;number=&amp;sourceID=1","")</f>
        <v/>
      </c>
      <c r="H1049" s="4" t="str">
        <f>HYPERLINK("http://141.218.60.56/~jnz1568/getInfo.php?workbook=02_02.xlsx&amp;sheet=U0&amp;row=1049&amp;col=8&amp;number=4.176&amp;sourceID=29","4.176")</f>
        <v>4.176</v>
      </c>
      <c r="I1049" s="4" t="str">
        <f>HYPERLINK("http://141.218.60.56/~jnz1568/getInfo.php?workbook=02_02.xlsx&amp;sheet=U0&amp;row=1049&amp;col=9&amp;number=12.46&amp;sourceID=1","12.46")</f>
        <v>12.46</v>
      </c>
    </row>
    <row r="1050" spans="1:9">
      <c r="A1050" s="3"/>
      <c r="B1050" s="3"/>
      <c r="C1050" s="3"/>
      <c r="D1050" s="3"/>
      <c r="E1050" s="3">
        <v>5</v>
      </c>
      <c r="F1050" s="4" t="str">
        <f>HYPERLINK("http://141.218.60.56/~jnz1568/getInfo.php?workbook=02_02.xlsx&amp;sheet=U0&amp;row=1050&amp;col=6&amp;number=&amp;sourceID=28","")</f>
        <v/>
      </c>
      <c r="G1050" s="4" t="str">
        <f>HYPERLINK("http://141.218.60.56/~jnz1568/getInfo.php?workbook=02_02.xlsx&amp;sheet=U0&amp;row=1050&amp;col=7&amp;number=&amp;sourceID=1","")</f>
        <v/>
      </c>
      <c r="H1050" s="4" t="str">
        <f>HYPERLINK("http://141.218.60.56/~jnz1568/getInfo.php?workbook=02_02.xlsx&amp;sheet=U0&amp;row=1050&amp;col=8&amp;number=4.301&amp;sourceID=29","4.301")</f>
        <v>4.301</v>
      </c>
      <c r="I1050" s="4" t="str">
        <f>HYPERLINK("http://141.218.60.56/~jnz1568/getInfo.php?workbook=02_02.xlsx&amp;sheet=U0&amp;row=1050&amp;col=9&amp;number=10.8&amp;sourceID=1","10.8")</f>
        <v>10.8</v>
      </c>
    </row>
    <row r="1051" spans="1:9">
      <c r="A1051" s="3"/>
      <c r="B1051" s="3"/>
      <c r="C1051" s="3"/>
      <c r="D1051" s="3"/>
      <c r="E1051" s="3">
        <v>6</v>
      </c>
      <c r="F1051" s="4" t="str">
        <f>HYPERLINK("http://141.218.60.56/~jnz1568/getInfo.php?workbook=02_02.xlsx&amp;sheet=U0&amp;row=1051&amp;col=6&amp;number=&amp;sourceID=28","")</f>
        <v/>
      </c>
      <c r="G1051" s="4" t="str">
        <f>HYPERLINK("http://141.218.60.56/~jnz1568/getInfo.php?workbook=02_02.xlsx&amp;sheet=U0&amp;row=1051&amp;col=7&amp;number=&amp;sourceID=1","")</f>
        <v/>
      </c>
      <c r="H1051" s="4" t="str">
        <f>HYPERLINK("http://141.218.60.56/~jnz1568/getInfo.php?workbook=02_02.xlsx&amp;sheet=U0&amp;row=1051&amp;col=8&amp;number=4.398&amp;sourceID=29","4.398")</f>
        <v>4.398</v>
      </c>
      <c r="I1051" s="4" t="str">
        <f>HYPERLINK("http://141.218.60.56/~jnz1568/getInfo.php?workbook=02_02.xlsx&amp;sheet=U0&amp;row=1051&amp;col=9&amp;number=9.66&amp;sourceID=1","9.66")</f>
        <v>9.66</v>
      </c>
    </row>
    <row r="1052" spans="1:9">
      <c r="A1052" s="3"/>
      <c r="B1052" s="3"/>
      <c r="C1052" s="3"/>
      <c r="D1052" s="3"/>
      <c r="E1052" s="3">
        <v>7</v>
      </c>
      <c r="F1052" s="4" t="str">
        <f>HYPERLINK("http://141.218.60.56/~jnz1568/getInfo.php?workbook=02_02.xlsx&amp;sheet=U0&amp;row=1052&amp;col=6&amp;number=&amp;sourceID=28","")</f>
        <v/>
      </c>
      <c r="G1052" s="4" t="str">
        <f>HYPERLINK("http://141.218.60.56/~jnz1568/getInfo.php?workbook=02_02.xlsx&amp;sheet=U0&amp;row=1052&amp;col=7&amp;number=&amp;sourceID=1","")</f>
        <v/>
      </c>
      <c r="H1052" s="4" t="str">
        <f>HYPERLINK("http://141.218.60.56/~jnz1568/getInfo.php?workbook=02_02.xlsx&amp;sheet=U0&amp;row=1052&amp;col=8&amp;number=4.477&amp;sourceID=29","4.477")</f>
        <v>4.477</v>
      </c>
      <c r="I1052" s="4" t="str">
        <f>HYPERLINK("http://141.218.60.56/~jnz1568/getInfo.php?workbook=02_02.xlsx&amp;sheet=U0&amp;row=1052&amp;col=9&amp;number=8.808&amp;sourceID=1","8.808")</f>
        <v>8.808</v>
      </c>
    </row>
    <row r="1053" spans="1:9">
      <c r="A1053" s="3">
        <v>2</v>
      </c>
      <c r="B1053" s="3">
        <v>2</v>
      </c>
      <c r="C1053" s="3">
        <v>18</v>
      </c>
      <c r="D1053" s="3">
        <v>14</v>
      </c>
      <c r="E1053" s="3">
        <v>1</v>
      </c>
      <c r="F1053" s="4" t="str">
        <f>HYPERLINK("http://141.218.60.56/~jnz1568/getInfo.php?workbook=02_02.xlsx&amp;sheet=U0&amp;row=1053&amp;col=6&amp;number=&amp;sourceID=28","")</f>
        <v/>
      </c>
      <c r="G1053" s="4" t="str">
        <f>HYPERLINK("http://141.218.60.56/~jnz1568/getInfo.php?workbook=02_02.xlsx&amp;sheet=U0&amp;row=1053&amp;col=7&amp;number=&amp;sourceID=1","")</f>
        <v/>
      </c>
      <c r="H1053" s="4" t="str">
        <f>HYPERLINK("http://141.218.60.56/~jnz1568/getInfo.php?workbook=02_02.xlsx&amp;sheet=U0&amp;row=1053&amp;col=8&amp;number=3.301&amp;sourceID=29","3.301")</f>
        <v>3.301</v>
      </c>
      <c r="I1053" s="4" t="str">
        <f>HYPERLINK("http://141.218.60.56/~jnz1568/getInfo.php?workbook=02_02.xlsx&amp;sheet=U0&amp;row=1053&amp;col=9&amp;number=5.77&amp;sourceID=1","5.77")</f>
        <v>5.77</v>
      </c>
    </row>
    <row r="1054" spans="1:9">
      <c r="A1054" s="3"/>
      <c r="B1054" s="3"/>
      <c r="C1054" s="3"/>
      <c r="D1054" s="3"/>
      <c r="E1054" s="3">
        <v>2</v>
      </c>
      <c r="F1054" s="4" t="str">
        <f>HYPERLINK("http://141.218.60.56/~jnz1568/getInfo.php?workbook=02_02.xlsx&amp;sheet=U0&amp;row=1054&amp;col=6&amp;number=&amp;sourceID=28","")</f>
        <v/>
      </c>
      <c r="G1054" s="4" t="str">
        <f>HYPERLINK("http://141.218.60.56/~jnz1568/getInfo.php?workbook=02_02.xlsx&amp;sheet=U0&amp;row=1054&amp;col=7&amp;number=&amp;sourceID=1","")</f>
        <v/>
      </c>
      <c r="H1054" s="4" t="str">
        <f>HYPERLINK("http://141.218.60.56/~jnz1568/getInfo.php?workbook=02_02.xlsx&amp;sheet=U0&amp;row=1054&amp;col=8&amp;number=3.699&amp;sourceID=29","3.699")</f>
        <v>3.699</v>
      </c>
      <c r="I1054" s="4" t="str">
        <f>HYPERLINK("http://141.218.60.56/~jnz1568/getInfo.php?workbook=02_02.xlsx&amp;sheet=U0&amp;row=1054&amp;col=9&amp;number=6.084&amp;sourceID=1","6.084")</f>
        <v>6.084</v>
      </c>
    </row>
    <row r="1055" spans="1:9">
      <c r="A1055" s="3"/>
      <c r="B1055" s="3"/>
      <c r="C1055" s="3"/>
      <c r="D1055" s="3"/>
      <c r="E1055" s="3">
        <v>3</v>
      </c>
      <c r="F1055" s="4" t="str">
        <f>HYPERLINK("http://141.218.60.56/~jnz1568/getInfo.php?workbook=02_02.xlsx&amp;sheet=U0&amp;row=1055&amp;col=6&amp;number=&amp;sourceID=28","")</f>
        <v/>
      </c>
      <c r="G1055" s="4" t="str">
        <f>HYPERLINK("http://141.218.60.56/~jnz1568/getInfo.php?workbook=02_02.xlsx&amp;sheet=U0&amp;row=1055&amp;col=7&amp;number=&amp;sourceID=1","")</f>
        <v/>
      </c>
      <c r="H1055" s="4" t="str">
        <f>HYPERLINK("http://141.218.60.56/~jnz1568/getInfo.php?workbook=02_02.xlsx&amp;sheet=U0&amp;row=1055&amp;col=8&amp;number=4&amp;sourceID=29","4")</f>
        <v>4</v>
      </c>
      <c r="I1055" s="4" t="str">
        <f>HYPERLINK("http://141.218.60.56/~jnz1568/getInfo.php?workbook=02_02.xlsx&amp;sheet=U0&amp;row=1055&amp;col=9&amp;number=5.386&amp;sourceID=1","5.386")</f>
        <v>5.386</v>
      </c>
    </row>
    <row r="1056" spans="1:9">
      <c r="A1056" s="3"/>
      <c r="B1056" s="3"/>
      <c r="C1056" s="3"/>
      <c r="D1056" s="3"/>
      <c r="E1056" s="3">
        <v>4</v>
      </c>
      <c r="F1056" s="4" t="str">
        <f>HYPERLINK("http://141.218.60.56/~jnz1568/getInfo.php?workbook=02_02.xlsx&amp;sheet=U0&amp;row=1056&amp;col=6&amp;number=&amp;sourceID=28","")</f>
        <v/>
      </c>
      <c r="G1056" s="4" t="str">
        <f>HYPERLINK("http://141.218.60.56/~jnz1568/getInfo.php?workbook=02_02.xlsx&amp;sheet=U0&amp;row=1056&amp;col=7&amp;number=&amp;sourceID=1","")</f>
        <v/>
      </c>
      <c r="H1056" s="4" t="str">
        <f>HYPERLINK("http://141.218.60.56/~jnz1568/getInfo.php?workbook=02_02.xlsx&amp;sheet=U0&amp;row=1056&amp;col=8&amp;number=4.176&amp;sourceID=29","4.176")</f>
        <v>4.176</v>
      </c>
      <c r="I1056" s="4" t="str">
        <f>HYPERLINK("http://141.218.60.56/~jnz1568/getInfo.php?workbook=02_02.xlsx&amp;sheet=U0&amp;row=1056&amp;col=9&amp;number=4.701&amp;sourceID=1","4.701")</f>
        <v>4.701</v>
      </c>
    </row>
    <row r="1057" spans="1:9">
      <c r="A1057" s="3"/>
      <c r="B1057" s="3"/>
      <c r="C1057" s="3"/>
      <c r="D1057" s="3"/>
      <c r="E1057" s="3">
        <v>5</v>
      </c>
      <c r="F1057" s="4" t="str">
        <f>HYPERLINK("http://141.218.60.56/~jnz1568/getInfo.php?workbook=02_02.xlsx&amp;sheet=U0&amp;row=1057&amp;col=6&amp;number=&amp;sourceID=28","")</f>
        <v/>
      </c>
      <c r="G1057" s="4" t="str">
        <f>HYPERLINK("http://141.218.60.56/~jnz1568/getInfo.php?workbook=02_02.xlsx&amp;sheet=U0&amp;row=1057&amp;col=7&amp;number=&amp;sourceID=1","")</f>
        <v/>
      </c>
      <c r="H1057" s="4" t="str">
        <f>HYPERLINK("http://141.218.60.56/~jnz1568/getInfo.php?workbook=02_02.xlsx&amp;sheet=U0&amp;row=1057&amp;col=8&amp;number=4.301&amp;sourceID=29","4.301")</f>
        <v>4.301</v>
      </c>
      <c r="I1057" s="4" t="str">
        <f>HYPERLINK("http://141.218.60.56/~jnz1568/getInfo.php?workbook=02_02.xlsx&amp;sheet=U0&amp;row=1057&amp;col=9&amp;number=4.143&amp;sourceID=1","4.143")</f>
        <v>4.143</v>
      </c>
    </row>
    <row r="1058" spans="1:9">
      <c r="A1058" s="3"/>
      <c r="B1058" s="3"/>
      <c r="C1058" s="3"/>
      <c r="D1058" s="3"/>
      <c r="E1058" s="3">
        <v>6</v>
      </c>
      <c r="F1058" s="4" t="str">
        <f>HYPERLINK("http://141.218.60.56/~jnz1568/getInfo.php?workbook=02_02.xlsx&amp;sheet=U0&amp;row=1058&amp;col=6&amp;number=&amp;sourceID=28","")</f>
        <v/>
      </c>
      <c r="G1058" s="4" t="str">
        <f>HYPERLINK("http://141.218.60.56/~jnz1568/getInfo.php?workbook=02_02.xlsx&amp;sheet=U0&amp;row=1058&amp;col=7&amp;number=&amp;sourceID=1","")</f>
        <v/>
      </c>
      <c r="H1058" s="4" t="str">
        <f>HYPERLINK("http://141.218.60.56/~jnz1568/getInfo.php?workbook=02_02.xlsx&amp;sheet=U0&amp;row=1058&amp;col=8&amp;number=4.398&amp;sourceID=29","4.398")</f>
        <v>4.398</v>
      </c>
      <c r="I1058" s="4" t="str">
        <f>HYPERLINK("http://141.218.60.56/~jnz1568/getInfo.php?workbook=02_02.xlsx&amp;sheet=U0&amp;row=1058&amp;col=9&amp;number=3.695&amp;sourceID=1","3.695")</f>
        <v>3.695</v>
      </c>
    </row>
    <row r="1059" spans="1:9">
      <c r="A1059" s="3"/>
      <c r="B1059" s="3"/>
      <c r="C1059" s="3"/>
      <c r="D1059" s="3"/>
      <c r="E1059" s="3">
        <v>7</v>
      </c>
      <c r="F1059" s="4" t="str">
        <f>HYPERLINK("http://141.218.60.56/~jnz1568/getInfo.php?workbook=02_02.xlsx&amp;sheet=U0&amp;row=1059&amp;col=6&amp;number=&amp;sourceID=28","")</f>
        <v/>
      </c>
      <c r="G1059" s="4" t="str">
        <f>HYPERLINK("http://141.218.60.56/~jnz1568/getInfo.php?workbook=02_02.xlsx&amp;sheet=U0&amp;row=1059&amp;col=7&amp;number=&amp;sourceID=1","")</f>
        <v/>
      </c>
      <c r="H1059" s="4" t="str">
        <f>HYPERLINK("http://141.218.60.56/~jnz1568/getInfo.php?workbook=02_02.xlsx&amp;sheet=U0&amp;row=1059&amp;col=8&amp;number=4.477&amp;sourceID=29","4.477")</f>
        <v>4.477</v>
      </c>
      <c r="I1059" s="4" t="str">
        <f>HYPERLINK("http://141.218.60.56/~jnz1568/getInfo.php?workbook=02_02.xlsx&amp;sheet=U0&amp;row=1059&amp;col=9&amp;number=3.332&amp;sourceID=1","3.332")</f>
        <v>3.332</v>
      </c>
    </row>
    <row r="1060" spans="1:9">
      <c r="A1060" s="3">
        <v>2</v>
      </c>
      <c r="B1060" s="3">
        <v>2</v>
      </c>
      <c r="C1060" s="3">
        <v>18</v>
      </c>
      <c r="D1060" s="3">
        <v>15</v>
      </c>
      <c r="E1060" s="3">
        <v>1</v>
      </c>
      <c r="F1060" s="4" t="str">
        <f>HYPERLINK("http://141.218.60.56/~jnz1568/getInfo.php?workbook=02_02.xlsx&amp;sheet=U0&amp;row=1060&amp;col=6&amp;number=&amp;sourceID=28","")</f>
        <v/>
      </c>
      <c r="G1060" s="4" t="str">
        <f>HYPERLINK("http://141.218.60.56/~jnz1568/getInfo.php?workbook=02_02.xlsx&amp;sheet=U0&amp;row=1060&amp;col=7&amp;number=&amp;sourceID=1","")</f>
        <v/>
      </c>
      <c r="H1060" s="4" t="str">
        <f>HYPERLINK("http://141.218.60.56/~jnz1568/getInfo.php?workbook=02_02.xlsx&amp;sheet=U0&amp;row=1060&amp;col=8&amp;number=3.301&amp;sourceID=29","3.301")</f>
        <v>3.301</v>
      </c>
      <c r="I1060" s="4" t="str">
        <f>HYPERLINK("http://141.218.60.56/~jnz1568/getInfo.php?workbook=02_02.xlsx&amp;sheet=U0&amp;row=1060&amp;col=9&amp;number=7.137&amp;sourceID=1","7.137")</f>
        <v>7.137</v>
      </c>
    </row>
    <row r="1061" spans="1:9">
      <c r="A1061" s="3"/>
      <c r="B1061" s="3"/>
      <c r="C1061" s="3"/>
      <c r="D1061" s="3"/>
      <c r="E1061" s="3">
        <v>2</v>
      </c>
      <c r="F1061" s="4" t="str">
        <f>HYPERLINK("http://141.218.60.56/~jnz1568/getInfo.php?workbook=02_02.xlsx&amp;sheet=U0&amp;row=1061&amp;col=6&amp;number=&amp;sourceID=28","")</f>
        <v/>
      </c>
      <c r="G1061" s="4" t="str">
        <f>HYPERLINK("http://141.218.60.56/~jnz1568/getInfo.php?workbook=02_02.xlsx&amp;sheet=U0&amp;row=1061&amp;col=7&amp;number=&amp;sourceID=1","")</f>
        <v/>
      </c>
      <c r="H1061" s="4" t="str">
        <f>HYPERLINK("http://141.218.60.56/~jnz1568/getInfo.php?workbook=02_02.xlsx&amp;sheet=U0&amp;row=1061&amp;col=8&amp;number=3.699&amp;sourceID=29","3.699")</f>
        <v>3.699</v>
      </c>
      <c r="I1061" s="4" t="str">
        <f>HYPERLINK("http://141.218.60.56/~jnz1568/getInfo.php?workbook=02_02.xlsx&amp;sheet=U0&amp;row=1061&amp;col=9&amp;number=8.158&amp;sourceID=1","8.158")</f>
        <v>8.158</v>
      </c>
    </row>
    <row r="1062" spans="1:9">
      <c r="A1062" s="3"/>
      <c r="B1062" s="3"/>
      <c r="C1062" s="3"/>
      <c r="D1062" s="3"/>
      <c r="E1062" s="3">
        <v>3</v>
      </c>
      <c r="F1062" s="4" t="str">
        <f>HYPERLINK("http://141.218.60.56/~jnz1568/getInfo.php?workbook=02_02.xlsx&amp;sheet=U0&amp;row=1062&amp;col=6&amp;number=&amp;sourceID=28","")</f>
        <v/>
      </c>
      <c r="G1062" s="4" t="str">
        <f>HYPERLINK("http://141.218.60.56/~jnz1568/getInfo.php?workbook=02_02.xlsx&amp;sheet=U0&amp;row=1062&amp;col=7&amp;number=&amp;sourceID=1","")</f>
        <v/>
      </c>
      <c r="H1062" s="4" t="str">
        <f>HYPERLINK("http://141.218.60.56/~jnz1568/getInfo.php?workbook=02_02.xlsx&amp;sheet=U0&amp;row=1062&amp;col=8&amp;number=4&amp;sourceID=29","4")</f>
        <v>4</v>
      </c>
      <c r="I1062" s="4" t="str">
        <f>HYPERLINK("http://141.218.60.56/~jnz1568/getInfo.php?workbook=02_02.xlsx&amp;sheet=U0&amp;row=1062&amp;col=9&amp;number=7.797&amp;sourceID=1","7.797")</f>
        <v>7.797</v>
      </c>
    </row>
    <row r="1063" spans="1:9">
      <c r="A1063" s="3"/>
      <c r="B1063" s="3"/>
      <c r="C1063" s="3"/>
      <c r="D1063" s="3"/>
      <c r="E1063" s="3">
        <v>4</v>
      </c>
      <c r="F1063" s="4" t="str">
        <f>HYPERLINK("http://141.218.60.56/~jnz1568/getInfo.php?workbook=02_02.xlsx&amp;sheet=U0&amp;row=1063&amp;col=6&amp;number=&amp;sourceID=28","")</f>
        <v/>
      </c>
      <c r="G1063" s="4" t="str">
        <f>HYPERLINK("http://141.218.60.56/~jnz1568/getInfo.php?workbook=02_02.xlsx&amp;sheet=U0&amp;row=1063&amp;col=7&amp;number=&amp;sourceID=1","")</f>
        <v/>
      </c>
      <c r="H1063" s="4" t="str">
        <f>HYPERLINK("http://141.218.60.56/~jnz1568/getInfo.php?workbook=02_02.xlsx&amp;sheet=U0&amp;row=1063&amp;col=8&amp;number=4.176&amp;sourceID=29","4.176")</f>
        <v>4.176</v>
      </c>
      <c r="I1063" s="4" t="str">
        <f>HYPERLINK("http://141.218.60.56/~jnz1568/getInfo.php?workbook=02_02.xlsx&amp;sheet=U0&amp;row=1063&amp;col=9&amp;number=7.11&amp;sourceID=1","7.11")</f>
        <v>7.11</v>
      </c>
    </row>
    <row r="1064" spans="1:9">
      <c r="A1064" s="3"/>
      <c r="B1064" s="3"/>
      <c r="C1064" s="3"/>
      <c r="D1064" s="3"/>
      <c r="E1064" s="3">
        <v>5</v>
      </c>
      <c r="F1064" s="4" t="str">
        <f>HYPERLINK("http://141.218.60.56/~jnz1568/getInfo.php?workbook=02_02.xlsx&amp;sheet=U0&amp;row=1064&amp;col=6&amp;number=&amp;sourceID=28","")</f>
        <v/>
      </c>
      <c r="G1064" s="4" t="str">
        <f>HYPERLINK("http://141.218.60.56/~jnz1568/getInfo.php?workbook=02_02.xlsx&amp;sheet=U0&amp;row=1064&amp;col=7&amp;number=&amp;sourceID=1","")</f>
        <v/>
      </c>
      <c r="H1064" s="4" t="str">
        <f>HYPERLINK("http://141.218.60.56/~jnz1568/getInfo.php?workbook=02_02.xlsx&amp;sheet=U0&amp;row=1064&amp;col=8&amp;number=4.301&amp;sourceID=29","4.301")</f>
        <v>4.301</v>
      </c>
      <c r="I1064" s="4" t="str">
        <f>HYPERLINK("http://141.218.60.56/~jnz1568/getInfo.php?workbook=02_02.xlsx&amp;sheet=U0&amp;row=1064&amp;col=9&amp;number=6.447&amp;sourceID=1","6.447")</f>
        <v>6.447</v>
      </c>
    </row>
    <row r="1065" spans="1:9">
      <c r="A1065" s="3"/>
      <c r="B1065" s="3"/>
      <c r="C1065" s="3"/>
      <c r="D1065" s="3"/>
      <c r="E1065" s="3">
        <v>6</v>
      </c>
      <c r="F1065" s="4" t="str">
        <f>HYPERLINK("http://141.218.60.56/~jnz1568/getInfo.php?workbook=02_02.xlsx&amp;sheet=U0&amp;row=1065&amp;col=6&amp;number=&amp;sourceID=28","")</f>
        <v/>
      </c>
      <c r="G1065" s="4" t="str">
        <f>HYPERLINK("http://141.218.60.56/~jnz1568/getInfo.php?workbook=02_02.xlsx&amp;sheet=U0&amp;row=1065&amp;col=7&amp;number=&amp;sourceID=1","")</f>
        <v/>
      </c>
      <c r="H1065" s="4" t="str">
        <f>HYPERLINK("http://141.218.60.56/~jnz1568/getInfo.php?workbook=02_02.xlsx&amp;sheet=U0&amp;row=1065&amp;col=8&amp;number=4.398&amp;sourceID=29","4.398")</f>
        <v>4.398</v>
      </c>
      <c r="I1065" s="4" t="str">
        <f>HYPERLINK("http://141.218.60.56/~jnz1568/getInfo.php?workbook=02_02.xlsx&amp;sheet=U0&amp;row=1065&amp;col=9&amp;number=5.866&amp;sourceID=1","5.866")</f>
        <v>5.866</v>
      </c>
    </row>
    <row r="1066" spans="1:9">
      <c r="A1066" s="3"/>
      <c r="B1066" s="3"/>
      <c r="C1066" s="3"/>
      <c r="D1066" s="3"/>
      <c r="E1066" s="3">
        <v>7</v>
      </c>
      <c r="F1066" s="4" t="str">
        <f>HYPERLINK("http://141.218.60.56/~jnz1568/getInfo.php?workbook=02_02.xlsx&amp;sheet=U0&amp;row=1066&amp;col=6&amp;number=&amp;sourceID=28","")</f>
        <v/>
      </c>
      <c r="G1066" s="4" t="str">
        <f>HYPERLINK("http://141.218.60.56/~jnz1568/getInfo.php?workbook=02_02.xlsx&amp;sheet=U0&amp;row=1066&amp;col=7&amp;number=&amp;sourceID=1","")</f>
        <v/>
      </c>
      <c r="H1066" s="4" t="str">
        <f>HYPERLINK("http://141.218.60.56/~jnz1568/getInfo.php?workbook=02_02.xlsx&amp;sheet=U0&amp;row=1066&amp;col=8&amp;number=4.477&amp;sourceID=29","4.477")</f>
        <v>4.477</v>
      </c>
      <c r="I1066" s="4" t="str">
        <f>HYPERLINK("http://141.218.60.56/~jnz1568/getInfo.php?workbook=02_02.xlsx&amp;sheet=U0&amp;row=1066&amp;col=9&amp;number=5.369&amp;sourceID=1","5.369")</f>
        <v>5.369</v>
      </c>
    </row>
    <row r="1067" spans="1:9">
      <c r="A1067" s="3">
        <v>2</v>
      </c>
      <c r="B1067" s="3">
        <v>2</v>
      </c>
      <c r="C1067" s="3">
        <v>18</v>
      </c>
      <c r="D1067" s="3">
        <v>17</v>
      </c>
      <c r="E1067" s="3">
        <v>1</v>
      </c>
      <c r="F1067" s="4" t="str">
        <f>HYPERLINK("http://141.218.60.56/~jnz1568/getInfo.php?workbook=02_02.xlsx&amp;sheet=U0&amp;row=1067&amp;col=6&amp;number=&amp;sourceID=28","")</f>
        <v/>
      </c>
      <c r="G1067" s="4" t="str">
        <f>HYPERLINK("http://141.218.60.56/~jnz1568/getInfo.php?workbook=02_02.xlsx&amp;sheet=U0&amp;row=1067&amp;col=7&amp;number=&amp;sourceID=1","")</f>
        <v/>
      </c>
      <c r="H1067" s="4" t="str">
        <f>HYPERLINK("http://141.218.60.56/~jnz1568/getInfo.php?workbook=02_02.xlsx&amp;sheet=U0&amp;row=1067&amp;col=8&amp;number=3.301&amp;sourceID=29","3.301")</f>
        <v>3.301</v>
      </c>
      <c r="I1067" s="4" t="str">
        <f>HYPERLINK("http://141.218.60.56/~jnz1568/getInfo.php?workbook=02_02.xlsx&amp;sheet=U0&amp;row=1067&amp;col=9&amp;number=11.13&amp;sourceID=1","11.13")</f>
        <v>11.13</v>
      </c>
    </row>
    <row r="1068" spans="1:9">
      <c r="A1068" s="3"/>
      <c r="B1068" s="3"/>
      <c r="C1068" s="3"/>
      <c r="D1068" s="3"/>
      <c r="E1068" s="3">
        <v>2</v>
      </c>
      <c r="F1068" s="4" t="str">
        <f>HYPERLINK("http://141.218.60.56/~jnz1568/getInfo.php?workbook=02_02.xlsx&amp;sheet=U0&amp;row=1068&amp;col=6&amp;number=&amp;sourceID=28","")</f>
        <v/>
      </c>
      <c r="G1068" s="4" t="str">
        <f>HYPERLINK("http://141.218.60.56/~jnz1568/getInfo.php?workbook=02_02.xlsx&amp;sheet=U0&amp;row=1068&amp;col=7&amp;number=&amp;sourceID=1","")</f>
        <v/>
      </c>
      <c r="H1068" s="4" t="str">
        <f>HYPERLINK("http://141.218.60.56/~jnz1568/getInfo.php?workbook=02_02.xlsx&amp;sheet=U0&amp;row=1068&amp;col=8&amp;number=3.699&amp;sourceID=29","3.699")</f>
        <v>3.699</v>
      </c>
      <c r="I1068" s="4" t="str">
        <f>HYPERLINK("http://141.218.60.56/~jnz1568/getInfo.php?workbook=02_02.xlsx&amp;sheet=U0&amp;row=1068&amp;col=9&amp;number=13.08&amp;sourceID=1","13.08")</f>
        <v>13.08</v>
      </c>
    </row>
    <row r="1069" spans="1:9">
      <c r="A1069" s="3"/>
      <c r="B1069" s="3"/>
      <c r="C1069" s="3"/>
      <c r="D1069" s="3"/>
      <c r="E1069" s="3">
        <v>3</v>
      </c>
      <c r="F1069" s="4" t="str">
        <f>HYPERLINK("http://141.218.60.56/~jnz1568/getInfo.php?workbook=02_02.xlsx&amp;sheet=U0&amp;row=1069&amp;col=6&amp;number=&amp;sourceID=28","")</f>
        <v/>
      </c>
      <c r="G1069" s="4" t="str">
        <f>HYPERLINK("http://141.218.60.56/~jnz1568/getInfo.php?workbook=02_02.xlsx&amp;sheet=U0&amp;row=1069&amp;col=7&amp;number=&amp;sourceID=1","")</f>
        <v/>
      </c>
      <c r="H1069" s="4" t="str">
        <f>HYPERLINK("http://141.218.60.56/~jnz1568/getInfo.php?workbook=02_02.xlsx&amp;sheet=U0&amp;row=1069&amp;col=8&amp;number=4&amp;sourceID=29","4")</f>
        <v>4</v>
      </c>
      <c r="I1069" s="4" t="str">
        <f>HYPERLINK("http://141.218.60.56/~jnz1568/getInfo.php?workbook=02_02.xlsx&amp;sheet=U0&amp;row=1069&amp;col=9&amp;number=12.77&amp;sourceID=1","12.77")</f>
        <v>12.77</v>
      </c>
    </row>
    <row r="1070" spans="1:9">
      <c r="A1070" s="3"/>
      <c r="B1070" s="3"/>
      <c r="C1070" s="3"/>
      <c r="D1070" s="3"/>
      <c r="E1070" s="3">
        <v>4</v>
      </c>
      <c r="F1070" s="4" t="str">
        <f>HYPERLINK("http://141.218.60.56/~jnz1568/getInfo.php?workbook=02_02.xlsx&amp;sheet=U0&amp;row=1070&amp;col=6&amp;number=&amp;sourceID=28","")</f>
        <v/>
      </c>
      <c r="G1070" s="4" t="str">
        <f>HYPERLINK("http://141.218.60.56/~jnz1568/getInfo.php?workbook=02_02.xlsx&amp;sheet=U0&amp;row=1070&amp;col=7&amp;number=&amp;sourceID=1","")</f>
        <v/>
      </c>
      <c r="H1070" s="4" t="str">
        <f>HYPERLINK("http://141.218.60.56/~jnz1568/getInfo.php?workbook=02_02.xlsx&amp;sheet=U0&amp;row=1070&amp;col=8&amp;number=4.176&amp;sourceID=29","4.176")</f>
        <v>4.176</v>
      </c>
      <c r="I1070" s="4" t="str">
        <f>HYPERLINK("http://141.218.60.56/~jnz1568/getInfo.php?workbook=02_02.xlsx&amp;sheet=U0&amp;row=1070&amp;col=9&amp;number=11.88&amp;sourceID=1","11.88")</f>
        <v>11.88</v>
      </c>
    </row>
    <row r="1071" spans="1:9">
      <c r="A1071" s="3"/>
      <c r="B1071" s="3"/>
      <c r="C1071" s="3"/>
      <c r="D1071" s="3"/>
      <c r="E1071" s="3">
        <v>5</v>
      </c>
      <c r="F1071" s="4" t="str">
        <f>HYPERLINK("http://141.218.60.56/~jnz1568/getInfo.php?workbook=02_02.xlsx&amp;sheet=U0&amp;row=1071&amp;col=6&amp;number=&amp;sourceID=28","")</f>
        <v/>
      </c>
      <c r="G1071" s="4" t="str">
        <f>HYPERLINK("http://141.218.60.56/~jnz1568/getInfo.php?workbook=02_02.xlsx&amp;sheet=U0&amp;row=1071&amp;col=7&amp;number=&amp;sourceID=1","")</f>
        <v/>
      </c>
      <c r="H1071" s="4" t="str">
        <f>HYPERLINK("http://141.218.60.56/~jnz1568/getInfo.php?workbook=02_02.xlsx&amp;sheet=U0&amp;row=1071&amp;col=8&amp;number=4.301&amp;sourceID=29","4.301")</f>
        <v>4.301</v>
      </c>
      <c r="I1071" s="4" t="str">
        <f>HYPERLINK("http://141.218.60.56/~jnz1568/getInfo.php?workbook=02_02.xlsx&amp;sheet=U0&amp;row=1071&amp;col=9&amp;number=10.98&amp;sourceID=1","10.98")</f>
        <v>10.98</v>
      </c>
    </row>
    <row r="1072" spans="1:9">
      <c r="A1072" s="3"/>
      <c r="B1072" s="3"/>
      <c r="C1072" s="3"/>
      <c r="D1072" s="3"/>
      <c r="E1072" s="3">
        <v>6</v>
      </c>
      <c r="F1072" s="4" t="str">
        <f>HYPERLINK("http://141.218.60.56/~jnz1568/getInfo.php?workbook=02_02.xlsx&amp;sheet=U0&amp;row=1072&amp;col=6&amp;number=&amp;sourceID=28","")</f>
        <v/>
      </c>
      <c r="G1072" s="4" t="str">
        <f>HYPERLINK("http://141.218.60.56/~jnz1568/getInfo.php?workbook=02_02.xlsx&amp;sheet=U0&amp;row=1072&amp;col=7&amp;number=&amp;sourceID=1","")</f>
        <v/>
      </c>
      <c r="H1072" s="4" t="str">
        <f>HYPERLINK("http://141.218.60.56/~jnz1568/getInfo.php?workbook=02_02.xlsx&amp;sheet=U0&amp;row=1072&amp;col=8&amp;number=4.398&amp;sourceID=29","4.398")</f>
        <v>4.398</v>
      </c>
      <c r="I1072" s="4" t="str">
        <f>HYPERLINK("http://141.218.60.56/~jnz1568/getInfo.php?workbook=02_02.xlsx&amp;sheet=U0&amp;row=1072&amp;col=9&amp;number=10.16&amp;sourceID=1","10.16")</f>
        <v>10.16</v>
      </c>
    </row>
    <row r="1073" spans="1:9">
      <c r="A1073" s="3"/>
      <c r="B1073" s="3"/>
      <c r="C1073" s="3"/>
      <c r="D1073" s="3"/>
      <c r="E1073" s="3">
        <v>7</v>
      </c>
      <c r="F1073" s="4" t="str">
        <f>HYPERLINK("http://141.218.60.56/~jnz1568/getInfo.php?workbook=02_02.xlsx&amp;sheet=U0&amp;row=1073&amp;col=6&amp;number=&amp;sourceID=28","")</f>
        <v/>
      </c>
      <c r="G1073" s="4" t="str">
        <f>HYPERLINK("http://141.218.60.56/~jnz1568/getInfo.php?workbook=02_02.xlsx&amp;sheet=U0&amp;row=1073&amp;col=7&amp;number=&amp;sourceID=1","")</f>
        <v/>
      </c>
      <c r="H1073" s="4" t="str">
        <f>HYPERLINK("http://141.218.60.56/~jnz1568/getInfo.php?workbook=02_02.xlsx&amp;sheet=U0&amp;row=1073&amp;col=8&amp;number=4.477&amp;sourceID=29","4.477")</f>
        <v>4.477</v>
      </c>
      <c r="I1073" s="4" t="str">
        <f>HYPERLINK("http://141.218.60.56/~jnz1568/getInfo.php?workbook=02_02.xlsx&amp;sheet=U0&amp;row=1073&amp;col=9&amp;number=9.426&amp;sourceID=1","9.426")</f>
        <v>9.426</v>
      </c>
    </row>
    <row r="1074" spans="1:9">
      <c r="A1074" s="3">
        <v>2</v>
      </c>
      <c r="B1074" s="3">
        <v>2</v>
      </c>
      <c r="C1074" s="3">
        <v>19</v>
      </c>
      <c r="D1074" s="3">
        <v>1</v>
      </c>
      <c r="E1074" s="3">
        <v>1</v>
      </c>
      <c r="F1074" s="4" t="str">
        <f>HYPERLINK("http://141.218.60.56/~jnz1568/getInfo.php?workbook=02_02.xlsx&amp;sheet=U0&amp;row=1074&amp;col=6&amp;number=3.75&amp;sourceID=28","3.75")</f>
        <v>3.75</v>
      </c>
      <c r="G1074" s="4" t="str">
        <f>HYPERLINK("http://141.218.60.56/~jnz1568/getInfo.php?workbook=02_02.xlsx&amp;sheet=U0&amp;row=1074&amp;col=7&amp;number=0.001046&amp;sourceID=1","0.001046")</f>
        <v>0.001046</v>
      </c>
      <c r="H1074" s="4" t="str">
        <f>HYPERLINK("http://141.218.60.56/~jnz1568/getInfo.php?workbook=02_02.xlsx&amp;sheet=U0&amp;row=1074&amp;col=8&amp;number=3.301&amp;sourceID=29","3.301")</f>
        <v>3.301</v>
      </c>
      <c r="I1074" s="4" t="str">
        <f>HYPERLINK("http://141.218.60.56/~jnz1568/getInfo.php?workbook=02_02.xlsx&amp;sheet=U0&amp;row=1074&amp;col=9&amp;number=0.0003896&amp;sourceID=1","0.0003896")</f>
        <v>0.0003896</v>
      </c>
    </row>
    <row r="1075" spans="1:9">
      <c r="A1075" s="3"/>
      <c r="B1075" s="3"/>
      <c r="C1075" s="3"/>
      <c r="D1075" s="3"/>
      <c r="E1075" s="3">
        <v>2</v>
      </c>
      <c r="F1075" s="4" t="str">
        <f>HYPERLINK("http://141.218.60.56/~jnz1568/getInfo.php?workbook=02_02.xlsx&amp;sheet=U0&amp;row=1075&amp;col=6&amp;number=4&amp;sourceID=28","4")</f>
        <v>4</v>
      </c>
      <c r="G1075" s="4" t="str">
        <f>HYPERLINK("http://141.218.60.56/~jnz1568/getInfo.php?workbook=02_02.xlsx&amp;sheet=U0&amp;row=1075&amp;col=7&amp;number=0.001504&amp;sourceID=1","0.001504")</f>
        <v>0.001504</v>
      </c>
      <c r="H1075" s="4" t="str">
        <f>HYPERLINK("http://141.218.60.56/~jnz1568/getInfo.php?workbook=02_02.xlsx&amp;sheet=U0&amp;row=1075&amp;col=8&amp;number=3.699&amp;sourceID=29","3.699")</f>
        <v>3.699</v>
      </c>
      <c r="I1075" s="4" t="str">
        <f>HYPERLINK("http://141.218.60.56/~jnz1568/getInfo.php?workbook=02_02.xlsx&amp;sheet=U0&amp;row=1075&amp;col=9&amp;number=0.0009433&amp;sourceID=1","0.0009433")</f>
        <v>0.0009433</v>
      </c>
    </row>
    <row r="1076" spans="1:9">
      <c r="A1076" s="3"/>
      <c r="B1076" s="3"/>
      <c r="C1076" s="3"/>
      <c r="D1076" s="3"/>
      <c r="E1076" s="3">
        <v>3</v>
      </c>
      <c r="F1076" s="4" t="str">
        <f>HYPERLINK("http://141.218.60.56/~jnz1568/getInfo.php?workbook=02_02.xlsx&amp;sheet=U0&amp;row=1076&amp;col=6&amp;number=4.25&amp;sourceID=28","4.25")</f>
        <v>4.25</v>
      </c>
      <c r="G1076" s="4" t="str">
        <f>HYPERLINK("http://141.218.60.56/~jnz1568/getInfo.php?workbook=02_02.xlsx&amp;sheet=U0&amp;row=1076&amp;col=7&amp;number=0.002143&amp;sourceID=1","0.002143")</f>
        <v>0.002143</v>
      </c>
      <c r="H1076" s="4" t="str">
        <f>HYPERLINK("http://141.218.60.56/~jnz1568/getInfo.php?workbook=02_02.xlsx&amp;sheet=U0&amp;row=1076&amp;col=8&amp;number=4&amp;sourceID=29","4")</f>
        <v>4</v>
      </c>
      <c r="I1076" s="4" t="str">
        <f>HYPERLINK("http://141.218.60.56/~jnz1568/getInfo.php?workbook=02_02.xlsx&amp;sheet=U0&amp;row=1076&amp;col=9&amp;number=0.002228&amp;sourceID=1","0.002228")</f>
        <v>0.002228</v>
      </c>
    </row>
    <row r="1077" spans="1:9">
      <c r="A1077" s="3"/>
      <c r="B1077" s="3"/>
      <c r="C1077" s="3"/>
      <c r="D1077" s="3"/>
      <c r="E1077" s="3">
        <v>4</v>
      </c>
      <c r="F1077" s="4" t="str">
        <f>HYPERLINK("http://141.218.60.56/~jnz1568/getInfo.php?workbook=02_02.xlsx&amp;sheet=U0&amp;row=1077&amp;col=6&amp;number=4.5&amp;sourceID=28","4.5")</f>
        <v>4.5</v>
      </c>
      <c r="G1077" s="4" t="str">
        <f>HYPERLINK("http://141.218.60.56/~jnz1568/getInfo.php?workbook=02_02.xlsx&amp;sheet=U0&amp;row=1077&amp;col=7&amp;number=0.003173&amp;sourceID=1","0.003173")</f>
        <v>0.003173</v>
      </c>
      <c r="H1077" s="4" t="str">
        <f>HYPERLINK("http://141.218.60.56/~jnz1568/getInfo.php?workbook=02_02.xlsx&amp;sheet=U0&amp;row=1077&amp;col=8&amp;number=4.176&amp;sourceID=29","4.176")</f>
        <v>4.176</v>
      </c>
      <c r="I1077" s="4" t="str">
        <f>HYPERLINK("http://141.218.60.56/~jnz1568/getInfo.php?workbook=02_02.xlsx&amp;sheet=U0&amp;row=1077&amp;col=9&amp;number=0.003766&amp;sourceID=1","0.003766")</f>
        <v>0.003766</v>
      </c>
    </row>
    <row r="1078" spans="1:9">
      <c r="A1078" s="3"/>
      <c r="B1078" s="3"/>
      <c r="C1078" s="3"/>
      <c r="D1078" s="3"/>
      <c r="E1078" s="3">
        <v>5</v>
      </c>
      <c r="F1078" s="4" t="str">
        <f>HYPERLINK("http://141.218.60.56/~jnz1568/getInfo.php?workbook=02_02.xlsx&amp;sheet=U0&amp;row=1078&amp;col=6&amp;number=4.75&amp;sourceID=28","4.75")</f>
        <v>4.75</v>
      </c>
      <c r="G1078" s="4" t="str">
        <f>HYPERLINK("http://141.218.60.56/~jnz1568/getInfo.php?workbook=02_02.xlsx&amp;sheet=U0&amp;row=1078&amp;col=7&amp;number=0.00518&amp;sourceID=1","0.00518")</f>
        <v>0.00518</v>
      </c>
      <c r="H1078" s="4" t="str">
        <f>HYPERLINK("http://141.218.60.56/~jnz1568/getInfo.php?workbook=02_02.xlsx&amp;sheet=U0&amp;row=1078&amp;col=8&amp;number=4.301&amp;sourceID=29","4.301")</f>
        <v>4.301</v>
      </c>
      <c r="I1078" s="4" t="str">
        <f>HYPERLINK("http://141.218.60.56/~jnz1568/getInfo.php?workbook=02_02.xlsx&amp;sheet=U0&amp;row=1078&amp;col=9&amp;number=0.005284&amp;sourceID=1","0.005284")</f>
        <v>0.005284</v>
      </c>
    </row>
    <row r="1079" spans="1:9">
      <c r="A1079" s="3"/>
      <c r="B1079" s="3"/>
      <c r="C1079" s="3"/>
      <c r="D1079" s="3"/>
      <c r="E1079" s="3">
        <v>6</v>
      </c>
      <c r="F1079" s="4" t="str">
        <f>HYPERLINK("http://141.218.60.56/~jnz1568/getInfo.php?workbook=02_02.xlsx&amp;sheet=U0&amp;row=1079&amp;col=6&amp;number=5&amp;sourceID=28","5")</f>
        <v>5</v>
      </c>
      <c r="G1079" s="4" t="str">
        <f>HYPERLINK("http://141.218.60.56/~jnz1568/getInfo.php?workbook=02_02.xlsx&amp;sheet=U0&amp;row=1079&amp;col=7&amp;number=0.009287&amp;sourceID=1","0.009287")</f>
        <v>0.009287</v>
      </c>
      <c r="H1079" s="4" t="str">
        <f>HYPERLINK("http://141.218.60.56/~jnz1568/getInfo.php?workbook=02_02.xlsx&amp;sheet=U0&amp;row=1079&amp;col=8&amp;number=4.398&amp;sourceID=29","4.398")</f>
        <v>4.398</v>
      </c>
      <c r="I1079" s="4" t="str">
        <f>HYPERLINK("http://141.218.60.56/~jnz1568/getInfo.php?workbook=02_02.xlsx&amp;sheet=U0&amp;row=1079&amp;col=9&amp;number=0.006621&amp;sourceID=1","0.006621")</f>
        <v>0.006621</v>
      </c>
    </row>
    <row r="1080" spans="1:9">
      <c r="A1080" s="3"/>
      <c r="B1080" s="3"/>
      <c r="C1080" s="3"/>
      <c r="D1080" s="3"/>
      <c r="E1080" s="3">
        <v>7</v>
      </c>
      <c r="F1080" s="4" t="str">
        <f>HYPERLINK("http://141.218.60.56/~jnz1568/getInfo.php?workbook=02_02.xlsx&amp;sheet=U0&amp;row=1080&amp;col=6&amp;number=5.25&amp;sourceID=28","5.25")</f>
        <v>5.25</v>
      </c>
      <c r="G1080" s="4" t="str">
        <f>HYPERLINK("http://141.218.60.56/~jnz1568/getInfo.php?workbook=02_02.xlsx&amp;sheet=U0&amp;row=1080&amp;col=7&amp;number=0.001713&amp;sourceID=1","0.001713")</f>
        <v>0.001713</v>
      </c>
      <c r="H1080" s="4" t="str">
        <f>HYPERLINK("http://141.218.60.56/~jnz1568/getInfo.php?workbook=02_02.xlsx&amp;sheet=U0&amp;row=1080&amp;col=8&amp;number=4.477&amp;sourceID=29","4.477")</f>
        <v>4.477</v>
      </c>
      <c r="I1080" s="4" t="str">
        <f>HYPERLINK("http://141.218.60.56/~jnz1568/getInfo.php?workbook=02_02.xlsx&amp;sheet=U0&amp;row=1080&amp;col=9&amp;number=0.007716&amp;sourceID=1","0.007716")</f>
        <v>0.007716</v>
      </c>
    </row>
    <row r="1081" spans="1:9">
      <c r="A1081" s="3"/>
      <c r="B1081" s="3"/>
      <c r="C1081" s="3"/>
      <c r="D1081" s="3"/>
      <c r="E1081" s="3">
        <v>8</v>
      </c>
      <c r="F1081" s="4" t="str">
        <f>HYPERLINK("http://141.218.60.56/~jnz1568/getInfo.php?workbook=02_02.xlsx&amp;sheet=U0&amp;row=1081&amp;col=6&amp;number=5.5&amp;sourceID=28","5.5")</f>
        <v>5.5</v>
      </c>
      <c r="G1081" s="4" t="str">
        <f>HYPERLINK("http://141.218.60.56/~jnz1568/getInfo.php?workbook=02_02.xlsx&amp;sheet=U0&amp;row=1081&amp;col=7&amp;number=0.0304&amp;sourceID=1","0.0304")</f>
        <v>0.0304</v>
      </c>
      <c r="H1081" s="4" t="str">
        <f>HYPERLINK("http://141.218.60.56/~jnz1568/getInfo.php?workbook=02_02.xlsx&amp;sheet=U0&amp;row=1081&amp;col=8&amp;number=&amp;sourceID=29","")</f>
        <v/>
      </c>
      <c r="I1081" s="4" t="str">
        <f>HYPERLINK("http://141.218.60.56/~jnz1568/getInfo.php?workbook=02_02.xlsx&amp;sheet=U0&amp;row=1081&amp;col=9&amp;number=&amp;sourceID=1","")</f>
        <v/>
      </c>
    </row>
    <row r="1082" spans="1:9">
      <c r="A1082" s="3"/>
      <c r="B1082" s="3"/>
      <c r="C1082" s="3"/>
      <c r="D1082" s="3"/>
      <c r="E1082" s="3">
        <v>9</v>
      </c>
      <c r="F1082" s="4" t="str">
        <f>HYPERLINK("http://141.218.60.56/~jnz1568/getInfo.php?workbook=02_02.xlsx&amp;sheet=U0&amp;row=1082&amp;col=6&amp;number=5.75&amp;sourceID=28","5.75")</f>
        <v>5.75</v>
      </c>
      <c r="G1082" s="4" t="str">
        <f>HYPERLINK("http://141.218.60.56/~jnz1568/getInfo.php?workbook=02_02.xlsx&amp;sheet=U0&amp;row=1082&amp;col=7&amp;number=0.05023&amp;sourceID=1","0.05023")</f>
        <v>0.05023</v>
      </c>
      <c r="H1082" s="4" t="str">
        <f>HYPERLINK("http://141.218.60.56/~jnz1568/getInfo.php?workbook=02_02.xlsx&amp;sheet=U0&amp;row=1082&amp;col=8&amp;number=&amp;sourceID=29","")</f>
        <v/>
      </c>
      <c r="I1082" s="4" t="str">
        <f>HYPERLINK("http://141.218.60.56/~jnz1568/getInfo.php?workbook=02_02.xlsx&amp;sheet=U0&amp;row=1082&amp;col=9&amp;number=&amp;sourceID=1","")</f>
        <v/>
      </c>
    </row>
    <row r="1083" spans="1:9">
      <c r="A1083" s="3">
        <v>2</v>
      </c>
      <c r="B1083" s="3">
        <v>2</v>
      </c>
      <c r="C1083" s="3">
        <v>19</v>
      </c>
      <c r="D1083" s="3">
        <v>2</v>
      </c>
      <c r="E1083" s="3">
        <v>1</v>
      </c>
      <c r="F1083" s="4" t="str">
        <f>HYPERLINK("http://141.218.60.56/~jnz1568/getInfo.php?workbook=02_02.xlsx&amp;sheet=U0&amp;row=1083&amp;col=6&amp;number=3.75&amp;sourceID=28","3.75")</f>
        <v>3.75</v>
      </c>
      <c r="G1083" s="4" t="str">
        <f>HYPERLINK("http://141.218.60.56/~jnz1568/getInfo.php?workbook=02_02.xlsx&amp;sheet=U0&amp;row=1083&amp;col=7&amp;number=0.04941&amp;sourceID=1","0.04941")</f>
        <v>0.04941</v>
      </c>
      <c r="H1083" s="4" t="str">
        <f>HYPERLINK("http://141.218.60.56/~jnz1568/getInfo.php?workbook=02_02.xlsx&amp;sheet=U0&amp;row=1083&amp;col=8&amp;number=3.301&amp;sourceID=29","3.301")</f>
        <v>3.301</v>
      </c>
      <c r="I1083" s="4" t="str">
        <f>HYPERLINK("http://141.218.60.56/~jnz1568/getInfo.php?workbook=02_02.xlsx&amp;sheet=U0&amp;row=1083&amp;col=9&amp;number=0.02501&amp;sourceID=1","0.02501")</f>
        <v>0.02501</v>
      </c>
    </row>
    <row r="1084" spans="1:9">
      <c r="A1084" s="3"/>
      <c r="B1084" s="3"/>
      <c r="C1084" s="3"/>
      <c r="D1084" s="3"/>
      <c r="E1084" s="3">
        <v>2</v>
      </c>
      <c r="F1084" s="4" t="str">
        <f>HYPERLINK("http://141.218.60.56/~jnz1568/getInfo.php?workbook=02_02.xlsx&amp;sheet=U0&amp;row=1084&amp;col=6&amp;number=4&amp;sourceID=28","4")</f>
        <v>4</v>
      </c>
      <c r="G1084" s="4" t="str">
        <f>HYPERLINK("http://141.218.60.56/~jnz1568/getInfo.php?workbook=02_02.xlsx&amp;sheet=U0&amp;row=1084&amp;col=7&amp;number=0.05791&amp;sourceID=1","0.05791")</f>
        <v>0.05791</v>
      </c>
      <c r="H1084" s="4" t="str">
        <f>HYPERLINK("http://141.218.60.56/~jnz1568/getInfo.php?workbook=02_02.xlsx&amp;sheet=U0&amp;row=1084&amp;col=8&amp;number=3.699&amp;sourceID=29","3.699")</f>
        <v>3.699</v>
      </c>
      <c r="I1084" s="4" t="str">
        <f>HYPERLINK("http://141.218.60.56/~jnz1568/getInfo.php?workbook=02_02.xlsx&amp;sheet=U0&amp;row=1084&amp;col=9&amp;number=0.04422&amp;sourceID=1","0.04422")</f>
        <v>0.04422</v>
      </c>
    </row>
    <row r="1085" spans="1:9">
      <c r="A1085" s="3"/>
      <c r="B1085" s="3"/>
      <c r="C1085" s="3"/>
      <c r="D1085" s="3"/>
      <c r="E1085" s="3">
        <v>3</v>
      </c>
      <c r="F1085" s="4" t="str">
        <f>HYPERLINK("http://141.218.60.56/~jnz1568/getInfo.php?workbook=02_02.xlsx&amp;sheet=U0&amp;row=1085&amp;col=6&amp;number=4.25&amp;sourceID=28","4.25")</f>
        <v>4.25</v>
      </c>
      <c r="G1085" s="4" t="str">
        <f>HYPERLINK("http://141.218.60.56/~jnz1568/getInfo.php?workbook=02_02.xlsx&amp;sheet=U0&amp;row=1085&amp;col=7&amp;number=0.06089&amp;sourceID=1","0.06089")</f>
        <v>0.06089</v>
      </c>
      <c r="H1085" s="4" t="str">
        <f>HYPERLINK("http://141.218.60.56/~jnz1568/getInfo.php?workbook=02_02.xlsx&amp;sheet=U0&amp;row=1085&amp;col=8&amp;number=4&amp;sourceID=29","4")</f>
        <v>4</v>
      </c>
      <c r="I1085" s="4" t="str">
        <f>HYPERLINK("http://141.218.60.56/~jnz1568/getInfo.php?workbook=02_02.xlsx&amp;sheet=U0&amp;row=1085&amp;col=9&amp;number=0.06398&amp;sourceID=1","0.06398")</f>
        <v>0.06398</v>
      </c>
    </row>
    <row r="1086" spans="1:9">
      <c r="A1086" s="3"/>
      <c r="B1086" s="3"/>
      <c r="C1086" s="3"/>
      <c r="D1086" s="3"/>
      <c r="E1086" s="3">
        <v>4</v>
      </c>
      <c r="F1086" s="4" t="str">
        <f>HYPERLINK("http://141.218.60.56/~jnz1568/getInfo.php?workbook=02_02.xlsx&amp;sheet=U0&amp;row=1086&amp;col=6&amp;number=4.5&amp;sourceID=28","4.5")</f>
        <v>4.5</v>
      </c>
      <c r="G1086" s="4" t="str">
        <f>HYPERLINK("http://141.218.60.56/~jnz1568/getInfo.php?workbook=02_02.xlsx&amp;sheet=U0&amp;row=1086&amp;col=7&amp;number=0.0574&amp;sourceID=1","0.0574")</f>
        <v>0.0574</v>
      </c>
      <c r="H1086" s="4" t="str">
        <f>HYPERLINK("http://141.218.60.56/~jnz1568/getInfo.php?workbook=02_02.xlsx&amp;sheet=U0&amp;row=1086&amp;col=8&amp;number=4.176&amp;sourceID=29","4.176")</f>
        <v>4.176</v>
      </c>
      <c r="I1086" s="4" t="str">
        <f>HYPERLINK("http://141.218.60.56/~jnz1568/getInfo.php?workbook=02_02.xlsx&amp;sheet=U0&amp;row=1086&amp;col=9&amp;number=0.0759&amp;sourceID=1","0.0759")</f>
        <v>0.0759</v>
      </c>
    </row>
    <row r="1087" spans="1:9">
      <c r="A1087" s="3"/>
      <c r="B1087" s="3"/>
      <c r="C1087" s="3"/>
      <c r="D1087" s="3"/>
      <c r="E1087" s="3">
        <v>5</v>
      </c>
      <c r="F1087" s="4" t="str">
        <f>HYPERLINK("http://141.218.60.56/~jnz1568/getInfo.php?workbook=02_02.xlsx&amp;sheet=U0&amp;row=1087&amp;col=6&amp;number=4.75&amp;sourceID=28","4.75")</f>
        <v>4.75</v>
      </c>
      <c r="G1087" s="4" t="str">
        <f>HYPERLINK("http://141.218.60.56/~jnz1568/getInfo.php?workbook=02_02.xlsx&amp;sheet=U0&amp;row=1087&amp;col=7&amp;number=0.0493&amp;sourceID=1","0.0493")</f>
        <v>0.0493</v>
      </c>
      <c r="H1087" s="4" t="str">
        <f>HYPERLINK("http://141.218.60.56/~jnz1568/getInfo.php?workbook=02_02.xlsx&amp;sheet=U0&amp;row=1087&amp;col=8&amp;number=4.301&amp;sourceID=29","4.301")</f>
        <v>4.301</v>
      </c>
      <c r="I1087" s="4" t="str">
        <f>HYPERLINK("http://141.218.60.56/~jnz1568/getInfo.php?workbook=02_02.xlsx&amp;sheet=U0&amp;row=1087&amp;col=9&amp;number=0.08297&amp;sourceID=1","0.08297")</f>
        <v>0.08297</v>
      </c>
    </row>
    <row r="1088" spans="1:9">
      <c r="A1088" s="3"/>
      <c r="B1088" s="3"/>
      <c r="C1088" s="3"/>
      <c r="D1088" s="3"/>
      <c r="E1088" s="3">
        <v>6</v>
      </c>
      <c r="F1088" s="4" t="str">
        <f>HYPERLINK("http://141.218.60.56/~jnz1568/getInfo.php?workbook=02_02.xlsx&amp;sheet=U0&amp;row=1088&amp;col=6&amp;number=5&amp;sourceID=28","5")</f>
        <v>5</v>
      </c>
      <c r="G1088" s="4" t="str">
        <f>HYPERLINK("http://141.218.60.56/~jnz1568/getInfo.php?workbook=02_02.xlsx&amp;sheet=U0&amp;row=1088&amp;col=7&amp;number=0.03939&amp;sourceID=1","0.03939")</f>
        <v>0.03939</v>
      </c>
      <c r="H1088" s="4" t="str">
        <f>HYPERLINK("http://141.218.60.56/~jnz1568/getInfo.php?workbook=02_02.xlsx&amp;sheet=U0&amp;row=1088&amp;col=8&amp;number=4.398&amp;sourceID=29","4.398")</f>
        <v>4.398</v>
      </c>
      <c r="I1088" s="4" t="str">
        <f>HYPERLINK("http://141.218.60.56/~jnz1568/getInfo.php?workbook=02_02.xlsx&amp;sheet=U0&amp;row=1088&amp;col=9&amp;number=0.08684&amp;sourceID=1","0.08684")</f>
        <v>0.08684</v>
      </c>
    </row>
    <row r="1089" spans="1:9">
      <c r="A1089" s="3"/>
      <c r="B1089" s="3"/>
      <c r="C1089" s="3"/>
      <c r="D1089" s="3"/>
      <c r="E1089" s="3">
        <v>7</v>
      </c>
      <c r="F1089" s="4" t="str">
        <f>HYPERLINK("http://141.218.60.56/~jnz1568/getInfo.php?workbook=02_02.xlsx&amp;sheet=U0&amp;row=1089&amp;col=6&amp;number=5.25&amp;sourceID=28","5.25")</f>
        <v>5.25</v>
      </c>
      <c r="G1089" s="4" t="str">
        <f>HYPERLINK("http://141.218.60.56/~jnz1568/getInfo.php?workbook=02_02.xlsx&amp;sheet=U0&amp;row=1089&amp;col=7&amp;number=0.02964&amp;sourceID=1","0.02964")</f>
        <v>0.02964</v>
      </c>
      <c r="H1089" s="4" t="str">
        <f>HYPERLINK("http://141.218.60.56/~jnz1568/getInfo.php?workbook=02_02.xlsx&amp;sheet=U0&amp;row=1089&amp;col=8&amp;number=4.477&amp;sourceID=29","4.477")</f>
        <v>4.477</v>
      </c>
      <c r="I1089" s="4" t="str">
        <f>HYPERLINK("http://141.218.60.56/~jnz1568/getInfo.php?workbook=02_02.xlsx&amp;sheet=U0&amp;row=1089&amp;col=9&amp;number=0.08857&amp;sourceID=1","0.08857")</f>
        <v>0.08857</v>
      </c>
    </row>
    <row r="1090" spans="1:9">
      <c r="A1090" s="3"/>
      <c r="B1090" s="3"/>
      <c r="C1090" s="3"/>
      <c r="D1090" s="3"/>
      <c r="E1090" s="3">
        <v>8</v>
      </c>
      <c r="F1090" s="4" t="str">
        <f>HYPERLINK("http://141.218.60.56/~jnz1568/getInfo.php?workbook=02_02.xlsx&amp;sheet=U0&amp;row=1090&amp;col=6&amp;number=5.5&amp;sourceID=28","5.5")</f>
        <v>5.5</v>
      </c>
      <c r="G1090" s="4" t="str">
        <f>HYPERLINK("http://141.218.60.56/~jnz1568/getInfo.php?workbook=02_02.xlsx&amp;sheet=U0&amp;row=1090&amp;col=7&amp;number=0.02106&amp;sourceID=1","0.02106")</f>
        <v>0.02106</v>
      </c>
      <c r="H1090" s="4" t="str">
        <f>HYPERLINK("http://141.218.60.56/~jnz1568/getInfo.php?workbook=02_02.xlsx&amp;sheet=U0&amp;row=1090&amp;col=8&amp;number=&amp;sourceID=29","")</f>
        <v/>
      </c>
      <c r="I1090" s="4" t="str">
        <f>HYPERLINK("http://141.218.60.56/~jnz1568/getInfo.php?workbook=02_02.xlsx&amp;sheet=U0&amp;row=1090&amp;col=9&amp;number=&amp;sourceID=1","")</f>
        <v/>
      </c>
    </row>
    <row r="1091" spans="1:9">
      <c r="A1091" s="3"/>
      <c r="B1091" s="3"/>
      <c r="C1091" s="3"/>
      <c r="D1091" s="3"/>
      <c r="E1091" s="3">
        <v>9</v>
      </c>
      <c r="F1091" s="4" t="str">
        <f>HYPERLINK("http://141.218.60.56/~jnz1568/getInfo.php?workbook=02_02.xlsx&amp;sheet=U0&amp;row=1091&amp;col=6&amp;number=5.75&amp;sourceID=28","5.75")</f>
        <v>5.75</v>
      </c>
      <c r="G1091" s="4" t="str">
        <f>HYPERLINK("http://141.218.60.56/~jnz1568/getInfo.php?workbook=02_02.xlsx&amp;sheet=U0&amp;row=1091&amp;col=7&amp;number=0.01419&amp;sourceID=1","0.01419")</f>
        <v>0.01419</v>
      </c>
      <c r="H1091" s="4" t="str">
        <f>HYPERLINK("http://141.218.60.56/~jnz1568/getInfo.php?workbook=02_02.xlsx&amp;sheet=U0&amp;row=1091&amp;col=8&amp;number=&amp;sourceID=29","")</f>
        <v/>
      </c>
      <c r="I1091" s="4" t="str">
        <f>HYPERLINK("http://141.218.60.56/~jnz1568/getInfo.php?workbook=02_02.xlsx&amp;sheet=U0&amp;row=1091&amp;col=9&amp;number=&amp;sourceID=1","")</f>
        <v/>
      </c>
    </row>
    <row r="1092" spans="1:9">
      <c r="A1092" s="3">
        <v>2</v>
      </c>
      <c r="B1092" s="3">
        <v>2</v>
      </c>
      <c r="C1092" s="3">
        <v>19</v>
      </c>
      <c r="D1092" s="3">
        <v>3</v>
      </c>
      <c r="E1092" s="3">
        <v>1</v>
      </c>
      <c r="F1092" s="4" t="str">
        <f>HYPERLINK("http://141.218.60.56/~jnz1568/getInfo.php?workbook=02_02.xlsx&amp;sheet=U0&amp;row=1092&amp;col=6&amp;number=3.75&amp;sourceID=28","3.75")</f>
        <v>3.75</v>
      </c>
      <c r="G1092" s="4" t="str">
        <f>HYPERLINK("http://141.218.60.56/~jnz1568/getInfo.php?workbook=02_02.xlsx&amp;sheet=U0&amp;row=1092&amp;col=7&amp;number=0.08756&amp;sourceID=1","0.08756")</f>
        <v>0.08756</v>
      </c>
      <c r="H1092" s="4" t="str">
        <f>HYPERLINK("http://141.218.60.56/~jnz1568/getInfo.php?workbook=02_02.xlsx&amp;sheet=U0&amp;row=1092&amp;col=8&amp;number=3.301&amp;sourceID=29","3.301")</f>
        <v>3.301</v>
      </c>
      <c r="I1092" s="4" t="str">
        <f>HYPERLINK("http://141.218.60.56/~jnz1568/getInfo.php?workbook=02_02.xlsx&amp;sheet=U0&amp;row=1092&amp;col=9&amp;number=0.05295&amp;sourceID=1","0.05295")</f>
        <v>0.05295</v>
      </c>
    </row>
    <row r="1093" spans="1:9">
      <c r="A1093" s="3"/>
      <c r="B1093" s="3"/>
      <c r="C1093" s="3"/>
      <c r="D1093" s="3"/>
      <c r="E1093" s="3">
        <v>2</v>
      </c>
      <c r="F1093" s="4" t="str">
        <f>HYPERLINK("http://141.218.60.56/~jnz1568/getInfo.php?workbook=02_02.xlsx&amp;sheet=U0&amp;row=1093&amp;col=6&amp;number=4&amp;sourceID=28","4")</f>
        <v>4</v>
      </c>
      <c r="G1093" s="4" t="str">
        <f>HYPERLINK("http://141.218.60.56/~jnz1568/getInfo.php?workbook=02_02.xlsx&amp;sheet=U0&amp;row=1093&amp;col=7&amp;number=0.1136&amp;sourceID=1","0.1136")</f>
        <v>0.1136</v>
      </c>
      <c r="H1093" s="4" t="str">
        <f>HYPERLINK("http://141.218.60.56/~jnz1568/getInfo.php?workbook=02_02.xlsx&amp;sheet=U0&amp;row=1093&amp;col=8&amp;number=3.699&amp;sourceID=29","3.699")</f>
        <v>3.699</v>
      </c>
      <c r="I1093" s="4" t="str">
        <f>HYPERLINK("http://141.218.60.56/~jnz1568/getInfo.php?workbook=02_02.xlsx&amp;sheet=U0&amp;row=1093&amp;col=9&amp;number=0.07722&amp;sourceID=1","0.07722")</f>
        <v>0.07722</v>
      </c>
    </row>
    <row r="1094" spans="1:9">
      <c r="A1094" s="3"/>
      <c r="B1094" s="3"/>
      <c r="C1094" s="3"/>
      <c r="D1094" s="3"/>
      <c r="E1094" s="3">
        <v>3</v>
      </c>
      <c r="F1094" s="4" t="str">
        <f>HYPERLINK("http://141.218.60.56/~jnz1568/getInfo.php?workbook=02_02.xlsx&amp;sheet=U0&amp;row=1094&amp;col=6&amp;number=4.25&amp;sourceID=28","4.25")</f>
        <v>4.25</v>
      </c>
      <c r="G1094" s="4" t="str">
        <f>HYPERLINK("http://141.218.60.56/~jnz1568/getInfo.php?workbook=02_02.xlsx&amp;sheet=U0&amp;row=1094&amp;col=7&amp;number=0.148&amp;sourceID=1","0.148")</f>
        <v>0.148</v>
      </c>
      <c r="H1094" s="4" t="str">
        <f>HYPERLINK("http://141.218.60.56/~jnz1568/getInfo.php?workbook=02_02.xlsx&amp;sheet=U0&amp;row=1094&amp;col=8&amp;number=4&amp;sourceID=29","4")</f>
        <v>4</v>
      </c>
      <c r="I1094" s="4" t="str">
        <f>HYPERLINK("http://141.218.60.56/~jnz1568/getInfo.php?workbook=02_02.xlsx&amp;sheet=U0&amp;row=1094&amp;col=9&amp;number=0.1215&amp;sourceID=1","0.1215")</f>
        <v>0.1215</v>
      </c>
    </row>
    <row r="1095" spans="1:9">
      <c r="A1095" s="3"/>
      <c r="B1095" s="3"/>
      <c r="C1095" s="3"/>
      <c r="D1095" s="3"/>
      <c r="E1095" s="3">
        <v>4</v>
      </c>
      <c r="F1095" s="4" t="str">
        <f>HYPERLINK("http://141.218.60.56/~jnz1568/getInfo.php?workbook=02_02.xlsx&amp;sheet=U0&amp;row=1095&amp;col=6&amp;number=4.5&amp;sourceID=28","4.5")</f>
        <v>4.5</v>
      </c>
      <c r="G1095" s="4" t="str">
        <f>HYPERLINK("http://141.218.60.56/~jnz1568/getInfo.php?workbook=02_02.xlsx&amp;sheet=U0&amp;row=1095&amp;col=7&amp;number=0.1945&amp;sourceID=1","0.1945")</f>
        <v>0.1945</v>
      </c>
      <c r="H1095" s="4" t="str">
        <f>HYPERLINK("http://141.218.60.56/~jnz1568/getInfo.php?workbook=02_02.xlsx&amp;sheet=U0&amp;row=1095&amp;col=8&amp;number=4.176&amp;sourceID=29","4.176")</f>
        <v>4.176</v>
      </c>
      <c r="I1095" s="4" t="str">
        <f>HYPERLINK("http://141.218.60.56/~jnz1568/getInfo.php?workbook=02_02.xlsx&amp;sheet=U0&amp;row=1095&amp;col=9&amp;number=0.1692&amp;sourceID=1","0.1692")</f>
        <v>0.1692</v>
      </c>
    </row>
    <row r="1096" spans="1:9">
      <c r="A1096" s="3"/>
      <c r="B1096" s="3"/>
      <c r="C1096" s="3"/>
      <c r="D1096" s="3"/>
      <c r="E1096" s="3">
        <v>5</v>
      </c>
      <c r="F1096" s="4" t="str">
        <f>HYPERLINK("http://141.218.60.56/~jnz1568/getInfo.php?workbook=02_02.xlsx&amp;sheet=U0&amp;row=1096&amp;col=6&amp;number=4.75&amp;sourceID=28","4.75")</f>
        <v>4.75</v>
      </c>
      <c r="G1096" s="4" t="str">
        <f>HYPERLINK("http://141.218.60.56/~jnz1568/getInfo.php?workbook=02_02.xlsx&amp;sheet=U0&amp;row=1096&amp;col=7&amp;number=0.2694&amp;sourceID=1","0.2694")</f>
        <v>0.2694</v>
      </c>
      <c r="H1096" s="4" t="str">
        <f>HYPERLINK("http://141.218.60.56/~jnz1568/getInfo.php?workbook=02_02.xlsx&amp;sheet=U0&amp;row=1096&amp;col=8&amp;number=4.301&amp;sourceID=29","4.301")</f>
        <v>4.301</v>
      </c>
      <c r="I1096" s="4" t="str">
        <f>HYPERLINK("http://141.218.60.56/~jnz1568/getInfo.php?workbook=02_02.xlsx&amp;sheet=U0&amp;row=1096&amp;col=9&amp;number=0.2131&amp;sourceID=1","0.2131")</f>
        <v>0.2131</v>
      </c>
    </row>
    <row r="1097" spans="1:9">
      <c r="A1097" s="3"/>
      <c r="B1097" s="3"/>
      <c r="C1097" s="3"/>
      <c r="D1097" s="3"/>
      <c r="E1097" s="3">
        <v>6</v>
      </c>
      <c r="F1097" s="4" t="str">
        <f>HYPERLINK("http://141.218.60.56/~jnz1568/getInfo.php?workbook=02_02.xlsx&amp;sheet=U0&amp;row=1097&amp;col=6&amp;number=5&amp;sourceID=28","5")</f>
        <v>5</v>
      </c>
      <c r="G1097" s="4" t="str">
        <f>HYPERLINK("http://141.218.60.56/~jnz1568/getInfo.php?workbook=02_02.xlsx&amp;sheet=U0&amp;row=1097&amp;col=7&amp;number=0.4034&amp;sourceID=1","0.4034")</f>
        <v>0.4034</v>
      </c>
      <c r="H1097" s="4" t="str">
        <f>HYPERLINK("http://141.218.60.56/~jnz1568/getInfo.php?workbook=02_02.xlsx&amp;sheet=U0&amp;row=1097&amp;col=8&amp;number=4.398&amp;sourceID=29","4.398")</f>
        <v>4.398</v>
      </c>
      <c r="I1097" s="4" t="str">
        <f>HYPERLINK("http://141.218.60.56/~jnz1568/getInfo.php?workbook=02_02.xlsx&amp;sheet=U0&amp;row=1097&amp;col=9&amp;number=0.2498&amp;sourceID=1","0.2498")</f>
        <v>0.2498</v>
      </c>
    </row>
    <row r="1098" spans="1:9">
      <c r="A1098" s="3"/>
      <c r="B1098" s="3"/>
      <c r="C1098" s="3"/>
      <c r="D1098" s="3"/>
      <c r="E1098" s="3">
        <v>7</v>
      </c>
      <c r="F1098" s="4" t="str">
        <f>HYPERLINK("http://141.218.60.56/~jnz1568/getInfo.php?workbook=02_02.xlsx&amp;sheet=U0&amp;row=1098&amp;col=6&amp;number=5.25&amp;sourceID=28","5.25")</f>
        <v>5.25</v>
      </c>
      <c r="G1098" s="4" t="str">
        <f>HYPERLINK("http://141.218.60.56/~jnz1568/getInfo.php?workbook=02_02.xlsx&amp;sheet=U0&amp;row=1098&amp;col=7&amp;number=0.6265&amp;sourceID=1","0.6265")</f>
        <v>0.6265</v>
      </c>
      <c r="H1098" s="4" t="str">
        <f>HYPERLINK("http://141.218.60.56/~jnz1568/getInfo.php?workbook=02_02.xlsx&amp;sheet=U0&amp;row=1098&amp;col=8&amp;number=4.477&amp;sourceID=29","4.477")</f>
        <v>4.477</v>
      </c>
      <c r="I1098" s="4" t="str">
        <f>HYPERLINK("http://141.218.60.56/~jnz1568/getInfo.php?workbook=02_02.xlsx&amp;sheet=U0&amp;row=1098&amp;col=9&amp;number=0.2785&amp;sourceID=1","0.2785")</f>
        <v>0.2785</v>
      </c>
    </row>
    <row r="1099" spans="1:9">
      <c r="A1099" s="3"/>
      <c r="B1099" s="3"/>
      <c r="C1099" s="3"/>
      <c r="D1099" s="3"/>
      <c r="E1099" s="3">
        <v>8</v>
      </c>
      <c r="F1099" s="4" t="str">
        <f>HYPERLINK("http://141.218.60.56/~jnz1568/getInfo.php?workbook=02_02.xlsx&amp;sheet=U0&amp;row=1099&amp;col=6&amp;number=5.5&amp;sourceID=28","5.5")</f>
        <v>5.5</v>
      </c>
      <c r="G1099" s="4" t="str">
        <f>HYPERLINK("http://141.218.60.56/~jnz1568/getInfo.php?workbook=02_02.xlsx&amp;sheet=U0&amp;row=1099&amp;col=7&amp;number=0.9482&amp;sourceID=1","0.9482")</f>
        <v>0.9482</v>
      </c>
      <c r="H1099" s="4" t="str">
        <f>HYPERLINK("http://141.218.60.56/~jnz1568/getInfo.php?workbook=02_02.xlsx&amp;sheet=U0&amp;row=1099&amp;col=8&amp;number=&amp;sourceID=29","")</f>
        <v/>
      </c>
      <c r="I1099" s="4" t="str">
        <f>HYPERLINK("http://141.218.60.56/~jnz1568/getInfo.php?workbook=02_02.xlsx&amp;sheet=U0&amp;row=1099&amp;col=9&amp;number=&amp;sourceID=1","")</f>
        <v/>
      </c>
    </row>
    <row r="1100" spans="1:9">
      <c r="A1100" s="3"/>
      <c r="B1100" s="3"/>
      <c r="C1100" s="3"/>
      <c r="D1100" s="3"/>
      <c r="E1100" s="3">
        <v>9</v>
      </c>
      <c r="F1100" s="4" t="str">
        <f>HYPERLINK("http://141.218.60.56/~jnz1568/getInfo.php?workbook=02_02.xlsx&amp;sheet=U0&amp;row=1100&amp;col=6&amp;number=5.75&amp;sourceID=28","5.75")</f>
        <v>5.75</v>
      </c>
      <c r="G1100" s="4" t="str">
        <f>HYPERLINK("http://141.218.60.56/~jnz1568/getInfo.php?workbook=02_02.xlsx&amp;sheet=U0&amp;row=1100&amp;col=7&amp;number=1.354&amp;sourceID=1","1.354")</f>
        <v>1.354</v>
      </c>
      <c r="H1100" s="4" t="str">
        <f>HYPERLINK("http://141.218.60.56/~jnz1568/getInfo.php?workbook=02_02.xlsx&amp;sheet=U0&amp;row=1100&amp;col=8&amp;number=&amp;sourceID=29","")</f>
        <v/>
      </c>
      <c r="I1100" s="4" t="str">
        <f>HYPERLINK("http://141.218.60.56/~jnz1568/getInfo.php?workbook=02_02.xlsx&amp;sheet=U0&amp;row=1100&amp;col=9&amp;number=&amp;sourceID=1","")</f>
        <v/>
      </c>
    </row>
    <row r="1101" spans="1:9">
      <c r="A1101" s="3">
        <v>2</v>
      </c>
      <c r="B1101" s="3">
        <v>2</v>
      </c>
      <c r="C1101" s="3">
        <v>19</v>
      </c>
      <c r="D1101" s="3">
        <v>4</v>
      </c>
      <c r="E1101" s="3">
        <v>1</v>
      </c>
      <c r="F1101" s="4" t="str">
        <f>HYPERLINK("http://141.218.60.56/~jnz1568/getInfo.php?workbook=02_02.xlsx&amp;sheet=U0&amp;row=1101&amp;col=6&amp;number=3.75&amp;sourceID=28","3.75")</f>
        <v>3.75</v>
      </c>
      <c r="G1101" s="4" t="str">
        <f>HYPERLINK("http://141.218.60.56/~jnz1568/getInfo.php?workbook=02_02.xlsx&amp;sheet=U0&amp;row=1101&amp;col=7&amp;number=0.2403&amp;sourceID=1","0.2403")</f>
        <v>0.2403</v>
      </c>
      <c r="H1101" s="4" t="str">
        <f>HYPERLINK("http://141.218.60.56/~jnz1568/getInfo.php?workbook=02_02.xlsx&amp;sheet=U0&amp;row=1101&amp;col=8&amp;number=3.301&amp;sourceID=29","3.301")</f>
        <v>3.301</v>
      </c>
      <c r="I1101" s="4" t="str">
        <f>HYPERLINK("http://141.218.60.56/~jnz1568/getInfo.php?workbook=02_02.xlsx&amp;sheet=U0&amp;row=1101&amp;col=9&amp;number=0.0708&amp;sourceID=1","0.0708")</f>
        <v>0.0708</v>
      </c>
    </row>
    <row r="1102" spans="1:9">
      <c r="A1102" s="3"/>
      <c r="B1102" s="3"/>
      <c r="C1102" s="3"/>
      <c r="D1102" s="3"/>
      <c r="E1102" s="3">
        <v>2</v>
      </c>
      <c r="F1102" s="4" t="str">
        <f>HYPERLINK("http://141.218.60.56/~jnz1568/getInfo.php?workbook=02_02.xlsx&amp;sheet=U0&amp;row=1102&amp;col=6&amp;number=4&amp;sourceID=28","4")</f>
        <v>4</v>
      </c>
      <c r="G1102" s="4" t="str">
        <f>HYPERLINK("http://141.218.60.56/~jnz1568/getInfo.php?workbook=02_02.xlsx&amp;sheet=U0&amp;row=1102&amp;col=7&amp;number=0.2671&amp;sourceID=1","0.2671")</f>
        <v>0.2671</v>
      </c>
      <c r="H1102" s="4" t="str">
        <f>HYPERLINK("http://141.218.60.56/~jnz1568/getInfo.php?workbook=02_02.xlsx&amp;sheet=U0&amp;row=1102&amp;col=8&amp;number=3.699&amp;sourceID=29","3.699")</f>
        <v>3.699</v>
      </c>
      <c r="I1102" s="4" t="str">
        <f>HYPERLINK("http://141.218.60.56/~jnz1568/getInfo.php?workbook=02_02.xlsx&amp;sheet=U0&amp;row=1102&amp;col=9&amp;number=0.1297&amp;sourceID=1","0.1297")</f>
        <v>0.1297</v>
      </c>
    </row>
    <row r="1103" spans="1:9">
      <c r="A1103" s="3"/>
      <c r="B1103" s="3"/>
      <c r="C1103" s="3"/>
      <c r="D1103" s="3"/>
      <c r="E1103" s="3">
        <v>3</v>
      </c>
      <c r="F1103" s="4" t="str">
        <f>HYPERLINK("http://141.218.60.56/~jnz1568/getInfo.php?workbook=02_02.xlsx&amp;sheet=U0&amp;row=1103&amp;col=6&amp;number=4.25&amp;sourceID=28","4.25")</f>
        <v>4.25</v>
      </c>
      <c r="G1103" s="4" t="str">
        <f>HYPERLINK("http://141.218.60.56/~jnz1568/getInfo.php?workbook=02_02.xlsx&amp;sheet=U0&amp;row=1103&amp;col=7&amp;number=0.2699&amp;sourceID=1","0.2699")</f>
        <v>0.2699</v>
      </c>
      <c r="H1103" s="4" t="str">
        <f>HYPERLINK("http://141.218.60.56/~jnz1568/getInfo.php?workbook=02_02.xlsx&amp;sheet=U0&amp;row=1103&amp;col=8&amp;number=4&amp;sourceID=29","4")</f>
        <v>4</v>
      </c>
      <c r="I1103" s="4" t="str">
        <f>HYPERLINK("http://141.218.60.56/~jnz1568/getInfo.php?workbook=02_02.xlsx&amp;sheet=U0&amp;row=1103&amp;col=9&amp;number=0.1945&amp;sourceID=1","0.1945")</f>
        <v>0.1945</v>
      </c>
    </row>
    <row r="1104" spans="1:9">
      <c r="A1104" s="3"/>
      <c r="B1104" s="3"/>
      <c r="C1104" s="3"/>
      <c r="D1104" s="3"/>
      <c r="E1104" s="3">
        <v>4</v>
      </c>
      <c r="F1104" s="4" t="str">
        <f>HYPERLINK("http://141.218.60.56/~jnz1568/getInfo.php?workbook=02_02.xlsx&amp;sheet=U0&amp;row=1104&amp;col=6&amp;number=4.5&amp;sourceID=28","4.5")</f>
        <v>4.5</v>
      </c>
      <c r="G1104" s="4" t="str">
        <f>HYPERLINK("http://141.218.60.56/~jnz1568/getInfo.php?workbook=02_02.xlsx&amp;sheet=U0&amp;row=1104&amp;col=7&amp;number=0.2475&amp;sourceID=1","0.2475")</f>
        <v>0.2475</v>
      </c>
      <c r="H1104" s="4" t="str">
        <f>HYPERLINK("http://141.218.60.56/~jnz1568/getInfo.php?workbook=02_02.xlsx&amp;sheet=U0&amp;row=1104&amp;col=8&amp;number=4.176&amp;sourceID=29","4.176")</f>
        <v>4.176</v>
      </c>
      <c r="I1104" s="4" t="str">
        <f>HYPERLINK("http://141.218.60.56/~jnz1568/getInfo.php?workbook=02_02.xlsx&amp;sheet=U0&amp;row=1104&amp;col=9&amp;number=0.2345&amp;sourceID=1","0.2345")</f>
        <v>0.2345</v>
      </c>
    </row>
    <row r="1105" spans="1:9">
      <c r="A1105" s="3"/>
      <c r="B1105" s="3"/>
      <c r="C1105" s="3"/>
      <c r="D1105" s="3"/>
      <c r="E1105" s="3">
        <v>5</v>
      </c>
      <c r="F1105" s="4" t="str">
        <f>HYPERLINK("http://141.218.60.56/~jnz1568/getInfo.php?workbook=02_02.xlsx&amp;sheet=U0&amp;row=1105&amp;col=6&amp;number=4.75&amp;sourceID=28","4.75")</f>
        <v>4.75</v>
      </c>
      <c r="G1105" s="4" t="str">
        <f>HYPERLINK("http://141.218.60.56/~jnz1568/getInfo.php?workbook=02_02.xlsx&amp;sheet=U0&amp;row=1105&amp;col=7&amp;number=0.2082&amp;sourceID=1","0.2082")</f>
        <v>0.2082</v>
      </c>
      <c r="H1105" s="4" t="str">
        <f>HYPERLINK("http://141.218.60.56/~jnz1568/getInfo.php?workbook=02_02.xlsx&amp;sheet=U0&amp;row=1105&amp;col=8&amp;number=4.301&amp;sourceID=29","4.301")</f>
        <v>4.301</v>
      </c>
      <c r="I1105" s="4" t="str">
        <f>HYPERLINK("http://141.218.60.56/~jnz1568/getInfo.php?workbook=02_02.xlsx&amp;sheet=U0&amp;row=1105&amp;col=9&amp;number=0.2576&amp;sourceID=1","0.2576")</f>
        <v>0.2576</v>
      </c>
    </row>
    <row r="1106" spans="1:9">
      <c r="A1106" s="3"/>
      <c r="B1106" s="3"/>
      <c r="C1106" s="3"/>
      <c r="D1106" s="3"/>
      <c r="E1106" s="3">
        <v>6</v>
      </c>
      <c r="F1106" s="4" t="str">
        <f>HYPERLINK("http://141.218.60.56/~jnz1568/getInfo.php?workbook=02_02.xlsx&amp;sheet=U0&amp;row=1106&amp;col=6&amp;number=5&amp;sourceID=28","5")</f>
        <v>5</v>
      </c>
      <c r="G1106" s="4" t="str">
        <f>HYPERLINK("http://141.218.60.56/~jnz1568/getInfo.php?workbook=02_02.xlsx&amp;sheet=U0&amp;row=1106&amp;col=7&amp;number=0.1637&amp;sourceID=1","0.1637")</f>
        <v>0.1637</v>
      </c>
      <c r="H1106" s="4" t="str">
        <f>HYPERLINK("http://141.218.60.56/~jnz1568/getInfo.php?workbook=02_02.xlsx&amp;sheet=U0&amp;row=1106&amp;col=8&amp;number=4.398&amp;sourceID=29","4.398")</f>
        <v>4.398</v>
      </c>
      <c r="I1106" s="4" t="str">
        <f>HYPERLINK("http://141.218.60.56/~jnz1568/getInfo.php?workbook=02_02.xlsx&amp;sheet=U0&amp;row=1106&amp;col=9&amp;number=0.2697&amp;sourceID=1","0.2697")</f>
        <v>0.2697</v>
      </c>
    </row>
    <row r="1107" spans="1:9">
      <c r="A1107" s="3"/>
      <c r="B1107" s="3"/>
      <c r="C1107" s="3"/>
      <c r="D1107" s="3"/>
      <c r="E1107" s="3">
        <v>7</v>
      </c>
      <c r="F1107" s="4" t="str">
        <f>HYPERLINK("http://141.218.60.56/~jnz1568/getInfo.php?workbook=02_02.xlsx&amp;sheet=U0&amp;row=1107&amp;col=6&amp;number=5.25&amp;sourceID=28","5.25")</f>
        <v>5.25</v>
      </c>
      <c r="G1107" s="4" t="str">
        <f>HYPERLINK("http://141.218.60.56/~jnz1568/getInfo.php?workbook=02_02.xlsx&amp;sheet=U0&amp;row=1107&amp;col=7&amp;number=0.1218&amp;sourceID=1","0.1218")</f>
        <v>0.1218</v>
      </c>
      <c r="H1107" s="4" t="str">
        <f>HYPERLINK("http://141.218.60.56/~jnz1568/getInfo.php?workbook=02_02.xlsx&amp;sheet=U0&amp;row=1107&amp;col=8&amp;number=4.477&amp;sourceID=29","4.477")</f>
        <v>4.477</v>
      </c>
      <c r="I1107" s="4" t="str">
        <f>HYPERLINK("http://141.218.60.56/~jnz1568/getInfo.php?workbook=02_02.xlsx&amp;sheet=U0&amp;row=1107&amp;col=9&amp;number=0.2747&amp;sourceID=1","0.2747")</f>
        <v>0.2747</v>
      </c>
    </row>
    <row r="1108" spans="1:9">
      <c r="A1108" s="3"/>
      <c r="B1108" s="3"/>
      <c r="C1108" s="3"/>
      <c r="D1108" s="3"/>
      <c r="E1108" s="3">
        <v>8</v>
      </c>
      <c r="F1108" s="4" t="str">
        <f>HYPERLINK("http://141.218.60.56/~jnz1568/getInfo.php?workbook=02_02.xlsx&amp;sheet=U0&amp;row=1108&amp;col=6&amp;number=5.5&amp;sourceID=28","5.5")</f>
        <v>5.5</v>
      </c>
      <c r="G1108" s="4" t="str">
        <f>HYPERLINK("http://141.218.60.56/~jnz1568/getInfo.php?workbook=02_02.xlsx&amp;sheet=U0&amp;row=1108&amp;col=7&amp;number=0.08619&amp;sourceID=1","0.08619")</f>
        <v>0.08619</v>
      </c>
      <c r="H1108" s="4" t="str">
        <f>HYPERLINK("http://141.218.60.56/~jnz1568/getInfo.php?workbook=02_02.xlsx&amp;sheet=U0&amp;row=1108&amp;col=8&amp;number=&amp;sourceID=29","")</f>
        <v/>
      </c>
      <c r="I1108" s="4" t="str">
        <f>HYPERLINK("http://141.218.60.56/~jnz1568/getInfo.php?workbook=02_02.xlsx&amp;sheet=U0&amp;row=1108&amp;col=9&amp;number=&amp;sourceID=1","")</f>
        <v/>
      </c>
    </row>
    <row r="1109" spans="1:9">
      <c r="A1109" s="3"/>
      <c r="B1109" s="3"/>
      <c r="C1109" s="3"/>
      <c r="D1109" s="3"/>
      <c r="E1109" s="3">
        <v>9</v>
      </c>
      <c r="F1109" s="4" t="str">
        <f>HYPERLINK("http://141.218.60.56/~jnz1568/getInfo.php?workbook=02_02.xlsx&amp;sheet=U0&amp;row=1109&amp;col=6&amp;number=5.75&amp;sourceID=28","5.75")</f>
        <v>5.75</v>
      </c>
      <c r="G1109" s="4" t="str">
        <f>HYPERLINK("http://141.218.60.56/~jnz1568/getInfo.php?workbook=02_02.xlsx&amp;sheet=U0&amp;row=1109&amp;col=7&amp;number=0.05809&amp;sourceID=1","0.05809")</f>
        <v>0.05809</v>
      </c>
      <c r="H1109" s="4" t="str">
        <f>HYPERLINK("http://141.218.60.56/~jnz1568/getInfo.php?workbook=02_02.xlsx&amp;sheet=U0&amp;row=1109&amp;col=8&amp;number=&amp;sourceID=29","")</f>
        <v/>
      </c>
      <c r="I1109" s="4" t="str">
        <f>HYPERLINK("http://141.218.60.56/~jnz1568/getInfo.php?workbook=02_02.xlsx&amp;sheet=U0&amp;row=1109&amp;col=9&amp;number=&amp;sourceID=1","")</f>
        <v/>
      </c>
    </row>
    <row r="1110" spans="1:9">
      <c r="A1110" s="3">
        <v>2</v>
      </c>
      <c r="B1110" s="3">
        <v>2</v>
      </c>
      <c r="C1110" s="3">
        <v>19</v>
      </c>
      <c r="D1110" s="3">
        <v>5</v>
      </c>
      <c r="E1110" s="3">
        <v>1</v>
      </c>
      <c r="F1110" s="4" t="str">
        <f>HYPERLINK("http://141.218.60.56/~jnz1568/getInfo.php?workbook=02_02.xlsx&amp;sheet=U0&amp;row=1110&amp;col=6&amp;number=&amp;sourceID=28","")</f>
        <v/>
      </c>
      <c r="G1110" s="4" t="str">
        <f>HYPERLINK("http://141.218.60.56/~jnz1568/getInfo.php?workbook=02_02.xlsx&amp;sheet=U0&amp;row=1110&amp;col=7&amp;number=&amp;sourceID=1","")</f>
        <v/>
      </c>
      <c r="H1110" s="4" t="str">
        <f>HYPERLINK("http://141.218.60.56/~jnz1568/getInfo.php?workbook=02_02.xlsx&amp;sheet=U0&amp;row=1110&amp;col=8&amp;number=3.301&amp;sourceID=29","3.301")</f>
        <v>3.301</v>
      </c>
      <c r="I1110" s="4" t="str">
        <f>HYPERLINK("http://141.218.60.56/~jnz1568/getInfo.php?workbook=02_02.xlsx&amp;sheet=U0&amp;row=1110&amp;col=9&amp;number=0.1362&amp;sourceID=1","0.1362")</f>
        <v>0.1362</v>
      </c>
    </row>
    <row r="1111" spans="1:9">
      <c r="A1111" s="3"/>
      <c r="B1111" s="3"/>
      <c r="C1111" s="3"/>
      <c r="D1111" s="3"/>
      <c r="E1111" s="3">
        <v>2</v>
      </c>
      <c r="F1111" s="4" t="str">
        <f>HYPERLINK("http://141.218.60.56/~jnz1568/getInfo.php?workbook=02_02.xlsx&amp;sheet=U0&amp;row=1111&amp;col=6&amp;number=&amp;sourceID=28","")</f>
        <v/>
      </c>
      <c r="G1111" s="4" t="str">
        <f>HYPERLINK("http://141.218.60.56/~jnz1568/getInfo.php?workbook=02_02.xlsx&amp;sheet=U0&amp;row=1111&amp;col=7&amp;number=&amp;sourceID=1","")</f>
        <v/>
      </c>
      <c r="H1111" s="4" t="str">
        <f>HYPERLINK("http://141.218.60.56/~jnz1568/getInfo.php?workbook=02_02.xlsx&amp;sheet=U0&amp;row=1111&amp;col=8&amp;number=3.699&amp;sourceID=29","3.699")</f>
        <v>3.699</v>
      </c>
      <c r="I1111" s="4" t="str">
        <f>HYPERLINK("http://141.218.60.56/~jnz1568/getInfo.php?workbook=02_02.xlsx&amp;sheet=U0&amp;row=1111&amp;col=9&amp;number=0.2268&amp;sourceID=1","0.2268")</f>
        <v>0.2268</v>
      </c>
    </row>
    <row r="1112" spans="1:9">
      <c r="A1112" s="3"/>
      <c r="B1112" s="3"/>
      <c r="C1112" s="3"/>
      <c r="D1112" s="3"/>
      <c r="E1112" s="3">
        <v>3</v>
      </c>
      <c r="F1112" s="4" t="str">
        <f>HYPERLINK("http://141.218.60.56/~jnz1568/getInfo.php?workbook=02_02.xlsx&amp;sheet=U0&amp;row=1112&amp;col=6&amp;number=&amp;sourceID=28","")</f>
        <v/>
      </c>
      <c r="G1112" s="4" t="str">
        <f>HYPERLINK("http://141.218.60.56/~jnz1568/getInfo.php?workbook=02_02.xlsx&amp;sheet=U0&amp;row=1112&amp;col=7&amp;number=&amp;sourceID=1","")</f>
        <v/>
      </c>
      <c r="H1112" s="4" t="str">
        <f>HYPERLINK("http://141.218.60.56/~jnz1568/getInfo.php?workbook=02_02.xlsx&amp;sheet=U0&amp;row=1112&amp;col=8&amp;number=4&amp;sourceID=29","4")</f>
        <v>4</v>
      </c>
      <c r="I1112" s="4" t="str">
        <f>HYPERLINK("http://141.218.60.56/~jnz1568/getInfo.php?workbook=02_02.xlsx&amp;sheet=U0&amp;row=1112&amp;col=9&amp;number=0.4461&amp;sourceID=1","0.4461")</f>
        <v>0.4461</v>
      </c>
    </row>
    <row r="1113" spans="1:9">
      <c r="A1113" s="3"/>
      <c r="B1113" s="3"/>
      <c r="C1113" s="3"/>
      <c r="D1113" s="3"/>
      <c r="E1113" s="3">
        <v>4</v>
      </c>
      <c r="F1113" s="4" t="str">
        <f>HYPERLINK("http://141.218.60.56/~jnz1568/getInfo.php?workbook=02_02.xlsx&amp;sheet=U0&amp;row=1113&amp;col=6&amp;number=&amp;sourceID=28","")</f>
        <v/>
      </c>
      <c r="G1113" s="4" t="str">
        <f>HYPERLINK("http://141.218.60.56/~jnz1568/getInfo.php?workbook=02_02.xlsx&amp;sheet=U0&amp;row=1113&amp;col=7&amp;number=&amp;sourceID=1","")</f>
        <v/>
      </c>
      <c r="H1113" s="4" t="str">
        <f>HYPERLINK("http://141.218.60.56/~jnz1568/getInfo.php?workbook=02_02.xlsx&amp;sheet=U0&amp;row=1113&amp;col=8&amp;number=4.176&amp;sourceID=29","4.176")</f>
        <v>4.176</v>
      </c>
      <c r="I1113" s="4" t="str">
        <f>HYPERLINK("http://141.218.60.56/~jnz1568/getInfo.php?workbook=02_02.xlsx&amp;sheet=U0&amp;row=1113&amp;col=9&amp;number=0.6822&amp;sourceID=1","0.6822")</f>
        <v>0.6822</v>
      </c>
    </row>
    <row r="1114" spans="1:9">
      <c r="A1114" s="3"/>
      <c r="B1114" s="3"/>
      <c r="C1114" s="3"/>
      <c r="D1114" s="3"/>
      <c r="E1114" s="3">
        <v>5</v>
      </c>
      <c r="F1114" s="4" t="str">
        <f>HYPERLINK("http://141.218.60.56/~jnz1568/getInfo.php?workbook=02_02.xlsx&amp;sheet=U0&amp;row=1114&amp;col=6&amp;number=&amp;sourceID=28","")</f>
        <v/>
      </c>
      <c r="G1114" s="4" t="str">
        <f>HYPERLINK("http://141.218.60.56/~jnz1568/getInfo.php?workbook=02_02.xlsx&amp;sheet=U0&amp;row=1114&amp;col=7&amp;number=&amp;sourceID=1","")</f>
        <v/>
      </c>
      <c r="H1114" s="4" t="str">
        <f>HYPERLINK("http://141.218.60.56/~jnz1568/getInfo.php?workbook=02_02.xlsx&amp;sheet=U0&amp;row=1114&amp;col=8&amp;number=4.301&amp;sourceID=29","4.301")</f>
        <v>4.301</v>
      </c>
      <c r="I1114" s="4" t="str">
        <f>HYPERLINK("http://141.218.60.56/~jnz1568/getInfo.php?workbook=02_02.xlsx&amp;sheet=U0&amp;row=1114&amp;col=9&amp;number=0.8932&amp;sourceID=1","0.8932")</f>
        <v>0.8932</v>
      </c>
    </row>
    <row r="1115" spans="1:9">
      <c r="A1115" s="3"/>
      <c r="B1115" s="3"/>
      <c r="C1115" s="3"/>
      <c r="D1115" s="3"/>
      <c r="E1115" s="3">
        <v>6</v>
      </c>
      <c r="F1115" s="4" t="str">
        <f>HYPERLINK("http://141.218.60.56/~jnz1568/getInfo.php?workbook=02_02.xlsx&amp;sheet=U0&amp;row=1115&amp;col=6&amp;number=&amp;sourceID=28","")</f>
        <v/>
      </c>
      <c r="G1115" s="4" t="str">
        <f>HYPERLINK("http://141.218.60.56/~jnz1568/getInfo.php?workbook=02_02.xlsx&amp;sheet=U0&amp;row=1115&amp;col=7&amp;number=&amp;sourceID=1","")</f>
        <v/>
      </c>
      <c r="H1115" s="4" t="str">
        <f>HYPERLINK("http://141.218.60.56/~jnz1568/getInfo.php?workbook=02_02.xlsx&amp;sheet=U0&amp;row=1115&amp;col=8&amp;number=4.398&amp;sourceID=29","4.398")</f>
        <v>4.398</v>
      </c>
      <c r="I1115" s="4" t="str">
        <f>HYPERLINK("http://141.218.60.56/~jnz1568/getInfo.php?workbook=02_02.xlsx&amp;sheet=U0&amp;row=1115&amp;col=9&amp;number=1.066&amp;sourceID=1","1.066")</f>
        <v>1.066</v>
      </c>
    </row>
    <row r="1116" spans="1:9">
      <c r="A1116" s="3"/>
      <c r="B1116" s="3"/>
      <c r="C1116" s="3"/>
      <c r="D1116" s="3"/>
      <c r="E1116" s="3">
        <v>7</v>
      </c>
      <c r="F1116" s="4" t="str">
        <f>HYPERLINK("http://141.218.60.56/~jnz1568/getInfo.php?workbook=02_02.xlsx&amp;sheet=U0&amp;row=1116&amp;col=6&amp;number=&amp;sourceID=28","")</f>
        <v/>
      </c>
      <c r="G1116" s="4" t="str">
        <f>HYPERLINK("http://141.218.60.56/~jnz1568/getInfo.php?workbook=02_02.xlsx&amp;sheet=U0&amp;row=1116&amp;col=7&amp;number=&amp;sourceID=1","")</f>
        <v/>
      </c>
      <c r="H1116" s="4" t="str">
        <f>HYPERLINK("http://141.218.60.56/~jnz1568/getInfo.php?workbook=02_02.xlsx&amp;sheet=U0&amp;row=1116&amp;col=8&amp;number=4.477&amp;sourceID=29","4.477")</f>
        <v>4.477</v>
      </c>
      <c r="I1116" s="4" t="str">
        <f>HYPERLINK("http://141.218.60.56/~jnz1568/getInfo.php?workbook=02_02.xlsx&amp;sheet=U0&amp;row=1116&amp;col=9&amp;number=1.2&amp;sourceID=1","1.2")</f>
        <v>1.2</v>
      </c>
    </row>
    <row r="1117" spans="1:9">
      <c r="A1117" s="3">
        <v>2</v>
      </c>
      <c r="B1117" s="3">
        <v>2</v>
      </c>
      <c r="C1117" s="3">
        <v>19</v>
      </c>
      <c r="D1117" s="3">
        <v>6</v>
      </c>
      <c r="E1117" s="3">
        <v>1</v>
      </c>
      <c r="F1117" s="4" t="str">
        <f>HYPERLINK("http://141.218.60.56/~jnz1568/getInfo.php?workbook=02_02.xlsx&amp;sheet=U0&amp;row=1117&amp;col=6&amp;number=&amp;sourceID=28","")</f>
        <v/>
      </c>
      <c r="G1117" s="4" t="str">
        <f>HYPERLINK("http://141.218.60.56/~jnz1568/getInfo.php?workbook=02_02.xlsx&amp;sheet=U0&amp;row=1117&amp;col=7&amp;number=&amp;sourceID=1","")</f>
        <v/>
      </c>
      <c r="H1117" s="4" t="str">
        <f>HYPERLINK("http://141.218.60.56/~jnz1568/getInfo.php?workbook=02_02.xlsx&amp;sheet=U0&amp;row=1117&amp;col=8&amp;number=3.301&amp;sourceID=29","3.301")</f>
        <v>3.301</v>
      </c>
      <c r="I1117" s="4" t="str">
        <f>HYPERLINK("http://141.218.60.56/~jnz1568/getInfo.php?workbook=02_02.xlsx&amp;sheet=U0&amp;row=1117&amp;col=9&amp;number=0.2786&amp;sourceID=1","0.2786")</f>
        <v>0.2786</v>
      </c>
    </row>
    <row r="1118" spans="1:9">
      <c r="A1118" s="3"/>
      <c r="B1118" s="3"/>
      <c r="C1118" s="3"/>
      <c r="D1118" s="3"/>
      <c r="E1118" s="3">
        <v>2</v>
      </c>
      <c r="F1118" s="4" t="str">
        <f>HYPERLINK("http://141.218.60.56/~jnz1568/getInfo.php?workbook=02_02.xlsx&amp;sheet=U0&amp;row=1118&amp;col=6&amp;number=&amp;sourceID=28","")</f>
        <v/>
      </c>
      <c r="G1118" s="4" t="str">
        <f>HYPERLINK("http://141.218.60.56/~jnz1568/getInfo.php?workbook=02_02.xlsx&amp;sheet=U0&amp;row=1118&amp;col=7&amp;number=&amp;sourceID=1","")</f>
        <v/>
      </c>
      <c r="H1118" s="4" t="str">
        <f>HYPERLINK("http://141.218.60.56/~jnz1568/getInfo.php?workbook=02_02.xlsx&amp;sheet=U0&amp;row=1118&amp;col=8&amp;number=3.699&amp;sourceID=29","3.699")</f>
        <v>3.699</v>
      </c>
      <c r="I1118" s="4" t="str">
        <f>HYPERLINK("http://141.218.60.56/~jnz1568/getInfo.php?workbook=02_02.xlsx&amp;sheet=U0&amp;row=1118&amp;col=9&amp;number=0.3173&amp;sourceID=1","0.3173")</f>
        <v>0.3173</v>
      </c>
    </row>
    <row r="1119" spans="1:9">
      <c r="A1119" s="3"/>
      <c r="B1119" s="3"/>
      <c r="C1119" s="3"/>
      <c r="D1119" s="3"/>
      <c r="E1119" s="3">
        <v>3</v>
      </c>
      <c r="F1119" s="4" t="str">
        <f>HYPERLINK("http://141.218.60.56/~jnz1568/getInfo.php?workbook=02_02.xlsx&amp;sheet=U0&amp;row=1119&amp;col=6&amp;number=&amp;sourceID=28","")</f>
        <v/>
      </c>
      <c r="G1119" s="4" t="str">
        <f>HYPERLINK("http://141.218.60.56/~jnz1568/getInfo.php?workbook=02_02.xlsx&amp;sheet=U0&amp;row=1119&amp;col=7&amp;number=&amp;sourceID=1","")</f>
        <v/>
      </c>
      <c r="H1119" s="4" t="str">
        <f>HYPERLINK("http://141.218.60.56/~jnz1568/getInfo.php?workbook=02_02.xlsx&amp;sheet=U0&amp;row=1119&amp;col=8&amp;number=4&amp;sourceID=29","4")</f>
        <v>4</v>
      </c>
      <c r="I1119" s="4" t="str">
        <f>HYPERLINK("http://141.218.60.56/~jnz1568/getInfo.php?workbook=02_02.xlsx&amp;sheet=U0&amp;row=1119&amp;col=9&amp;number=0.3132&amp;sourceID=1","0.3132")</f>
        <v>0.3132</v>
      </c>
    </row>
    <row r="1120" spans="1:9">
      <c r="A1120" s="3"/>
      <c r="B1120" s="3"/>
      <c r="C1120" s="3"/>
      <c r="D1120" s="3"/>
      <c r="E1120" s="3">
        <v>4</v>
      </c>
      <c r="F1120" s="4" t="str">
        <f>HYPERLINK("http://141.218.60.56/~jnz1568/getInfo.php?workbook=02_02.xlsx&amp;sheet=U0&amp;row=1120&amp;col=6&amp;number=&amp;sourceID=28","")</f>
        <v/>
      </c>
      <c r="G1120" s="4" t="str">
        <f>HYPERLINK("http://141.218.60.56/~jnz1568/getInfo.php?workbook=02_02.xlsx&amp;sheet=U0&amp;row=1120&amp;col=7&amp;number=&amp;sourceID=1","")</f>
        <v/>
      </c>
      <c r="H1120" s="4" t="str">
        <f>HYPERLINK("http://141.218.60.56/~jnz1568/getInfo.php?workbook=02_02.xlsx&amp;sheet=U0&amp;row=1120&amp;col=8&amp;number=4.176&amp;sourceID=29","4.176")</f>
        <v>4.176</v>
      </c>
      <c r="I1120" s="4" t="str">
        <f>HYPERLINK("http://141.218.60.56/~jnz1568/getInfo.php?workbook=02_02.xlsx&amp;sheet=U0&amp;row=1120&amp;col=9&amp;number=0.3007&amp;sourceID=1","0.3007")</f>
        <v>0.3007</v>
      </c>
    </row>
    <row r="1121" spans="1:9">
      <c r="A1121" s="3"/>
      <c r="B1121" s="3"/>
      <c r="C1121" s="3"/>
      <c r="D1121" s="3"/>
      <c r="E1121" s="3">
        <v>5</v>
      </c>
      <c r="F1121" s="4" t="str">
        <f>HYPERLINK("http://141.218.60.56/~jnz1568/getInfo.php?workbook=02_02.xlsx&amp;sheet=U0&amp;row=1121&amp;col=6&amp;number=&amp;sourceID=28","")</f>
        <v/>
      </c>
      <c r="G1121" s="4" t="str">
        <f>HYPERLINK("http://141.218.60.56/~jnz1568/getInfo.php?workbook=02_02.xlsx&amp;sheet=U0&amp;row=1121&amp;col=7&amp;number=&amp;sourceID=1","")</f>
        <v/>
      </c>
      <c r="H1121" s="4" t="str">
        <f>HYPERLINK("http://141.218.60.56/~jnz1568/getInfo.php?workbook=02_02.xlsx&amp;sheet=U0&amp;row=1121&amp;col=8&amp;number=4.301&amp;sourceID=29","4.301")</f>
        <v>4.301</v>
      </c>
      <c r="I1121" s="4" t="str">
        <f>HYPERLINK("http://141.218.60.56/~jnz1568/getInfo.php?workbook=02_02.xlsx&amp;sheet=U0&amp;row=1121&amp;col=9&amp;number=0.2879&amp;sourceID=1","0.2879")</f>
        <v>0.2879</v>
      </c>
    </row>
    <row r="1122" spans="1:9">
      <c r="A1122" s="3"/>
      <c r="B1122" s="3"/>
      <c r="C1122" s="3"/>
      <c r="D1122" s="3"/>
      <c r="E1122" s="3">
        <v>6</v>
      </c>
      <c r="F1122" s="4" t="str">
        <f>HYPERLINK("http://141.218.60.56/~jnz1568/getInfo.php?workbook=02_02.xlsx&amp;sheet=U0&amp;row=1122&amp;col=6&amp;number=&amp;sourceID=28","")</f>
        <v/>
      </c>
      <c r="G1122" s="4" t="str">
        <f>HYPERLINK("http://141.218.60.56/~jnz1568/getInfo.php?workbook=02_02.xlsx&amp;sheet=U0&amp;row=1122&amp;col=7&amp;number=&amp;sourceID=1","")</f>
        <v/>
      </c>
      <c r="H1122" s="4" t="str">
        <f>HYPERLINK("http://141.218.60.56/~jnz1568/getInfo.php?workbook=02_02.xlsx&amp;sheet=U0&amp;row=1122&amp;col=8&amp;number=4.398&amp;sourceID=29","4.398")</f>
        <v>4.398</v>
      </c>
      <c r="I1122" s="4" t="str">
        <f>HYPERLINK("http://141.218.60.56/~jnz1568/getInfo.php?workbook=02_02.xlsx&amp;sheet=U0&amp;row=1122&amp;col=9&amp;number=0.2754&amp;sourceID=1","0.2754")</f>
        <v>0.2754</v>
      </c>
    </row>
    <row r="1123" spans="1:9">
      <c r="A1123" s="3"/>
      <c r="B1123" s="3"/>
      <c r="C1123" s="3"/>
      <c r="D1123" s="3"/>
      <c r="E1123" s="3">
        <v>7</v>
      </c>
      <c r="F1123" s="4" t="str">
        <f>HYPERLINK("http://141.218.60.56/~jnz1568/getInfo.php?workbook=02_02.xlsx&amp;sheet=U0&amp;row=1123&amp;col=6&amp;number=&amp;sourceID=28","")</f>
        <v/>
      </c>
      <c r="G1123" s="4" t="str">
        <f>HYPERLINK("http://141.218.60.56/~jnz1568/getInfo.php?workbook=02_02.xlsx&amp;sheet=U0&amp;row=1123&amp;col=7&amp;number=&amp;sourceID=1","")</f>
        <v/>
      </c>
      <c r="H1123" s="4" t="str">
        <f>HYPERLINK("http://141.218.60.56/~jnz1568/getInfo.php?workbook=02_02.xlsx&amp;sheet=U0&amp;row=1123&amp;col=8&amp;number=4.477&amp;sourceID=29","4.477")</f>
        <v>4.477</v>
      </c>
      <c r="I1123" s="4" t="str">
        <f>HYPERLINK("http://141.218.60.56/~jnz1568/getInfo.php?workbook=02_02.xlsx&amp;sheet=U0&amp;row=1123&amp;col=9&amp;number=0.2634&amp;sourceID=1","0.2634")</f>
        <v>0.2634</v>
      </c>
    </row>
    <row r="1124" spans="1:9">
      <c r="A1124" s="3">
        <v>2</v>
      </c>
      <c r="B1124" s="3">
        <v>2</v>
      </c>
      <c r="C1124" s="3">
        <v>19</v>
      </c>
      <c r="D1124" s="3">
        <v>7</v>
      </c>
      <c r="E1124" s="3">
        <v>1</v>
      </c>
      <c r="F1124" s="4" t="str">
        <f>HYPERLINK("http://141.218.60.56/~jnz1568/getInfo.php?workbook=02_02.xlsx&amp;sheet=U0&amp;row=1124&amp;col=6&amp;number=&amp;sourceID=28","")</f>
        <v/>
      </c>
      <c r="G1124" s="4" t="str">
        <f>HYPERLINK("http://141.218.60.56/~jnz1568/getInfo.php?workbook=02_02.xlsx&amp;sheet=U0&amp;row=1124&amp;col=7&amp;number=&amp;sourceID=1","")</f>
        <v/>
      </c>
      <c r="H1124" s="4" t="str">
        <f>HYPERLINK("http://141.218.60.56/~jnz1568/getInfo.php?workbook=02_02.xlsx&amp;sheet=U0&amp;row=1124&amp;col=8&amp;number=3.301&amp;sourceID=29","3.301")</f>
        <v>3.301</v>
      </c>
      <c r="I1124" s="4" t="str">
        <f>HYPERLINK("http://141.218.60.56/~jnz1568/getInfo.php?workbook=02_02.xlsx&amp;sheet=U0&amp;row=1124&amp;col=9&amp;number=0.4995&amp;sourceID=1","0.4995")</f>
        <v>0.4995</v>
      </c>
    </row>
    <row r="1125" spans="1:9">
      <c r="A1125" s="3"/>
      <c r="B1125" s="3"/>
      <c r="C1125" s="3"/>
      <c r="D1125" s="3"/>
      <c r="E1125" s="3">
        <v>2</v>
      </c>
      <c r="F1125" s="4" t="str">
        <f>HYPERLINK("http://141.218.60.56/~jnz1568/getInfo.php?workbook=02_02.xlsx&amp;sheet=U0&amp;row=1125&amp;col=6&amp;number=&amp;sourceID=28","")</f>
        <v/>
      </c>
      <c r="G1125" s="4" t="str">
        <f>HYPERLINK("http://141.218.60.56/~jnz1568/getInfo.php?workbook=02_02.xlsx&amp;sheet=U0&amp;row=1125&amp;col=7&amp;number=&amp;sourceID=1","")</f>
        <v/>
      </c>
      <c r="H1125" s="4" t="str">
        <f>HYPERLINK("http://141.218.60.56/~jnz1568/getInfo.php?workbook=02_02.xlsx&amp;sheet=U0&amp;row=1125&amp;col=8&amp;number=3.699&amp;sourceID=29","3.699")</f>
        <v>3.699</v>
      </c>
      <c r="I1125" s="4" t="str">
        <f>HYPERLINK("http://141.218.60.56/~jnz1568/getInfo.php?workbook=02_02.xlsx&amp;sheet=U0&amp;row=1125&amp;col=9&amp;number=0.7257&amp;sourceID=1","0.7257")</f>
        <v>0.7257</v>
      </c>
    </row>
    <row r="1126" spans="1:9">
      <c r="A1126" s="3"/>
      <c r="B1126" s="3"/>
      <c r="C1126" s="3"/>
      <c r="D1126" s="3"/>
      <c r="E1126" s="3">
        <v>3</v>
      </c>
      <c r="F1126" s="4" t="str">
        <f>HYPERLINK("http://141.218.60.56/~jnz1568/getInfo.php?workbook=02_02.xlsx&amp;sheet=U0&amp;row=1126&amp;col=6&amp;number=&amp;sourceID=28","")</f>
        <v/>
      </c>
      <c r="G1126" s="4" t="str">
        <f>HYPERLINK("http://141.218.60.56/~jnz1568/getInfo.php?workbook=02_02.xlsx&amp;sheet=U0&amp;row=1126&amp;col=7&amp;number=&amp;sourceID=1","")</f>
        <v/>
      </c>
      <c r="H1126" s="4" t="str">
        <f>HYPERLINK("http://141.218.60.56/~jnz1568/getInfo.php?workbook=02_02.xlsx&amp;sheet=U0&amp;row=1126&amp;col=8&amp;number=4&amp;sourceID=29","4")</f>
        <v>4</v>
      </c>
      <c r="I1126" s="4" t="str">
        <f>HYPERLINK("http://141.218.60.56/~jnz1568/getInfo.php?workbook=02_02.xlsx&amp;sheet=U0&amp;row=1126&amp;col=9&amp;number=0.9775&amp;sourceID=1","0.9775")</f>
        <v>0.9775</v>
      </c>
    </row>
    <row r="1127" spans="1:9">
      <c r="A1127" s="3"/>
      <c r="B1127" s="3"/>
      <c r="C1127" s="3"/>
      <c r="D1127" s="3"/>
      <c r="E1127" s="3">
        <v>4</v>
      </c>
      <c r="F1127" s="4" t="str">
        <f>HYPERLINK("http://141.218.60.56/~jnz1568/getInfo.php?workbook=02_02.xlsx&amp;sheet=U0&amp;row=1127&amp;col=6&amp;number=&amp;sourceID=28","")</f>
        <v/>
      </c>
      <c r="G1127" s="4" t="str">
        <f>HYPERLINK("http://141.218.60.56/~jnz1568/getInfo.php?workbook=02_02.xlsx&amp;sheet=U0&amp;row=1127&amp;col=7&amp;number=&amp;sourceID=1","")</f>
        <v/>
      </c>
      <c r="H1127" s="4" t="str">
        <f>HYPERLINK("http://141.218.60.56/~jnz1568/getInfo.php?workbook=02_02.xlsx&amp;sheet=U0&amp;row=1127&amp;col=8&amp;number=4.176&amp;sourceID=29","4.176")</f>
        <v>4.176</v>
      </c>
      <c r="I1127" s="4" t="str">
        <f>HYPERLINK("http://141.218.60.56/~jnz1568/getInfo.php?workbook=02_02.xlsx&amp;sheet=U0&amp;row=1127&amp;col=9&amp;number=1.293&amp;sourceID=1","1.293")</f>
        <v>1.293</v>
      </c>
    </row>
    <row r="1128" spans="1:9">
      <c r="A1128" s="3"/>
      <c r="B1128" s="3"/>
      <c r="C1128" s="3"/>
      <c r="D1128" s="3"/>
      <c r="E1128" s="3">
        <v>5</v>
      </c>
      <c r="F1128" s="4" t="str">
        <f>HYPERLINK("http://141.218.60.56/~jnz1568/getInfo.php?workbook=02_02.xlsx&amp;sheet=U0&amp;row=1128&amp;col=6&amp;number=&amp;sourceID=28","")</f>
        <v/>
      </c>
      <c r="G1128" s="4" t="str">
        <f>HYPERLINK("http://141.218.60.56/~jnz1568/getInfo.php?workbook=02_02.xlsx&amp;sheet=U0&amp;row=1128&amp;col=7&amp;number=&amp;sourceID=1","")</f>
        <v/>
      </c>
      <c r="H1128" s="4" t="str">
        <f>HYPERLINK("http://141.218.60.56/~jnz1568/getInfo.php?workbook=02_02.xlsx&amp;sheet=U0&amp;row=1128&amp;col=8&amp;number=4.301&amp;sourceID=29","4.301")</f>
        <v>4.301</v>
      </c>
      <c r="I1128" s="4" t="str">
        <f>HYPERLINK("http://141.218.60.56/~jnz1568/getInfo.php?workbook=02_02.xlsx&amp;sheet=U0&amp;row=1128&amp;col=9&amp;number=1.642&amp;sourceID=1","1.642")</f>
        <v>1.642</v>
      </c>
    </row>
    <row r="1129" spans="1:9">
      <c r="A1129" s="3"/>
      <c r="B1129" s="3"/>
      <c r="C1129" s="3"/>
      <c r="D1129" s="3"/>
      <c r="E1129" s="3">
        <v>6</v>
      </c>
      <c r="F1129" s="4" t="str">
        <f>HYPERLINK("http://141.218.60.56/~jnz1568/getInfo.php?workbook=02_02.xlsx&amp;sheet=U0&amp;row=1129&amp;col=6&amp;number=&amp;sourceID=28","")</f>
        <v/>
      </c>
      <c r="G1129" s="4" t="str">
        <f>HYPERLINK("http://141.218.60.56/~jnz1568/getInfo.php?workbook=02_02.xlsx&amp;sheet=U0&amp;row=1129&amp;col=7&amp;number=&amp;sourceID=1","")</f>
        <v/>
      </c>
      <c r="H1129" s="4" t="str">
        <f>HYPERLINK("http://141.218.60.56/~jnz1568/getInfo.php?workbook=02_02.xlsx&amp;sheet=U0&amp;row=1129&amp;col=8&amp;number=4.398&amp;sourceID=29","4.398")</f>
        <v>4.398</v>
      </c>
      <c r="I1129" s="4" t="str">
        <f>HYPERLINK("http://141.218.60.56/~jnz1568/getInfo.php?workbook=02_02.xlsx&amp;sheet=U0&amp;row=1129&amp;col=9&amp;number=1.977&amp;sourceID=1","1.977")</f>
        <v>1.977</v>
      </c>
    </row>
    <row r="1130" spans="1:9">
      <c r="A1130" s="3"/>
      <c r="B1130" s="3"/>
      <c r="C1130" s="3"/>
      <c r="D1130" s="3"/>
      <c r="E1130" s="3">
        <v>7</v>
      </c>
      <c r="F1130" s="4" t="str">
        <f>HYPERLINK("http://141.218.60.56/~jnz1568/getInfo.php?workbook=02_02.xlsx&amp;sheet=U0&amp;row=1130&amp;col=6&amp;number=&amp;sourceID=28","")</f>
        <v/>
      </c>
      <c r="G1130" s="4" t="str">
        <f>HYPERLINK("http://141.218.60.56/~jnz1568/getInfo.php?workbook=02_02.xlsx&amp;sheet=U0&amp;row=1130&amp;col=7&amp;number=&amp;sourceID=1","")</f>
        <v/>
      </c>
      <c r="H1130" s="4" t="str">
        <f>HYPERLINK("http://141.218.60.56/~jnz1568/getInfo.php?workbook=02_02.xlsx&amp;sheet=U0&amp;row=1130&amp;col=8&amp;number=4.477&amp;sourceID=29","4.477")</f>
        <v>4.477</v>
      </c>
      <c r="I1130" s="4" t="str">
        <f>HYPERLINK("http://141.218.60.56/~jnz1568/getInfo.php?workbook=02_02.xlsx&amp;sheet=U0&amp;row=1130&amp;col=9&amp;number=2.266&amp;sourceID=1","2.266")</f>
        <v>2.266</v>
      </c>
    </row>
    <row r="1131" spans="1:9">
      <c r="A1131" s="3">
        <v>2</v>
      </c>
      <c r="B1131" s="3">
        <v>2</v>
      </c>
      <c r="C1131" s="3">
        <v>19</v>
      </c>
      <c r="D1131" s="3">
        <v>8</v>
      </c>
      <c r="E1131" s="3">
        <v>1</v>
      </c>
      <c r="F1131" s="4" t="str">
        <f>HYPERLINK("http://141.218.60.56/~jnz1568/getInfo.php?workbook=02_02.xlsx&amp;sheet=U0&amp;row=1131&amp;col=6&amp;number=&amp;sourceID=28","")</f>
        <v/>
      </c>
      <c r="G1131" s="4" t="str">
        <f>HYPERLINK("http://141.218.60.56/~jnz1568/getInfo.php?workbook=02_02.xlsx&amp;sheet=U0&amp;row=1131&amp;col=7&amp;number=&amp;sourceID=1","")</f>
        <v/>
      </c>
      <c r="H1131" s="4" t="str">
        <f>HYPERLINK("http://141.218.60.56/~jnz1568/getInfo.php?workbook=02_02.xlsx&amp;sheet=U0&amp;row=1131&amp;col=8&amp;number=3.301&amp;sourceID=29","3.301")</f>
        <v>3.301</v>
      </c>
      <c r="I1131" s="4" t="str">
        <f>HYPERLINK("http://141.218.60.56/~jnz1568/getInfo.php?workbook=02_02.xlsx&amp;sheet=U0&amp;row=1131&amp;col=9&amp;number=0.8466&amp;sourceID=1","0.8466")</f>
        <v>0.8466</v>
      </c>
    </row>
    <row r="1132" spans="1:9">
      <c r="A1132" s="3"/>
      <c r="B1132" s="3"/>
      <c r="C1132" s="3"/>
      <c r="D1132" s="3"/>
      <c r="E1132" s="3">
        <v>2</v>
      </c>
      <c r="F1132" s="4" t="str">
        <f>HYPERLINK("http://141.218.60.56/~jnz1568/getInfo.php?workbook=02_02.xlsx&amp;sheet=U0&amp;row=1132&amp;col=6&amp;number=&amp;sourceID=28","")</f>
        <v/>
      </c>
      <c r="G1132" s="4" t="str">
        <f>HYPERLINK("http://141.218.60.56/~jnz1568/getInfo.php?workbook=02_02.xlsx&amp;sheet=U0&amp;row=1132&amp;col=7&amp;number=&amp;sourceID=1","")</f>
        <v/>
      </c>
      <c r="H1132" s="4" t="str">
        <f>HYPERLINK("http://141.218.60.56/~jnz1568/getInfo.php?workbook=02_02.xlsx&amp;sheet=U0&amp;row=1132&amp;col=8&amp;number=3.699&amp;sourceID=29","3.699")</f>
        <v>3.699</v>
      </c>
      <c r="I1132" s="4" t="str">
        <f>HYPERLINK("http://141.218.60.56/~jnz1568/getInfo.php?workbook=02_02.xlsx&amp;sheet=U0&amp;row=1132&amp;col=9&amp;number=1.055&amp;sourceID=1","1.055")</f>
        <v>1.055</v>
      </c>
    </row>
    <row r="1133" spans="1:9">
      <c r="A1133" s="3"/>
      <c r="B1133" s="3"/>
      <c r="C1133" s="3"/>
      <c r="D1133" s="3"/>
      <c r="E1133" s="3">
        <v>3</v>
      </c>
      <c r="F1133" s="4" t="str">
        <f>HYPERLINK("http://141.218.60.56/~jnz1568/getInfo.php?workbook=02_02.xlsx&amp;sheet=U0&amp;row=1133&amp;col=6&amp;number=&amp;sourceID=28","")</f>
        <v/>
      </c>
      <c r="G1133" s="4" t="str">
        <f>HYPERLINK("http://141.218.60.56/~jnz1568/getInfo.php?workbook=02_02.xlsx&amp;sheet=U0&amp;row=1133&amp;col=7&amp;number=&amp;sourceID=1","")</f>
        <v/>
      </c>
      <c r="H1133" s="4" t="str">
        <f>HYPERLINK("http://141.218.60.56/~jnz1568/getInfo.php?workbook=02_02.xlsx&amp;sheet=U0&amp;row=1133&amp;col=8&amp;number=4&amp;sourceID=29","4")</f>
        <v>4</v>
      </c>
      <c r="I1133" s="4" t="str">
        <f>HYPERLINK("http://141.218.60.56/~jnz1568/getInfo.php?workbook=02_02.xlsx&amp;sheet=U0&amp;row=1133&amp;col=9&amp;number=1.053&amp;sourceID=1","1.053")</f>
        <v>1.053</v>
      </c>
    </row>
    <row r="1134" spans="1:9">
      <c r="A1134" s="3"/>
      <c r="B1134" s="3"/>
      <c r="C1134" s="3"/>
      <c r="D1134" s="3"/>
      <c r="E1134" s="3">
        <v>4</v>
      </c>
      <c r="F1134" s="4" t="str">
        <f>HYPERLINK("http://141.218.60.56/~jnz1568/getInfo.php?workbook=02_02.xlsx&amp;sheet=U0&amp;row=1134&amp;col=6&amp;number=&amp;sourceID=28","")</f>
        <v/>
      </c>
      <c r="G1134" s="4" t="str">
        <f>HYPERLINK("http://141.218.60.56/~jnz1568/getInfo.php?workbook=02_02.xlsx&amp;sheet=U0&amp;row=1134&amp;col=7&amp;number=&amp;sourceID=1","")</f>
        <v/>
      </c>
      <c r="H1134" s="4" t="str">
        <f>HYPERLINK("http://141.218.60.56/~jnz1568/getInfo.php?workbook=02_02.xlsx&amp;sheet=U0&amp;row=1134&amp;col=8&amp;number=4.176&amp;sourceID=29","4.176")</f>
        <v>4.176</v>
      </c>
      <c r="I1134" s="4" t="str">
        <f>HYPERLINK("http://141.218.60.56/~jnz1568/getInfo.php?workbook=02_02.xlsx&amp;sheet=U0&amp;row=1134&amp;col=9&amp;number=0.9895&amp;sourceID=1","0.9895")</f>
        <v>0.9895</v>
      </c>
    </row>
    <row r="1135" spans="1:9">
      <c r="A1135" s="3"/>
      <c r="B1135" s="3"/>
      <c r="C1135" s="3"/>
      <c r="D1135" s="3"/>
      <c r="E1135" s="3">
        <v>5</v>
      </c>
      <c r="F1135" s="4" t="str">
        <f>HYPERLINK("http://141.218.60.56/~jnz1568/getInfo.php?workbook=02_02.xlsx&amp;sheet=U0&amp;row=1135&amp;col=6&amp;number=&amp;sourceID=28","")</f>
        <v/>
      </c>
      <c r="G1135" s="4" t="str">
        <f>HYPERLINK("http://141.218.60.56/~jnz1568/getInfo.php?workbook=02_02.xlsx&amp;sheet=U0&amp;row=1135&amp;col=7&amp;number=&amp;sourceID=1","")</f>
        <v/>
      </c>
      <c r="H1135" s="4" t="str">
        <f>HYPERLINK("http://141.218.60.56/~jnz1568/getInfo.php?workbook=02_02.xlsx&amp;sheet=U0&amp;row=1135&amp;col=8&amp;number=4.301&amp;sourceID=29","4.301")</f>
        <v>4.301</v>
      </c>
      <c r="I1135" s="4" t="str">
        <f>HYPERLINK("http://141.218.60.56/~jnz1568/getInfo.php?workbook=02_02.xlsx&amp;sheet=U0&amp;row=1135&amp;col=9&amp;number=0.9217&amp;sourceID=1","0.9217")</f>
        <v>0.9217</v>
      </c>
    </row>
    <row r="1136" spans="1:9">
      <c r="A1136" s="3"/>
      <c r="B1136" s="3"/>
      <c r="C1136" s="3"/>
      <c r="D1136" s="3"/>
      <c r="E1136" s="3">
        <v>6</v>
      </c>
      <c r="F1136" s="4" t="str">
        <f>HYPERLINK("http://141.218.60.56/~jnz1568/getInfo.php?workbook=02_02.xlsx&amp;sheet=U0&amp;row=1136&amp;col=6&amp;number=&amp;sourceID=28","")</f>
        <v/>
      </c>
      <c r="G1136" s="4" t="str">
        <f>HYPERLINK("http://141.218.60.56/~jnz1568/getInfo.php?workbook=02_02.xlsx&amp;sheet=U0&amp;row=1136&amp;col=7&amp;number=&amp;sourceID=1","")</f>
        <v/>
      </c>
      <c r="H1136" s="4" t="str">
        <f>HYPERLINK("http://141.218.60.56/~jnz1568/getInfo.php?workbook=02_02.xlsx&amp;sheet=U0&amp;row=1136&amp;col=8&amp;number=4.398&amp;sourceID=29","4.398")</f>
        <v>4.398</v>
      </c>
      <c r="I1136" s="4" t="str">
        <f>HYPERLINK("http://141.218.60.56/~jnz1568/getInfo.php?workbook=02_02.xlsx&amp;sheet=U0&amp;row=1136&amp;col=9&amp;number=0.8592&amp;sourceID=1","0.8592")</f>
        <v>0.8592</v>
      </c>
    </row>
    <row r="1137" spans="1:9">
      <c r="A1137" s="3"/>
      <c r="B1137" s="3"/>
      <c r="C1137" s="3"/>
      <c r="D1137" s="3"/>
      <c r="E1137" s="3">
        <v>7</v>
      </c>
      <c r="F1137" s="4" t="str">
        <f>HYPERLINK("http://141.218.60.56/~jnz1568/getInfo.php?workbook=02_02.xlsx&amp;sheet=U0&amp;row=1137&amp;col=6&amp;number=&amp;sourceID=28","")</f>
        <v/>
      </c>
      <c r="G1137" s="4" t="str">
        <f>HYPERLINK("http://141.218.60.56/~jnz1568/getInfo.php?workbook=02_02.xlsx&amp;sheet=U0&amp;row=1137&amp;col=7&amp;number=&amp;sourceID=1","")</f>
        <v/>
      </c>
      <c r="H1137" s="4" t="str">
        <f>HYPERLINK("http://141.218.60.56/~jnz1568/getInfo.php?workbook=02_02.xlsx&amp;sheet=U0&amp;row=1137&amp;col=8&amp;number=4.477&amp;sourceID=29","4.477")</f>
        <v>4.477</v>
      </c>
      <c r="I1137" s="4" t="str">
        <f>HYPERLINK("http://141.218.60.56/~jnz1568/getInfo.php?workbook=02_02.xlsx&amp;sheet=U0&amp;row=1137&amp;col=9&amp;number=0.8033&amp;sourceID=1","0.8033")</f>
        <v>0.8033</v>
      </c>
    </row>
    <row r="1138" spans="1:9">
      <c r="A1138" s="3">
        <v>2</v>
      </c>
      <c r="B1138" s="3">
        <v>2</v>
      </c>
      <c r="C1138" s="3">
        <v>19</v>
      </c>
      <c r="D1138" s="3">
        <v>9</v>
      </c>
      <c r="E1138" s="3">
        <v>1</v>
      </c>
      <c r="F1138" s="4" t="str">
        <f>HYPERLINK("http://141.218.60.56/~jnz1568/getInfo.php?workbook=02_02.xlsx&amp;sheet=U0&amp;row=1138&amp;col=6&amp;number=&amp;sourceID=28","")</f>
        <v/>
      </c>
      <c r="G1138" s="4" t="str">
        <f>HYPERLINK("http://141.218.60.56/~jnz1568/getInfo.php?workbook=02_02.xlsx&amp;sheet=U0&amp;row=1138&amp;col=7&amp;number=&amp;sourceID=1","")</f>
        <v/>
      </c>
      <c r="H1138" s="4" t="str">
        <f>HYPERLINK("http://141.218.60.56/~jnz1568/getInfo.php?workbook=02_02.xlsx&amp;sheet=U0&amp;row=1138&amp;col=8&amp;number=3.301&amp;sourceID=29","3.301")</f>
        <v>3.301</v>
      </c>
      <c r="I1138" s="4" t="str">
        <f>HYPERLINK("http://141.218.60.56/~jnz1568/getInfo.php?workbook=02_02.xlsx&amp;sheet=U0&amp;row=1138&amp;col=9&amp;number=0.8566&amp;sourceID=1","0.8566")</f>
        <v>0.8566</v>
      </c>
    </row>
    <row r="1139" spans="1:9">
      <c r="A1139" s="3"/>
      <c r="B1139" s="3"/>
      <c r="C1139" s="3"/>
      <c r="D1139" s="3"/>
      <c r="E1139" s="3">
        <v>2</v>
      </c>
      <c r="F1139" s="4" t="str">
        <f>HYPERLINK("http://141.218.60.56/~jnz1568/getInfo.php?workbook=02_02.xlsx&amp;sheet=U0&amp;row=1139&amp;col=6&amp;number=&amp;sourceID=28","")</f>
        <v/>
      </c>
      <c r="G1139" s="4" t="str">
        <f>HYPERLINK("http://141.218.60.56/~jnz1568/getInfo.php?workbook=02_02.xlsx&amp;sheet=U0&amp;row=1139&amp;col=7&amp;number=&amp;sourceID=1","")</f>
        <v/>
      </c>
      <c r="H1139" s="4" t="str">
        <f>HYPERLINK("http://141.218.60.56/~jnz1568/getInfo.php?workbook=02_02.xlsx&amp;sheet=U0&amp;row=1139&amp;col=8&amp;number=3.699&amp;sourceID=29","3.699")</f>
        <v>3.699</v>
      </c>
      <c r="I1139" s="4" t="str">
        <f>HYPERLINK("http://141.218.60.56/~jnz1568/getInfo.php?workbook=02_02.xlsx&amp;sheet=U0&amp;row=1139&amp;col=9&amp;number=1.166&amp;sourceID=1","1.166")</f>
        <v>1.166</v>
      </c>
    </row>
    <row r="1140" spans="1:9">
      <c r="A1140" s="3"/>
      <c r="B1140" s="3"/>
      <c r="C1140" s="3"/>
      <c r="D1140" s="3"/>
      <c r="E1140" s="3">
        <v>3</v>
      </c>
      <c r="F1140" s="4" t="str">
        <f>HYPERLINK("http://141.218.60.56/~jnz1568/getInfo.php?workbook=02_02.xlsx&amp;sheet=U0&amp;row=1140&amp;col=6&amp;number=&amp;sourceID=28","")</f>
        <v/>
      </c>
      <c r="G1140" s="4" t="str">
        <f>HYPERLINK("http://141.218.60.56/~jnz1568/getInfo.php?workbook=02_02.xlsx&amp;sheet=U0&amp;row=1140&amp;col=7&amp;number=&amp;sourceID=1","")</f>
        <v/>
      </c>
      <c r="H1140" s="4" t="str">
        <f>HYPERLINK("http://141.218.60.56/~jnz1568/getInfo.php?workbook=02_02.xlsx&amp;sheet=U0&amp;row=1140&amp;col=8&amp;number=4&amp;sourceID=29","4")</f>
        <v>4</v>
      </c>
      <c r="I1140" s="4" t="str">
        <f>HYPERLINK("http://141.218.60.56/~jnz1568/getInfo.php?workbook=02_02.xlsx&amp;sheet=U0&amp;row=1140&amp;col=9&amp;number=1.242&amp;sourceID=1","1.242")</f>
        <v>1.242</v>
      </c>
    </row>
    <row r="1141" spans="1:9">
      <c r="A1141" s="3"/>
      <c r="B1141" s="3"/>
      <c r="C1141" s="3"/>
      <c r="D1141" s="3"/>
      <c r="E1141" s="3">
        <v>4</v>
      </c>
      <c r="F1141" s="4" t="str">
        <f>HYPERLINK("http://141.218.60.56/~jnz1568/getInfo.php?workbook=02_02.xlsx&amp;sheet=U0&amp;row=1141&amp;col=6&amp;number=&amp;sourceID=28","")</f>
        <v/>
      </c>
      <c r="G1141" s="4" t="str">
        <f>HYPERLINK("http://141.218.60.56/~jnz1568/getInfo.php?workbook=02_02.xlsx&amp;sheet=U0&amp;row=1141&amp;col=7&amp;number=&amp;sourceID=1","")</f>
        <v/>
      </c>
      <c r="H1141" s="4" t="str">
        <f>HYPERLINK("http://141.218.60.56/~jnz1568/getInfo.php?workbook=02_02.xlsx&amp;sheet=U0&amp;row=1141&amp;col=8&amp;number=4.176&amp;sourceID=29","4.176")</f>
        <v>4.176</v>
      </c>
      <c r="I1141" s="4" t="str">
        <f>HYPERLINK("http://141.218.60.56/~jnz1568/getInfo.php?workbook=02_02.xlsx&amp;sheet=U0&amp;row=1141&amp;col=9&amp;number=1.211&amp;sourceID=1","1.211")</f>
        <v>1.211</v>
      </c>
    </row>
    <row r="1142" spans="1:9">
      <c r="A1142" s="3"/>
      <c r="B1142" s="3"/>
      <c r="C1142" s="3"/>
      <c r="D1142" s="3"/>
      <c r="E1142" s="3">
        <v>5</v>
      </c>
      <c r="F1142" s="4" t="str">
        <f>HYPERLINK("http://141.218.60.56/~jnz1568/getInfo.php?workbook=02_02.xlsx&amp;sheet=U0&amp;row=1142&amp;col=6&amp;number=&amp;sourceID=28","")</f>
        <v/>
      </c>
      <c r="G1142" s="4" t="str">
        <f>HYPERLINK("http://141.218.60.56/~jnz1568/getInfo.php?workbook=02_02.xlsx&amp;sheet=U0&amp;row=1142&amp;col=7&amp;number=&amp;sourceID=1","")</f>
        <v/>
      </c>
      <c r="H1142" s="4" t="str">
        <f>HYPERLINK("http://141.218.60.56/~jnz1568/getInfo.php?workbook=02_02.xlsx&amp;sheet=U0&amp;row=1142&amp;col=8&amp;number=4.301&amp;sourceID=29","4.301")</f>
        <v>4.301</v>
      </c>
      <c r="I1142" s="4" t="str">
        <f>HYPERLINK("http://141.218.60.56/~jnz1568/getInfo.php?workbook=02_02.xlsx&amp;sheet=U0&amp;row=1142&amp;col=9&amp;number=1.157&amp;sourceID=1","1.157")</f>
        <v>1.157</v>
      </c>
    </row>
    <row r="1143" spans="1:9">
      <c r="A1143" s="3"/>
      <c r="B1143" s="3"/>
      <c r="C1143" s="3"/>
      <c r="D1143" s="3"/>
      <c r="E1143" s="3">
        <v>6</v>
      </c>
      <c r="F1143" s="4" t="str">
        <f>HYPERLINK("http://141.218.60.56/~jnz1568/getInfo.php?workbook=02_02.xlsx&amp;sheet=U0&amp;row=1143&amp;col=6&amp;number=&amp;sourceID=28","")</f>
        <v/>
      </c>
      <c r="G1143" s="4" t="str">
        <f>HYPERLINK("http://141.218.60.56/~jnz1568/getInfo.php?workbook=02_02.xlsx&amp;sheet=U0&amp;row=1143&amp;col=7&amp;number=&amp;sourceID=1","")</f>
        <v/>
      </c>
      <c r="H1143" s="4" t="str">
        <f>HYPERLINK("http://141.218.60.56/~jnz1568/getInfo.php?workbook=02_02.xlsx&amp;sheet=U0&amp;row=1143&amp;col=8&amp;number=4.398&amp;sourceID=29","4.398")</f>
        <v>4.398</v>
      </c>
      <c r="I1143" s="4" t="str">
        <f>HYPERLINK("http://141.218.60.56/~jnz1568/getInfo.php?workbook=02_02.xlsx&amp;sheet=U0&amp;row=1143&amp;col=9&amp;number=1.099&amp;sourceID=1","1.099")</f>
        <v>1.099</v>
      </c>
    </row>
    <row r="1144" spans="1:9">
      <c r="A1144" s="3"/>
      <c r="B1144" s="3"/>
      <c r="C1144" s="3"/>
      <c r="D1144" s="3"/>
      <c r="E1144" s="3">
        <v>7</v>
      </c>
      <c r="F1144" s="4" t="str">
        <f>HYPERLINK("http://141.218.60.56/~jnz1568/getInfo.php?workbook=02_02.xlsx&amp;sheet=U0&amp;row=1144&amp;col=6&amp;number=&amp;sourceID=28","")</f>
        <v/>
      </c>
      <c r="G1144" s="4" t="str">
        <f>HYPERLINK("http://141.218.60.56/~jnz1568/getInfo.php?workbook=02_02.xlsx&amp;sheet=U0&amp;row=1144&amp;col=7&amp;number=&amp;sourceID=1","")</f>
        <v/>
      </c>
      <c r="H1144" s="4" t="str">
        <f>HYPERLINK("http://141.218.60.56/~jnz1568/getInfo.php?workbook=02_02.xlsx&amp;sheet=U0&amp;row=1144&amp;col=8&amp;number=4.477&amp;sourceID=29","4.477")</f>
        <v>4.477</v>
      </c>
      <c r="I1144" s="4" t="str">
        <f>HYPERLINK("http://141.218.60.56/~jnz1568/getInfo.php?workbook=02_02.xlsx&amp;sheet=U0&amp;row=1144&amp;col=9&amp;number=1.042&amp;sourceID=1","1.042")</f>
        <v>1.042</v>
      </c>
    </row>
    <row r="1145" spans="1:9">
      <c r="A1145" s="3">
        <v>2</v>
      </c>
      <c r="B1145" s="3">
        <v>2</v>
      </c>
      <c r="C1145" s="3">
        <v>19</v>
      </c>
      <c r="D1145" s="3">
        <v>10</v>
      </c>
      <c r="E1145" s="3">
        <v>1</v>
      </c>
      <c r="F1145" s="4" t="str">
        <f>HYPERLINK("http://141.218.60.56/~jnz1568/getInfo.php?workbook=02_02.xlsx&amp;sheet=U0&amp;row=1145&amp;col=6&amp;number=&amp;sourceID=28","")</f>
        <v/>
      </c>
      <c r="G1145" s="4" t="str">
        <f>HYPERLINK("http://141.218.60.56/~jnz1568/getInfo.php?workbook=02_02.xlsx&amp;sheet=U0&amp;row=1145&amp;col=7&amp;number=&amp;sourceID=1","")</f>
        <v/>
      </c>
      <c r="H1145" s="4" t="str">
        <f>HYPERLINK("http://141.218.60.56/~jnz1568/getInfo.php?workbook=02_02.xlsx&amp;sheet=U0&amp;row=1145&amp;col=8&amp;number=3.301&amp;sourceID=29","3.301")</f>
        <v>3.301</v>
      </c>
      <c r="I1145" s="4" t="str">
        <f>HYPERLINK("http://141.218.60.56/~jnz1568/getInfo.php?workbook=02_02.xlsx&amp;sheet=U0&amp;row=1145&amp;col=9&amp;number=2.875&amp;sourceID=1","2.875")</f>
        <v>2.875</v>
      </c>
    </row>
    <row r="1146" spans="1:9">
      <c r="A1146" s="3"/>
      <c r="B1146" s="3"/>
      <c r="C1146" s="3"/>
      <c r="D1146" s="3"/>
      <c r="E1146" s="3">
        <v>2</v>
      </c>
      <c r="F1146" s="4" t="str">
        <f>HYPERLINK("http://141.218.60.56/~jnz1568/getInfo.php?workbook=02_02.xlsx&amp;sheet=U0&amp;row=1146&amp;col=6&amp;number=&amp;sourceID=28","")</f>
        <v/>
      </c>
      <c r="G1146" s="4" t="str">
        <f>HYPERLINK("http://141.218.60.56/~jnz1568/getInfo.php?workbook=02_02.xlsx&amp;sheet=U0&amp;row=1146&amp;col=7&amp;number=&amp;sourceID=1","")</f>
        <v/>
      </c>
      <c r="H1146" s="4" t="str">
        <f>HYPERLINK("http://141.218.60.56/~jnz1568/getInfo.php?workbook=02_02.xlsx&amp;sheet=U0&amp;row=1146&amp;col=8&amp;number=3.699&amp;sourceID=29","3.699")</f>
        <v>3.699</v>
      </c>
      <c r="I1146" s="4" t="str">
        <f>HYPERLINK("http://141.218.60.56/~jnz1568/getInfo.php?workbook=02_02.xlsx&amp;sheet=U0&amp;row=1146&amp;col=9&amp;number=4.032&amp;sourceID=1","4.032")</f>
        <v>4.032</v>
      </c>
    </row>
    <row r="1147" spans="1:9">
      <c r="A1147" s="3"/>
      <c r="B1147" s="3"/>
      <c r="C1147" s="3"/>
      <c r="D1147" s="3"/>
      <c r="E1147" s="3">
        <v>3</v>
      </c>
      <c r="F1147" s="4" t="str">
        <f>HYPERLINK("http://141.218.60.56/~jnz1568/getInfo.php?workbook=02_02.xlsx&amp;sheet=U0&amp;row=1147&amp;col=6&amp;number=&amp;sourceID=28","")</f>
        <v/>
      </c>
      <c r="G1147" s="4" t="str">
        <f>HYPERLINK("http://141.218.60.56/~jnz1568/getInfo.php?workbook=02_02.xlsx&amp;sheet=U0&amp;row=1147&amp;col=7&amp;number=&amp;sourceID=1","")</f>
        <v/>
      </c>
      <c r="H1147" s="4" t="str">
        <f>HYPERLINK("http://141.218.60.56/~jnz1568/getInfo.php?workbook=02_02.xlsx&amp;sheet=U0&amp;row=1147&amp;col=8&amp;number=4&amp;sourceID=29","4")</f>
        <v>4</v>
      </c>
      <c r="I1147" s="4" t="str">
        <f>HYPERLINK("http://141.218.60.56/~jnz1568/getInfo.php?workbook=02_02.xlsx&amp;sheet=U0&amp;row=1147&amp;col=9&amp;number=4.845&amp;sourceID=1","4.845")</f>
        <v>4.845</v>
      </c>
    </row>
    <row r="1148" spans="1:9">
      <c r="A1148" s="3"/>
      <c r="B1148" s="3"/>
      <c r="C1148" s="3"/>
      <c r="D1148" s="3"/>
      <c r="E1148" s="3">
        <v>4</v>
      </c>
      <c r="F1148" s="4" t="str">
        <f>HYPERLINK("http://141.218.60.56/~jnz1568/getInfo.php?workbook=02_02.xlsx&amp;sheet=U0&amp;row=1148&amp;col=6&amp;number=&amp;sourceID=28","")</f>
        <v/>
      </c>
      <c r="G1148" s="4" t="str">
        <f>HYPERLINK("http://141.218.60.56/~jnz1568/getInfo.php?workbook=02_02.xlsx&amp;sheet=U0&amp;row=1148&amp;col=7&amp;number=&amp;sourceID=1","")</f>
        <v/>
      </c>
      <c r="H1148" s="4" t="str">
        <f>HYPERLINK("http://141.218.60.56/~jnz1568/getInfo.php?workbook=02_02.xlsx&amp;sheet=U0&amp;row=1148&amp;col=8&amp;number=4.176&amp;sourceID=29","4.176")</f>
        <v>4.176</v>
      </c>
      <c r="I1148" s="4" t="str">
        <f>HYPERLINK("http://141.218.60.56/~jnz1568/getInfo.php?workbook=02_02.xlsx&amp;sheet=U0&amp;row=1148&amp;col=9&amp;number=5.707&amp;sourceID=1","5.707")</f>
        <v>5.707</v>
      </c>
    </row>
    <row r="1149" spans="1:9">
      <c r="A1149" s="3">
        <v>2</v>
      </c>
      <c r="B1149" s="3">
        <v>2</v>
      </c>
      <c r="C1149" s="3">
        <v>19</v>
      </c>
      <c r="D1149" s="3">
        <v>11</v>
      </c>
      <c r="E1149" s="3">
        <v>1</v>
      </c>
      <c r="F1149" s="4" t="str">
        <f>HYPERLINK("http://141.218.60.56/~jnz1568/getInfo.php?workbook=02_02.xlsx&amp;sheet=U0&amp;row=1149&amp;col=6&amp;number=&amp;sourceID=28","")</f>
        <v/>
      </c>
      <c r="G1149" s="4" t="str">
        <f>HYPERLINK("http://141.218.60.56/~jnz1568/getInfo.php?workbook=02_02.xlsx&amp;sheet=U0&amp;row=1149&amp;col=7&amp;number=&amp;sourceID=1","")</f>
        <v/>
      </c>
      <c r="H1149" s="4" t="str">
        <f>HYPERLINK("http://141.218.60.56/~jnz1568/getInfo.php?workbook=02_02.xlsx&amp;sheet=U0&amp;row=1149&amp;col=8&amp;number=3.301&amp;sourceID=29","3.301")</f>
        <v>3.301</v>
      </c>
      <c r="I1149" s="4" t="str">
        <f>HYPERLINK("http://141.218.60.56/~jnz1568/getInfo.php?workbook=02_02.xlsx&amp;sheet=U0&amp;row=1149&amp;col=9&amp;number=1.656&amp;sourceID=1","1.656")</f>
        <v>1.656</v>
      </c>
    </row>
    <row r="1150" spans="1:9">
      <c r="A1150" s="3"/>
      <c r="B1150" s="3"/>
      <c r="C1150" s="3"/>
      <c r="D1150" s="3"/>
      <c r="E1150" s="3">
        <v>2</v>
      </c>
      <c r="F1150" s="4" t="str">
        <f>HYPERLINK("http://141.218.60.56/~jnz1568/getInfo.php?workbook=02_02.xlsx&amp;sheet=U0&amp;row=1150&amp;col=6&amp;number=&amp;sourceID=28","")</f>
        <v/>
      </c>
      <c r="G1150" s="4" t="str">
        <f>HYPERLINK("http://141.218.60.56/~jnz1568/getInfo.php?workbook=02_02.xlsx&amp;sheet=U0&amp;row=1150&amp;col=7&amp;number=&amp;sourceID=1","")</f>
        <v/>
      </c>
      <c r="H1150" s="4" t="str">
        <f>HYPERLINK("http://141.218.60.56/~jnz1568/getInfo.php?workbook=02_02.xlsx&amp;sheet=U0&amp;row=1150&amp;col=8&amp;number=3.699&amp;sourceID=29","3.699")</f>
        <v>3.699</v>
      </c>
      <c r="I1150" s="4" t="str">
        <f>HYPERLINK("http://141.218.60.56/~jnz1568/getInfo.php?workbook=02_02.xlsx&amp;sheet=U0&amp;row=1150&amp;col=9&amp;number=2.779&amp;sourceID=1","2.779")</f>
        <v>2.779</v>
      </c>
    </row>
    <row r="1151" spans="1:9">
      <c r="A1151" s="3"/>
      <c r="B1151" s="3"/>
      <c r="C1151" s="3"/>
      <c r="D1151" s="3"/>
      <c r="E1151" s="3">
        <v>3</v>
      </c>
      <c r="F1151" s="4" t="str">
        <f>HYPERLINK("http://141.218.60.56/~jnz1568/getInfo.php?workbook=02_02.xlsx&amp;sheet=U0&amp;row=1151&amp;col=6&amp;number=&amp;sourceID=28","")</f>
        <v/>
      </c>
      <c r="G1151" s="4" t="str">
        <f>HYPERLINK("http://141.218.60.56/~jnz1568/getInfo.php?workbook=02_02.xlsx&amp;sheet=U0&amp;row=1151&amp;col=7&amp;number=&amp;sourceID=1","")</f>
        <v/>
      </c>
      <c r="H1151" s="4" t="str">
        <f>HYPERLINK("http://141.218.60.56/~jnz1568/getInfo.php?workbook=02_02.xlsx&amp;sheet=U0&amp;row=1151&amp;col=8&amp;number=4&amp;sourceID=29","4")</f>
        <v>4</v>
      </c>
      <c r="I1151" s="4" t="str">
        <f>HYPERLINK("http://141.218.60.56/~jnz1568/getInfo.php?workbook=02_02.xlsx&amp;sheet=U0&amp;row=1151&amp;col=9&amp;number=4.207&amp;sourceID=1","4.207")</f>
        <v>4.207</v>
      </c>
    </row>
    <row r="1152" spans="1:9">
      <c r="A1152" s="3"/>
      <c r="B1152" s="3"/>
      <c r="C1152" s="3"/>
      <c r="D1152" s="3"/>
      <c r="E1152" s="3">
        <v>4</v>
      </c>
      <c r="F1152" s="4" t="str">
        <f>HYPERLINK("http://141.218.60.56/~jnz1568/getInfo.php?workbook=02_02.xlsx&amp;sheet=U0&amp;row=1152&amp;col=6&amp;number=&amp;sourceID=28","")</f>
        <v/>
      </c>
      <c r="G1152" s="4" t="str">
        <f>HYPERLINK("http://141.218.60.56/~jnz1568/getInfo.php?workbook=02_02.xlsx&amp;sheet=U0&amp;row=1152&amp;col=7&amp;number=&amp;sourceID=1","")</f>
        <v/>
      </c>
      <c r="H1152" s="4" t="str">
        <f>HYPERLINK("http://141.218.60.56/~jnz1568/getInfo.php?workbook=02_02.xlsx&amp;sheet=U0&amp;row=1152&amp;col=8&amp;number=4.176&amp;sourceID=29","4.176")</f>
        <v>4.176</v>
      </c>
      <c r="I1152" s="4" t="str">
        <f>HYPERLINK("http://141.218.60.56/~jnz1568/getInfo.php?workbook=02_02.xlsx&amp;sheet=U0&amp;row=1152&amp;col=9&amp;number=5.609&amp;sourceID=1","5.609")</f>
        <v>5.609</v>
      </c>
    </row>
    <row r="1153" spans="1:9">
      <c r="A1153" s="3">
        <v>2</v>
      </c>
      <c r="B1153" s="3">
        <v>2</v>
      </c>
      <c r="C1153" s="3">
        <v>19</v>
      </c>
      <c r="D1153" s="3">
        <v>12</v>
      </c>
      <c r="E1153" s="3">
        <v>1</v>
      </c>
      <c r="F1153" s="4" t="str">
        <f>HYPERLINK("http://141.218.60.56/~jnz1568/getInfo.php?workbook=02_02.xlsx&amp;sheet=U0&amp;row=1153&amp;col=6&amp;number=&amp;sourceID=28","")</f>
        <v/>
      </c>
      <c r="G1153" s="4" t="str">
        <f>HYPERLINK("http://141.218.60.56/~jnz1568/getInfo.php?workbook=02_02.xlsx&amp;sheet=U0&amp;row=1153&amp;col=7&amp;number=&amp;sourceID=1","")</f>
        <v/>
      </c>
      <c r="H1153" s="4" t="str">
        <f>HYPERLINK("http://141.218.60.56/~jnz1568/getInfo.php?workbook=02_02.xlsx&amp;sheet=U0&amp;row=1153&amp;col=8&amp;number=3.301&amp;sourceID=29","3.301")</f>
        <v>3.301</v>
      </c>
      <c r="I1153" s="4" t="str">
        <f>HYPERLINK("http://141.218.60.56/~jnz1568/getInfo.php?workbook=02_02.xlsx&amp;sheet=U0&amp;row=1153&amp;col=9&amp;number=0.9633&amp;sourceID=1","0.9633")</f>
        <v>0.9633</v>
      </c>
    </row>
    <row r="1154" spans="1:9">
      <c r="A1154" s="3"/>
      <c r="B1154" s="3"/>
      <c r="C1154" s="3"/>
      <c r="D1154" s="3"/>
      <c r="E1154" s="3">
        <v>2</v>
      </c>
      <c r="F1154" s="4" t="str">
        <f>HYPERLINK("http://141.218.60.56/~jnz1568/getInfo.php?workbook=02_02.xlsx&amp;sheet=U0&amp;row=1154&amp;col=6&amp;number=&amp;sourceID=28","")</f>
        <v/>
      </c>
      <c r="G1154" s="4" t="str">
        <f>HYPERLINK("http://141.218.60.56/~jnz1568/getInfo.php?workbook=02_02.xlsx&amp;sheet=U0&amp;row=1154&amp;col=7&amp;number=&amp;sourceID=1","")</f>
        <v/>
      </c>
      <c r="H1154" s="4" t="str">
        <f>HYPERLINK("http://141.218.60.56/~jnz1568/getInfo.php?workbook=02_02.xlsx&amp;sheet=U0&amp;row=1154&amp;col=8&amp;number=3.699&amp;sourceID=29","3.699")</f>
        <v>3.699</v>
      </c>
      <c r="I1154" s="4" t="str">
        <f>HYPERLINK("http://141.218.60.56/~jnz1568/getInfo.php?workbook=02_02.xlsx&amp;sheet=U0&amp;row=1154&amp;col=9&amp;number=1.149&amp;sourceID=1","1.149")</f>
        <v>1.149</v>
      </c>
    </row>
    <row r="1155" spans="1:9">
      <c r="A1155" s="3"/>
      <c r="B1155" s="3"/>
      <c r="C1155" s="3"/>
      <c r="D1155" s="3"/>
      <c r="E1155" s="3">
        <v>3</v>
      </c>
      <c r="F1155" s="4" t="str">
        <f>HYPERLINK("http://141.218.60.56/~jnz1568/getInfo.php?workbook=02_02.xlsx&amp;sheet=U0&amp;row=1155&amp;col=6&amp;number=&amp;sourceID=28","")</f>
        <v/>
      </c>
      <c r="G1155" s="4" t="str">
        <f>HYPERLINK("http://141.218.60.56/~jnz1568/getInfo.php?workbook=02_02.xlsx&amp;sheet=U0&amp;row=1155&amp;col=7&amp;number=&amp;sourceID=1","")</f>
        <v/>
      </c>
      <c r="H1155" s="4" t="str">
        <f>HYPERLINK("http://141.218.60.56/~jnz1568/getInfo.php?workbook=02_02.xlsx&amp;sheet=U0&amp;row=1155&amp;col=8&amp;number=4&amp;sourceID=29","4")</f>
        <v>4</v>
      </c>
      <c r="I1155" s="4" t="str">
        <f>HYPERLINK("http://141.218.60.56/~jnz1568/getInfo.php?workbook=02_02.xlsx&amp;sheet=U0&amp;row=1155&amp;col=9&amp;number=1.077&amp;sourceID=1","1.077")</f>
        <v>1.077</v>
      </c>
    </row>
    <row r="1156" spans="1:9">
      <c r="A1156" s="3"/>
      <c r="B1156" s="3"/>
      <c r="C1156" s="3"/>
      <c r="D1156" s="3"/>
      <c r="E1156" s="3">
        <v>4</v>
      </c>
      <c r="F1156" s="4" t="str">
        <f>HYPERLINK("http://141.218.60.56/~jnz1568/getInfo.php?workbook=02_02.xlsx&amp;sheet=U0&amp;row=1156&amp;col=6&amp;number=&amp;sourceID=28","")</f>
        <v/>
      </c>
      <c r="G1156" s="4" t="str">
        <f>HYPERLINK("http://141.218.60.56/~jnz1568/getInfo.php?workbook=02_02.xlsx&amp;sheet=U0&amp;row=1156&amp;col=7&amp;number=&amp;sourceID=1","")</f>
        <v/>
      </c>
      <c r="H1156" s="4" t="str">
        <f>HYPERLINK("http://141.218.60.56/~jnz1568/getInfo.php?workbook=02_02.xlsx&amp;sheet=U0&amp;row=1156&amp;col=8&amp;number=4.176&amp;sourceID=29","4.176")</f>
        <v>4.176</v>
      </c>
      <c r="I1156" s="4" t="str">
        <f>HYPERLINK("http://141.218.60.56/~jnz1568/getInfo.php?workbook=02_02.xlsx&amp;sheet=U0&amp;row=1156&amp;col=9&amp;number=0.9617&amp;sourceID=1","0.9617")</f>
        <v>0.9617</v>
      </c>
    </row>
    <row r="1157" spans="1:9">
      <c r="A1157" s="3"/>
      <c r="B1157" s="3"/>
      <c r="C1157" s="3"/>
      <c r="D1157" s="3"/>
      <c r="E1157" s="3">
        <v>5</v>
      </c>
      <c r="F1157" s="4" t="str">
        <f>HYPERLINK("http://141.218.60.56/~jnz1568/getInfo.php?workbook=02_02.xlsx&amp;sheet=U0&amp;row=1157&amp;col=6&amp;number=&amp;sourceID=28","")</f>
        <v/>
      </c>
      <c r="G1157" s="4" t="str">
        <f>HYPERLINK("http://141.218.60.56/~jnz1568/getInfo.php?workbook=02_02.xlsx&amp;sheet=U0&amp;row=1157&amp;col=7&amp;number=&amp;sourceID=1","")</f>
        <v/>
      </c>
      <c r="H1157" s="4" t="str">
        <f>HYPERLINK("http://141.218.60.56/~jnz1568/getInfo.php?workbook=02_02.xlsx&amp;sheet=U0&amp;row=1157&amp;col=8&amp;number=4.301&amp;sourceID=29","4.301")</f>
        <v>4.301</v>
      </c>
      <c r="I1157" s="4" t="str">
        <f>HYPERLINK("http://141.218.60.56/~jnz1568/getInfo.php?workbook=02_02.xlsx&amp;sheet=U0&amp;row=1157&amp;col=9&amp;number=0.8604&amp;sourceID=1","0.8604")</f>
        <v>0.8604</v>
      </c>
    </row>
    <row r="1158" spans="1:9">
      <c r="A1158" s="3"/>
      <c r="B1158" s="3"/>
      <c r="C1158" s="3"/>
      <c r="D1158" s="3"/>
      <c r="E1158" s="3">
        <v>6</v>
      </c>
      <c r="F1158" s="4" t="str">
        <f>HYPERLINK("http://141.218.60.56/~jnz1568/getInfo.php?workbook=02_02.xlsx&amp;sheet=U0&amp;row=1158&amp;col=6&amp;number=&amp;sourceID=28","")</f>
        <v/>
      </c>
      <c r="G1158" s="4" t="str">
        <f>HYPERLINK("http://141.218.60.56/~jnz1568/getInfo.php?workbook=02_02.xlsx&amp;sheet=U0&amp;row=1158&amp;col=7&amp;number=&amp;sourceID=1","")</f>
        <v/>
      </c>
      <c r="H1158" s="4" t="str">
        <f>HYPERLINK("http://141.218.60.56/~jnz1568/getInfo.php?workbook=02_02.xlsx&amp;sheet=U0&amp;row=1158&amp;col=8&amp;number=4.398&amp;sourceID=29","4.398")</f>
        <v>4.398</v>
      </c>
      <c r="I1158" s="4" t="str">
        <f>HYPERLINK("http://141.218.60.56/~jnz1568/getInfo.php?workbook=02_02.xlsx&amp;sheet=U0&amp;row=1158&amp;col=9&amp;number=0.7772&amp;sourceID=1","0.7772")</f>
        <v>0.7772</v>
      </c>
    </row>
    <row r="1159" spans="1:9">
      <c r="A1159" s="3"/>
      <c r="B1159" s="3"/>
      <c r="C1159" s="3"/>
      <c r="D1159" s="3"/>
      <c r="E1159" s="3">
        <v>7</v>
      </c>
      <c r="F1159" s="4" t="str">
        <f>HYPERLINK("http://141.218.60.56/~jnz1568/getInfo.php?workbook=02_02.xlsx&amp;sheet=U0&amp;row=1159&amp;col=6&amp;number=&amp;sourceID=28","")</f>
        <v/>
      </c>
      <c r="G1159" s="4" t="str">
        <f>HYPERLINK("http://141.218.60.56/~jnz1568/getInfo.php?workbook=02_02.xlsx&amp;sheet=U0&amp;row=1159&amp;col=7&amp;number=&amp;sourceID=1","")</f>
        <v/>
      </c>
      <c r="H1159" s="4" t="str">
        <f>HYPERLINK("http://141.218.60.56/~jnz1568/getInfo.php?workbook=02_02.xlsx&amp;sheet=U0&amp;row=1159&amp;col=8&amp;number=4.477&amp;sourceID=29","4.477")</f>
        <v>4.477</v>
      </c>
      <c r="I1159" s="4" t="str">
        <f>HYPERLINK("http://141.218.60.56/~jnz1568/getInfo.php?workbook=02_02.xlsx&amp;sheet=U0&amp;row=1159&amp;col=9&amp;number=0.7087&amp;sourceID=1","0.7087")</f>
        <v>0.7087</v>
      </c>
    </row>
    <row r="1160" spans="1:9">
      <c r="A1160" s="3">
        <v>2</v>
      </c>
      <c r="B1160" s="3">
        <v>2</v>
      </c>
      <c r="C1160" s="3">
        <v>19</v>
      </c>
      <c r="D1160" s="3">
        <v>14</v>
      </c>
      <c r="E1160" s="3">
        <v>1</v>
      </c>
      <c r="F1160" s="4" t="str">
        <f>HYPERLINK("http://141.218.60.56/~jnz1568/getInfo.php?workbook=02_02.xlsx&amp;sheet=U0&amp;row=1160&amp;col=6&amp;number=&amp;sourceID=28","")</f>
        <v/>
      </c>
      <c r="G1160" s="4" t="str">
        <f>HYPERLINK("http://141.218.60.56/~jnz1568/getInfo.php?workbook=02_02.xlsx&amp;sheet=U0&amp;row=1160&amp;col=7&amp;number=&amp;sourceID=1","")</f>
        <v/>
      </c>
      <c r="H1160" s="4" t="str">
        <f>HYPERLINK("http://141.218.60.56/~jnz1568/getInfo.php?workbook=02_02.xlsx&amp;sheet=U0&amp;row=1160&amp;col=8&amp;number=3.301&amp;sourceID=29","3.301")</f>
        <v>3.301</v>
      </c>
      <c r="I1160" s="4" t="str">
        <f>HYPERLINK("http://141.218.60.56/~jnz1568/getInfo.php?workbook=02_02.xlsx&amp;sheet=U0&amp;row=1160&amp;col=9&amp;number=2.326&amp;sourceID=1","2.326")</f>
        <v>2.326</v>
      </c>
    </row>
    <row r="1161" spans="1:9">
      <c r="A1161" s="3"/>
      <c r="B1161" s="3"/>
      <c r="C1161" s="3"/>
      <c r="D1161" s="3"/>
      <c r="E1161" s="3">
        <v>2</v>
      </c>
      <c r="F1161" s="4" t="str">
        <f>HYPERLINK("http://141.218.60.56/~jnz1568/getInfo.php?workbook=02_02.xlsx&amp;sheet=U0&amp;row=1161&amp;col=6&amp;number=&amp;sourceID=28","")</f>
        <v/>
      </c>
      <c r="G1161" s="4" t="str">
        <f>HYPERLINK("http://141.218.60.56/~jnz1568/getInfo.php?workbook=02_02.xlsx&amp;sheet=U0&amp;row=1161&amp;col=7&amp;number=&amp;sourceID=1","")</f>
        <v/>
      </c>
      <c r="H1161" s="4" t="str">
        <f>HYPERLINK("http://141.218.60.56/~jnz1568/getInfo.php?workbook=02_02.xlsx&amp;sheet=U0&amp;row=1161&amp;col=8&amp;number=3.699&amp;sourceID=29","3.699")</f>
        <v>3.699</v>
      </c>
      <c r="I1161" s="4" t="str">
        <f>HYPERLINK("http://141.218.60.56/~jnz1568/getInfo.php?workbook=02_02.xlsx&amp;sheet=U0&amp;row=1161&amp;col=9&amp;number=3.392&amp;sourceID=1","3.392")</f>
        <v>3.392</v>
      </c>
    </row>
    <row r="1162" spans="1:9">
      <c r="A1162" s="3"/>
      <c r="B1162" s="3"/>
      <c r="C1162" s="3"/>
      <c r="D1162" s="3"/>
      <c r="E1162" s="3">
        <v>3</v>
      </c>
      <c r="F1162" s="4" t="str">
        <f>HYPERLINK("http://141.218.60.56/~jnz1568/getInfo.php?workbook=02_02.xlsx&amp;sheet=U0&amp;row=1162&amp;col=6&amp;number=&amp;sourceID=28","")</f>
        <v/>
      </c>
      <c r="G1162" s="4" t="str">
        <f>HYPERLINK("http://141.218.60.56/~jnz1568/getInfo.php?workbook=02_02.xlsx&amp;sheet=U0&amp;row=1162&amp;col=7&amp;number=&amp;sourceID=1","")</f>
        <v/>
      </c>
      <c r="H1162" s="4" t="str">
        <f>HYPERLINK("http://141.218.60.56/~jnz1568/getInfo.php?workbook=02_02.xlsx&amp;sheet=U0&amp;row=1162&amp;col=8&amp;number=4&amp;sourceID=29","4")</f>
        <v>4</v>
      </c>
      <c r="I1162" s="4" t="str">
        <f>HYPERLINK("http://141.218.60.56/~jnz1568/getInfo.php?workbook=02_02.xlsx&amp;sheet=U0&amp;row=1162&amp;col=9&amp;number=3.588&amp;sourceID=1","3.588")</f>
        <v>3.588</v>
      </c>
    </row>
    <row r="1163" spans="1:9">
      <c r="A1163" s="3"/>
      <c r="B1163" s="3"/>
      <c r="C1163" s="3"/>
      <c r="D1163" s="3"/>
      <c r="E1163" s="3">
        <v>4</v>
      </c>
      <c r="F1163" s="4" t="str">
        <f>HYPERLINK("http://141.218.60.56/~jnz1568/getInfo.php?workbook=02_02.xlsx&amp;sheet=U0&amp;row=1163&amp;col=6&amp;number=&amp;sourceID=28","")</f>
        <v/>
      </c>
      <c r="G1163" s="4" t="str">
        <f>HYPERLINK("http://141.218.60.56/~jnz1568/getInfo.php?workbook=02_02.xlsx&amp;sheet=U0&amp;row=1163&amp;col=7&amp;number=&amp;sourceID=1","")</f>
        <v/>
      </c>
      <c r="H1163" s="4" t="str">
        <f>HYPERLINK("http://141.218.60.56/~jnz1568/getInfo.php?workbook=02_02.xlsx&amp;sheet=U0&amp;row=1163&amp;col=8&amp;number=4.176&amp;sourceID=29","4.176")</f>
        <v>4.176</v>
      </c>
      <c r="I1163" s="4" t="str">
        <f>HYPERLINK("http://141.218.60.56/~jnz1568/getInfo.php?workbook=02_02.xlsx&amp;sheet=U0&amp;row=1163&amp;col=9&amp;number=3.338&amp;sourceID=1","3.338")</f>
        <v>3.338</v>
      </c>
    </row>
    <row r="1164" spans="1:9">
      <c r="A1164" s="3"/>
      <c r="B1164" s="3"/>
      <c r="C1164" s="3"/>
      <c r="D1164" s="3"/>
      <c r="E1164" s="3">
        <v>5</v>
      </c>
      <c r="F1164" s="4" t="str">
        <f>HYPERLINK("http://141.218.60.56/~jnz1568/getInfo.php?workbook=02_02.xlsx&amp;sheet=U0&amp;row=1164&amp;col=6&amp;number=&amp;sourceID=28","")</f>
        <v/>
      </c>
      <c r="G1164" s="4" t="str">
        <f>HYPERLINK("http://141.218.60.56/~jnz1568/getInfo.php?workbook=02_02.xlsx&amp;sheet=U0&amp;row=1164&amp;col=7&amp;number=&amp;sourceID=1","")</f>
        <v/>
      </c>
      <c r="H1164" s="4" t="str">
        <f>HYPERLINK("http://141.218.60.56/~jnz1568/getInfo.php?workbook=02_02.xlsx&amp;sheet=U0&amp;row=1164&amp;col=8&amp;number=4.301&amp;sourceID=29","4.301")</f>
        <v>4.301</v>
      </c>
      <c r="I1164" s="4" t="str">
        <f>HYPERLINK("http://141.218.60.56/~jnz1568/getInfo.php?workbook=02_02.xlsx&amp;sheet=U0&amp;row=1164&amp;col=9&amp;number=3.042&amp;sourceID=1","3.042")</f>
        <v>3.042</v>
      </c>
    </row>
    <row r="1165" spans="1:9">
      <c r="A1165" s="3"/>
      <c r="B1165" s="3"/>
      <c r="C1165" s="3"/>
      <c r="D1165" s="3"/>
      <c r="E1165" s="3">
        <v>6</v>
      </c>
      <c r="F1165" s="4" t="str">
        <f>HYPERLINK("http://141.218.60.56/~jnz1568/getInfo.php?workbook=02_02.xlsx&amp;sheet=U0&amp;row=1165&amp;col=6&amp;number=&amp;sourceID=28","")</f>
        <v/>
      </c>
      <c r="G1165" s="4" t="str">
        <f>HYPERLINK("http://141.218.60.56/~jnz1568/getInfo.php?workbook=02_02.xlsx&amp;sheet=U0&amp;row=1165&amp;col=7&amp;number=&amp;sourceID=1","")</f>
        <v/>
      </c>
      <c r="H1165" s="4" t="str">
        <f>HYPERLINK("http://141.218.60.56/~jnz1568/getInfo.php?workbook=02_02.xlsx&amp;sheet=U0&amp;row=1165&amp;col=8&amp;number=4.398&amp;sourceID=29","4.398")</f>
        <v>4.398</v>
      </c>
      <c r="I1165" s="4" t="str">
        <f>HYPERLINK("http://141.218.60.56/~jnz1568/getInfo.php?workbook=02_02.xlsx&amp;sheet=U0&amp;row=1165&amp;col=9&amp;number=2.773&amp;sourceID=1","2.773")</f>
        <v>2.773</v>
      </c>
    </row>
    <row r="1166" spans="1:9">
      <c r="A1166" s="3"/>
      <c r="B1166" s="3"/>
      <c r="C1166" s="3"/>
      <c r="D1166" s="3"/>
      <c r="E1166" s="3">
        <v>7</v>
      </c>
      <c r="F1166" s="4" t="str">
        <f>HYPERLINK("http://141.218.60.56/~jnz1568/getInfo.php?workbook=02_02.xlsx&amp;sheet=U0&amp;row=1166&amp;col=6&amp;number=&amp;sourceID=28","")</f>
        <v/>
      </c>
      <c r="G1166" s="4" t="str">
        <f>HYPERLINK("http://141.218.60.56/~jnz1568/getInfo.php?workbook=02_02.xlsx&amp;sheet=U0&amp;row=1166&amp;col=7&amp;number=&amp;sourceID=1","")</f>
        <v/>
      </c>
      <c r="H1166" s="4" t="str">
        <f>HYPERLINK("http://141.218.60.56/~jnz1568/getInfo.php?workbook=02_02.xlsx&amp;sheet=U0&amp;row=1166&amp;col=8&amp;number=4.477&amp;sourceID=29","4.477")</f>
        <v>4.477</v>
      </c>
      <c r="I1166" s="4" t="str">
        <f>HYPERLINK("http://141.218.60.56/~jnz1568/getInfo.php?workbook=02_02.xlsx&amp;sheet=U0&amp;row=1166&amp;col=9&amp;number=2.541&amp;sourceID=1","2.541")</f>
        <v>2.541</v>
      </c>
    </row>
    <row r="1167" spans="1:9">
      <c r="A1167" s="3">
        <v>2</v>
      </c>
      <c r="B1167" s="3">
        <v>2</v>
      </c>
      <c r="C1167" s="3">
        <v>19</v>
      </c>
      <c r="D1167" s="3">
        <v>15</v>
      </c>
      <c r="E1167" s="3">
        <v>1</v>
      </c>
      <c r="F1167" s="4" t="str">
        <f>HYPERLINK("http://141.218.60.56/~jnz1568/getInfo.php?workbook=02_02.xlsx&amp;sheet=U0&amp;row=1167&amp;col=6&amp;number=&amp;sourceID=28","")</f>
        <v/>
      </c>
      <c r="G1167" s="4" t="str">
        <f>HYPERLINK("http://141.218.60.56/~jnz1568/getInfo.php?workbook=02_02.xlsx&amp;sheet=U0&amp;row=1167&amp;col=7&amp;number=&amp;sourceID=1","")</f>
        <v/>
      </c>
      <c r="H1167" s="4" t="str">
        <f>HYPERLINK("http://141.218.60.56/~jnz1568/getInfo.php?workbook=02_02.xlsx&amp;sheet=U0&amp;row=1167&amp;col=8&amp;number=3.301&amp;sourceID=29","3.301")</f>
        <v>3.301</v>
      </c>
      <c r="I1167" s="4" t="str">
        <f>HYPERLINK("http://141.218.60.56/~jnz1568/getInfo.php?workbook=02_02.xlsx&amp;sheet=U0&amp;row=1167&amp;col=9&amp;number=3.005&amp;sourceID=1","3.005")</f>
        <v>3.005</v>
      </c>
    </row>
    <row r="1168" spans="1:9">
      <c r="A1168" s="3"/>
      <c r="B1168" s="3"/>
      <c r="C1168" s="3"/>
      <c r="D1168" s="3"/>
      <c r="E1168" s="3">
        <v>2</v>
      </c>
      <c r="F1168" s="4" t="str">
        <f>HYPERLINK("http://141.218.60.56/~jnz1568/getInfo.php?workbook=02_02.xlsx&amp;sheet=U0&amp;row=1168&amp;col=6&amp;number=&amp;sourceID=28","")</f>
        <v/>
      </c>
      <c r="G1168" s="4" t="str">
        <f>HYPERLINK("http://141.218.60.56/~jnz1568/getInfo.php?workbook=02_02.xlsx&amp;sheet=U0&amp;row=1168&amp;col=7&amp;number=&amp;sourceID=1","")</f>
        <v/>
      </c>
      <c r="H1168" s="4" t="str">
        <f>HYPERLINK("http://141.218.60.56/~jnz1568/getInfo.php?workbook=02_02.xlsx&amp;sheet=U0&amp;row=1168&amp;col=8&amp;number=3.699&amp;sourceID=29","3.699")</f>
        <v>3.699</v>
      </c>
      <c r="I1168" s="4" t="str">
        <f>HYPERLINK("http://141.218.60.56/~jnz1568/getInfo.php?workbook=02_02.xlsx&amp;sheet=U0&amp;row=1168&amp;col=9&amp;number=3.831&amp;sourceID=1","3.831")</f>
        <v>3.831</v>
      </c>
    </row>
    <row r="1169" spans="1:9">
      <c r="A1169" s="3"/>
      <c r="B1169" s="3"/>
      <c r="C1169" s="3"/>
      <c r="D1169" s="3"/>
      <c r="E1169" s="3">
        <v>3</v>
      </c>
      <c r="F1169" s="4" t="str">
        <f>HYPERLINK("http://141.218.60.56/~jnz1568/getInfo.php?workbook=02_02.xlsx&amp;sheet=U0&amp;row=1169&amp;col=6&amp;number=&amp;sourceID=28","")</f>
        <v/>
      </c>
      <c r="G1169" s="4" t="str">
        <f>HYPERLINK("http://141.218.60.56/~jnz1568/getInfo.php?workbook=02_02.xlsx&amp;sheet=U0&amp;row=1169&amp;col=7&amp;number=&amp;sourceID=1","")</f>
        <v/>
      </c>
      <c r="H1169" s="4" t="str">
        <f>HYPERLINK("http://141.218.60.56/~jnz1568/getInfo.php?workbook=02_02.xlsx&amp;sheet=U0&amp;row=1169&amp;col=8&amp;number=4&amp;sourceID=29","4")</f>
        <v>4</v>
      </c>
      <c r="I1169" s="4" t="str">
        <f>HYPERLINK("http://141.218.60.56/~jnz1568/getInfo.php?workbook=02_02.xlsx&amp;sheet=U0&amp;row=1169&amp;col=9&amp;number=3.821&amp;sourceID=1","3.821")</f>
        <v>3.821</v>
      </c>
    </row>
    <row r="1170" spans="1:9">
      <c r="A1170" s="3"/>
      <c r="B1170" s="3"/>
      <c r="C1170" s="3"/>
      <c r="D1170" s="3"/>
      <c r="E1170" s="3">
        <v>4</v>
      </c>
      <c r="F1170" s="4" t="str">
        <f>HYPERLINK("http://141.218.60.56/~jnz1568/getInfo.php?workbook=02_02.xlsx&amp;sheet=U0&amp;row=1170&amp;col=6&amp;number=&amp;sourceID=28","")</f>
        <v/>
      </c>
      <c r="G1170" s="4" t="str">
        <f>HYPERLINK("http://141.218.60.56/~jnz1568/getInfo.php?workbook=02_02.xlsx&amp;sheet=U0&amp;row=1170&amp;col=7&amp;number=&amp;sourceID=1","")</f>
        <v/>
      </c>
      <c r="H1170" s="4" t="str">
        <f>HYPERLINK("http://141.218.60.56/~jnz1568/getInfo.php?workbook=02_02.xlsx&amp;sheet=U0&amp;row=1170&amp;col=8&amp;number=4.176&amp;sourceID=29","4.176")</f>
        <v>4.176</v>
      </c>
      <c r="I1170" s="4" t="str">
        <f>HYPERLINK("http://141.218.60.56/~jnz1568/getInfo.php?workbook=02_02.xlsx&amp;sheet=U0&amp;row=1170&amp;col=9&amp;number=3.494&amp;sourceID=1","3.494")</f>
        <v>3.494</v>
      </c>
    </row>
    <row r="1171" spans="1:9">
      <c r="A1171" s="3"/>
      <c r="B1171" s="3"/>
      <c r="C1171" s="3"/>
      <c r="D1171" s="3"/>
      <c r="E1171" s="3">
        <v>5</v>
      </c>
      <c r="F1171" s="4" t="str">
        <f>HYPERLINK("http://141.218.60.56/~jnz1568/getInfo.php?workbook=02_02.xlsx&amp;sheet=U0&amp;row=1171&amp;col=6&amp;number=&amp;sourceID=28","")</f>
        <v/>
      </c>
      <c r="G1171" s="4" t="str">
        <f>HYPERLINK("http://141.218.60.56/~jnz1568/getInfo.php?workbook=02_02.xlsx&amp;sheet=U0&amp;row=1171&amp;col=7&amp;number=&amp;sourceID=1","")</f>
        <v/>
      </c>
      <c r="H1171" s="4" t="str">
        <f>HYPERLINK("http://141.218.60.56/~jnz1568/getInfo.php?workbook=02_02.xlsx&amp;sheet=U0&amp;row=1171&amp;col=8&amp;number=4.301&amp;sourceID=29","4.301")</f>
        <v>4.301</v>
      </c>
      <c r="I1171" s="4" t="str">
        <f>HYPERLINK("http://141.218.60.56/~jnz1568/getInfo.php?workbook=02_02.xlsx&amp;sheet=U0&amp;row=1171&amp;col=9&amp;number=3.158&amp;sourceID=1","3.158")</f>
        <v>3.158</v>
      </c>
    </row>
    <row r="1172" spans="1:9">
      <c r="A1172" s="3"/>
      <c r="B1172" s="3"/>
      <c r="C1172" s="3"/>
      <c r="D1172" s="3"/>
      <c r="E1172" s="3">
        <v>6</v>
      </c>
      <c r="F1172" s="4" t="str">
        <f>HYPERLINK("http://141.218.60.56/~jnz1568/getInfo.php?workbook=02_02.xlsx&amp;sheet=U0&amp;row=1172&amp;col=6&amp;number=&amp;sourceID=28","")</f>
        <v/>
      </c>
      <c r="G1172" s="4" t="str">
        <f>HYPERLINK("http://141.218.60.56/~jnz1568/getInfo.php?workbook=02_02.xlsx&amp;sheet=U0&amp;row=1172&amp;col=7&amp;number=&amp;sourceID=1","")</f>
        <v/>
      </c>
      <c r="H1172" s="4" t="str">
        <f>HYPERLINK("http://141.218.60.56/~jnz1568/getInfo.php?workbook=02_02.xlsx&amp;sheet=U0&amp;row=1172&amp;col=8&amp;number=4.398&amp;sourceID=29","4.398")</f>
        <v>4.398</v>
      </c>
      <c r="I1172" s="4" t="str">
        <f>HYPERLINK("http://141.218.60.56/~jnz1568/getInfo.php?workbook=02_02.xlsx&amp;sheet=U0&amp;row=1172&amp;col=9&amp;number=2.863&amp;sourceID=1","2.863")</f>
        <v>2.863</v>
      </c>
    </row>
    <row r="1173" spans="1:9">
      <c r="A1173" s="3"/>
      <c r="B1173" s="3"/>
      <c r="C1173" s="3"/>
      <c r="D1173" s="3"/>
      <c r="E1173" s="3">
        <v>7</v>
      </c>
      <c r="F1173" s="4" t="str">
        <f>HYPERLINK("http://141.218.60.56/~jnz1568/getInfo.php?workbook=02_02.xlsx&amp;sheet=U0&amp;row=1173&amp;col=6&amp;number=&amp;sourceID=28","")</f>
        <v/>
      </c>
      <c r="G1173" s="4" t="str">
        <f>HYPERLINK("http://141.218.60.56/~jnz1568/getInfo.php?workbook=02_02.xlsx&amp;sheet=U0&amp;row=1173&amp;col=7&amp;number=&amp;sourceID=1","")</f>
        <v/>
      </c>
      <c r="H1173" s="4" t="str">
        <f>HYPERLINK("http://141.218.60.56/~jnz1568/getInfo.php?workbook=02_02.xlsx&amp;sheet=U0&amp;row=1173&amp;col=8&amp;number=4.477&amp;sourceID=29","4.477")</f>
        <v>4.477</v>
      </c>
      <c r="I1173" s="4" t="str">
        <f>HYPERLINK("http://141.218.60.56/~jnz1568/getInfo.php?workbook=02_02.xlsx&amp;sheet=U0&amp;row=1173&amp;col=9&amp;number=2.612&amp;sourceID=1","2.612")</f>
        <v>2.612</v>
      </c>
    </row>
    <row r="1174" spans="1:9">
      <c r="A1174" s="3">
        <v>2</v>
      </c>
      <c r="B1174" s="3">
        <v>2</v>
      </c>
      <c r="C1174" s="3">
        <v>19</v>
      </c>
      <c r="D1174" s="3">
        <v>17</v>
      </c>
      <c r="E1174" s="3">
        <v>1</v>
      </c>
      <c r="F1174" s="4" t="str">
        <f>HYPERLINK("http://141.218.60.56/~jnz1568/getInfo.php?workbook=02_02.xlsx&amp;sheet=U0&amp;row=1174&amp;col=6&amp;number=&amp;sourceID=28","")</f>
        <v/>
      </c>
      <c r="G1174" s="4" t="str">
        <f>HYPERLINK("http://141.218.60.56/~jnz1568/getInfo.php?workbook=02_02.xlsx&amp;sheet=U0&amp;row=1174&amp;col=7&amp;number=&amp;sourceID=1","")</f>
        <v/>
      </c>
      <c r="H1174" s="4" t="str">
        <f>HYPERLINK("http://141.218.60.56/~jnz1568/getInfo.php?workbook=02_02.xlsx&amp;sheet=U0&amp;row=1174&amp;col=8&amp;number=3.301&amp;sourceID=29","3.301")</f>
        <v>3.301</v>
      </c>
      <c r="I1174" s="4" t="str">
        <f>HYPERLINK("http://141.218.60.56/~jnz1568/getInfo.php?workbook=02_02.xlsx&amp;sheet=U0&amp;row=1174&amp;col=9&amp;number=3.292&amp;sourceID=1","3.292")</f>
        <v>3.292</v>
      </c>
    </row>
    <row r="1175" spans="1:9">
      <c r="A1175" s="3"/>
      <c r="B1175" s="3"/>
      <c r="C1175" s="3"/>
      <c r="D1175" s="3"/>
      <c r="E1175" s="3">
        <v>2</v>
      </c>
      <c r="F1175" s="4" t="str">
        <f>HYPERLINK("http://141.218.60.56/~jnz1568/getInfo.php?workbook=02_02.xlsx&amp;sheet=U0&amp;row=1175&amp;col=6&amp;number=&amp;sourceID=28","")</f>
        <v/>
      </c>
      <c r="G1175" s="4" t="str">
        <f>HYPERLINK("http://141.218.60.56/~jnz1568/getInfo.php?workbook=02_02.xlsx&amp;sheet=U0&amp;row=1175&amp;col=7&amp;number=&amp;sourceID=1","")</f>
        <v/>
      </c>
      <c r="H1175" s="4" t="str">
        <f>HYPERLINK("http://141.218.60.56/~jnz1568/getInfo.php?workbook=02_02.xlsx&amp;sheet=U0&amp;row=1175&amp;col=8&amp;number=3.699&amp;sourceID=29","3.699")</f>
        <v>3.699</v>
      </c>
      <c r="I1175" s="4" t="str">
        <f>HYPERLINK("http://141.218.60.56/~jnz1568/getInfo.php?workbook=02_02.xlsx&amp;sheet=U0&amp;row=1175&amp;col=9&amp;number=4.174&amp;sourceID=1","4.174")</f>
        <v>4.174</v>
      </c>
    </row>
    <row r="1176" spans="1:9">
      <c r="A1176" s="3"/>
      <c r="B1176" s="3"/>
      <c r="C1176" s="3"/>
      <c r="D1176" s="3"/>
      <c r="E1176" s="3">
        <v>3</v>
      </c>
      <c r="F1176" s="4" t="str">
        <f>HYPERLINK("http://141.218.60.56/~jnz1568/getInfo.php?workbook=02_02.xlsx&amp;sheet=U0&amp;row=1176&amp;col=6&amp;number=&amp;sourceID=28","")</f>
        <v/>
      </c>
      <c r="G1176" s="4" t="str">
        <f>HYPERLINK("http://141.218.60.56/~jnz1568/getInfo.php?workbook=02_02.xlsx&amp;sheet=U0&amp;row=1176&amp;col=7&amp;number=&amp;sourceID=1","")</f>
        <v/>
      </c>
      <c r="H1176" s="4" t="str">
        <f>HYPERLINK("http://141.218.60.56/~jnz1568/getInfo.php?workbook=02_02.xlsx&amp;sheet=U0&amp;row=1176&amp;col=8&amp;number=4&amp;sourceID=29","4")</f>
        <v>4</v>
      </c>
      <c r="I1176" s="4" t="str">
        <f>HYPERLINK("http://141.218.60.56/~jnz1568/getInfo.php?workbook=02_02.xlsx&amp;sheet=U0&amp;row=1176&amp;col=9&amp;number=4.025&amp;sourceID=1","4.025")</f>
        <v>4.025</v>
      </c>
    </row>
    <row r="1177" spans="1:9">
      <c r="A1177" s="3"/>
      <c r="B1177" s="3"/>
      <c r="C1177" s="3"/>
      <c r="D1177" s="3"/>
      <c r="E1177" s="3">
        <v>4</v>
      </c>
      <c r="F1177" s="4" t="str">
        <f>HYPERLINK("http://141.218.60.56/~jnz1568/getInfo.php?workbook=02_02.xlsx&amp;sheet=U0&amp;row=1177&amp;col=6&amp;number=&amp;sourceID=28","")</f>
        <v/>
      </c>
      <c r="G1177" s="4" t="str">
        <f>HYPERLINK("http://141.218.60.56/~jnz1568/getInfo.php?workbook=02_02.xlsx&amp;sheet=U0&amp;row=1177&amp;col=7&amp;number=&amp;sourceID=1","")</f>
        <v/>
      </c>
      <c r="H1177" s="4" t="str">
        <f>HYPERLINK("http://141.218.60.56/~jnz1568/getInfo.php?workbook=02_02.xlsx&amp;sheet=U0&amp;row=1177&amp;col=8&amp;number=4.176&amp;sourceID=29","4.176")</f>
        <v>4.176</v>
      </c>
      <c r="I1177" s="4" t="str">
        <f>HYPERLINK("http://141.218.60.56/~jnz1568/getInfo.php?workbook=02_02.xlsx&amp;sheet=U0&amp;row=1177&amp;col=9&amp;number=3.627&amp;sourceID=1","3.627")</f>
        <v>3.627</v>
      </c>
    </row>
    <row r="1178" spans="1:9">
      <c r="A1178" s="3"/>
      <c r="B1178" s="3"/>
      <c r="C1178" s="3"/>
      <c r="D1178" s="3"/>
      <c r="E1178" s="3">
        <v>5</v>
      </c>
      <c r="F1178" s="4" t="str">
        <f>HYPERLINK("http://141.218.60.56/~jnz1568/getInfo.php?workbook=02_02.xlsx&amp;sheet=U0&amp;row=1178&amp;col=6&amp;number=&amp;sourceID=28","")</f>
        <v/>
      </c>
      <c r="G1178" s="4" t="str">
        <f>HYPERLINK("http://141.218.60.56/~jnz1568/getInfo.php?workbook=02_02.xlsx&amp;sheet=U0&amp;row=1178&amp;col=7&amp;number=&amp;sourceID=1","")</f>
        <v/>
      </c>
      <c r="H1178" s="4" t="str">
        <f>HYPERLINK("http://141.218.60.56/~jnz1568/getInfo.php?workbook=02_02.xlsx&amp;sheet=U0&amp;row=1178&amp;col=8&amp;number=4.301&amp;sourceID=29","4.301")</f>
        <v>4.301</v>
      </c>
      <c r="I1178" s="4" t="str">
        <f>HYPERLINK("http://141.218.60.56/~jnz1568/getInfo.php?workbook=02_02.xlsx&amp;sheet=U0&amp;row=1178&amp;col=9&amp;number=3.251&amp;sourceID=1","3.251")</f>
        <v>3.251</v>
      </c>
    </row>
    <row r="1179" spans="1:9">
      <c r="A1179" s="3"/>
      <c r="B1179" s="3"/>
      <c r="C1179" s="3"/>
      <c r="D1179" s="3"/>
      <c r="E1179" s="3">
        <v>6</v>
      </c>
      <c r="F1179" s="4" t="str">
        <f>HYPERLINK("http://141.218.60.56/~jnz1568/getInfo.php?workbook=02_02.xlsx&amp;sheet=U0&amp;row=1179&amp;col=6&amp;number=&amp;sourceID=28","")</f>
        <v/>
      </c>
      <c r="G1179" s="4" t="str">
        <f>HYPERLINK("http://141.218.60.56/~jnz1568/getInfo.php?workbook=02_02.xlsx&amp;sheet=U0&amp;row=1179&amp;col=7&amp;number=&amp;sourceID=1","")</f>
        <v/>
      </c>
      <c r="H1179" s="4" t="str">
        <f>HYPERLINK("http://141.218.60.56/~jnz1568/getInfo.php?workbook=02_02.xlsx&amp;sheet=U0&amp;row=1179&amp;col=8&amp;number=4.398&amp;sourceID=29","4.398")</f>
        <v>4.398</v>
      </c>
      <c r="I1179" s="4" t="str">
        <f>HYPERLINK("http://141.218.60.56/~jnz1568/getInfo.php?workbook=02_02.xlsx&amp;sheet=U0&amp;row=1179&amp;col=9&amp;number=2.931&amp;sourceID=1","2.931")</f>
        <v>2.931</v>
      </c>
    </row>
    <row r="1180" spans="1:9">
      <c r="A1180" s="3"/>
      <c r="B1180" s="3"/>
      <c r="C1180" s="3"/>
      <c r="D1180" s="3"/>
      <c r="E1180" s="3">
        <v>7</v>
      </c>
      <c r="F1180" s="4" t="str">
        <f>HYPERLINK("http://141.218.60.56/~jnz1568/getInfo.php?workbook=02_02.xlsx&amp;sheet=U0&amp;row=1180&amp;col=6&amp;number=&amp;sourceID=28","")</f>
        <v/>
      </c>
      <c r="G1180" s="4" t="str">
        <f>HYPERLINK("http://141.218.60.56/~jnz1568/getInfo.php?workbook=02_02.xlsx&amp;sheet=U0&amp;row=1180&amp;col=7&amp;number=&amp;sourceID=1","")</f>
        <v/>
      </c>
      <c r="H1180" s="4" t="str">
        <f>HYPERLINK("http://141.218.60.56/~jnz1568/getInfo.php?workbook=02_02.xlsx&amp;sheet=U0&amp;row=1180&amp;col=8&amp;number=4.477&amp;sourceID=29","4.477")</f>
        <v>4.477</v>
      </c>
      <c r="I1180" s="4" t="str">
        <f>HYPERLINK("http://141.218.60.56/~jnz1568/getInfo.php?workbook=02_02.xlsx&amp;sheet=U0&amp;row=1180&amp;col=9&amp;number=2.663&amp;sourceID=1","2.663")</f>
        <v>2.663</v>
      </c>
    </row>
    <row r="1181" spans="1:9">
      <c r="A1181" s="3">
        <v>2</v>
      </c>
      <c r="B1181" s="3">
        <v>2</v>
      </c>
      <c r="C1181" s="3">
        <v>20</v>
      </c>
      <c r="D1181" s="3">
        <v>1</v>
      </c>
      <c r="E1181" s="3">
        <v>1</v>
      </c>
      <c r="F1181" s="4" t="str">
        <f>HYPERLINK("http://141.218.60.56/~jnz1568/getInfo.php?workbook=02_02.xlsx&amp;sheet=U0&amp;row=1181&amp;col=6&amp;number=3.75&amp;sourceID=28","3.75")</f>
        <v>3.75</v>
      </c>
      <c r="G1181" s="4" t="str">
        <f>HYPERLINK("http://141.218.60.56/~jnz1568/getInfo.php?workbook=02_02.xlsx&amp;sheet=U0&amp;row=1181&amp;col=7&amp;number=0.002593&amp;sourceID=1","0.002593")</f>
        <v>0.002593</v>
      </c>
      <c r="H1181" s="4" t="str">
        <f>HYPERLINK("http://141.218.60.56/~jnz1568/getInfo.php?workbook=02_02.xlsx&amp;sheet=U0&amp;row=1181&amp;col=8&amp;number=&amp;sourceID=29","")</f>
        <v/>
      </c>
      <c r="I1181" s="4" t="str">
        <f>HYPERLINK("http://141.218.60.56/~jnz1568/getInfo.php?workbook=02_02.xlsx&amp;sheet=U0&amp;row=1181&amp;col=9&amp;number=&amp;sourceID=1","")</f>
        <v/>
      </c>
    </row>
    <row r="1182" spans="1:9">
      <c r="A1182" s="3"/>
      <c r="B1182" s="3"/>
      <c r="C1182" s="3"/>
      <c r="D1182" s="3"/>
      <c r="E1182" s="3">
        <v>2</v>
      </c>
      <c r="F1182" s="4" t="str">
        <f>HYPERLINK("http://141.218.60.56/~jnz1568/getInfo.php?workbook=02_02.xlsx&amp;sheet=U0&amp;row=1182&amp;col=6&amp;number=4&amp;sourceID=28","4")</f>
        <v>4</v>
      </c>
      <c r="G1182" s="4" t="str">
        <f>HYPERLINK("http://141.218.60.56/~jnz1568/getInfo.php?workbook=02_02.xlsx&amp;sheet=U0&amp;row=1182&amp;col=7&amp;number=0.002542&amp;sourceID=1","0.002542")</f>
        <v>0.002542</v>
      </c>
      <c r="H1182" s="4" t="str">
        <f>HYPERLINK("http://141.218.60.56/~jnz1568/getInfo.php?workbook=02_02.xlsx&amp;sheet=U0&amp;row=1182&amp;col=8&amp;number=&amp;sourceID=29","")</f>
        <v/>
      </c>
      <c r="I1182" s="4" t="str">
        <f>HYPERLINK("http://141.218.60.56/~jnz1568/getInfo.php?workbook=02_02.xlsx&amp;sheet=U0&amp;row=1182&amp;col=9&amp;number=&amp;sourceID=1","")</f>
        <v/>
      </c>
    </row>
    <row r="1183" spans="1:9">
      <c r="A1183" s="3"/>
      <c r="B1183" s="3"/>
      <c r="C1183" s="3"/>
      <c r="D1183" s="3"/>
      <c r="E1183" s="3">
        <v>3</v>
      </c>
      <c r="F1183" s="4" t="str">
        <f>HYPERLINK("http://141.218.60.56/~jnz1568/getInfo.php?workbook=02_02.xlsx&amp;sheet=U0&amp;row=1183&amp;col=6&amp;number=4.25&amp;sourceID=28","4.25")</f>
        <v>4.25</v>
      </c>
      <c r="G1183" s="4" t="str">
        <f>HYPERLINK("http://141.218.60.56/~jnz1568/getInfo.php?workbook=02_02.xlsx&amp;sheet=U0&amp;row=1183&amp;col=7&amp;number=0.002477&amp;sourceID=1","0.002477")</f>
        <v>0.002477</v>
      </c>
      <c r="H1183" s="4" t="str">
        <f>HYPERLINK("http://141.218.60.56/~jnz1568/getInfo.php?workbook=02_02.xlsx&amp;sheet=U0&amp;row=1183&amp;col=8&amp;number=&amp;sourceID=29","")</f>
        <v/>
      </c>
      <c r="I1183" s="4" t="str">
        <f>HYPERLINK("http://141.218.60.56/~jnz1568/getInfo.php?workbook=02_02.xlsx&amp;sheet=U0&amp;row=1183&amp;col=9&amp;number=&amp;sourceID=1","")</f>
        <v/>
      </c>
    </row>
    <row r="1184" spans="1:9">
      <c r="A1184" s="3"/>
      <c r="B1184" s="3"/>
      <c r="C1184" s="3"/>
      <c r="D1184" s="3"/>
      <c r="E1184" s="3">
        <v>4</v>
      </c>
      <c r="F1184" s="4" t="str">
        <f>HYPERLINK("http://141.218.60.56/~jnz1568/getInfo.php?workbook=02_02.xlsx&amp;sheet=U0&amp;row=1184&amp;col=6&amp;number=4.5&amp;sourceID=28","4.5")</f>
        <v>4.5</v>
      </c>
      <c r="G1184" s="4" t="str">
        <f>HYPERLINK("http://141.218.60.56/~jnz1568/getInfo.php?workbook=02_02.xlsx&amp;sheet=U0&amp;row=1184&amp;col=7&amp;number=0.002448&amp;sourceID=1","0.002448")</f>
        <v>0.002448</v>
      </c>
      <c r="H1184" s="4" t="str">
        <f>HYPERLINK("http://141.218.60.56/~jnz1568/getInfo.php?workbook=02_02.xlsx&amp;sheet=U0&amp;row=1184&amp;col=8&amp;number=&amp;sourceID=29","")</f>
        <v/>
      </c>
      <c r="I1184" s="4" t="str">
        <f>HYPERLINK("http://141.218.60.56/~jnz1568/getInfo.php?workbook=02_02.xlsx&amp;sheet=U0&amp;row=1184&amp;col=9&amp;number=&amp;sourceID=1","")</f>
        <v/>
      </c>
    </row>
    <row r="1185" spans="1:9">
      <c r="A1185" s="3"/>
      <c r="B1185" s="3"/>
      <c r="C1185" s="3"/>
      <c r="D1185" s="3"/>
      <c r="E1185" s="3">
        <v>5</v>
      </c>
      <c r="F1185" s="4" t="str">
        <f>HYPERLINK("http://141.218.60.56/~jnz1568/getInfo.php?workbook=02_02.xlsx&amp;sheet=U0&amp;row=1185&amp;col=6&amp;number=4.75&amp;sourceID=28","4.75")</f>
        <v>4.75</v>
      </c>
      <c r="G1185" s="4" t="str">
        <f>HYPERLINK("http://141.218.60.56/~jnz1568/getInfo.php?workbook=02_02.xlsx&amp;sheet=U0&amp;row=1185&amp;col=7&amp;number=0.002421&amp;sourceID=1","0.002421")</f>
        <v>0.002421</v>
      </c>
      <c r="H1185" s="4" t="str">
        <f>HYPERLINK("http://141.218.60.56/~jnz1568/getInfo.php?workbook=02_02.xlsx&amp;sheet=U0&amp;row=1185&amp;col=8&amp;number=&amp;sourceID=29","")</f>
        <v/>
      </c>
      <c r="I1185" s="4" t="str">
        <f>HYPERLINK("http://141.218.60.56/~jnz1568/getInfo.php?workbook=02_02.xlsx&amp;sheet=U0&amp;row=1185&amp;col=9&amp;number=&amp;sourceID=1","")</f>
        <v/>
      </c>
    </row>
    <row r="1186" spans="1:9">
      <c r="A1186" s="3"/>
      <c r="B1186" s="3"/>
      <c r="C1186" s="3"/>
      <c r="D1186" s="3"/>
      <c r="E1186" s="3">
        <v>6</v>
      </c>
      <c r="F1186" s="4" t="str">
        <f>HYPERLINK("http://141.218.60.56/~jnz1568/getInfo.php?workbook=02_02.xlsx&amp;sheet=U0&amp;row=1186&amp;col=6&amp;number=5&amp;sourceID=28","5")</f>
        <v>5</v>
      </c>
      <c r="G1186" s="4" t="str">
        <f>HYPERLINK("http://141.218.60.56/~jnz1568/getInfo.php?workbook=02_02.xlsx&amp;sheet=U0&amp;row=1186&amp;col=7&amp;number=0.002325&amp;sourceID=1","0.002325")</f>
        <v>0.002325</v>
      </c>
      <c r="H1186" s="4" t="str">
        <f>HYPERLINK("http://141.218.60.56/~jnz1568/getInfo.php?workbook=02_02.xlsx&amp;sheet=U0&amp;row=1186&amp;col=8&amp;number=&amp;sourceID=29","")</f>
        <v/>
      </c>
      <c r="I1186" s="4" t="str">
        <f>HYPERLINK("http://141.218.60.56/~jnz1568/getInfo.php?workbook=02_02.xlsx&amp;sheet=U0&amp;row=1186&amp;col=9&amp;number=&amp;sourceID=1","")</f>
        <v/>
      </c>
    </row>
    <row r="1187" spans="1:9">
      <c r="A1187" s="3"/>
      <c r="B1187" s="3"/>
      <c r="C1187" s="3"/>
      <c r="D1187" s="3"/>
      <c r="E1187" s="3">
        <v>7</v>
      </c>
      <c r="F1187" s="4" t="str">
        <f>HYPERLINK("http://141.218.60.56/~jnz1568/getInfo.php?workbook=02_02.xlsx&amp;sheet=U0&amp;row=1187&amp;col=6&amp;number=5.25&amp;sourceID=28","5.25")</f>
        <v>5.25</v>
      </c>
      <c r="G1187" s="4" t="str">
        <f>HYPERLINK("http://141.218.60.56/~jnz1568/getInfo.php?workbook=02_02.xlsx&amp;sheet=U0&amp;row=1187&amp;col=7&amp;number=0.002108&amp;sourceID=1","0.002108")</f>
        <v>0.002108</v>
      </c>
      <c r="H1187" s="4" t="str">
        <f>HYPERLINK("http://141.218.60.56/~jnz1568/getInfo.php?workbook=02_02.xlsx&amp;sheet=U0&amp;row=1187&amp;col=8&amp;number=&amp;sourceID=29","")</f>
        <v/>
      </c>
      <c r="I1187" s="4" t="str">
        <f>HYPERLINK("http://141.218.60.56/~jnz1568/getInfo.php?workbook=02_02.xlsx&amp;sheet=U0&amp;row=1187&amp;col=9&amp;number=&amp;sourceID=1","")</f>
        <v/>
      </c>
    </row>
    <row r="1188" spans="1:9">
      <c r="A1188" s="3"/>
      <c r="B1188" s="3"/>
      <c r="C1188" s="3"/>
      <c r="D1188" s="3"/>
      <c r="E1188" s="3">
        <v>8</v>
      </c>
      <c r="F1188" s="4" t="str">
        <f>HYPERLINK("http://141.218.60.56/~jnz1568/getInfo.php?workbook=02_02.xlsx&amp;sheet=U0&amp;row=1188&amp;col=6&amp;number=5.5&amp;sourceID=28","5.5")</f>
        <v>5.5</v>
      </c>
      <c r="G1188" s="4" t="str">
        <f>HYPERLINK("http://141.218.60.56/~jnz1568/getInfo.php?workbook=02_02.xlsx&amp;sheet=U0&amp;row=1188&amp;col=7&amp;number=0.001774&amp;sourceID=1","0.001774")</f>
        <v>0.001774</v>
      </c>
      <c r="H1188" s="4" t="str">
        <f>HYPERLINK("http://141.218.60.56/~jnz1568/getInfo.php?workbook=02_02.xlsx&amp;sheet=U0&amp;row=1188&amp;col=8&amp;number=&amp;sourceID=29","")</f>
        <v/>
      </c>
      <c r="I1188" s="4" t="str">
        <f>HYPERLINK("http://141.218.60.56/~jnz1568/getInfo.php?workbook=02_02.xlsx&amp;sheet=U0&amp;row=1188&amp;col=9&amp;number=&amp;sourceID=1","")</f>
        <v/>
      </c>
    </row>
    <row r="1189" spans="1:9">
      <c r="A1189" s="3"/>
      <c r="B1189" s="3"/>
      <c r="C1189" s="3"/>
      <c r="D1189" s="3"/>
      <c r="E1189" s="3">
        <v>9</v>
      </c>
      <c r="F1189" s="4" t="str">
        <f>HYPERLINK("http://141.218.60.56/~jnz1568/getInfo.php?workbook=02_02.xlsx&amp;sheet=U0&amp;row=1189&amp;col=6&amp;number=5.75&amp;sourceID=28","5.75")</f>
        <v>5.75</v>
      </c>
      <c r="G1189" s="4" t="str">
        <f>HYPERLINK("http://141.218.60.56/~jnz1568/getInfo.php?workbook=02_02.xlsx&amp;sheet=U0&amp;row=1189&amp;col=7&amp;number=0.001384&amp;sourceID=1","0.001384")</f>
        <v>0.001384</v>
      </c>
      <c r="H1189" s="4" t="str">
        <f>HYPERLINK("http://141.218.60.56/~jnz1568/getInfo.php?workbook=02_02.xlsx&amp;sheet=U0&amp;row=1189&amp;col=8&amp;number=&amp;sourceID=29","")</f>
        <v/>
      </c>
      <c r="I1189" s="4" t="str">
        <f>HYPERLINK("http://141.218.60.56/~jnz1568/getInfo.php?workbook=02_02.xlsx&amp;sheet=U0&amp;row=1189&amp;col=9&amp;number=&amp;sourceID=1","")</f>
        <v/>
      </c>
    </row>
    <row r="1190" spans="1:9">
      <c r="A1190" s="3">
        <v>2</v>
      </c>
      <c r="B1190" s="3">
        <v>2</v>
      </c>
      <c r="C1190" s="3">
        <v>20</v>
      </c>
      <c r="D1190" s="3">
        <v>2</v>
      </c>
      <c r="E1190" s="3">
        <v>1</v>
      </c>
      <c r="F1190" s="4" t="str">
        <f>HYPERLINK("http://141.218.60.56/~jnz1568/getInfo.php?workbook=02_02.xlsx&amp;sheet=U0&amp;row=1190&amp;col=6&amp;number=3.75&amp;sourceID=28","3.75")</f>
        <v>3.75</v>
      </c>
      <c r="G1190" s="4" t="str">
        <f>HYPERLINK("http://141.218.60.56/~jnz1568/getInfo.php?workbook=02_02.xlsx&amp;sheet=U0&amp;row=1190&amp;col=7&amp;number=0.2321&amp;sourceID=1","0.2321")</f>
        <v>0.2321</v>
      </c>
      <c r="H1190" s="4" t="str">
        <f>HYPERLINK("http://141.218.60.56/~jnz1568/getInfo.php?workbook=02_02.xlsx&amp;sheet=U0&amp;row=1190&amp;col=8&amp;number=&amp;sourceID=29","")</f>
        <v/>
      </c>
      <c r="I1190" s="4" t="str">
        <f>HYPERLINK("http://141.218.60.56/~jnz1568/getInfo.php?workbook=02_02.xlsx&amp;sheet=U0&amp;row=1190&amp;col=9&amp;number=&amp;sourceID=1","")</f>
        <v/>
      </c>
    </row>
    <row r="1191" spans="1:9">
      <c r="A1191" s="3"/>
      <c r="B1191" s="3"/>
      <c r="C1191" s="3"/>
      <c r="D1191" s="3"/>
      <c r="E1191" s="3">
        <v>2</v>
      </c>
      <c r="F1191" s="4" t="str">
        <f>HYPERLINK("http://141.218.60.56/~jnz1568/getInfo.php?workbook=02_02.xlsx&amp;sheet=U0&amp;row=1191&amp;col=6&amp;number=4&amp;sourceID=28","4")</f>
        <v>4</v>
      </c>
      <c r="G1191" s="4" t="str">
        <f>HYPERLINK("http://141.218.60.56/~jnz1568/getInfo.php?workbook=02_02.xlsx&amp;sheet=U0&amp;row=1191&amp;col=7&amp;number=0.2154&amp;sourceID=1","0.2154")</f>
        <v>0.2154</v>
      </c>
      <c r="H1191" s="4" t="str">
        <f>HYPERLINK("http://141.218.60.56/~jnz1568/getInfo.php?workbook=02_02.xlsx&amp;sheet=U0&amp;row=1191&amp;col=8&amp;number=&amp;sourceID=29","")</f>
        <v/>
      </c>
      <c r="I1191" s="4" t="str">
        <f>HYPERLINK("http://141.218.60.56/~jnz1568/getInfo.php?workbook=02_02.xlsx&amp;sheet=U0&amp;row=1191&amp;col=9&amp;number=&amp;sourceID=1","")</f>
        <v/>
      </c>
    </row>
    <row r="1192" spans="1:9">
      <c r="A1192" s="3"/>
      <c r="B1192" s="3"/>
      <c r="C1192" s="3"/>
      <c r="D1192" s="3"/>
      <c r="E1192" s="3">
        <v>3</v>
      </c>
      <c r="F1192" s="4" t="str">
        <f>HYPERLINK("http://141.218.60.56/~jnz1568/getInfo.php?workbook=02_02.xlsx&amp;sheet=U0&amp;row=1192&amp;col=6&amp;number=4.25&amp;sourceID=28","4.25")</f>
        <v>4.25</v>
      </c>
      <c r="G1192" s="4" t="str">
        <f>HYPERLINK("http://141.218.60.56/~jnz1568/getInfo.php?workbook=02_02.xlsx&amp;sheet=U0&amp;row=1192&amp;col=7&amp;number=0.2001&amp;sourceID=1","0.2001")</f>
        <v>0.2001</v>
      </c>
      <c r="H1192" s="4" t="str">
        <f>HYPERLINK("http://141.218.60.56/~jnz1568/getInfo.php?workbook=02_02.xlsx&amp;sheet=U0&amp;row=1192&amp;col=8&amp;number=&amp;sourceID=29","")</f>
        <v/>
      </c>
      <c r="I1192" s="4" t="str">
        <f>HYPERLINK("http://141.218.60.56/~jnz1568/getInfo.php?workbook=02_02.xlsx&amp;sheet=U0&amp;row=1192&amp;col=9&amp;number=&amp;sourceID=1","")</f>
        <v/>
      </c>
    </row>
    <row r="1193" spans="1:9">
      <c r="A1193" s="3"/>
      <c r="B1193" s="3"/>
      <c r="C1193" s="3"/>
      <c r="D1193" s="3"/>
      <c r="E1193" s="3">
        <v>4</v>
      </c>
      <c r="F1193" s="4" t="str">
        <f>HYPERLINK("http://141.218.60.56/~jnz1568/getInfo.php?workbook=02_02.xlsx&amp;sheet=U0&amp;row=1193&amp;col=6&amp;number=4.5&amp;sourceID=28","4.5")</f>
        <v>4.5</v>
      </c>
      <c r="G1193" s="4" t="str">
        <f>HYPERLINK("http://141.218.60.56/~jnz1568/getInfo.php?workbook=02_02.xlsx&amp;sheet=U0&amp;row=1193&amp;col=7&amp;number=0.2009&amp;sourceID=1","0.2009")</f>
        <v>0.2009</v>
      </c>
      <c r="H1193" s="4" t="str">
        <f>HYPERLINK("http://141.218.60.56/~jnz1568/getInfo.php?workbook=02_02.xlsx&amp;sheet=U0&amp;row=1193&amp;col=8&amp;number=&amp;sourceID=29","")</f>
        <v/>
      </c>
      <c r="I1193" s="4" t="str">
        <f>HYPERLINK("http://141.218.60.56/~jnz1568/getInfo.php?workbook=02_02.xlsx&amp;sheet=U0&amp;row=1193&amp;col=9&amp;number=&amp;sourceID=1","")</f>
        <v/>
      </c>
    </row>
    <row r="1194" spans="1:9">
      <c r="A1194" s="3"/>
      <c r="B1194" s="3"/>
      <c r="C1194" s="3"/>
      <c r="D1194" s="3"/>
      <c r="E1194" s="3">
        <v>5</v>
      </c>
      <c r="F1194" s="4" t="str">
        <f>HYPERLINK("http://141.218.60.56/~jnz1568/getInfo.php?workbook=02_02.xlsx&amp;sheet=U0&amp;row=1194&amp;col=6&amp;number=4.75&amp;sourceID=28","4.75")</f>
        <v>4.75</v>
      </c>
      <c r="G1194" s="4" t="str">
        <f>HYPERLINK("http://141.218.60.56/~jnz1568/getInfo.php?workbook=02_02.xlsx&amp;sheet=U0&amp;row=1194&amp;col=7&amp;number=0.2265&amp;sourceID=1","0.2265")</f>
        <v>0.2265</v>
      </c>
      <c r="H1194" s="4" t="str">
        <f>HYPERLINK("http://141.218.60.56/~jnz1568/getInfo.php?workbook=02_02.xlsx&amp;sheet=U0&amp;row=1194&amp;col=8&amp;number=&amp;sourceID=29","")</f>
        <v/>
      </c>
      <c r="I1194" s="4" t="str">
        <f>HYPERLINK("http://141.218.60.56/~jnz1568/getInfo.php?workbook=02_02.xlsx&amp;sheet=U0&amp;row=1194&amp;col=9&amp;number=&amp;sourceID=1","")</f>
        <v/>
      </c>
    </row>
    <row r="1195" spans="1:9">
      <c r="A1195" s="3"/>
      <c r="B1195" s="3"/>
      <c r="C1195" s="3"/>
      <c r="D1195" s="3"/>
      <c r="E1195" s="3">
        <v>6</v>
      </c>
      <c r="F1195" s="4" t="str">
        <f>HYPERLINK("http://141.218.60.56/~jnz1568/getInfo.php?workbook=02_02.xlsx&amp;sheet=U0&amp;row=1195&amp;col=6&amp;number=5&amp;sourceID=28","5")</f>
        <v>5</v>
      </c>
      <c r="G1195" s="4" t="str">
        <f>HYPERLINK("http://141.218.60.56/~jnz1568/getInfo.php?workbook=02_02.xlsx&amp;sheet=U0&amp;row=1195&amp;col=7&amp;number=0.2732&amp;sourceID=1","0.2732")</f>
        <v>0.2732</v>
      </c>
      <c r="H1195" s="4" t="str">
        <f>HYPERLINK("http://141.218.60.56/~jnz1568/getInfo.php?workbook=02_02.xlsx&amp;sheet=U0&amp;row=1195&amp;col=8&amp;number=&amp;sourceID=29","")</f>
        <v/>
      </c>
      <c r="I1195" s="4" t="str">
        <f>HYPERLINK("http://141.218.60.56/~jnz1568/getInfo.php?workbook=02_02.xlsx&amp;sheet=U0&amp;row=1195&amp;col=9&amp;number=&amp;sourceID=1","")</f>
        <v/>
      </c>
    </row>
    <row r="1196" spans="1:9">
      <c r="A1196" s="3"/>
      <c r="B1196" s="3"/>
      <c r="C1196" s="3"/>
      <c r="D1196" s="3"/>
      <c r="E1196" s="3">
        <v>7</v>
      </c>
      <c r="F1196" s="4" t="str">
        <f>HYPERLINK("http://141.218.60.56/~jnz1568/getInfo.php?workbook=02_02.xlsx&amp;sheet=U0&amp;row=1196&amp;col=6&amp;number=5.25&amp;sourceID=28","5.25")</f>
        <v>5.25</v>
      </c>
      <c r="G1196" s="4" t="str">
        <f>HYPERLINK("http://141.218.60.56/~jnz1568/getInfo.php?workbook=02_02.xlsx&amp;sheet=U0&amp;row=1196&amp;col=7&amp;number=0.3302&amp;sourceID=1","0.3302")</f>
        <v>0.3302</v>
      </c>
      <c r="H1196" s="4" t="str">
        <f>HYPERLINK("http://141.218.60.56/~jnz1568/getInfo.php?workbook=02_02.xlsx&amp;sheet=U0&amp;row=1196&amp;col=8&amp;number=&amp;sourceID=29","")</f>
        <v/>
      </c>
      <c r="I1196" s="4" t="str">
        <f>HYPERLINK("http://141.218.60.56/~jnz1568/getInfo.php?workbook=02_02.xlsx&amp;sheet=U0&amp;row=1196&amp;col=9&amp;number=&amp;sourceID=1","")</f>
        <v/>
      </c>
    </row>
    <row r="1197" spans="1:9">
      <c r="A1197" s="3"/>
      <c r="B1197" s="3"/>
      <c r="C1197" s="3"/>
      <c r="D1197" s="3"/>
      <c r="E1197" s="3">
        <v>8</v>
      </c>
      <c r="F1197" s="4" t="str">
        <f>HYPERLINK("http://141.218.60.56/~jnz1568/getInfo.php?workbook=02_02.xlsx&amp;sheet=U0&amp;row=1197&amp;col=6&amp;number=5.5&amp;sourceID=28","5.5")</f>
        <v>5.5</v>
      </c>
      <c r="G1197" s="4" t="str">
        <f>HYPERLINK("http://141.218.60.56/~jnz1568/getInfo.php?workbook=02_02.xlsx&amp;sheet=U0&amp;row=1197&amp;col=7&amp;number=0.3889&amp;sourceID=1","0.3889")</f>
        <v>0.3889</v>
      </c>
      <c r="H1197" s="4" t="str">
        <f>HYPERLINK("http://141.218.60.56/~jnz1568/getInfo.php?workbook=02_02.xlsx&amp;sheet=U0&amp;row=1197&amp;col=8&amp;number=&amp;sourceID=29","")</f>
        <v/>
      </c>
      <c r="I1197" s="4" t="str">
        <f>HYPERLINK("http://141.218.60.56/~jnz1568/getInfo.php?workbook=02_02.xlsx&amp;sheet=U0&amp;row=1197&amp;col=9&amp;number=&amp;sourceID=1","")</f>
        <v/>
      </c>
    </row>
    <row r="1198" spans="1:9">
      <c r="A1198" s="3"/>
      <c r="B1198" s="3"/>
      <c r="C1198" s="3"/>
      <c r="D1198" s="3"/>
      <c r="E1198" s="3">
        <v>9</v>
      </c>
      <c r="F1198" s="4" t="str">
        <f>HYPERLINK("http://141.218.60.56/~jnz1568/getInfo.php?workbook=02_02.xlsx&amp;sheet=U0&amp;row=1198&amp;col=6&amp;number=5.75&amp;sourceID=28","5.75")</f>
        <v>5.75</v>
      </c>
      <c r="G1198" s="4" t="str">
        <f>HYPERLINK("http://141.218.60.56/~jnz1568/getInfo.php?workbook=02_02.xlsx&amp;sheet=U0&amp;row=1198&amp;col=7&amp;number=0.4443&amp;sourceID=1","0.4443")</f>
        <v>0.4443</v>
      </c>
      <c r="H1198" s="4" t="str">
        <f>HYPERLINK("http://141.218.60.56/~jnz1568/getInfo.php?workbook=02_02.xlsx&amp;sheet=U0&amp;row=1198&amp;col=8&amp;number=&amp;sourceID=29","")</f>
        <v/>
      </c>
      <c r="I1198" s="4" t="str">
        <f>HYPERLINK("http://141.218.60.56/~jnz1568/getInfo.php?workbook=02_02.xlsx&amp;sheet=U0&amp;row=1198&amp;col=9&amp;number=&amp;sourceID=1","")</f>
        <v/>
      </c>
    </row>
    <row r="1199" spans="1:9">
      <c r="A1199" s="3">
        <v>2</v>
      </c>
      <c r="B1199" s="3">
        <v>2</v>
      </c>
      <c r="C1199" s="3">
        <v>20</v>
      </c>
      <c r="D1199" s="3">
        <v>3</v>
      </c>
      <c r="E1199" s="3">
        <v>1</v>
      </c>
      <c r="F1199" s="4" t="str">
        <f>HYPERLINK("http://141.218.60.56/~jnz1568/getInfo.php?workbook=02_02.xlsx&amp;sheet=U0&amp;row=1199&amp;col=6&amp;number=3.75&amp;sourceID=28","3.75")</f>
        <v>3.75</v>
      </c>
      <c r="G1199" s="4" t="str">
        <f>HYPERLINK("http://141.218.60.56/~jnz1568/getInfo.php?workbook=02_02.xlsx&amp;sheet=U0&amp;row=1199&amp;col=7&amp;number=0.08235&amp;sourceID=1","0.08235")</f>
        <v>0.08235</v>
      </c>
      <c r="H1199" s="4" t="str">
        <f>HYPERLINK("http://141.218.60.56/~jnz1568/getInfo.php?workbook=02_02.xlsx&amp;sheet=U0&amp;row=1199&amp;col=8&amp;number=&amp;sourceID=29","")</f>
        <v/>
      </c>
      <c r="I1199" s="4" t="str">
        <f>HYPERLINK("http://141.218.60.56/~jnz1568/getInfo.php?workbook=02_02.xlsx&amp;sheet=U0&amp;row=1199&amp;col=9&amp;number=&amp;sourceID=1","")</f>
        <v/>
      </c>
    </row>
    <row r="1200" spans="1:9">
      <c r="A1200" s="3"/>
      <c r="B1200" s="3"/>
      <c r="C1200" s="3"/>
      <c r="D1200" s="3"/>
      <c r="E1200" s="3">
        <v>2</v>
      </c>
      <c r="F1200" s="4" t="str">
        <f>HYPERLINK("http://141.218.60.56/~jnz1568/getInfo.php?workbook=02_02.xlsx&amp;sheet=U0&amp;row=1200&amp;col=6&amp;number=4&amp;sourceID=28","4")</f>
        <v>4</v>
      </c>
      <c r="G1200" s="4" t="str">
        <f>HYPERLINK("http://141.218.60.56/~jnz1568/getInfo.php?workbook=02_02.xlsx&amp;sheet=U0&amp;row=1200&amp;col=7&amp;number=0.07071&amp;sourceID=1","0.07071")</f>
        <v>0.07071</v>
      </c>
      <c r="H1200" s="4" t="str">
        <f>HYPERLINK("http://141.218.60.56/~jnz1568/getInfo.php?workbook=02_02.xlsx&amp;sheet=U0&amp;row=1200&amp;col=8&amp;number=&amp;sourceID=29","")</f>
        <v/>
      </c>
      <c r="I1200" s="4" t="str">
        <f>HYPERLINK("http://141.218.60.56/~jnz1568/getInfo.php?workbook=02_02.xlsx&amp;sheet=U0&amp;row=1200&amp;col=9&amp;number=&amp;sourceID=1","")</f>
        <v/>
      </c>
    </row>
    <row r="1201" spans="1:9">
      <c r="A1201" s="3"/>
      <c r="B1201" s="3"/>
      <c r="C1201" s="3"/>
      <c r="D1201" s="3"/>
      <c r="E1201" s="3">
        <v>3</v>
      </c>
      <c r="F1201" s="4" t="str">
        <f>HYPERLINK("http://141.218.60.56/~jnz1568/getInfo.php?workbook=02_02.xlsx&amp;sheet=U0&amp;row=1201&amp;col=6&amp;number=4.25&amp;sourceID=28","4.25")</f>
        <v>4.25</v>
      </c>
      <c r="G1201" s="4" t="str">
        <f>HYPERLINK("http://141.218.60.56/~jnz1568/getInfo.php?workbook=02_02.xlsx&amp;sheet=U0&amp;row=1201&amp;col=7&amp;number=0.05659&amp;sourceID=1","0.05659")</f>
        <v>0.05659</v>
      </c>
      <c r="H1201" s="4" t="str">
        <f>HYPERLINK("http://141.218.60.56/~jnz1568/getInfo.php?workbook=02_02.xlsx&amp;sheet=U0&amp;row=1201&amp;col=8&amp;number=&amp;sourceID=29","")</f>
        <v/>
      </c>
      <c r="I1201" s="4" t="str">
        <f>HYPERLINK("http://141.218.60.56/~jnz1568/getInfo.php?workbook=02_02.xlsx&amp;sheet=U0&amp;row=1201&amp;col=9&amp;number=&amp;sourceID=1","")</f>
        <v/>
      </c>
    </row>
    <row r="1202" spans="1:9">
      <c r="A1202" s="3"/>
      <c r="B1202" s="3"/>
      <c r="C1202" s="3"/>
      <c r="D1202" s="3"/>
      <c r="E1202" s="3">
        <v>4</v>
      </c>
      <c r="F1202" s="4" t="str">
        <f>HYPERLINK("http://141.218.60.56/~jnz1568/getInfo.php?workbook=02_02.xlsx&amp;sheet=U0&amp;row=1202&amp;col=6&amp;number=4.5&amp;sourceID=28","4.5")</f>
        <v>4.5</v>
      </c>
      <c r="G1202" s="4" t="str">
        <f>HYPERLINK("http://141.218.60.56/~jnz1568/getInfo.php?workbook=02_02.xlsx&amp;sheet=U0&amp;row=1202&amp;col=7&amp;number=0.04293&amp;sourceID=1","0.04293")</f>
        <v>0.04293</v>
      </c>
      <c r="H1202" s="4" t="str">
        <f>HYPERLINK("http://141.218.60.56/~jnz1568/getInfo.php?workbook=02_02.xlsx&amp;sheet=U0&amp;row=1202&amp;col=8&amp;number=&amp;sourceID=29","")</f>
        <v/>
      </c>
      <c r="I1202" s="4" t="str">
        <f>HYPERLINK("http://141.218.60.56/~jnz1568/getInfo.php?workbook=02_02.xlsx&amp;sheet=U0&amp;row=1202&amp;col=9&amp;number=&amp;sourceID=1","")</f>
        <v/>
      </c>
    </row>
    <row r="1203" spans="1:9">
      <c r="A1203" s="3"/>
      <c r="B1203" s="3"/>
      <c r="C1203" s="3"/>
      <c r="D1203" s="3"/>
      <c r="E1203" s="3">
        <v>5</v>
      </c>
      <c r="F1203" s="4" t="str">
        <f>HYPERLINK("http://141.218.60.56/~jnz1568/getInfo.php?workbook=02_02.xlsx&amp;sheet=U0&amp;row=1203&amp;col=6&amp;number=4.75&amp;sourceID=28","4.75")</f>
        <v>4.75</v>
      </c>
      <c r="G1203" s="4" t="str">
        <f>HYPERLINK("http://141.218.60.56/~jnz1568/getInfo.php?workbook=02_02.xlsx&amp;sheet=U0&amp;row=1203&amp;col=7&amp;number=0.03113&amp;sourceID=1","0.03113")</f>
        <v>0.03113</v>
      </c>
      <c r="H1203" s="4" t="str">
        <f>HYPERLINK("http://141.218.60.56/~jnz1568/getInfo.php?workbook=02_02.xlsx&amp;sheet=U0&amp;row=1203&amp;col=8&amp;number=&amp;sourceID=29","")</f>
        <v/>
      </c>
      <c r="I1203" s="4" t="str">
        <f>HYPERLINK("http://141.218.60.56/~jnz1568/getInfo.php?workbook=02_02.xlsx&amp;sheet=U0&amp;row=1203&amp;col=9&amp;number=&amp;sourceID=1","")</f>
        <v/>
      </c>
    </row>
    <row r="1204" spans="1:9">
      <c r="A1204" s="3"/>
      <c r="B1204" s="3"/>
      <c r="C1204" s="3"/>
      <c r="D1204" s="3"/>
      <c r="E1204" s="3">
        <v>6</v>
      </c>
      <c r="F1204" s="4" t="str">
        <f>HYPERLINK("http://141.218.60.56/~jnz1568/getInfo.php?workbook=02_02.xlsx&amp;sheet=U0&amp;row=1204&amp;col=6&amp;number=5&amp;sourceID=28","5")</f>
        <v>5</v>
      </c>
      <c r="G1204" s="4" t="str">
        <f>HYPERLINK("http://141.218.60.56/~jnz1568/getInfo.php?workbook=02_02.xlsx&amp;sheet=U0&amp;row=1204&amp;col=7&amp;number=0.02164&amp;sourceID=1","0.02164")</f>
        <v>0.02164</v>
      </c>
      <c r="H1204" s="4" t="str">
        <f>HYPERLINK("http://141.218.60.56/~jnz1568/getInfo.php?workbook=02_02.xlsx&amp;sheet=U0&amp;row=1204&amp;col=8&amp;number=&amp;sourceID=29","")</f>
        <v/>
      </c>
      <c r="I1204" s="4" t="str">
        <f>HYPERLINK("http://141.218.60.56/~jnz1568/getInfo.php?workbook=02_02.xlsx&amp;sheet=U0&amp;row=1204&amp;col=9&amp;number=&amp;sourceID=1","")</f>
        <v/>
      </c>
    </row>
    <row r="1205" spans="1:9">
      <c r="A1205" s="3"/>
      <c r="B1205" s="3"/>
      <c r="C1205" s="3"/>
      <c r="D1205" s="3"/>
      <c r="E1205" s="3">
        <v>7</v>
      </c>
      <c r="F1205" s="4" t="str">
        <f>HYPERLINK("http://141.218.60.56/~jnz1568/getInfo.php?workbook=02_02.xlsx&amp;sheet=U0&amp;row=1205&amp;col=6&amp;number=5.25&amp;sourceID=28","5.25")</f>
        <v>5.25</v>
      </c>
      <c r="G1205" s="4" t="str">
        <f>HYPERLINK("http://141.218.60.56/~jnz1568/getInfo.php?workbook=02_02.xlsx&amp;sheet=U0&amp;row=1205&amp;col=7&amp;number=0.01449&amp;sourceID=1","0.01449")</f>
        <v>0.01449</v>
      </c>
      <c r="H1205" s="4" t="str">
        <f>HYPERLINK("http://141.218.60.56/~jnz1568/getInfo.php?workbook=02_02.xlsx&amp;sheet=U0&amp;row=1205&amp;col=8&amp;number=&amp;sourceID=29","")</f>
        <v/>
      </c>
      <c r="I1205" s="4" t="str">
        <f>HYPERLINK("http://141.218.60.56/~jnz1568/getInfo.php?workbook=02_02.xlsx&amp;sheet=U0&amp;row=1205&amp;col=9&amp;number=&amp;sourceID=1","")</f>
        <v/>
      </c>
    </row>
    <row r="1206" spans="1:9">
      <c r="A1206" s="3"/>
      <c r="B1206" s="3"/>
      <c r="C1206" s="3"/>
      <c r="D1206" s="3"/>
      <c r="E1206" s="3">
        <v>8</v>
      </c>
      <c r="F1206" s="4" t="str">
        <f>HYPERLINK("http://141.218.60.56/~jnz1568/getInfo.php?workbook=02_02.xlsx&amp;sheet=U0&amp;row=1206&amp;col=6&amp;number=5.5&amp;sourceID=28","5.5")</f>
        <v>5.5</v>
      </c>
      <c r="G1206" s="4" t="str">
        <f>HYPERLINK("http://141.218.60.56/~jnz1568/getInfo.php?workbook=02_02.xlsx&amp;sheet=U0&amp;row=1206&amp;col=7&amp;number=0.009418&amp;sourceID=1","0.009418")</f>
        <v>0.009418</v>
      </c>
      <c r="H1206" s="4" t="str">
        <f>HYPERLINK("http://141.218.60.56/~jnz1568/getInfo.php?workbook=02_02.xlsx&amp;sheet=U0&amp;row=1206&amp;col=8&amp;number=&amp;sourceID=29","")</f>
        <v/>
      </c>
      <c r="I1206" s="4" t="str">
        <f>HYPERLINK("http://141.218.60.56/~jnz1568/getInfo.php?workbook=02_02.xlsx&amp;sheet=U0&amp;row=1206&amp;col=9&amp;number=&amp;sourceID=1","")</f>
        <v/>
      </c>
    </row>
    <row r="1207" spans="1:9">
      <c r="A1207" s="3"/>
      <c r="B1207" s="3"/>
      <c r="C1207" s="3"/>
      <c r="D1207" s="3"/>
      <c r="E1207" s="3">
        <v>9</v>
      </c>
      <c r="F1207" s="4" t="str">
        <f>HYPERLINK("http://141.218.60.56/~jnz1568/getInfo.php?workbook=02_02.xlsx&amp;sheet=U0&amp;row=1207&amp;col=6&amp;number=5.75&amp;sourceID=28","5.75")</f>
        <v>5.75</v>
      </c>
      <c r="G1207" s="4" t="str">
        <f>HYPERLINK("http://141.218.60.56/~jnz1568/getInfo.php?workbook=02_02.xlsx&amp;sheet=U0&amp;row=1207&amp;col=7&amp;number=0.005987&amp;sourceID=1","0.005987")</f>
        <v>0.005987</v>
      </c>
      <c r="H1207" s="4" t="str">
        <f>HYPERLINK("http://141.218.60.56/~jnz1568/getInfo.php?workbook=02_02.xlsx&amp;sheet=U0&amp;row=1207&amp;col=8&amp;number=&amp;sourceID=29","")</f>
        <v/>
      </c>
      <c r="I1207" s="4" t="str">
        <f>HYPERLINK("http://141.218.60.56/~jnz1568/getInfo.php?workbook=02_02.xlsx&amp;sheet=U0&amp;row=1207&amp;col=9&amp;number=&amp;sourceID=1","")</f>
        <v/>
      </c>
    </row>
    <row r="1208" spans="1:9">
      <c r="A1208" s="3">
        <v>2</v>
      </c>
      <c r="B1208" s="3">
        <v>2</v>
      </c>
      <c r="C1208" s="3">
        <v>20</v>
      </c>
      <c r="D1208" s="3">
        <v>4</v>
      </c>
      <c r="E1208" s="3">
        <v>1</v>
      </c>
      <c r="F1208" s="4" t="str">
        <f>HYPERLINK("http://141.218.60.56/~jnz1568/getInfo.php?workbook=02_02.xlsx&amp;sheet=U0&amp;row=1208&amp;col=6&amp;number=3.75&amp;sourceID=28","3.75")</f>
        <v>3.75</v>
      </c>
      <c r="G1208" s="4" t="str">
        <f>HYPERLINK("http://141.218.60.56/~jnz1568/getInfo.php?workbook=02_02.xlsx&amp;sheet=U0&amp;row=1208&amp;col=7&amp;number=0.5585&amp;sourceID=1","0.5585")</f>
        <v>0.5585</v>
      </c>
      <c r="H1208" s="4" t="str">
        <f>HYPERLINK("http://141.218.60.56/~jnz1568/getInfo.php?workbook=02_02.xlsx&amp;sheet=U0&amp;row=1208&amp;col=8&amp;number=&amp;sourceID=29","")</f>
        <v/>
      </c>
      <c r="I1208" s="4" t="str">
        <f>HYPERLINK("http://141.218.60.56/~jnz1568/getInfo.php?workbook=02_02.xlsx&amp;sheet=U0&amp;row=1208&amp;col=9&amp;number=&amp;sourceID=1","")</f>
        <v/>
      </c>
    </row>
    <row r="1209" spans="1:9">
      <c r="A1209" s="3"/>
      <c r="B1209" s="3"/>
      <c r="C1209" s="3"/>
      <c r="D1209" s="3"/>
      <c r="E1209" s="3">
        <v>2</v>
      </c>
      <c r="F1209" s="4" t="str">
        <f>HYPERLINK("http://141.218.60.56/~jnz1568/getInfo.php?workbook=02_02.xlsx&amp;sheet=U0&amp;row=1209&amp;col=6&amp;number=4&amp;sourceID=28","4")</f>
        <v>4</v>
      </c>
      <c r="G1209" s="4" t="str">
        <f>HYPERLINK("http://141.218.60.56/~jnz1568/getInfo.php?workbook=02_02.xlsx&amp;sheet=U0&amp;row=1209&amp;col=7&amp;number=0.5196&amp;sourceID=1","0.5196")</f>
        <v>0.5196</v>
      </c>
      <c r="H1209" s="4" t="str">
        <f>HYPERLINK("http://141.218.60.56/~jnz1568/getInfo.php?workbook=02_02.xlsx&amp;sheet=U0&amp;row=1209&amp;col=8&amp;number=&amp;sourceID=29","")</f>
        <v/>
      </c>
      <c r="I1209" s="4" t="str">
        <f>HYPERLINK("http://141.218.60.56/~jnz1568/getInfo.php?workbook=02_02.xlsx&amp;sheet=U0&amp;row=1209&amp;col=9&amp;number=&amp;sourceID=1","")</f>
        <v/>
      </c>
    </row>
    <row r="1210" spans="1:9">
      <c r="A1210" s="3"/>
      <c r="B1210" s="3"/>
      <c r="C1210" s="3"/>
      <c r="D1210" s="3"/>
      <c r="E1210" s="3">
        <v>3</v>
      </c>
      <c r="F1210" s="4" t="str">
        <f>HYPERLINK("http://141.218.60.56/~jnz1568/getInfo.php?workbook=02_02.xlsx&amp;sheet=U0&amp;row=1210&amp;col=6&amp;number=4.25&amp;sourceID=28","4.25")</f>
        <v>4.25</v>
      </c>
      <c r="G1210" s="4" t="str">
        <f>HYPERLINK("http://141.218.60.56/~jnz1568/getInfo.php?workbook=02_02.xlsx&amp;sheet=U0&amp;row=1210&amp;col=7&amp;number=0.4854&amp;sourceID=1","0.4854")</f>
        <v>0.4854</v>
      </c>
      <c r="H1210" s="4" t="str">
        <f>HYPERLINK("http://141.218.60.56/~jnz1568/getInfo.php?workbook=02_02.xlsx&amp;sheet=U0&amp;row=1210&amp;col=8&amp;number=&amp;sourceID=29","")</f>
        <v/>
      </c>
      <c r="I1210" s="4" t="str">
        <f>HYPERLINK("http://141.218.60.56/~jnz1568/getInfo.php?workbook=02_02.xlsx&amp;sheet=U0&amp;row=1210&amp;col=9&amp;number=&amp;sourceID=1","")</f>
        <v/>
      </c>
    </row>
    <row r="1211" spans="1:9">
      <c r="A1211" s="3"/>
      <c r="B1211" s="3"/>
      <c r="C1211" s="3"/>
      <c r="D1211" s="3"/>
      <c r="E1211" s="3">
        <v>4</v>
      </c>
      <c r="F1211" s="4" t="str">
        <f>HYPERLINK("http://141.218.60.56/~jnz1568/getInfo.php?workbook=02_02.xlsx&amp;sheet=U0&amp;row=1211&amp;col=6&amp;number=4.5&amp;sourceID=28","4.5")</f>
        <v>4.5</v>
      </c>
      <c r="G1211" s="4" t="str">
        <f>HYPERLINK("http://141.218.60.56/~jnz1568/getInfo.php?workbook=02_02.xlsx&amp;sheet=U0&amp;row=1211&amp;col=7&amp;number=0.486&amp;sourceID=1","0.486")</f>
        <v>0.486</v>
      </c>
      <c r="H1211" s="4" t="str">
        <f>HYPERLINK("http://141.218.60.56/~jnz1568/getInfo.php?workbook=02_02.xlsx&amp;sheet=U0&amp;row=1211&amp;col=8&amp;number=&amp;sourceID=29","")</f>
        <v/>
      </c>
      <c r="I1211" s="4" t="str">
        <f>HYPERLINK("http://141.218.60.56/~jnz1568/getInfo.php?workbook=02_02.xlsx&amp;sheet=U0&amp;row=1211&amp;col=9&amp;number=&amp;sourceID=1","")</f>
        <v/>
      </c>
    </row>
    <row r="1212" spans="1:9">
      <c r="A1212" s="3"/>
      <c r="B1212" s="3"/>
      <c r="C1212" s="3"/>
      <c r="D1212" s="3"/>
      <c r="E1212" s="3">
        <v>5</v>
      </c>
      <c r="F1212" s="4" t="str">
        <f>HYPERLINK("http://141.218.60.56/~jnz1568/getInfo.php?workbook=02_02.xlsx&amp;sheet=U0&amp;row=1212&amp;col=6&amp;number=4.75&amp;sourceID=28","4.75")</f>
        <v>4.75</v>
      </c>
      <c r="G1212" s="4" t="str">
        <f>HYPERLINK("http://141.218.60.56/~jnz1568/getInfo.php?workbook=02_02.xlsx&amp;sheet=U0&amp;row=1212&amp;col=7&amp;number=0.5507&amp;sourceID=1","0.5507")</f>
        <v>0.5507</v>
      </c>
      <c r="H1212" s="4" t="str">
        <f>HYPERLINK("http://141.218.60.56/~jnz1568/getInfo.php?workbook=02_02.xlsx&amp;sheet=U0&amp;row=1212&amp;col=8&amp;number=&amp;sourceID=29","")</f>
        <v/>
      </c>
      <c r="I1212" s="4" t="str">
        <f>HYPERLINK("http://141.218.60.56/~jnz1568/getInfo.php?workbook=02_02.xlsx&amp;sheet=U0&amp;row=1212&amp;col=9&amp;number=&amp;sourceID=1","")</f>
        <v/>
      </c>
    </row>
    <row r="1213" spans="1:9">
      <c r="A1213" s="3"/>
      <c r="B1213" s="3"/>
      <c r="C1213" s="3"/>
      <c r="D1213" s="3"/>
      <c r="E1213" s="3">
        <v>6</v>
      </c>
      <c r="F1213" s="4" t="str">
        <f>HYPERLINK("http://141.218.60.56/~jnz1568/getInfo.php?workbook=02_02.xlsx&amp;sheet=U0&amp;row=1213&amp;col=6&amp;number=5&amp;sourceID=28","5")</f>
        <v>5</v>
      </c>
      <c r="G1213" s="4" t="str">
        <f>HYPERLINK("http://141.218.60.56/~jnz1568/getInfo.php?workbook=02_02.xlsx&amp;sheet=U0&amp;row=1213&amp;col=7&amp;number=0.6982&amp;sourceID=1","0.6982")</f>
        <v>0.6982</v>
      </c>
      <c r="H1213" s="4" t="str">
        <f>HYPERLINK("http://141.218.60.56/~jnz1568/getInfo.php?workbook=02_02.xlsx&amp;sheet=U0&amp;row=1213&amp;col=8&amp;number=&amp;sourceID=29","")</f>
        <v/>
      </c>
      <c r="I1213" s="4" t="str">
        <f>HYPERLINK("http://141.218.60.56/~jnz1568/getInfo.php?workbook=02_02.xlsx&amp;sheet=U0&amp;row=1213&amp;col=9&amp;number=&amp;sourceID=1","")</f>
        <v/>
      </c>
    </row>
    <row r="1214" spans="1:9">
      <c r="A1214" s="3"/>
      <c r="B1214" s="3"/>
      <c r="C1214" s="3"/>
      <c r="D1214" s="3"/>
      <c r="E1214" s="3">
        <v>7</v>
      </c>
      <c r="F1214" s="4" t="str">
        <f>HYPERLINK("http://141.218.60.56/~jnz1568/getInfo.php?workbook=02_02.xlsx&amp;sheet=U0&amp;row=1214&amp;col=6&amp;number=5.25&amp;sourceID=28","5.25")</f>
        <v>5.25</v>
      </c>
      <c r="G1214" s="4" t="str">
        <f>HYPERLINK("http://141.218.60.56/~jnz1568/getInfo.php?workbook=02_02.xlsx&amp;sheet=U0&amp;row=1214&amp;col=7&amp;number=0.9268&amp;sourceID=1","0.9268")</f>
        <v>0.9268</v>
      </c>
      <c r="H1214" s="4" t="str">
        <f>HYPERLINK("http://141.218.60.56/~jnz1568/getInfo.php?workbook=02_02.xlsx&amp;sheet=U0&amp;row=1214&amp;col=8&amp;number=&amp;sourceID=29","")</f>
        <v/>
      </c>
      <c r="I1214" s="4" t="str">
        <f>HYPERLINK("http://141.218.60.56/~jnz1568/getInfo.php?workbook=02_02.xlsx&amp;sheet=U0&amp;row=1214&amp;col=9&amp;number=&amp;sourceID=1","")</f>
        <v/>
      </c>
    </row>
    <row r="1215" spans="1:9">
      <c r="A1215" s="3"/>
      <c r="B1215" s="3"/>
      <c r="C1215" s="3"/>
      <c r="D1215" s="3"/>
      <c r="E1215" s="3">
        <v>8</v>
      </c>
      <c r="F1215" s="4" t="str">
        <f>HYPERLINK("http://141.218.60.56/~jnz1568/getInfo.php?workbook=02_02.xlsx&amp;sheet=U0&amp;row=1215&amp;col=6&amp;number=5.5&amp;sourceID=28","5.5")</f>
        <v>5.5</v>
      </c>
      <c r="G1215" s="4" t="str">
        <f>HYPERLINK("http://141.218.60.56/~jnz1568/getInfo.php?workbook=02_02.xlsx&amp;sheet=U0&amp;row=1215&amp;col=7&amp;number=1.217&amp;sourceID=1","1.217")</f>
        <v>1.217</v>
      </c>
      <c r="H1215" s="4" t="str">
        <f>HYPERLINK("http://141.218.60.56/~jnz1568/getInfo.php?workbook=02_02.xlsx&amp;sheet=U0&amp;row=1215&amp;col=8&amp;number=&amp;sourceID=29","")</f>
        <v/>
      </c>
      <c r="I1215" s="4" t="str">
        <f>HYPERLINK("http://141.218.60.56/~jnz1568/getInfo.php?workbook=02_02.xlsx&amp;sheet=U0&amp;row=1215&amp;col=9&amp;number=&amp;sourceID=1","")</f>
        <v/>
      </c>
    </row>
    <row r="1216" spans="1:9">
      <c r="A1216" s="3"/>
      <c r="B1216" s="3"/>
      <c r="C1216" s="3"/>
      <c r="D1216" s="3"/>
      <c r="E1216" s="3">
        <v>9</v>
      </c>
      <c r="F1216" s="4" t="str">
        <f>HYPERLINK("http://141.218.60.56/~jnz1568/getInfo.php?workbook=02_02.xlsx&amp;sheet=U0&amp;row=1216&amp;col=6&amp;number=5.75&amp;sourceID=28","5.75")</f>
        <v>5.75</v>
      </c>
      <c r="G1216" s="4" t="str">
        <f>HYPERLINK("http://141.218.60.56/~jnz1568/getInfo.php?workbook=02_02.xlsx&amp;sheet=U0&amp;row=1216&amp;col=7&amp;number=1.549&amp;sourceID=1","1.549")</f>
        <v>1.549</v>
      </c>
      <c r="H1216" s="4" t="str">
        <f>HYPERLINK("http://141.218.60.56/~jnz1568/getInfo.php?workbook=02_02.xlsx&amp;sheet=U0&amp;row=1216&amp;col=8&amp;number=&amp;sourceID=29","")</f>
        <v/>
      </c>
      <c r="I1216" s="4" t="str">
        <f>HYPERLINK("http://141.218.60.56/~jnz1568/getInfo.php?workbook=02_02.xlsx&amp;sheet=U0&amp;row=1216&amp;col=9&amp;number=&amp;sourceID=1","")</f>
        <v/>
      </c>
    </row>
    <row r="1217" spans="1:9">
      <c r="A1217" s="3">
        <v>2</v>
      </c>
      <c r="B1217" s="3">
        <v>2</v>
      </c>
      <c r="C1217" s="3">
        <v>21</v>
      </c>
      <c r="D1217" s="3">
        <v>1</v>
      </c>
      <c r="E1217" s="3">
        <v>1</v>
      </c>
      <c r="F1217" s="4" t="str">
        <f>HYPERLINK("http://141.218.60.56/~jnz1568/getInfo.php?workbook=02_02.xlsx&amp;sheet=U0&amp;row=1217&amp;col=6&amp;number=3.75&amp;sourceID=28","3.75")</f>
        <v>3.75</v>
      </c>
      <c r="G1217" s="4" t="str">
        <f>HYPERLINK("http://141.218.60.56/~jnz1568/getInfo.php?workbook=02_02.xlsx&amp;sheet=U0&amp;row=1217&amp;col=7&amp;number=0.001&amp;sourceID=1","0.001")</f>
        <v>0.001</v>
      </c>
      <c r="H1217" s="4" t="str">
        <f>HYPERLINK("http://141.218.60.56/~jnz1568/getInfo.php?workbook=02_02.xlsx&amp;sheet=U0&amp;row=1217&amp;col=8&amp;number=&amp;sourceID=29","")</f>
        <v/>
      </c>
      <c r="I1217" s="4" t="str">
        <f>HYPERLINK("http://141.218.60.56/~jnz1568/getInfo.php?workbook=02_02.xlsx&amp;sheet=U0&amp;row=1217&amp;col=9&amp;number=&amp;sourceID=1","")</f>
        <v/>
      </c>
    </row>
    <row r="1218" spans="1:9">
      <c r="A1218" s="3"/>
      <c r="B1218" s="3"/>
      <c r="C1218" s="3"/>
      <c r="D1218" s="3"/>
      <c r="E1218" s="3">
        <v>2</v>
      </c>
      <c r="F1218" s="4" t="str">
        <f>HYPERLINK("http://141.218.60.56/~jnz1568/getInfo.php?workbook=02_02.xlsx&amp;sheet=U0&amp;row=1218&amp;col=6&amp;number=4&amp;sourceID=28","4")</f>
        <v>4</v>
      </c>
      <c r="G1218" s="4" t="str">
        <f>HYPERLINK("http://141.218.60.56/~jnz1568/getInfo.php?workbook=02_02.xlsx&amp;sheet=U0&amp;row=1218&amp;col=7&amp;number=0.001084&amp;sourceID=1","0.001084")</f>
        <v>0.001084</v>
      </c>
      <c r="H1218" s="4" t="str">
        <f>HYPERLINK("http://141.218.60.56/~jnz1568/getInfo.php?workbook=02_02.xlsx&amp;sheet=U0&amp;row=1218&amp;col=8&amp;number=&amp;sourceID=29","")</f>
        <v/>
      </c>
      <c r="I1218" s="4" t="str">
        <f>HYPERLINK("http://141.218.60.56/~jnz1568/getInfo.php?workbook=02_02.xlsx&amp;sheet=U0&amp;row=1218&amp;col=9&amp;number=&amp;sourceID=1","")</f>
        <v/>
      </c>
    </row>
    <row r="1219" spans="1:9">
      <c r="A1219" s="3"/>
      <c r="B1219" s="3"/>
      <c r="C1219" s="3"/>
      <c r="D1219" s="3"/>
      <c r="E1219" s="3">
        <v>3</v>
      </c>
      <c r="F1219" s="4" t="str">
        <f>HYPERLINK("http://141.218.60.56/~jnz1568/getInfo.php?workbook=02_02.xlsx&amp;sheet=U0&amp;row=1219&amp;col=6&amp;number=4.25&amp;sourceID=28","4.25")</f>
        <v>4.25</v>
      </c>
      <c r="G1219" s="4" t="str">
        <f>HYPERLINK("http://141.218.60.56/~jnz1568/getInfo.php?workbook=02_02.xlsx&amp;sheet=U0&amp;row=1219&amp;col=7&amp;number=0.001189&amp;sourceID=1","0.001189")</f>
        <v>0.001189</v>
      </c>
      <c r="H1219" s="4" t="str">
        <f>HYPERLINK("http://141.218.60.56/~jnz1568/getInfo.php?workbook=02_02.xlsx&amp;sheet=U0&amp;row=1219&amp;col=8&amp;number=&amp;sourceID=29","")</f>
        <v/>
      </c>
      <c r="I1219" s="4" t="str">
        <f>HYPERLINK("http://141.218.60.56/~jnz1568/getInfo.php?workbook=02_02.xlsx&amp;sheet=U0&amp;row=1219&amp;col=9&amp;number=&amp;sourceID=1","")</f>
        <v/>
      </c>
    </row>
    <row r="1220" spans="1:9">
      <c r="A1220" s="3"/>
      <c r="B1220" s="3"/>
      <c r="C1220" s="3"/>
      <c r="D1220" s="3"/>
      <c r="E1220" s="3">
        <v>4</v>
      </c>
      <c r="F1220" s="4" t="str">
        <f>HYPERLINK("http://141.218.60.56/~jnz1568/getInfo.php?workbook=02_02.xlsx&amp;sheet=U0&amp;row=1220&amp;col=6&amp;number=4.5&amp;sourceID=28","4.5")</f>
        <v>4.5</v>
      </c>
      <c r="G1220" s="4" t="str">
        <f>HYPERLINK("http://141.218.60.56/~jnz1568/getInfo.php?workbook=02_02.xlsx&amp;sheet=U0&amp;row=1220&amp;col=7&amp;number=0.001334&amp;sourceID=1","0.001334")</f>
        <v>0.001334</v>
      </c>
      <c r="H1220" s="4" t="str">
        <f>HYPERLINK("http://141.218.60.56/~jnz1568/getInfo.php?workbook=02_02.xlsx&amp;sheet=U0&amp;row=1220&amp;col=8&amp;number=&amp;sourceID=29","")</f>
        <v/>
      </c>
      <c r="I1220" s="4" t="str">
        <f>HYPERLINK("http://141.218.60.56/~jnz1568/getInfo.php?workbook=02_02.xlsx&amp;sheet=U0&amp;row=1220&amp;col=9&amp;number=&amp;sourceID=1","")</f>
        <v/>
      </c>
    </row>
    <row r="1221" spans="1:9">
      <c r="A1221" s="3"/>
      <c r="B1221" s="3"/>
      <c r="C1221" s="3"/>
      <c r="D1221" s="3"/>
      <c r="E1221" s="3">
        <v>5</v>
      </c>
      <c r="F1221" s="4" t="str">
        <f>HYPERLINK("http://141.218.60.56/~jnz1568/getInfo.php?workbook=02_02.xlsx&amp;sheet=U0&amp;row=1221&amp;col=6&amp;number=4.75&amp;sourceID=28","4.75")</f>
        <v>4.75</v>
      </c>
      <c r="G1221" s="4" t="str">
        <f>HYPERLINK("http://141.218.60.56/~jnz1568/getInfo.php?workbook=02_02.xlsx&amp;sheet=U0&amp;row=1221&amp;col=7&amp;number=0.001526&amp;sourceID=1","0.001526")</f>
        <v>0.001526</v>
      </c>
      <c r="H1221" s="4" t="str">
        <f>HYPERLINK("http://141.218.60.56/~jnz1568/getInfo.php?workbook=02_02.xlsx&amp;sheet=U0&amp;row=1221&amp;col=8&amp;number=&amp;sourceID=29","")</f>
        <v/>
      </c>
      <c r="I1221" s="4" t="str">
        <f>HYPERLINK("http://141.218.60.56/~jnz1568/getInfo.php?workbook=02_02.xlsx&amp;sheet=U0&amp;row=1221&amp;col=9&amp;number=&amp;sourceID=1","")</f>
        <v/>
      </c>
    </row>
    <row r="1222" spans="1:9">
      <c r="A1222" s="3"/>
      <c r="B1222" s="3"/>
      <c r="C1222" s="3"/>
      <c r="D1222" s="3"/>
      <c r="E1222" s="3">
        <v>6</v>
      </c>
      <c r="F1222" s="4" t="str">
        <f>HYPERLINK("http://141.218.60.56/~jnz1568/getInfo.php?workbook=02_02.xlsx&amp;sheet=U0&amp;row=1222&amp;col=6&amp;number=5&amp;sourceID=28","5")</f>
        <v>5</v>
      </c>
      <c r="G1222" s="4" t="str">
        <f>HYPERLINK("http://141.218.60.56/~jnz1568/getInfo.php?workbook=02_02.xlsx&amp;sheet=U0&amp;row=1222&amp;col=7&amp;number=0.001771&amp;sourceID=1","0.001771")</f>
        <v>0.001771</v>
      </c>
      <c r="H1222" s="4" t="str">
        <f>HYPERLINK("http://141.218.60.56/~jnz1568/getInfo.php?workbook=02_02.xlsx&amp;sheet=U0&amp;row=1222&amp;col=8&amp;number=&amp;sourceID=29","")</f>
        <v/>
      </c>
      <c r="I1222" s="4" t="str">
        <f>HYPERLINK("http://141.218.60.56/~jnz1568/getInfo.php?workbook=02_02.xlsx&amp;sheet=U0&amp;row=1222&amp;col=9&amp;number=&amp;sourceID=1","")</f>
        <v/>
      </c>
    </row>
    <row r="1223" spans="1:9">
      <c r="A1223" s="3"/>
      <c r="B1223" s="3"/>
      <c r="C1223" s="3"/>
      <c r="D1223" s="3"/>
      <c r="E1223" s="3">
        <v>7</v>
      </c>
      <c r="F1223" s="4" t="str">
        <f>HYPERLINK("http://141.218.60.56/~jnz1568/getInfo.php?workbook=02_02.xlsx&amp;sheet=U0&amp;row=1223&amp;col=6&amp;number=5.25&amp;sourceID=28","5.25")</f>
        <v>5.25</v>
      </c>
      <c r="G1223" s="4" t="str">
        <f>HYPERLINK("http://141.218.60.56/~jnz1568/getInfo.php?workbook=02_02.xlsx&amp;sheet=U0&amp;row=1223&amp;col=7&amp;number=0.002068&amp;sourceID=1","0.002068")</f>
        <v>0.002068</v>
      </c>
      <c r="H1223" s="4" t="str">
        <f>HYPERLINK("http://141.218.60.56/~jnz1568/getInfo.php?workbook=02_02.xlsx&amp;sheet=U0&amp;row=1223&amp;col=8&amp;number=&amp;sourceID=29","")</f>
        <v/>
      </c>
      <c r="I1223" s="4" t="str">
        <f>HYPERLINK("http://141.218.60.56/~jnz1568/getInfo.php?workbook=02_02.xlsx&amp;sheet=U0&amp;row=1223&amp;col=9&amp;number=&amp;sourceID=1","")</f>
        <v/>
      </c>
    </row>
    <row r="1224" spans="1:9">
      <c r="A1224" s="3"/>
      <c r="B1224" s="3"/>
      <c r="C1224" s="3"/>
      <c r="D1224" s="3"/>
      <c r="E1224" s="3">
        <v>8</v>
      </c>
      <c r="F1224" s="4" t="str">
        <f>HYPERLINK("http://141.218.60.56/~jnz1568/getInfo.php?workbook=02_02.xlsx&amp;sheet=U0&amp;row=1224&amp;col=6&amp;number=5.5&amp;sourceID=28","5.5")</f>
        <v>5.5</v>
      </c>
      <c r="G1224" s="4" t="str">
        <f>HYPERLINK("http://141.218.60.56/~jnz1568/getInfo.php?workbook=02_02.xlsx&amp;sheet=U0&amp;row=1224&amp;col=7&amp;number=0.002426&amp;sourceID=1","0.002426")</f>
        <v>0.002426</v>
      </c>
      <c r="H1224" s="4" t="str">
        <f>HYPERLINK("http://141.218.60.56/~jnz1568/getInfo.php?workbook=02_02.xlsx&amp;sheet=U0&amp;row=1224&amp;col=8&amp;number=&amp;sourceID=29","")</f>
        <v/>
      </c>
      <c r="I1224" s="4" t="str">
        <f>HYPERLINK("http://141.218.60.56/~jnz1568/getInfo.php?workbook=02_02.xlsx&amp;sheet=U0&amp;row=1224&amp;col=9&amp;number=&amp;sourceID=1","")</f>
        <v/>
      </c>
    </row>
    <row r="1225" spans="1:9">
      <c r="A1225" s="3"/>
      <c r="B1225" s="3"/>
      <c r="C1225" s="3"/>
      <c r="D1225" s="3"/>
      <c r="E1225" s="3">
        <v>9</v>
      </c>
      <c r="F1225" s="4" t="str">
        <f>HYPERLINK("http://141.218.60.56/~jnz1568/getInfo.php?workbook=02_02.xlsx&amp;sheet=U0&amp;row=1225&amp;col=6&amp;number=5.75&amp;sourceID=28","5.75")</f>
        <v>5.75</v>
      </c>
      <c r="G1225" s="4" t="str">
        <f>HYPERLINK("http://141.218.60.56/~jnz1568/getInfo.php?workbook=02_02.xlsx&amp;sheet=U0&amp;row=1225&amp;col=7&amp;number=0.002868&amp;sourceID=1","0.002868")</f>
        <v>0.002868</v>
      </c>
      <c r="H1225" s="4" t="str">
        <f>HYPERLINK("http://141.218.60.56/~jnz1568/getInfo.php?workbook=02_02.xlsx&amp;sheet=U0&amp;row=1225&amp;col=8&amp;number=&amp;sourceID=29","")</f>
        <v/>
      </c>
      <c r="I1225" s="4" t="str">
        <f>HYPERLINK("http://141.218.60.56/~jnz1568/getInfo.php?workbook=02_02.xlsx&amp;sheet=U0&amp;row=1225&amp;col=9&amp;number=&amp;sourceID=1","")</f>
        <v/>
      </c>
    </row>
    <row r="1226" spans="1:9">
      <c r="A1226" s="3">
        <v>2</v>
      </c>
      <c r="B1226" s="3">
        <v>2</v>
      </c>
      <c r="C1226" s="3">
        <v>21</v>
      </c>
      <c r="D1226" s="3">
        <v>2</v>
      </c>
      <c r="E1226" s="3">
        <v>1</v>
      </c>
      <c r="F1226" s="4" t="str">
        <f>HYPERLINK("http://141.218.60.56/~jnz1568/getInfo.php?workbook=02_02.xlsx&amp;sheet=U0&amp;row=1226&amp;col=6&amp;number=3.75&amp;sourceID=28","3.75")</f>
        <v>3.75</v>
      </c>
      <c r="G1226" s="4" t="str">
        <f>HYPERLINK("http://141.218.60.56/~jnz1568/getInfo.php?workbook=02_02.xlsx&amp;sheet=U0&amp;row=1226&amp;col=7&amp;number=0.05624&amp;sourceID=1","0.05624")</f>
        <v>0.05624</v>
      </c>
      <c r="H1226" s="4" t="str">
        <f>HYPERLINK("http://141.218.60.56/~jnz1568/getInfo.php?workbook=02_02.xlsx&amp;sheet=U0&amp;row=1226&amp;col=8&amp;number=&amp;sourceID=29","")</f>
        <v/>
      </c>
      <c r="I1226" s="4" t="str">
        <f>HYPERLINK("http://141.218.60.56/~jnz1568/getInfo.php?workbook=02_02.xlsx&amp;sheet=U0&amp;row=1226&amp;col=9&amp;number=&amp;sourceID=1","")</f>
        <v/>
      </c>
    </row>
    <row r="1227" spans="1:9">
      <c r="A1227" s="3"/>
      <c r="B1227" s="3"/>
      <c r="C1227" s="3"/>
      <c r="D1227" s="3"/>
      <c r="E1227" s="3">
        <v>2</v>
      </c>
      <c r="F1227" s="4" t="str">
        <f>HYPERLINK("http://141.218.60.56/~jnz1568/getInfo.php?workbook=02_02.xlsx&amp;sheet=U0&amp;row=1227&amp;col=6&amp;number=4&amp;sourceID=28","4")</f>
        <v>4</v>
      </c>
      <c r="G1227" s="4" t="str">
        <f>HYPERLINK("http://141.218.60.56/~jnz1568/getInfo.php?workbook=02_02.xlsx&amp;sheet=U0&amp;row=1227&amp;col=7&amp;number=0.0493&amp;sourceID=1","0.0493")</f>
        <v>0.0493</v>
      </c>
      <c r="H1227" s="4" t="str">
        <f>HYPERLINK("http://141.218.60.56/~jnz1568/getInfo.php?workbook=02_02.xlsx&amp;sheet=U0&amp;row=1227&amp;col=8&amp;number=&amp;sourceID=29","")</f>
        <v/>
      </c>
      <c r="I1227" s="4" t="str">
        <f>HYPERLINK("http://141.218.60.56/~jnz1568/getInfo.php?workbook=02_02.xlsx&amp;sheet=U0&amp;row=1227&amp;col=9&amp;number=&amp;sourceID=1","")</f>
        <v/>
      </c>
    </row>
    <row r="1228" spans="1:9">
      <c r="A1228" s="3"/>
      <c r="B1228" s="3"/>
      <c r="C1228" s="3"/>
      <c r="D1228" s="3"/>
      <c r="E1228" s="3">
        <v>3</v>
      </c>
      <c r="F1228" s="4" t="str">
        <f>HYPERLINK("http://141.218.60.56/~jnz1568/getInfo.php?workbook=02_02.xlsx&amp;sheet=U0&amp;row=1228&amp;col=6&amp;number=4.25&amp;sourceID=28","4.25")</f>
        <v>4.25</v>
      </c>
      <c r="G1228" s="4" t="str">
        <f>HYPERLINK("http://141.218.60.56/~jnz1568/getInfo.php?workbook=02_02.xlsx&amp;sheet=U0&amp;row=1228&amp;col=7&amp;number=0.04129&amp;sourceID=1","0.04129")</f>
        <v>0.04129</v>
      </c>
      <c r="H1228" s="4" t="str">
        <f>HYPERLINK("http://141.218.60.56/~jnz1568/getInfo.php?workbook=02_02.xlsx&amp;sheet=U0&amp;row=1228&amp;col=8&amp;number=&amp;sourceID=29","")</f>
        <v/>
      </c>
      <c r="I1228" s="4" t="str">
        <f>HYPERLINK("http://141.218.60.56/~jnz1568/getInfo.php?workbook=02_02.xlsx&amp;sheet=U0&amp;row=1228&amp;col=9&amp;number=&amp;sourceID=1","")</f>
        <v/>
      </c>
    </row>
    <row r="1229" spans="1:9">
      <c r="A1229" s="3"/>
      <c r="B1229" s="3"/>
      <c r="C1229" s="3"/>
      <c r="D1229" s="3"/>
      <c r="E1229" s="3">
        <v>4</v>
      </c>
      <c r="F1229" s="4" t="str">
        <f>HYPERLINK("http://141.218.60.56/~jnz1568/getInfo.php?workbook=02_02.xlsx&amp;sheet=U0&amp;row=1229&amp;col=6&amp;number=4.5&amp;sourceID=28","4.5")</f>
        <v>4.5</v>
      </c>
      <c r="G1229" s="4" t="str">
        <f>HYPERLINK("http://141.218.60.56/~jnz1568/getInfo.php?workbook=02_02.xlsx&amp;sheet=U0&amp;row=1229&amp;col=7&amp;number=0.03305&amp;sourceID=1","0.03305")</f>
        <v>0.03305</v>
      </c>
      <c r="H1229" s="4" t="str">
        <f>HYPERLINK("http://141.218.60.56/~jnz1568/getInfo.php?workbook=02_02.xlsx&amp;sheet=U0&amp;row=1229&amp;col=8&amp;number=&amp;sourceID=29","")</f>
        <v/>
      </c>
      <c r="I1229" s="4" t="str">
        <f>HYPERLINK("http://141.218.60.56/~jnz1568/getInfo.php?workbook=02_02.xlsx&amp;sheet=U0&amp;row=1229&amp;col=9&amp;number=&amp;sourceID=1","")</f>
        <v/>
      </c>
    </row>
    <row r="1230" spans="1:9">
      <c r="A1230" s="3"/>
      <c r="B1230" s="3"/>
      <c r="C1230" s="3"/>
      <c r="D1230" s="3"/>
      <c r="E1230" s="3">
        <v>5</v>
      </c>
      <c r="F1230" s="4" t="str">
        <f>HYPERLINK("http://141.218.60.56/~jnz1568/getInfo.php?workbook=02_02.xlsx&amp;sheet=U0&amp;row=1230&amp;col=6&amp;number=4.75&amp;sourceID=28","4.75")</f>
        <v>4.75</v>
      </c>
      <c r="G1230" s="4" t="str">
        <f>HYPERLINK("http://141.218.60.56/~jnz1568/getInfo.php?workbook=02_02.xlsx&amp;sheet=U0&amp;row=1230&amp;col=7&amp;number=0.02517&amp;sourceID=1","0.02517")</f>
        <v>0.02517</v>
      </c>
      <c r="H1230" s="4" t="str">
        <f>HYPERLINK("http://141.218.60.56/~jnz1568/getInfo.php?workbook=02_02.xlsx&amp;sheet=U0&amp;row=1230&amp;col=8&amp;number=&amp;sourceID=29","")</f>
        <v/>
      </c>
      <c r="I1230" s="4" t="str">
        <f>HYPERLINK("http://141.218.60.56/~jnz1568/getInfo.php?workbook=02_02.xlsx&amp;sheet=U0&amp;row=1230&amp;col=9&amp;number=&amp;sourceID=1","")</f>
        <v/>
      </c>
    </row>
    <row r="1231" spans="1:9">
      <c r="A1231" s="3"/>
      <c r="B1231" s="3"/>
      <c r="C1231" s="3"/>
      <c r="D1231" s="3"/>
      <c r="E1231" s="3">
        <v>6</v>
      </c>
      <c r="F1231" s="4" t="str">
        <f>HYPERLINK("http://141.218.60.56/~jnz1568/getInfo.php?workbook=02_02.xlsx&amp;sheet=U0&amp;row=1231&amp;col=6&amp;number=5&amp;sourceID=28","5")</f>
        <v>5</v>
      </c>
      <c r="G1231" s="4" t="str">
        <f>HYPERLINK("http://141.218.60.56/~jnz1568/getInfo.php?workbook=02_02.xlsx&amp;sheet=U0&amp;row=1231&amp;col=7&amp;number=0.01823&amp;sourceID=1","0.01823")</f>
        <v>0.01823</v>
      </c>
      <c r="H1231" s="4" t="str">
        <f>HYPERLINK("http://141.218.60.56/~jnz1568/getInfo.php?workbook=02_02.xlsx&amp;sheet=U0&amp;row=1231&amp;col=8&amp;number=&amp;sourceID=29","")</f>
        <v/>
      </c>
      <c r="I1231" s="4" t="str">
        <f>HYPERLINK("http://141.218.60.56/~jnz1568/getInfo.php?workbook=02_02.xlsx&amp;sheet=U0&amp;row=1231&amp;col=9&amp;number=&amp;sourceID=1","")</f>
        <v/>
      </c>
    </row>
    <row r="1232" spans="1:9">
      <c r="A1232" s="3"/>
      <c r="B1232" s="3"/>
      <c r="C1232" s="3"/>
      <c r="D1232" s="3"/>
      <c r="E1232" s="3">
        <v>7</v>
      </c>
      <c r="F1232" s="4" t="str">
        <f>HYPERLINK("http://141.218.60.56/~jnz1568/getInfo.php?workbook=02_02.xlsx&amp;sheet=U0&amp;row=1232&amp;col=6&amp;number=5.25&amp;sourceID=28","5.25")</f>
        <v>5.25</v>
      </c>
      <c r="G1232" s="4" t="str">
        <f>HYPERLINK("http://141.218.60.56/~jnz1568/getInfo.php?workbook=02_02.xlsx&amp;sheet=U0&amp;row=1232&amp;col=7&amp;number=0.01261&amp;sourceID=1","0.01261")</f>
        <v>0.01261</v>
      </c>
      <c r="H1232" s="4" t="str">
        <f>HYPERLINK("http://141.218.60.56/~jnz1568/getInfo.php?workbook=02_02.xlsx&amp;sheet=U0&amp;row=1232&amp;col=8&amp;number=&amp;sourceID=29","")</f>
        <v/>
      </c>
      <c r="I1232" s="4" t="str">
        <f>HYPERLINK("http://141.218.60.56/~jnz1568/getInfo.php?workbook=02_02.xlsx&amp;sheet=U0&amp;row=1232&amp;col=9&amp;number=&amp;sourceID=1","")</f>
        <v/>
      </c>
    </row>
    <row r="1233" spans="1:9">
      <c r="A1233" s="3"/>
      <c r="B1233" s="3"/>
      <c r="C1233" s="3"/>
      <c r="D1233" s="3"/>
      <c r="E1233" s="3">
        <v>8</v>
      </c>
      <c r="F1233" s="4" t="str">
        <f>HYPERLINK("http://141.218.60.56/~jnz1568/getInfo.php?workbook=02_02.xlsx&amp;sheet=U0&amp;row=1233&amp;col=6&amp;number=5.5&amp;sourceID=28","5.5")</f>
        <v>5.5</v>
      </c>
      <c r="G1233" s="4" t="str">
        <f>HYPERLINK("http://141.218.60.56/~jnz1568/getInfo.php?workbook=02_02.xlsx&amp;sheet=U0&amp;row=1233&amp;col=7&amp;number=0.008402&amp;sourceID=1","0.008402")</f>
        <v>0.008402</v>
      </c>
      <c r="H1233" s="4" t="str">
        <f>HYPERLINK("http://141.218.60.56/~jnz1568/getInfo.php?workbook=02_02.xlsx&amp;sheet=U0&amp;row=1233&amp;col=8&amp;number=&amp;sourceID=29","")</f>
        <v/>
      </c>
      <c r="I1233" s="4" t="str">
        <f>HYPERLINK("http://141.218.60.56/~jnz1568/getInfo.php?workbook=02_02.xlsx&amp;sheet=U0&amp;row=1233&amp;col=9&amp;number=&amp;sourceID=1","")</f>
        <v/>
      </c>
    </row>
    <row r="1234" spans="1:9">
      <c r="A1234" s="3"/>
      <c r="B1234" s="3"/>
      <c r="C1234" s="3"/>
      <c r="D1234" s="3"/>
      <c r="E1234" s="3">
        <v>9</v>
      </c>
      <c r="F1234" s="4" t="str">
        <f>HYPERLINK("http://141.218.60.56/~jnz1568/getInfo.php?workbook=02_02.xlsx&amp;sheet=U0&amp;row=1234&amp;col=6&amp;number=5.75&amp;sourceID=28","5.75")</f>
        <v>5.75</v>
      </c>
      <c r="G1234" s="4" t="str">
        <f>HYPERLINK("http://141.218.60.56/~jnz1568/getInfo.php?workbook=02_02.xlsx&amp;sheet=U0&amp;row=1234&amp;col=7&amp;number=0.005419&amp;sourceID=1","0.005419")</f>
        <v>0.005419</v>
      </c>
      <c r="H1234" s="4" t="str">
        <f>HYPERLINK("http://141.218.60.56/~jnz1568/getInfo.php?workbook=02_02.xlsx&amp;sheet=U0&amp;row=1234&amp;col=8&amp;number=&amp;sourceID=29","")</f>
        <v/>
      </c>
      <c r="I1234" s="4" t="str">
        <f>HYPERLINK("http://141.218.60.56/~jnz1568/getInfo.php?workbook=02_02.xlsx&amp;sheet=U0&amp;row=1234&amp;col=9&amp;number=&amp;sourceID=1","")</f>
        <v/>
      </c>
    </row>
    <row r="1235" spans="1:9">
      <c r="A1235" s="3">
        <v>2</v>
      </c>
      <c r="B1235" s="3">
        <v>2</v>
      </c>
      <c r="C1235" s="3">
        <v>21</v>
      </c>
      <c r="D1235" s="3">
        <v>3</v>
      </c>
      <c r="E1235" s="3">
        <v>1</v>
      </c>
      <c r="F1235" s="4" t="str">
        <f>HYPERLINK("http://141.218.60.56/~jnz1568/getInfo.php?workbook=02_02.xlsx&amp;sheet=U0&amp;row=1235&amp;col=6&amp;number=3.75&amp;sourceID=28","3.75")</f>
        <v>3.75</v>
      </c>
      <c r="G1235" s="4" t="str">
        <f>HYPERLINK("http://141.218.60.56/~jnz1568/getInfo.php?workbook=02_02.xlsx&amp;sheet=U0&amp;row=1235&amp;col=7&amp;number=0.04939&amp;sourceID=1","0.04939")</f>
        <v>0.04939</v>
      </c>
      <c r="H1235" s="4" t="str">
        <f>HYPERLINK("http://141.218.60.56/~jnz1568/getInfo.php?workbook=02_02.xlsx&amp;sheet=U0&amp;row=1235&amp;col=8&amp;number=&amp;sourceID=29","")</f>
        <v/>
      </c>
      <c r="I1235" s="4" t="str">
        <f>HYPERLINK("http://141.218.60.56/~jnz1568/getInfo.php?workbook=02_02.xlsx&amp;sheet=U0&amp;row=1235&amp;col=9&amp;number=&amp;sourceID=1","")</f>
        <v/>
      </c>
    </row>
    <row r="1236" spans="1:9">
      <c r="A1236" s="3"/>
      <c r="B1236" s="3"/>
      <c r="C1236" s="3"/>
      <c r="D1236" s="3"/>
      <c r="E1236" s="3">
        <v>2</v>
      </c>
      <c r="F1236" s="4" t="str">
        <f>HYPERLINK("http://141.218.60.56/~jnz1568/getInfo.php?workbook=02_02.xlsx&amp;sheet=U0&amp;row=1236&amp;col=6&amp;number=4&amp;sourceID=28","4")</f>
        <v>4</v>
      </c>
      <c r="G1236" s="4" t="str">
        <f>HYPERLINK("http://141.218.60.56/~jnz1568/getInfo.php?workbook=02_02.xlsx&amp;sheet=U0&amp;row=1236&amp;col=7&amp;number=0.04801&amp;sourceID=1","0.04801")</f>
        <v>0.04801</v>
      </c>
      <c r="H1236" s="4" t="str">
        <f>HYPERLINK("http://141.218.60.56/~jnz1568/getInfo.php?workbook=02_02.xlsx&amp;sheet=U0&amp;row=1236&amp;col=8&amp;number=&amp;sourceID=29","")</f>
        <v/>
      </c>
      <c r="I1236" s="4" t="str">
        <f>HYPERLINK("http://141.218.60.56/~jnz1568/getInfo.php?workbook=02_02.xlsx&amp;sheet=U0&amp;row=1236&amp;col=9&amp;number=&amp;sourceID=1","")</f>
        <v/>
      </c>
    </row>
    <row r="1237" spans="1:9">
      <c r="A1237" s="3"/>
      <c r="B1237" s="3"/>
      <c r="C1237" s="3"/>
      <c r="D1237" s="3"/>
      <c r="E1237" s="3">
        <v>3</v>
      </c>
      <c r="F1237" s="4" t="str">
        <f>HYPERLINK("http://141.218.60.56/~jnz1568/getInfo.php?workbook=02_02.xlsx&amp;sheet=U0&amp;row=1237&amp;col=6&amp;number=4.25&amp;sourceID=28","4.25")</f>
        <v>4.25</v>
      </c>
      <c r="G1237" s="4" t="str">
        <f>HYPERLINK("http://141.218.60.56/~jnz1568/getInfo.php?workbook=02_02.xlsx&amp;sheet=U0&amp;row=1237&amp;col=7&amp;number=0.05053&amp;sourceID=1","0.05053")</f>
        <v>0.05053</v>
      </c>
      <c r="H1237" s="4" t="str">
        <f>HYPERLINK("http://141.218.60.56/~jnz1568/getInfo.php?workbook=02_02.xlsx&amp;sheet=U0&amp;row=1237&amp;col=8&amp;number=&amp;sourceID=29","")</f>
        <v/>
      </c>
      <c r="I1237" s="4" t="str">
        <f>HYPERLINK("http://141.218.60.56/~jnz1568/getInfo.php?workbook=02_02.xlsx&amp;sheet=U0&amp;row=1237&amp;col=9&amp;number=&amp;sourceID=1","")</f>
        <v/>
      </c>
    </row>
    <row r="1238" spans="1:9">
      <c r="A1238" s="3"/>
      <c r="B1238" s="3"/>
      <c r="C1238" s="3"/>
      <c r="D1238" s="3"/>
      <c r="E1238" s="3">
        <v>4</v>
      </c>
      <c r="F1238" s="4" t="str">
        <f>HYPERLINK("http://141.218.60.56/~jnz1568/getInfo.php?workbook=02_02.xlsx&amp;sheet=U0&amp;row=1238&amp;col=6&amp;number=4.5&amp;sourceID=28","4.5")</f>
        <v>4.5</v>
      </c>
      <c r="G1238" s="4" t="str">
        <f>HYPERLINK("http://141.218.60.56/~jnz1568/getInfo.php?workbook=02_02.xlsx&amp;sheet=U0&amp;row=1238&amp;col=7&amp;number=0.06149&amp;sourceID=1","0.06149")</f>
        <v>0.06149</v>
      </c>
      <c r="H1238" s="4" t="str">
        <f>HYPERLINK("http://141.218.60.56/~jnz1568/getInfo.php?workbook=02_02.xlsx&amp;sheet=U0&amp;row=1238&amp;col=8&amp;number=&amp;sourceID=29","")</f>
        <v/>
      </c>
      <c r="I1238" s="4" t="str">
        <f>HYPERLINK("http://141.218.60.56/~jnz1568/getInfo.php?workbook=02_02.xlsx&amp;sheet=U0&amp;row=1238&amp;col=9&amp;number=&amp;sourceID=1","")</f>
        <v/>
      </c>
    </row>
    <row r="1239" spans="1:9">
      <c r="A1239" s="3"/>
      <c r="B1239" s="3"/>
      <c r="C1239" s="3"/>
      <c r="D1239" s="3"/>
      <c r="E1239" s="3">
        <v>5</v>
      </c>
      <c r="F1239" s="4" t="str">
        <f>HYPERLINK("http://141.218.60.56/~jnz1568/getInfo.php?workbook=02_02.xlsx&amp;sheet=U0&amp;row=1239&amp;col=6&amp;number=4.75&amp;sourceID=28","4.75")</f>
        <v>4.75</v>
      </c>
      <c r="G1239" s="4" t="str">
        <f>HYPERLINK("http://141.218.60.56/~jnz1568/getInfo.php?workbook=02_02.xlsx&amp;sheet=U0&amp;row=1239&amp;col=7&amp;number=0.08346&amp;sourceID=1","0.08346")</f>
        <v>0.08346</v>
      </c>
      <c r="H1239" s="4" t="str">
        <f>HYPERLINK("http://141.218.60.56/~jnz1568/getInfo.php?workbook=02_02.xlsx&amp;sheet=U0&amp;row=1239&amp;col=8&amp;number=&amp;sourceID=29","")</f>
        <v/>
      </c>
      <c r="I1239" s="4" t="str">
        <f>HYPERLINK("http://141.218.60.56/~jnz1568/getInfo.php?workbook=02_02.xlsx&amp;sheet=U0&amp;row=1239&amp;col=9&amp;number=&amp;sourceID=1","")</f>
        <v/>
      </c>
    </row>
    <row r="1240" spans="1:9">
      <c r="A1240" s="3"/>
      <c r="B1240" s="3"/>
      <c r="C1240" s="3"/>
      <c r="D1240" s="3"/>
      <c r="E1240" s="3">
        <v>6</v>
      </c>
      <c r="F1240" s="4" t="str">
        <f>HYPERLINK("http://141.218.60.56/~jnz1568/getInfo.php?workbook=02_02.xlsx&amp;sheet=U0&amp;row=1240&amp;col=6&amp;number=5&amp;sourceID=28","5")</f>
        <v>5</v>
      </c>
      <c r="G1240" s="4" t="str">
        <f>HYPERLINK("http://141.218.60.56/~jnz1568/getInfo.php?workbook=02_02.xlsx&amp;sheet=U0&amp;row=1240&amp;col=7&amp;number=0.1137&amp;sourceID=1","0.1137")</f>
        <v>0.1137</v>
      </c>
      <c r="H1240" s="4" t="str">
        <f>HYPERLINK("http://141.218.60.56/~jnz1568/getInfo.php?workbook=02_02.xlsx&amp;sheet=U0&amp;row=1240&amp;col=8&amp;number=&amp;sourceID=29","")</f>
        <v/>
      </c>
      <c r="I1240" s="4" t="str">
        <f>HYPERLINK("http://141.218.60.56/~jnz1568/getInfo.php?workbook=02_02.xlsx&amp;sheet=U0&amp;row=1240&amp;col=9&amp;number=&amp;sourceID=1","")</f>
        <v/>
      </c>
    </row>
    <row r="1241" spans="1:9">
      <c r="A1241" s="3"/>
      <c r="B1241" s="3"/>
      <c r="C1241" s="3"/>
      <c r="D1241" s="3"/>
      <c r="E1241" s="3">
        <v>7</v>
      </c>
      <c r="F1241" s="4" t="str">
        <f>HYPERLINK("http://141.218.60.56/~jnz1568/getInfo.php?workbook=02_02.xlsx&amp;sheet=U0&amp;row=1241&amp;col=6&amp;number=5.25&amp;sourceID=28","5.25")</f>
        <v>5.25</v>
      </c>
      <c r="G1241" s="4" t="str">
        <f>HYPERLINK("http://141.218.60.56/~jnz1568/getInfo.php?workbook=02_02.xlsx&amp;sheet=U0&amp;row=1241&amp;col=7&amp;number=0.1467&amp;sourceID=1","0.1467")</f>
        <v>0.1467</v>
      </c>
      <c r="H1241" s="4" t="str">
        <f>HYPERLINK("http://141.218.60.56/~jnz1568/getInfo.php?workbook=02_02.xlsx&amp;sheet=U0&amp;row=1241&amp;col=8&amp;number=&amp;sourceID=29","")</f>
        <v/>
      </c>
      <c r="I1241" s="4" t="str">
        <f>HYPERLINK("http://141.218.60.56/~jnz1568/getInfo.php?workbook=02_02.xlsx&amp;sheet=U0&amp;row=1241&amp;col=9&amp;number=&amp;sourceID=1","")</f>
        <v/>
      </c>
    </row>
    <row r="1242" spans="1:9">
      <c r="A1242" s="3"/>
      <c r="B1242" s="3"/>
      <c r="C1242" s="3"/>
      <c r="D1242" s="3"/>
      <c r="E1242" s="3">
        <v>8</v>
      </c>
      <c r="F1242" s="4" t="str">
        <f>HYPERLINK("http://141.218.60.56/~jnz1568/getInfo.php?workbook=02_02.xlsx&amp;sheet=U0&amp;row=1242&amp;col=6&amp;number=5.5&amp;sourceID=28","5.5")</f>
        <v>5.5</v>
      </c>
      <c r="G1242" s="4" t="str">
        <f>HYPERLINK("http://141.218.60.56/~jnz1568/getInfo.php?workbook=02_02.xlsx&amp;sheet=U0&amp;row=1242&amp;col=7&amp;number=0.1782&amp;sourceID=1","0.1782")</f>
        <v>0.1782</v>
      </c>
      <c r="H1242" s="4" t="str">
        <f>HYPERLINK("http://141.218.60.56/~jnz1568/getInfo.php?workbook=02_02.xlsx&amp;sheet=U0&amp;row=1242&amp;col=8&amp;number=&amp;sourceID=29","")</f>
        <v/>
      </c>
      <c r="I1242" s="4" t="str">
        <f>HYPERLINK("http://141.218.60.56/~jnz1568/getInfo.php?workbook=02_02.xlsx&amp;sheet=U0&amp;row=1242&amp;col=9&amp;number=&amp;sourceID=1","")</f>
        <v/>
      </c>
    </row>
    <row r="1243" spans="1:9">
      <c r="A1243" s="3"/>
      <c r="B1243" s="3"/>
      <c r="C1243" s="3"/>
      <c r="D1243" s="3"/>
      <c r="E1243" s="3">
        <v>9</v>
      </c>
      <c r="F1243" s="4" t="str">
        <f>HYPERLINK("http://141.218.60.56/~jnz1568/getInfo.php?workbook=02_02.xlsx&amp;sheet=U0&amp;row=1243&amp;col=6&amp;number=5.75&amp;sourceID=28","5.75")</f>
        <v>5.75</v>
      </c>
      <c r="G1243" s="4" t="str">
        <f>HYPERLINK("http://141.218.60.56/~jnz1568/getInfo.php?workbook=02_02.xlsx&amp;sheet=U0&amp;row=1243&amp;col=7&amp;number=0.2063&amp;sourceID=1","0.2063")</f>
        <v>0.2063</v>
      </c>
      <c r="H1243" s="4" t="str">
        <f>HYPERLINK("http://141.218.60.56/~jnz1568/getInfo.php?workbook=02_02.xlsx&amp;sheet=U0&amp;row=1243&amp;col=8&amp;number=&amp;sourceID=29","")</f>
        <v/>
      </c>
      <c r="I1243" s="4" t="str">
        <f>HYPERLINK("http://141.218.60.56/~jnz1568/getInfo.php?workbook=02_02.xlsx&amp;sheet=U0&amp;row=1243&amp;col=9&amp;number=&amp;sourceID=1","")</f>
        <v/>
      </c>
    </row>
    <row r="1244" spans="1:9">
      <c r="A1244" s="3">
        <v>2</v>
      </c>
      <c r="B1244" s="3">
        <v>2</v>
      </c>
      <c r="C1244" s="3">
        <v>21</v>
      </c>
      <c r="D1244" s="3">
        <v>4</v>
      </c>
      <c r="E1244" s="3">
        <v>1</v>
      </c>
      <c r="F1244" s="4" t="str">
        <f>HYPERLINK("http://141.218.60.56/~jnz1568/getInfo.php?workbook=02_02.xlsx&amp;sheet=U0&amp;row=1244&amp;col=6&amp;number=3.75&amp;sourceID=28","3.75")</f>
        <v>3.75</v>
      </c>
      <c r="G1244" s="4" t="str">
        <f>HYPERLINK("http://141.218.60.56/~jnz1568/getInfo.php?workbook=02_02.xlsx&amp;sheet=U0&amp;row=1244&amp;col=7&amp;number=0.1446&amp;sourceID=1","0.1446")</f>
        <v>0.1446</v>
      </c>
      <c r="H1244" s="4" t="str">
        <f>HYPERLINK("http://141.218.60.56/~jnz1568/getInfo.php?workbook=02_02.xlsx&amp;sheet=U0&amp;row=1244&amp;col=8&amp;number=&amp;sourceID=29","")</f>
        <v/>
      </c>
      <c r="I1244" s="4" t="str">
        <f>HYPERLINK("http://141.218.60.56/~jnz1568/getInfo.php?workbook=02_02.xlsx&amp;sheet=U0&amp;row=1244&amp;col=9&amp;number=&amp;sourceID=1","")</f>
        <v/>
      </c>
    </row>
    <row r="1245" spans="1:9">
      <c r="A1245" s="3"/>
      <c r="B1245" s="3"/>
      <c r="C1245" s="3"/>
      <c r="D1245" s="3"/>
      <c r="E1245" s="3">
        <v>2</v>
      </c>
      <c r="F1245" s="4" t="str">
        <f>HYPERLINK("http://141.218.60.56/~jnz1568/getInfo.php?workbook=02_02.xlsx&amp;sheet=U0&amp;row=1245&amp;col=6&amp;number=4&amp;sourceID=28","4")</f>
        <v>4</v>
      </c>
      <c r="G1245" s="4" t="str">
        <f>HYPERLINK("http://141.218.60.56/~jnz1568/getInfo.php?workbook=02_02.xlsx&amp;sheet=U0&amp;row=1245&amp;col=7&amp;number=0.1276&amp;sourceID=1","0.1276")</f>
        <v>0.1276</v>
      </c>
      <c r="H1245" s="4" t="str">
        <f>HYPERLINK("http://141.218.60.56/~jnz1568/getInfo.php?workbook=02_02.xlsx&amp;sheet=U0&amp;row=1245&amp;col=8&amp;number=&amp;sourceID=29","")</f>
        <v/>
      </c>
      <c r="I1245" s="4" t="str">
        <f>HYPERLINK("http://141.218.60.56/~jnz1568/getInfo.php?workbook=02_02.xlsx&amp;sheet=U0&amp;row=1245&amp;col=9&amp;number=&amp;sourceID=1","")</f>
        <v/>
      </c>
    </row>
    <row r="1246" spans="1:9">
      <c r="A1246" s="3"/>
      <c r="B1246" s="3"/>
      <c r="C1246" s="3"/>
      <c r="D1246" s="3"/>
      <c r="E1246" s="3">
        <v>3</v>
      </c>
      <c r="F1246" s="4" t="str">
        <f>HYPERLINK("http://141.218.60.56/~jnz1568/getInfo.php?workbook=02_02.xlsx&amp;sheet=U0&amp;row=1246&amp;col=6&amp;number=4.25&amp;sourceID=28","4.25")</f>
        <v>4.25</v>
      </c>
      <c r="G1246" s="4" t="str">
        <f>HYPERLINK("http://141.218.60.56/~jnz1568/getInfo.php?workbook=02_02.xlsx&amp;sheet=U0&amp;row=1246&amp;col=7&amp;number=0.1074&amp;sourceID=1","0.1074")</f>
        <v>0.1074</v>
      </c>
      <c r="H1246" s="4" t="str">
        <f>HYPERLINK("http://141.218.60.56/~jnz1568/getInfo.php?workbook=02_02.xlsx&amp;sheet=U0&amp;row=1246&amp;col=8&amp;number=&amp;sourceID=29","")</f>
        <v/>
      </c>
      <c r="I1246" s="4" t="str">
        <f>HYPERLINK("http://141.218.60.56/~jnz1568/getInfo.php?workbook=02_02.xlsx&amp;sheet=U0&amp;row=1246&amp;col=9&amp;number=&amp;sourceID=1","")</f>
        <v/>
      </c>
    </row>
    <row r="1247" spans="1:9">
      <c r="A1247" s="3"/>
      <c r="B1247" s="3"/>
      <c r="C1247" s="3"/>
      <c r="D1247" s="3"/>
      <c r="E1247" s="3">
        <v>4</v>
      </c>
      <c r="F1247" s="4" t="str">
        <f>HYPERLINK("http://141.218.60.56/~jnz1568/getInfo.php?workbook=02_02.xlsx&amp;sheet=U0&amp;row=1247&amp;col=6&amp;number=4.5&amp;sourceID=28","4.5")</f>
        <v>4.5</v>
      </c>
      <c r="G1247" s="4" t="str">
        <f>HYPERLINK("http://141.218.60.56/~jnz1568/getInfo.php?workbook=02_02.xlsx&amp;sheet=U0&amp;row=1247&amp;col=7&amp;number=0.08586&amp;sourceID=1","0.08586")</f>
        <v>0.08586</v>
      </c>
      <c r="H1247" s="4" t="str">
        <f>HYPERLINK("http://141.218.60.56/~jnz1568/getInfo.php?workbook=02_02.xlsx&amp;sheet=U0&amp;row=1247&amp;col=8&amp;number=&amp;sourceID=29","")</f>
        <v/>
      </c>
      <c r="I1247" s="4" t="str">
        <f>HYPERLINK("http://141.218.60.56/~jnz1568/getInfo.php?workbook=02_02.xlsx&amp;sheet=U0&amp;row=1247&amp;col=9&amp;number=&amp;sourceID=1","")</f>
        <v/>
      </c>
    </row>
    <row r="1248" spans="1:9">
      <c r="A1248" s="3"/>
      <c r="B1248" s="3"/>
      <c r="C1248" s="3"/>
      <c r="D1248" s="3"/>
      <c r="E1248" s="3">
        <v>5</v>
      </c>
      <c r="F1248" s="4" t="str">
        <f>HYPERLINK("http://141.218.60.56/~jnz1568/getInfo.php?workbook=02_02.xlsx&amp;sheet=U0&amp;row=1248&amp;col=6&amp;number=4.75&amp;sourceID=28","4.75")</f>
        <v>4.75</v>
      </c>
      <c r="G1248" s="4" t="str">
        <f>HYPERLINK("http://141.218.60.56/~jnz1568/getInfo.php?workbook=02_02.xlsx&amp;sheet=U0&amp;row=1248&amp;col=7&amp;number=0.06503&amp;sourceID=1","0.06503")</f>
        <v>0.06503</v>
      </c>
      <c r="H1248" s="4" t="str">
        <f>HYPERLINK("http://141.218.60.56/~jnz1568/getInfo.php?workbook=02_02.xlsx&amp;sheet=U0&amp;row=1248&amp;col=8&amp;number=&amp;sourceID=29","")</f>
        <v/>
      </c>
      <c r="I1248" s="4" t="str">
        <f>HYPERLINK("http://141.218.60.56/~jnz1568/getInfo.php?workbook=02_02.xlsx&amp;sheet=U0&amp;row=1248&amp;col=9&amp;number=&amp;sourceID=1","")</f>
        <v/>
      </c>
    </row>
    <row r="1249" spans="1:9">
      <c r="A1249" s="3"/>
      <c r="B1249" s="3"/>
      <c r="C1249" s="3"/>
      <c r="D1249" s="3"/>
      <c r="E1249" s="3">
        <v>6</v>
      </c>
      <c r="F1249" s="4" t="str">
        <f>HYPERLINK("http://141.218.60.56/~jnz1568/getInfo.php?workbook=02_02.xlsx&amp;sheet=U0&amp;row=1249&amp;col=6&amp;number=5&amp;sourceID=28","5")</f>
        <v>5</v>
      </c>
      <c r="G1249" s="4" t="str">
        <f>HYPERLINK("http://141.218.60.56/~jnz1568/getInfo.php?workbook=02_02.xlsx&amp;sheet=U0&amp;row=1249&amp;col=7&amp;number=0.04678&amp;sourceID=1","0.04678")</f>
        <v>0.04678</v>
      </c>
      <c r="H1249" s="4" t="str">
        <f>HYPERLINK("http://141.218.60.56/~jnz1568/getInfo.php?workbook=02_02.xlsx&amp;sheet=U0&amp;row=1249&amp;col=8&amp;number=&amp;sourceID=29","")</f>
        <v/>
      </c>
      <c r="I1249" s="4" t="str">
        <f>HYPERLINK("http://141.218.60.56/~jnz1568/getInfo.php?workbook=02_02.xlsx&amp;sheet=U0&amp;row=1249&amp;col=9&amp;number=&amp;sourceID=1","")</f>
        <v/>
      </c>
    </row>
    <row r="1250" spans="1:9">
      <c r="A1250" s="3"/>
      <c r="B1250" s="3"/>
      <c r="C1250" s="3"/>
      <c r="D1250" s="3"/>
      <c r="E1250" s="3">
        <v>7</v>
      </c>
      <c r="F1250" s="4" t="str">
        <f>HYPERLINK("http://141.218.60.56/~jnz1568/getInfo.php?workbook=02_02.xlsx&amp;sheet=U0&amp;row=1250&amp;col=6&amp;number=5.25&amp;sourceID=28","5.25")</f>
        <v>5.25</v>
      </c>
      <c r="G1250" s="4" t="str">
        <f>HYPERLINK("http://141.218.60.56/~jnz1568/getInfo.php?workbook=02_02.xlsx&amp;sheet=U0&amp;row=1250&amp;col=7&amp;number=0.03204&amp;sourceID=1","0.03204")</f>
        <v>0.03204</v>
      </c>
      <c r="H1250" s="4" t="str">
        <f>HYPERLINK("http://141.218.60.56/~jnz1568/getInfo.php?workbook=02_02.xlsx&amp;sheet=U0&amp;row=1250&amp;col=8&amp;number=&amp;sourceID=29","")</f>
        <v/>
      </c>
      <c r="I1250" s="4" t="str">
        <f>HYPERLINK("http://141.218.60.56/~jnz1568/getInfo.php?workbook=02_02.xlsx&amp;sheet=U0&amp;row=1250&amp;col=9&amp;number=&amp;sourceID=1","")</f>
        <v/>
      </c>
    </row>
    <row r="1251" spans="1:9">
      <c r="A1251" s="3"/>
      <c r="B1251" s="3"/>
      <c r="C1251" s="3"/>
      <c r="D1251" s="3"/>
      <c r="E1251" s="3">
        <v>8</v>
      </c>
      <c r="F1251" s="4" t="str">
        <f>HYPERLINK("http://141.218.60.56/~jnz1568/getInfo.php?workbook=02_02.xlsx&amp;sheet=U0&amp;row=1251&amp;col=6&amp;number=5.5&amp;sourceID=28","5.5")</f>
        <v>5.5</v>
      </c>
      <c r="G1251" s="4" t="str">
        <f>HYPERLINK("http://141.218.60.56/~jnz1568/getInfo.php?workbook=02_02.xlsx&amp;sheet=U0&amp;row=1251&amp;col=7&amp;number=0.02097&amp;sourceID=1","0.02097")</f>
        <v>0.02097</v>
      </c>
      <c r="H1251" s="4" t="str">
        <f>HYPERLINK("http://141.218.60.56/~jnz1568/getInfo.php?workbook=02_02.xlsx&amp;sheet=U0&amp;row=1251&amp;col=8&amp;number=&amp;sourceID=29","")</f>
        <v/>
      </c>
      <c r="I1251" s="4" t="str">
        <f>HYPERLINK("http://141.218.60.56/~jnz1568/getInfo.php?workbook=02_02.xlsx&amp;sheet=U0&amp;row=1251&amp;col=9&amp;number=&amp;sourceID=1","")</f>
        <v/>
      </c>
    </row>
    <row r="1252" spans="1:9">
      <c r="A1252" s="3"/>
      <c r="B1252" s="3"/>
      <c r="C1252" s="3"/>
      <c r="D1252" s="3"/>
      <c r="E1252" s="3">
        <v>9</v>
      </c>
      <c r="F1252" s="4" t="str">
        <f>HYPERLINK("http://141.218.60.56/~jnz1568/getInfo.php?workbook=02_02.xlsx&amp;sheet=U0&amp;row=1252&amp;col=6&amp;number=5.75&amp;sourceID=28","5.75")</f>
        <v>5.75</v>
      </c>
      <c r="G1252" s="4" t="str">
        <f>HYPERLINK("http://141.218.60.56/~jnz1568/getInfo.php?workbook=02_02.xlsx&amp;sheet=U0&amp;row=1252&amp;col=7&amp;number=0.0132&amp;sourceID=1","0.0132")</f>
        <v>0.0132</v>
      </c>
      <c r="H1252" s="4" t="str">
        <f>HYPERLINK("http://141.218.60.56/~jnz1568/getInfo.php?workbook=02_02.xlsx&amp;sheet=U0&amp;row=1252&amp;col=8&amp;number=&amp;sourceID=29","")</f>
        <v/>
      </c>
      <c r="I1252" s="4" t="str">
        <f>HYPERLINK("http://141.218.60.56/~jnz1568/getInfo.php?workbook=02_02.xlsx&amp;sheet=U0&amp;row=1252&amp;col=9&amp;number=&amp;sourceID=1","")</f>
        <v/>
      </c>
    </row>
    <row r="1253" spans="1:9">
      <c r="A1253" s="3">
        <v>2</v>
      </c>
      <c r="B1253" s="3">
        <v>2</v>
      </c>
      <c r="C1253" s="3">
        <v>22</v>
      </c>
      <c r="D1253" s="3">
        <v>1</v>
      </c>
      <c r="E1253" s="3">
        <v>1</v>
      </c>
      <c r="F1253" s="4" t="str">
        <f>HYPERLINK("http://141.218.60.56/~jnz1568/getInfo.php?workbook=02_02.xlsx&amp;sheet=U0&amp;row=1253&amp;col=6&amp;number=3.75&amp;sourceID=28","3.75")</f>
        <v>3.75</v>
      </c>
      <c r="G1253" s="4" t="str">
        <f>HYPERLINK("http://141.218.60.56/~jnz1568/getInfo.php?workbook=02_02.xlsx&amp;sheet=U0&amp;row=1253&amp;col=7&amp;number=0.001193&amp;sourceID=1","0.001193")</f>
        <v>0.001193</v>
      </c>
      <c r="H1253" s="4" t="str">
        <f>HYPERLINK("http://141.218.60.56/~jnz1568/getInfo.php?workbook=02_02.xlsx&amp;sheet=U0&amp;row=1253&amp;col=8&amp;number=&amp;sourceID=29","")</f>
        <v/>
      </c>
      <c r="I1253" s="4" t="str">
        <f>HYPERLINK("http://141.218.60.56/~jnz1568/getInfo.php?workbook=02_02.xlsx&amp;sheet=U0&amp;row=1253&amp;col=9&amp;number=&amp;sourceID=1","")</f>
        <v/>
      </c>
    </row>
    <row r="1254" spans="1:9">
      <c r="A1254" s="3"/>
      <c r="B1254" s="3"/>
      <c r="C1254" s="3"/>
      <c r="D1254" s="3"/>
      <c r="E1254" s="3">
        <v>2</v>
      </c>
      <c r="F1254" s="4" t="str">
        <f>HYPERLINK("http://141.218.60.56/~jnz1568/getInfo.php?workbook=02_02.xlsx&amp;sheet=U0&amp;row=1254&amp;col=6&amp;number=4&amp;sourceID=28","4")</f>
        <v>4</v>
      </c>
      <c r="G1254" s="4" t="str">
        <f>HYPERLINK("http://141.218.60.56/~jnz1568/getInfo.php?workbook=02_02.xlsx&amp;sheet=U0&amp;row=1254&amp;col=7&amp;number=0.001466&amp;sourceID=1","0.001466")</f>
        <v>0.001466</v>
      </c>
      <c r="H1254" s="4" t="str">
        <f>HYPERLINK("http://141.218.60.56/~jnz1568/getInfo.php?workbook=02_02.xlsx&amp;sheet=U0&amp;row=1254&amp;col=8&amp;number=&amp;sourceID=29","")</f>
        <v/>
      </c>
      <c r="I1254" s="4" t="str">
        <f>HYPERLINK("http://141.218.60.56/~jnz1568/getInfo.php?workbook=02_02.xlsx&amp;sheet=U0&amp;row=1254&amp;col=9&amp;number=&amp;sourceID=1","")</f>
        <v/>
      </c>
    </row>
    <row r="1255" spans="1:9">
      <c r="A1255" s="3"/>
      <c r="B1255" s="3"/>
      <c r="C1255" s="3"/>
      <c r="D1255" s="3"/>
      <c r="E1255" s="3">
        <v>3</v>
      </c>
      <c r="F1255" s="4" t="str">
        <f>HYPERLINK("http://141.218.60.56/~jnz1568/getInfo.php?workbook=02_02.xlsx&amp;sheet=U0&amp;row=1255&amp;col=6&amp;number=4.25&amp;sourceID=28","4.25")</f>
        <v>4.25</v>
      </c>
      <c r="G1255" s="4" t="str">
        <f>HYPERLINK("http://141.218.60.56/~jnz1568/getInfo.php?workbook=02_02.xlsx&amp;sheet=U0&amp;row=1255&amp;col=7&amp;number=0.001762&amp;sourceID=1","0.001762")</f>
        <v>0.001762</v>
      </c>
      <c r="H1255" s="4" t="str">
        <f>HYPERLINK("http://141.218.60.56/~jnz1568/getInfo.php?workbook=02_02.xlsx&amp;sheet=U0&amp;row=1255&amp;col=8&amp;number=&amp;sourceID=29","")</f>
        <v/>
      </c>
      <c r="I1255" s="4" t="str">
        <f>HYPERLINK("http://141.218.60.56/~jnz1568/getInfo.php?workbook=02_02.xlsx&amp;sheet=U0&amp;row=1255&amp;col=9&amp;number=&amp;sourceID=1","")</f>
        <v/>
      </c>
    </row>
    <row r="1256" spans="1:9">
      <c r="A1256" s="3"/>
      <c r="B1256" s="3"/>
      <c r="C1256" s="3"/>
      <c r="D1256" s="3"/>
      <c r="E1256" s="3">
        <v>4</v>
      </c>
      <c r="F1256" s="4" t="str">
        <f>HYPERLINK("http://141.218.60.56/~jnz1568/getInfo.php?workbook=02_02.xlsx&amp;sheet=U0&amp;row=1256&amp;col=6&amp;number=4.5&amp;sourceID=28","4.5")</f>
        <v>4.5</v>
      </c>
      <c r="G1256" s="4" t="str">
        <f>HYPERLINK("http://141.218.60.56/~jnz1568/getInfo.php?workbook=02_02.xlsx&amp;sheet=U0&amp;row=1256&amp;col=7&amp;number=0.00207&amp;sourceID=1","0.00207")</f>
        <v>0.00207</v>
      </c>
      <c r="H1256" s="4" t="str">
        <f>HYPERLINK("http://141.218.60.56/~jnz1568/getInfo.php?workbook=02_02.xlsx&amp;sheet=U0&amp;row=1256&amp;col=8&amp;number=&amp;sourceID=29","")</f>
        <v/>
      </c>
      <c r="I1256" s="4" t="str">
        <f>HYPERLINK("http://141.218.60.56/~jnz1568/getInfo.php?workbook=02_02.xlsx&amp;sheet=U0&amp;row=1256&amp;col=9&amp;number=&amp;sourceID=1","")</f>
        <v/>
      </c>
    </row>
    <row r="1257" spans="1:9">
      <c r="A1257" s="3"/>
      <c r="B1257" s="3"/>
      <c r="C1257" s="3"/>
      <c r="D1257" s="3"/>
      <c r="E1257" s="3">
        <v>5</v>
      </c>
      <c r="F1257" s="4" t="str">
        <f>HYPERLINK("http://141.218.60.56/~jnz1568/getInfo.php?workbook=02_02.xlsx&amp;sheet=U0&amp;row=1257&amp;col=6&amp;number=4.75&amp;sourceID=28","4.75")</f>
        <v>4.75</v>
      </c>
      <c r="G1257" s="4" t="str">
        <f>HYPERLINK("http://141.218.60.56/~jnz1568/getInfo.php?workbook=02_02.xlsx&amp;sheet=U0&amp;row=1257&amp;col=7&amp;number=0.002378&amp;sourceID=1","0.002378")</f>
        <v>0.002378</v>
      </c>
      <c r="H1257" s="4" t="str">
        <f>HYPERLINK("http://141.218.60.56/~jnz1568/getInfo.php?workbook=02_02.xlsx&amp;sheet=U0&amp;row=1257&amp;col=8&amp;number=&amp;sourceID=29","")</f>
        <v/>
      </c>
      <c r="I1257" s="4" t="str">
        <f>HYPERLINK("http://141.218.60.56/~jnz1568/getInfo.php?workbook=02_02.xlsx&amp;sheet=U0&amp;row=1257&amp;col=9&amp;number=&amp;sourceID=1","")</f>
        <v/>
      </c>
    </row>
    <row r="1258" spans="1:9">
      <c r="A1258" s="3"/>
      <c r="B1258" s="3"/>
      <c r="C1258" s="3"/>
      <c r="D1258" s="3"/>
      <c r="E1258" s="3">
        <v>6</v>
      </c>
      <c r="F1258" s="4" t="str">
        <f>HYPERLINK("http://141.218.60.56/~jnz1568/getInfo.php?workbook=02_02.xlsx&amp;sheet=U0&amp;row=1258&amp;col=6&amp;number=5&amp;sourceID=28","5")</f>
        <v>5</v>
      </c>
      <c r="G1258" s="4" t="str">
        <f>HYPERLINK("http://141.218.60.56/~jnz1568/getInfo.php?workbook=02_02.xlsx&amp;sheet=U0&amp;row=1258&amp;col=7&amp;number=0.002625&amp;sourceID=1","0.002625")</f>
        <v>0.002625</v>
      </c>
      <c r="H1258" s="4" t="str">
        <f>HYPERLINK("http://141.218.60.56/~jnz1568/getInfo.php?workbook=02_02.xlsx&amp;sheet=U0&amp;row=1258&amp;col=8&amp;number=&amp;sourceID=29","")</f>
        <v/>
      </c>
      <c r="I1258" s="4" t="str">
        <f>HYPERLINK("http://141.218.60.56/~jnz1568/getInfo.php?workbook=02_02.xlsx&amp;sheet=U0&amp;row=1258&amp;col=9&amp;number=&amp;sourceID=1","")</f>
        <v/>
      </c>
    </row>
    <row r="1259" spans="1:9">
      <c r="A1259" s="3"/>
      <c r="B1259" s="3"/>
      <c r="C1259" s="3"/>
      <c r="D1259" s="3"/>
      <c r="E1259" s="3">
        <v>7</v>
      </c>
      <c r="F1259" s="4" t="str">
        <f>HYPERLINK("http://141.218.60.56/~jnz1568/getInfo.php?workbook=02_02.xlsx&amp;sheet=U0&amp;row=1259&amp;col=6&amp;number=5.25&amp;sourceID=28","5.25")</f>
        <v>5.25</v>
      </c>
      <c r="G1259" s="4" t="str">
        <f>HYPERLINK("http://141.218.60.56/~jnz1568/getInfo.php?workbook=02_02.xlsx&amp;sheet=U0&amp;row=1259&amp;col=7&amp;number=0.002704&amp;sourceID=1","0.002704")</f>
        <v>0.002704</v>
      </c>
      <c r="H1259" s="4" t="str">
        <f>HYPERLINK("http://141.218.60.56/~jnz1568/getInfo.php?workbook=02_02.xlsx&amp;sheet=U0&amp;row=1259&amp;col=8&amp;number=&amp;sourceID=29","")</f>
        <v/>
      </c>
      <c r="I1259" s="4" t="str">
        <f>HYPERLINK("http://141.218.60.56/~jnz1568/getInfo.php?workbook=02_02.xlsx&amp;sheet=U0&amp;row=1259&amp;col=9&amp;number=&amp;sourceID=1","")</f>
        <v/>
      </c>
    </row>
    <row r="1260" spans="1:9">
      <c r="A1260" s="3"/>
      <c r="B1260" s="3"/>
      <c r="C1260" s="3"/>
      <c r="D1260" s="3"/>
      <c r="E1260" s="3">
        <v>8</v>
      </c>
      <c r="F1260" s="4" t="str">
        <f>HYPERLINK("http://141.218.60.56/~jnz1568/getInfo.php?workbook=02_02.xlsx&amp;sheet=U0&amp;row=1260&amp;col=6&amp;number=5.5&amp;sourceID=28","5.5")</f>
        <v>5.5</v>
      </c>
      <c r="G1260" s="4" t="str">
        <f>HYPERLINK("http://141.218.60.56/~jnz1568/getInfo.php?workbook=02_02.xlsx&amp;sheet=U0&amp;row=1260&amp;col=7&amp;number=0.002545&amp;sourceID=1","0.002545")</f>
        <v>0.002545</v>
      </c>
      <c r="H1260" s="4" t="str">
        <f>HYPERLINK("http://141.218.60.56/~jnz1568/getInfo.php?workbook=02_02.xlsx&amp;sheet=U0&amp;row=1260&amp;col=8&amp;number=&amp;sourceID=29","")</f>
        <v/>
      </c>
      <c r="I1260" s="4" t="str">
        <f>HYPERLINK("http://141.218.60.56/~jnz1568/getInfo.php?workbook=02_02.xlsx&amp;sheet=U0&amp;row=1260&amp;col=9&amp;number=&amp;sourceID=1","")</f>
        <v/>
      </c>
    </row>
    <row r="1261" spans="1:9">
      <c r="A1261" s="3"/>
      <c r="B1261" s="3"/>
      <c r="C1261" s="3"/>
      <c r="D1261" s="3"/>
      <c r="E1261" s="3">
        <v>9</v>
      </c>
      <c r="F1261" s="4" t="str">
        <f>HYPERLINK("http://141.218.60.56/~jnz1568/getInfo.php?workbook=02_02.xlsx&amp;sheet=U0&amp;row=1261&amp;col=6&amp;number=5.75&amp;sourceID=28","5.75")</f>
        <v>5.75</v>
      </c>
      <c r="G1261" s="4" t="str">
        <f>HYPERLINK("http://141.218.60.56/~jnz1568/getInfo.php?workbook=02_02.xlsx&amp;sheet=U0&amp;row=1261&amp;col=7&amp;number=0.002166&amp;sourceID=1","0.002166")</f>
        <v>0.002166</v>
      </c>
      <c r="H1261" s="4" t="str">
        <f>HYPERLINK("http://141.218.60.56/~jnz1568/getInfo.php?workbook=02_02.xlsx&amp;sheet=U0&amp;row=1261&amp;col=8&amp;number=&amp;sourceID=29","")</f>
        <v/>
      </c>
      <c r="I1261" s="4" t="str">
        <f>HYPERLINK("http://141.218.60.56/~jnz1568/getInfo.php?workbook=02_02.xlsx&amp;sheet=U0&amp;row=1261&amp;col=9&amp;number=&amp;sourceID=1","")</f>
        <v/>
      </c>
    </row>
    <row r="1262" spans="1:9">
      <c r="A1262" s="3">
        <v>2</v>
      </c>
      <c r="B1262" s="3">
        <v>2</v>
      </c>
      <c r="C1262" s="3">
        <v>22</v>
      </c>
      <c r="D1262" s="3">
        <v>2</v>
      </c>
      <c r="E1262" s="3">
        <v>1</v>
      </c>
      <c r="F1262" s="4" t="str">
        <f>HYPERLINK("http://141.218.60.56/~jnz1568/getInfo.php?workbook=02_02.xlsx&amp;sheet=U0&amp;row=1262&amp;col=6&amp;number=3.75&amp;sourceID=28","3.75")</f>
        <v>3.75</v>
      </c>
      <c r="G1262" s="4" t="str">
        <f>HYPERLINK("http://141.218.60.56/~jnz1568/getInfo.php?workbook=02_02.xlsx&amp;sheet=U0&amp;row=1262&amp;col=7&amp;number=0.1833&amp;sourceID=1","0.1833")</f>
        <v>0.1833</v>
      </c>
      <c r="H1262" s="4" t="str">
        <f>HYPERLINK("http://141.218.60.56/~jnz1568/getInfo.php?workbook=02_02.xlsx&amp;sheet=U0&amp;row=1262&amp;col=8&amp;number=&amp;sourceID=29","")</f>
        <v/>
      </c>
      <c r="I1262" s="4" t="str">
        <f>HYPERLINK("http://141.218.60.56/~jnz1568/getInfo.php?workbook=02_02.xlsx&amp;sheet=U0&amp;row=1262&amp;col=9&amp;number=&amp;sourceID=1","")</f>
        <v/>
      </c>
    </row>
    <row r="1263" spans="1:9">
      <c r="A1263" s="3"/>
      <c r="B1263" s="3"/>
      <c r="C1263" s="3"/>
      <c r="D1263" s="3"/>
      <c r="E1263" s="3">
        <v>2</v>
      </c>
      <c r="F1263" s="4" t="str">
        <f>HYPERLINK("http://141.218.60.56/~jnz1568/getInfo.php?workbook=02_02.xlsx&amp;sheet=U0&amp;row=1263&amp;col=6&amp;number=4&amp;sourceID=28","4")</f>
        <v>4</v>
      </c>
      <c r="G1263" s="4" t="str">
        <f>HYPERLINK("http://141.218.60.56/~jnz1568/getInfo.php?workbook=02_02.xlsx&amp;sheet=U0&amp;row=1263&amp;col=7&amp;number=0.1936&amp;sourceID=1","0.1936")</f>
        <v>0.1936</v>
      </c>
      <c r="H1263" s="4" t="str">
        <f>HYPERLINK("http://141.218.60.56/~jnz1568/getInfo.php?workbook=02_02.xlsx&amp;sheet=U0&amp;row=1263&amp;col=8&amp;number=&amp;sourceID=29","")</f>
        <v/>
      </c>
      <c r="I1263" s="4" t="str">
        <f>HYPERLINK("http://141.218.60.56/~jnz1568/getInfo.php?workbook=02_02.xlsx&amp;sheet=U0&amp;row=1263&amp;col=9&amp;number=&amp;sourceID=1","")</f>
        <v/>
      </c>
    </row>
    <row r="1264" spans="1:9">
      <c r="A1264" s="3"/>
      <c r="B1264" s="3"/>
      <c r="C1264" s="3"/>
      <c r="D1264" s="3"/>
      <c r="E1264" s="3">
        <v>3</v>
      </c>
      <c r="F1264" s="4" t="str">
        <f>HYPERLINK("http://141.218.60.56/~jnz1568/getInfo.php?workbook=02_02.xlsx&amp;sheet=U0&amp;row=1264&amp;col=6&amp;number=4.25&amp;sourceID=28","4.25")</f>
        <v>4.25</v>
      </c>
      <c r="G1264" s="4" t="str">
        <f>HYPERLINK("http://141.218.60.56/~jnz1568/getInfo.php?workbook=02_02.xlsx&amp;sheet=U0&amp;row=1264&amp;col=7&amp;number=0.2015&amp;sourceID=1","0.2015")</f>
        <v>0.2015</v>
      </c>
      <c r="H1264" s="4" t="str">
        <f>HYPERLINK("http://141.218.60.56/~jnz1568/getInfo.php?workbook=02_02.xlsx&amp;sheet=U0&amp;row=1264&amp;col=8&amp;number=&amp;sourceID=29","")</f>
        <v/>
      </c>
      <c r="I1264" s="4" t="str">
        <f>HYPERLINK("http://141.218.60.56/~jnz1568/getInfo.php?workbook=02_02.xlsx&amp;sheet=U0&amp;row=1264&amp;col=9&amp;number=&amp;sourceID=1","")</f>
        <v/>
      </c>
    </row>
    <row r="1265" spans="1:9">
      <c r="A1265" s="3"/>
      <c r="B1265" s="3"/>
      <c r="C1265" s="3"/>
      <c r="D1265" s="3"/>
      <c r="E1265" s="3">
        <v>4</v>
      </c>
      <c r="F1265" s="4" t="str">
        <f>HYPERLINK("http://141.218.60.56/~jnz1568/getInfo.php?workbook=02_02.xlsx&amp;sheet=U0&amp;row=1265&amp;col=6&amp;number=4.5&amp;sourceID=28","4.5")</f>
        <v>4.5</v>
      </c>
      <c r="G1265" s="4" t="str">
        <f>HYPERLINK("http://141.218.60.56/~jnz1568/getInfo.php?workbook=02_02.xlsx&amp;sheet=U0&amp;row=1265&amp;col=7&amp;number=0.2105&amp;sourceID=1","0.2105")</f>
        <v>0.2105</v>
      </c>
      <c r="H1265" s="4" t="str">
        <f>HYPERLINK("http://141.218.60.56/~jnz1568/getInfo.php?workbook=02_02.xlsx&amp;sheet=U0&amp;row=1265&amp;col=8&amp;number=&amp;sourceID=29","")</f>
        <v/>
      </c>
      <c r="I1265" s="4" t="str">
        <f>HYPERLINK("http://141.218.60.56/~jnz1568/getInfo.php?workbook=02_02.xlsx&amp;sheet=U0&amp;row=1265&amp;col=9&amp;number=&amp;sourceID=1","")</f>
        <v/>
      </c>
    </row>
    <row r="1266" spans="1:9">
      <c r="A1266" s="3"/>
      <c r="B1266" s="3"/>
      <c r="C1266" s="3"/>
      <c r="D1266" s="3"/>
      <c r="E1266" s="3">
        <v>5</v>
      </c>
      <c r="F1266" s="4" t="str">
        <f>HYPERLINK("http://141.218.60.56/~jnz1568/getInfo.php?workbook=02_02.xlsx&amp;sheet=U0&amp;row=1266&amp;col=6&amp;number=4.75&amp;sourceID=28","4.75")</f>
        <v>4.75</v>
      </c>
      <c r="G1266" s="4" t="str">
        <f>HYPERLINK("http://141.218.60.56/~jnz1568/getInfo.php?workbook=02_02.xlsx&amp;sheet=U0&amp;row=1266&amp;col=7&amp;number=0.2291&amp;sourceID=1","0.2291")</f>
        <v>0.2291</v>
      </c>
      <c r="H1266" s="4" t="str">
        <f>HYPERLINK("http://141.218.60.56/~jnz1568/getInfo.php?workbook=02_02.xlsx&amp;sheet=U0&amp;row=1266&amp;col=8&amp;number=&amp;sourceID=29","")</f>
        <v/>
      </c>
      <c r="I1266" s="4" t="str">
        <f>HYPERLINK("http://141.218.60.56/~jnz1568/getInfo.php?workbook=02_02.xlsx&amp;sheet=U0&amp;row=1266&amp;col=9&amp;number=&amp;sourceID=1","")</f>
        <v/>
      </c>
    </row>
    <row r="1267" spans="1:9">
      <c r="A1267" s="3"/>
      <c r="B1267" s="3"/>
      <c r="C1267" s="3"/>
      <c r="D1267" s="3"/>
      <c r="E1267" s="3">
        <v>6</v>
      </c>
      <c r="F1267" s="4" t="str">
        <f>HYPERLINK("http://141.218.60.56/~jnz1568/getInfo.php?workbook=02_02.xlsx&amp;sheet=U0&amp;row=1267&amp;col=6&amp;number=5&amp;sourceID=28","5")</f>
        <v>5</v>
      </c>
      <c r="G1267" s="4" t="str">
        <f>HYPERLINK("http://141.218.60.56/~jnz1568/getInfo.php?workbook=02_02.xlsx&amp;sheet=U0&amp;row=1267&amp;col=7&amp;number=0.2707&amp;sourceID=1","0.2707")</f>
        <v>0.2707</v>
      </c>
      <c r="H1267" s="4" t="str">
        <f>HYPERLINK("http://141.218.60.56/~jnz1568/getInfo.php?workbook=02_02.xlsx&amp;sheet=U0&amp;row=1267&amp;col=8&amp;number=&amp;sourceID=29","")</f>
        <v/>
      </c>
      <c r="I1267" s="4" t="str">
        <f>HYPERLINK("http://141.218.60.56/~jnz1568/getInfo.php?workbook=02_02.xlsx&amp;sheet=U0&amp;row=1267&amp;col=9&amp;number=&amp;sourceID=1","")</f>
        <v/>
      </c>
    </row>
    <row r="1268" spans="1:9">
      <c r="A1268" s="3"/>
      <c r="B1268" s="3"/>
      <c r="C1268" s="3"/>
      <c r="D1268" s="3"/>
      <c r="E1268" s="3">
        <v>7</v>
      </c>
      <c r="F1268" s="4" t="str">
        <f>HYPERLINK("http://141.218.60.56/~jnz1568/getInfo.php?workbook=02_02.xlsx&amp;sheet=U0&amp;row=1268&amp;col=6&amp;number=5.25&amp;sourceID=28","5.25")</f>
        <v>5.25</v>
      </c>
      <c r="G1268" s="4" t="str">
        <f>HYPERLINK("http://141.218.60.56/~jnz1568/getInfo.php?workbook=02_02.xlsx&amp;sheet=U0&amp;row=1268&amp;col=7&amp;number=0.3493&amp;sourceID=1","0.3493")</f>
        <v>0.3493</v>
      </c>
      <c r="H1268" s="4" t="str">
        <f>HYPERLINK("http://141.218.60.56/~jnz1568/getInfo.php?workbook=02_02.xlsx&amp;sheet=U0&amp;row=1268&amp;col=8&amp;number=&amp;sourceID=29","")</f>
        <v/>
      </c>
      <c r="I1268" s="4" t="str">
        <f>HYPERLINK("http://141.218.60.56/~jnz1568/getInfo.php?workbook=02_02.xlsx&amp;sheet=U0&amp;row=1268&amp;col=9&amp;number=&amp;sourceID=1","")</f>
        <v/>
      </c>
    </row>
    <row r="1269" spans="1:9">
      <c r="A1269" s="3"/>
      <c r="B1269" s="3"/>
      <c r="C1269" s="3"/>
      <c r="D1269" s="3"/>
      <c r="E1269" s="3">
        <v>8</v>
      </c>
      <c r="F1269" s="4" t="str">
        <f>HYPERLINK("http://141.218.60.56/~jnz1568/getInfo.php?workbook=02_02.xlsx&amp;sheet=U0&amp;row=1269&amp;col=6&amp;number=5.5&amp;sourceID=28","5.5")</f>
        <v>5.5</v>
      </c>
      <c r="G1269" s="4" t="str">
        <f>HYPERLINK("http://141.218.60.56/~jnz1568/getInfo.php?workbook=02_02.xlsx&amp;sheet=U0&amp;row=1269&amp;col=7&amp;number=0.4719&amp;sourceID=1","0.4719")</f>
        <v>0.4719</v>
      </c>
      <c r="H1269" s="4" t="str">
        <f>HYPERLINK("http://141.218.60.56/~jnz1568/getInfo.php?workbook=02_02.xlsx&amp;sheet=U0&amp;row=1269&amp;col=8&amp;number=&amp;sourceID=29","")</f>
        <v/>
      </c>
      <c r="I1269" s="4" t="str">
        <f>HYPERLINK("http://141.218.60.56/~jnz1568/getInfo.php?workbook=02_02.xlsx&amp;sheet=U0&amp;row=1269&amp;col=9&amp;number=&amp;sourceID=1","")</f>
        <v/>
      </c>
    </row>
    <row r="1270" spans="1:9">
      <c r="A1270" s="3"/>
      <c r="B1270" s="3"/>
      <c r="C1270" s="3"/>
      <c r="D1270" s="3"/>
      <c r="E1270" s="3">
        <v>9</v>
      </c>
      <c r="F1270" s="4" t="str">
        <f>HYPERLINK("http://141.218.60.56/~jnz1568/getInfo.php?workbook=02_02.xlsx&amp;sheet=U0&amp;row=1270&amp;col=6&amp;number=5.75&amp;sourceID=28","5.75")</f>
        <v>5.75</v>
      </c>
      <c r="G1270" s="4" t="str">
        <f>HYPERLINK("http://141.218.60.56/~jnz1568/getInfo.php?workbook=02_02.xlsx&amp;sheet=U0&amp;row=1270&amp;col=7&amp;number=0.6315&amp;sourceID=1","0.6315")</f>
        <v>0.6315</v>
      </c>
      <c r="H1270" s="4" t="str">
        <f>HYPERLINK("http://141.218.60.56/~jnz1568/getInfo.php?workbook=02_02.xlsx&amp;sheet=U0&amp;row=1270&amp;col=8&amp;number=&amp;sourceID=29","")</f>
        <v/>
      </c>
      <c r="I1270" s="4" t="str">
        <f>HYPERLINK("http://141.218.60.56/~jnz1568/getInfo.php?workbook=02_02.xlsx&amp;sheet=U0&amp;row=1270&amp;col=9&amp;number=&amp;sourceID=1","")</f>
        <v/>
      </c>
    </row>
    <row r="1271" spans="1:9">
      <c r="A1271" s="3">
        <v>2</v>
      </c>
      <c r="B1271" s="3">
        <v>2</v>
      </c>
      <c r="C1271" s="3">
        <v>22</v>
      </c>
      <c r="D1271" s="3">
        <v>3</v>
      </c>
      <c r="E1271" s="3">
        <v>1</v>
      </c>
      <c r="F1271" s="4" t="str">
        <f>HYPERLINK("http://141.218.60.56/~jnz1568/getInfo.php?workbook=02_02.xlsx&amp;sheet=U0&amp;row=1271&amp;col=6&amp;number=3.75&amp;sourceID=28","3.75")</f>
        <v>3.75</v>
      </c>
      <c r="G1271" s="4" t="str">
        <f>HYPERLINK("http://141.218.60.56/~jnz1568/getInfo.php?workbook=02_02.xlsx&amp;sheet=U0&amp;row=1271&amp;col=7&amp;number=0.05736&amp;sourceID=1","0.05736")</f>
        <v>0.05736</v>
      </c>
      <c r="H1271" s="4" t="str">
        <f>HYPERLINK("http://141.218.60.56/~jnz1568/getInfo.php?workbook=02_02.xlsx&amp;sheet=U0&amp;row=1271&amp;col=8&amp;number=&amp;sourceID=29","")</f>
        <v/>
      </c>
      <c r="I1271" s="4" t="str">
        <f>HYPERLINK("http://141.218.60.56/~jnz1568/getInfo.php?workbook=02_02.xlsx&amp;sheet=U0&amp;row=1271&amp;col=9&amp;number=&amp;sourceID=1","")</f>
        <v/>
      </c>
    </row>
    <row r="1272" spans="1:9">
      <c r="A1272" s="3"/>
      <c r="B1272" s="3"/>
      <c r="C1272" s="3"/>
      <c r="D1272" s="3"/>
      <c r="E1272" s="3">
        <v>2</v>
      </c>
      <c r="F1272" s="4" t="str">
        <f>HYPERLINK("http://141.218.60.56/~jnz1568/getInfo.php?workbook=02_02.xlsx&amp;sheet=U0&amp;row=1272&amp;col=6&amp;number=4&amp;sourceID=28","4")</f>
        <v>4</v>
      </c>
      <c r="G1272" s="4" t="str">
        <f>HYPERLINK("http://141.218.60.56/~jnz1568/getInfo.php?workbook=02_02.xlsx&amp;sheet=U0&amp;row=1272&amp;col=7&amp;number=0.05789&amp;sourceID=1","0.05789")</f>
        <v>0.05789</v>
      </c>
      <c r="H1272" s="4" t="str">
        <f>HYPERLINK("http://141.218.60.56/~jnz1568/getInfo.php?workbook=02_02.xlsx&amp;sheet=U0&amp;row=1272&amp;col=8&amp;number=&amp;sourceID=29","")</f>
        <v/>
      </c>
      <c r="I1272" s="4" t="str">
        <f>HYPERLINK("http://141.218.60.56/~jnz1568/getInfo.php?workbook=02_02.xlsx&amp;sheet=U0&amp;row=1272&amp;col=9&amp;number=&amp;sourceID=1","")</f>
        <v/>
      </c>
    </row>
    <row r="1273" spans="1:9">
      <c r="A1273" s="3"/>
      <c r="B1273" s="3"/>
      <c r="C1273" s="3"/>
      <c r="D1273" s="3"/>
      <c r="E1273" s="3">
        <v>3</v>
      </c>
      <c r="F1273" s="4" t="str">
        <f>HYPERLINK("http://141.218.60.56/~jnz1568/getInfo.php?workbook=02_02.xlsx&amp;sheet=U0&amp;row=1273&amp;col=6&amp;number=4.25&amp;sourceID=28","4.25")</f>
        <v>4.25</v>
      </c>
      <c r="G1273" s="4" t="str">
        <f>HYPERLINK("http://141.218.60.56/~jnz1568/getInfo.php?workbook=02_02.xlsx&amp;sheet=U0&amp;row=1273&amp;col=7&amp;number=0.05383&amp;sourceID=1","0.05383")</f>
        <v>0.05383</v>
      </c>
      <c r="H1273" s="4" t="str">
        <f>HYPERLINK("http://141.218.60.56/~jnz1568/getInfo.php?workbook=02_02.xlsx&amp;sheet=U0&amp;row=1273&amp;col=8&amp;number=&amp;sourceID=29","")</f>
        <v/>
      </c>
      <c r="I1273" s="4" t="str">
        <f>HYPERLINK("http://141.218.60.56/~jnz1568/getInfo.php?workbook=02_02.xlsx&amp;sheet=U0&amp;row=1273&amp;col=9&amp;number=&amp;sourceID=1","")</f>
        <v/>
      </c>
    </row>
    <row r="1274" spans="1:9">
      <c r="A1274" s="3"/>
      <c r="B1274" s="3"/>
      <c r="C1274" s="3"/>
      <c r="D1274" s="3"/>
      <c r="E1274" s="3">
        <v>4</v>
      </c>
      <c r="F1274" s="4" t="str">
        <f>HYPERLINK("http://141.218.60.56/~jnz1568/getInfo.php?workbook=02_02.xlsx&amp;sheet=U0&amp;row=1274&amp;col=6&amp;number=4.5&amp;sourceID=28","4.5")</f>
        <v>4.5</v>
      </c>
      <c r="G1274" s="4" t="str">
        <f>HYPERLINK("http://141.218.60.56/~jnz1568/getInfo.php?workbook=02_02.xlsx&amp;sheet=U0&amp;row=1274&amp;col=7&amp;number=0.04629&amp;sourceID=1","0.04629")</f>
        <v>0.04629</v>
      </c>
      <c r="H1274" s="4" t="str">
        <f>HYPERLINK("http://141.218.60.56/~jnz1568/getInfo.php?workbook=02_02.xlsx&amp;sheet=U0&amp;row=1274&amp;col=8&amp;number=&amp;sourceID=29","")</f>
        <v/>
      </c>
      <c r="I1274" s="4" t="str">
        <f>HYPERLINK("http://141.218.60.56/~jnz1568/getInfo.php?workbook=02_02.xlsx&amp;sheet=U0&amp;row=1274&amp;col=9&amp;number=&amp;sourceID=1","")</f>
        <v/>
      </c>
    </row>
    <row r="1275" spans="1:9">
      <c r="A1275" s="3"/>
      <c r="B1275" s="3"/>
      <c r="C1275" s="3"/>
      <c r="D1275" s="3"/>
      <c r="E1275" s="3">
        <v>5</v>
      </c>
      <c r="F1275" s="4" t="str">
        <f>HYPERLINK("http://141.218.60.56/~jnz1568/getInfo.php?workbook=02_02.xlsx&amp;sheet=U0&amp;row=1275&amp;col=6&amp;number=4.75&amp;sourceID=28","4.75")</f>
        <v>4.75</v>
      </c>
      <c r="G1275" s="4" t="str">
        <f>HYPERLINK("http://141.218.60.56/~jnz1568/getInfo.php?workbook=02_02.xlsx&amp;sheet=U0&amp;row=1275&amp;col=7&amp;number=0.03715&amp;sourceID=1","0.03715")</f>
        <v>0.03715</v>
      </c>
      <c r="H1275" s="4" t="str">
        <f>HYPERLINK("http://141.218.60.56/~jnz1568/getInfo.php?workbook=02_02.xlsx&amp;sheet=U0&amp;row=1275&amp;col=8&amp;number=&amp;sourceID=29","")</f>
        <v/>
      </c>
      <c r="I1275" s="4" t="str">
        <f>HYPERLINK("http://141.218.60.56/~jnz1568/getInfo.php?workbook=02_02.xlsx&amp;sheet=U0&amp;row=1275&amp;col=9&amp;number=&amp;sourceID=1","")</f>
        <v/>
      </c>
    </row>
    <row r="1276" spans="1:9">
      <c r="A1276" s="3"/>
      <c r="B1276" s="3"/>
      <c r="C1276" s="3"/>
      <c r="D1276" s="3"/>
      <c r="E1276" s="3">
        <v>6</v>
      </c>
      <c r="F1276" s="4" t="str">
        <f>HYPERLINK("http://141.218.60.56/~jnz1568/getInfo.php?workbook=02_02.xlsx&amp;sheet=U0&amp;row=1276&amp;col=6&amp;number=5&amp;sourceID=28","5")</f>
        <v>5</v>
      </c>
      <c r="G1276" s="4" t="str">
        <f>HYPERLINK("http://141.218.60.56/~jnz1568/getInfo.php?workbook=02_02.xlsx&amp;sheet=U0&amp;row=1276&amp;col=7&amp;number=0.02803&amp;sourceID=1","0.02803")</f>
        <v>0.02803</v>
      </c>
      <c r="H1276" s="4" t="str">
        <f>HYPERLINK("http://141.218.60.56/~jnz1568/getInfo.php?workbook=02_02.xlsx&amp;sheet=U0&amp;row=1276&amp;col=8&amp;number=&amp;sourceID=29","")</f>
        <v/>
      </c>
      <c r="I1276" s="4" t="str">
        <f>HYPERLINK("http://141.218.60.56/~jnz1568/getInfo.php?workbook=02_02.xlsx&amp;sheet=U0&amp;row=1276&amp;col=9&amp;number=&amp;sourceID=1","")</f>
        <v/>
      </c>
    </row>
    <row r="1277" spans="1:9">
      <c r="A1277" s="3"/>
      <c r="B1277" s="3"/>
      <c r="C1277" s="3"/>
      <c r="D1277" s="3"/>
      <c r="E1277" s="3">
        <v>7</v>
      </c>
      <c r="F1277" s="4" t="str">
        <f>HYPERLINK("http://141.218.60.56/~jnz1568/getInfo.php?workbook=02_02.xlsx&amp;sheet=U0&amp;row=1277&amp;col=6&amp;number=5.25&amp;sourceID=28","5.25")</f>
        <v>5.25</v>
      </c>
      <c r="G1277" s="4" t="str">
        <f>HYPERLINK("http://141.218.60.56/~jnz1568/getInfo.php?workbook=02_02.xlsx&amp;sheet=U0&amp;row=1277&amp;col=7&amp;number=0.01996&amp;sourceID=1","0.01996")</f>
        <v>0.01996</v>
      </c>
      <c r="H1277" s="4" t="str">
        <f>HYPERLINK("http://141.218.60.56/~jnz1568/getInfo.php?workbook=02_02.xlsx&amp;sheet=U0&amp;row=1277&amp;col=8&amp;number=&amp;sourceID=29","")</f>
        <v/>
      </c>
      <c r="I1277" s="4" t="str">
        <f>HYPERLINK("http://141.218.60.56/~jnz1568/getInfo.php?workbook=02_02.xlsx&amp;sheet=U0&amp;row=1277&amp;col=9&amp;number=&amp;sourceID=1","")</f>
        <v/>
      </c>
    </row>
    <row r="1278" spans="1:9">
      <c r="A1278" s="3"/>
      <c r="B1278" s="3"/>
      <c r="C1278" s="3"/>
      <c r="D1278" s="3"/>
      <c r="E1278" s="3">
        <v>8</v>
      </c>
      <c r="F1278" s="4" t="str">
        <f>HYPERLINK("http://141.218.60.56/~jnz1568/getInfo.php?workbook=02_02.xlsx&amp;sheet=U0&amp;row=1278&amp;col=6&amp;number=5.5&amp;sourceID=28","5.5")</f>
        <v>5.5</v>
      </c>
      <c r="G1278" s="4" t="str">
        <f>HYPERLINK("http://141.218.60.56/~jnz1568/getInfo.php?workbook=02_02.xlsx&amp;sheet=U0&amp;row=1278&amp;col=7&amp;number=0.01347&amp;sourceID=1","0.01347")</f>
        <v>0.01347</v>
      </c>
      <c r="H1278" s="4" t="str">
        <f>HYPERLINK("http://141.218.60.56/~jnz1568/getInfo.php?workbook=02_02.xlsx&amp;sheet=U0&amp;row=1278&amp;col=8&amp;number=&amp;sourceID=29","")</f>
        <v/>
      </c>
      <c r="I1278" s="4" t="str">
        <f>HYPERLINK("http://141.218.60.56/~jnz1568/getInfo.php?workbook=02_02.xlsx&amp;sheet=U0&amp;row=1278&amp;col=9&amp;number=&amp;sourceID=1","")</f>
        <v/>
      </c>
    </row>
    <row r="1279" spans="1:9">
      <c r="A1279" s="3"/>
      <c r="B1279" s="3"/>
      <c r="C1279" s="3"/>
      <c r="D1279" s="3"/>
      <c r="E1279" s="3">
        <v>9</v>
      </c>
      <c r="F1279" s="4" t="str">
        <f>HYPERLINK("http://141.218.60.56/~jnz1568/getInfo.php?workbook=02_02.xlsx&amp;sheet=U0&amp;row=1279&amp;col=6&amp;number=5.75&amp;sourceID=28","5.75")</f>
        <v>5.75</v>
      </c>
      <c r="G1279" s="4" t="str">
        <f>HYPERLINK("http://141.218.60.56/~jnz1568/getInfo.php?workbook=02_02.xlsx&amp;sheet=U0&amp;row=1279&amp;col=7&amp;number=0.008677&amp;sourceID=1","0.008677")</f>
        <v>0.008677</v>
      </c>
      <c r="H1279" s="4" t="str">
        <f>HYPERLINK("http://141.218.60.56/~jnz1568/getInfo.php?workbook=02_02.xlsx&amp;sheet=U0&amp;row=1279&amp;col=8&amp;number=&amp;sourceID=29","")</f>
        <v/>
      </c>
      <c r="I1279" s="4" t="str">
        <f>HYPERLINK("http://141.218.60.56/~jnz1568/getInfo.php?workbook=02_02.xlsx&amp;sheet=U0&amp;row=1279&amp;col=9&amp;number=&amp;sourceID=1","")</f>
        <v/>
      </c>
    </row>
    <row r="1280" spans="1:9">
      <c r="A1280" s="3">
        <v>2</v>
      </c>
      <c r="B1280" s="3">
        <v>2</v>
      </c>
      <c r="C1280" s="3">
        <v>22</v>
      </c>
      <c r="D1280" s="3">
        <v>4</v>
      </c>
      <c r="E1280" s="3">
        <v>1</v>
      </c>
      <c r="F1280" s="4" t="str">
        <f>HYPERLINK("http://141.218.60.56/~jnz1568/getInfo.php?workbook=02_02.xlsx&amp;sheet=U0&amp;row=1280&amp;col=6&amp;number=3.75&amp;sourceID=28","3.75")</f>
        <v>3.75</v>
      </c>
      <c r="G1280" s="4" t="str">
        <f>HYPERLINK("http://141.218.60.56/~jnz1568/getInfo.php?workbook=02_02.xlsx&amp;sheet=U0&amp;row=1280&amp;col=7&amp;number=1.101&amp;sourceID=1","1.101")</f>
        <v>1.101</v>
      </c>
      <c r="H1280" s="4" t="str">
        <f>HYPERLINK("http://141.218.60.56/~jnz1568/getInfo.php?workbook=02_02.xlsx&amp;sheet=U0&amp;row=1280&amp;col=8&amp;number=&amp;sourceID=29","")</f>
        <v/>
      </c>
      <c r="I1280" s="4" t="str">
        <f>HYPERLINK("http://141.218.60.56/~jnz1568/getInfo.php?workbook=02_02.xlsx&amp;sheet=U0&amp;row=1280&amp;col=9&amp;number=&amp;sourceID=1","")</f>
        <v/>
      </c>
    </row>
    <row r="1281" spans="1:9">
      <c r="A1281" s="3"/>
      <c r="B1281" s="3"/>
      <c r="C1281" s="3"/>
      <c r="D1281" s="3"/>
      <c r="E1281" s="3">
        <v>2</v>
      </c>
      <c r="F1281" s="4" t="str">
        <f>HYPERLINK("http://141.218.60.56/~jnz1568/getInfo.php?workbook=02_02.xlsx&amp;sheet=U0&amp;row=1281&amp;col=6&amp;number=4&amp;sourceID=28","4")</f>
        <v>4</v>
      </c>
      <c r="G1281" s="4" t="str">
        <f>HYPERLINK("http://141.218.60.56/~jnz1568/getInfo.php?workbook=02_02.xlsx&amp;sheet=U0&amp;row=1281&amp;col=7&amp;number=1.151&amp;sourceID=1","1.151")</f>
        <v>1.151</v>
      </c>
      <c r="H1281" s="4" t="str">
        <f>HYPERLINK("http://141.218.60.56/~jnz1568/getInfo.php?workbook=02_02.xlsx&amp;sheet=U0&amp;row=1281&amp;col=8&amp;number=&amp;sourceID=29","")</f>
        <v/>
      </c>
      <c r="I1281" s="4" t="str">
        <f>HYPERLINK("http://141.218.60.56/~jnz1568/getInfo.php?workbook=02_02.xlsx&amp;sheet=U0&amp;row=1281&amp;col=9&amp;number=&amp;sourceID=1","")</f>
        <v/>
      </c>
    </row>
    <row r="1282" spans="1:9">
      <c r="A1282" s="3"/>
      <c r="B1282" s="3"/>
      <c r="C1282" s="3"/>
      <c r="D1282" s="3"/>
      <c r="E1282" s="3">
        <v>3</v>
      </c>
      <c r="F1282" s="4" t="str">
        <f>HYPERLINK("http://141.218.60.56/~jnz1568/getInfo.php?workbook=02_02.xlsx&amp;sheet=U0&amp;row=1282&amp;col=6&amp;number=4.25&amp;sourceID=28","4.25")</f>
        <v>4.25</v>
      </c>
      <c r="G1282" s="4" t="str">
        <f>HYPERLINK("http://141.218.60.56/~jnz1568/getInfo.php?workbook=02_02.xlsx&amp;sheet=U0&amp;row=1282&amp;col=7&amp;number=1.215&amp;sourceID=1","1.215")</f>
        <v>1.215</v>
      </c>
      <c r="H1282" s="4" t="str">
        <f>HYPERLINK("http://141.218.60.56/~jnz1568/getInfo.php?workbook=02_02.xlsx&amp;sheet=U0&amp;row=1282&amp;col=8&amp;number=&amp;sourceID=29","")</f>
        <v/>
      </c>
      <c r="I1282" s="4" t="str">
        <f>HYPERLINK("http://141.218.60.56/~jnz1568/getInfo.php?workbook=02_02.xlsx&amp;sheet=U0&amp;row=1282&amp;col=9&amp;number=&amp;sourceID=1","")</f>
        <v/>
      </c>
    </row>
    <row r="1283" spans="1:9">
      <c r="A1283" s="3"/>
      <c r="B1283" s="3"/>
      <c r="C1283" s="3"/>
      <c r="D1283" s="3"/>
      <c r="E1283" s="3">
        <v>4</v>
      </c>
      <c r="F1283" s="4" t="str">
        <f>HYPERLINK("http://141.218.60.56/~jnz1568/getInfo.php?workbook=02_02.xlsx&amp;sheet=U0&amp;row=1283&amp;col=6&amp;number=4.5&amp;sourceID=28","4.5")</f>
        <v>4.5</v>
      </c>
      <c r="G1283" s="4" t="str">
        <f>HYPERLINK("http://141.218.60.56/~jnz1568/getInfo.php?workbook=02_02.xlsx&amp;sheet=U0&amp;row=1283&amp;col=7&amp;number=1.329&amp;sourceID=1","1.329")</f>
        <v>1.329</v>
      </c>
      <c r="H1283" s="4" t="str">
        <f>HYPERLINK("http://141.218.60.56/~jnz1568/getInfo.php?workbook=02_02.xlsx&amp;sheet=U0&amp;row=1283&amp;col=8&amp;number=&amp;sourceID=29","")</f>
        <v/>
      </c>
      <c r="I1283" s="4" t="str">
        <f>HYPERLINK("http://141.218.60.56/~jnz1568/getInfo.php?workbook=02_02.xlsx&amp;sheet=U0&amp;row=1283&amp;col=9&amp;number=&amp;sourceID=1","")</f>
        <v/>
      </c>
    </row>
    <row r="1284" spans="1:9">
      <c r="A1284" s="3"/>
      <c r="B1284" s="3"/>
      <c r="C1284" s="3"/>
      <c r="D1284" s="3"/>
      <c r="E1284" s="3">
        <v>5</v>
      </c>
      <c r="F1284" s="4" t="str">
        <f>HYPERLINK("http://141.218.60.56/~jnz1568/getInfo.php?workbook=02_02.xlsx&amp;sheet=U0&amp;row=1284&amp;col=6&amp;number=4.75&amp;sourceID=28","4.75")</f>
        <v>4.75</v>
      </c>
      <c r="G1284" s="4" t="str">
        <f>HYPERLINK("http://141.218.60.56/~jnz1568/getInfo.php?workbook=02_02.xlsx&amp;sheet=U0&amp;row=1284&amp;col=7&amp;number=1.527&amp;sourceID=1","1.527")</f>
        <v>1.527</v>
      </c>
      <c r="H1284" s="4" t="str">
        <f>HYPERLINK("http://141.218.60.56/~jnz1568/getInfo.php?workbook=02_02.xlsx&amp;sheet=U0&amp;row=1284&amp;col=8&amp;number=&amp;sourceID=29","")</f>
        <v/>
      </c>
      <c r="I1284" s="4" t="str">
        <f>HYPERLINK("http://141.218.60.56/~jnz1568/getInfo.php?workbook=02_02.xlsx&amp;sheet=U0&amp;row=1284&amp;col=9&amp;number=&amp;sourceID=1","")</f>
        <v/>
      </c>
    </row>
    <row r="1285" spans="1:9">
      <c r="A1285" s="3"/>
      <c r="B1285" s="3"/>
      <c r="C1285" s="3"/>
      <c r="D1285" s="3"/>
      <c r="E1285" s="3">
        <v>6</v>
      </c>
      <c r="F1285" s="4" t="str">
        <f>HYPERLINK("http://141.218.60.56/~jnz1568/getInfo.php?workbook=02_02.xlsx&amp;sheet=U0&amp;row=1285&amp;col=6&amp;number=5&amp;sourceID=28","5")</f>
        <v>5</v>
      </c>
      <c r="G1285" s="4" t="str">
        <f>HYPERLINK("http://141.218.60.56/~jnz1568/getInfo.php?workbook=02_02.xlsx&amp;sheet=U0&amp;row=1285&amp;col=7&amp;number=1.804&amp;sourceID=1","1.804")</f>
        <v>1.804</v>
      </c>
      <c r="H1285" s="4" t="str">
        <f>HYPERLINK("http://141.218.60.56/~jnz1568/getInfo.php?workbook=02_02.xlsx&amp;sheet=U0&amp;row=1285&amp;col=8&amp;number=&amp;sourceID=29","")</f>
        <v/>
      </c>
      <c r="I1285" s="4" t="str">
        <f>HYPERLINK("http://141.218.60.56/~jnz1568/getInfo.php?workbook=02_02.xlsx&amp;sheet=U0&amp;row=1285&amp;col=9&amp;number=&amp;sourceID=1","")</f>
        <v/>
      </c>
    </row>
    <row r="1286" spans="1:9">
      <c r="A1286" s="3"/>
      <c r="B1286" s="3"/>
      <c r="C1286" s="3"/>
      <c r="D1286" s="3"/>
      <c r="E1286" s="3">
        <v>7</v>
      </c>
      <c r="F1286" s="4" t="str">
        <f>HYPERLINK("http://141.218.60.56/~jnz1568/getInfo.php?workbook=02_02.xlsx&amp;sheet=U0&amp;row=1286&amp;col=6&amp;number=5.25&amp;sourceID=28","5.25")</f>
        <v>5.25</v>
      </c>
      <c r="G1286" s="4" t="str">
        <f>HYPERLINK("http://141.218.60.56/~jnz1568/getInfo.php?workbook=02_02.xlsx&amp;sheet=U0&amp;row=1286&amp;col=7&amp;number=2.125&amp;sourceID=1","2.125")</f>
        <v>2.125</v>
      </c>
      <c r="H1286" s="4" t="str">
        <f>HYPERLINK("http://141.218.60.56/~jnz1568/getInfo.php?workbook=02_02.xlsx&amp;sheet=U0&amp;row=1286&amp;col=8&amp;number=&amp;sourceID=29","")</f>
        <v/>
      </c>
      <c r="I1286" s="4" t="str">
        <f>HYPERLINK("http://141.218.60.56/~jnz1568/getInfo.php?workbook=02_02.xlsx&amp;sheet=U0&amp;row=1286&amp;col=9&amp;number=&amp;sourceID=1","")</f>
        <v/>
      </c>
    </row>
    <row r="1287" spans="1:9">
      <c r="A1287" s="3"/>
      <c r="B1287" s="3"/>
      <c r="C1287" s="3"/>
      <c r="D1287" s="3"/>
      <c r="E1287" s="3">
        <v>8</v>
      </c>
      <c r="F1287" s="4" t="str">
        <f>HYPERLINK("http://141.218.60.56/~jnz1568/getInfo.php?workbook=02_02.xlsx&amp;sheet=U0&amp;row=1287&amp;col=6&amp;number=5.5&amp;sourceID=28","5.5")</f>
        <v>5.5</v>
      </c>
      <c r="G1287" s="4" t="str">
        <f>HYPERLINK("http://141.218.60.56/~jnz1568/getInfo.php?workbook=02_02.xlsx&amp;sheet=U0&amp;row=1287&amp;col=7&amp;number=2.444&amp;sourceID=1","2.444")</f>
        <v>2.444</v>
      </c>
      <c r="H1287" s="4" t="str">
        <f>HYPERLINK("http://141.218.60.56/~jnz1568/getInfo.php?workbook=02_02.xlsx&amp;sheet=U0&amp;row=1287&amp;col=8&amp;number=&amp;sourceID=29","")</f>
        <v/>
      </c>
      <c r="I1287" s="4" t="str">
        <f>HYPERLINK("http://141.218.60.56/~jnz1568/getInfo.php?workbook=02_02.xlsx&amp;sheet=U0&amp;row=1287&amp;col=9&amp;number=&amp;sourceID=1","")</f>
        <v/>
      </c>
    </row>
    <row r="1288" spans="1:9">
      <c r="A1288" s="3"/>
      <c r="B1288" s="3"/>
      <c r="C1288" s="3"/>
      <c r="D1288" s="3"/>
      <c r="E1288" s="3">
        <v>9</v>
      </c>
      <c r="F1288" s="4" t="str">
        <f>HYPERLINK("http://141.218.60.56/~jnz1568/getInfo.php?workbook=02_02.xlsx&amp;sheet=U0&amp;row=1288&amp;col=6&amp;number=5.75&amp;sourceID=28","5.75")</f>
        <v>5.75</v>
      </c>
      <c r="G1288" s="4" t="str">
        <f>HYPERLINK("http://141.218.60.56/~jnz1568/getInfo.php?workbook=02_02.xlsx&amp;sheet=U0&amp;row=1288&amp;col=7&amp;number=2.727&amp;sourceID=1","2.727")</f>
        <v>2.727</v>
      </c>
      <c r="H1288" s="4" t="str">
        <f>HYPERLINK("http://141.218.60.56/~jnz1568/getInfo.php?workbook=02_02.xlsx&amp;sheet=U0&amp;row=1288&amp;col=8&amp;number=&amp;sourceID=29","")</f>
        <v/>
      </c>
      <c r="I1288" s="4" t="str">
        <f>HYPERLINK("http://141.218.60.56/~jnz1568/getInfo.php?workbook=02_02.xlsx&amp;sheet=U0&amp;row=1288&amp;col=9&amp;number=&amp;sourceID=1","")</f>
        <v/>
      </c>
    </row>
    <row r="1289" spans="1:9">
      <c r="A1289" s="3">
        <v>2</v>
      </c>
      <c r="B1289" s="3">
        <v>2</v>
      </c>
      <c r="C1289" s="3">
        <v>23</v>
      </c>
      <c r="D1289" s="3">
        <v>1</v>
      </c>
      <c r="E1289" s="3">
        <v>1</v>
      </c>
      <c r="F1289" s="4" t="str">
        <f>HYPERLINK("http://141.218.60.56/~jnz1568/getInfo.php?workbook=02_02.xlsx&amp;sheet=U0&amp;row=1289&amp;col=6&amp;number=3.75&amp;sourceID=28","3.75")</f>
        <v>3.75</v>
      </c>
      <c r="G1289" s="4" t="str">
        <f>HYPERLINK("http://141.218.60.56/~jnz1568/getInfo.php?workbook=02_02.xlsx&amp;sheet=U0&amp;row=1289&amp;col=7&amp;number=0.0008023&amp;sourceID=1","0.0008023")</f>
        <v>0.0008023</v>
      </c>
      <c r="H1289" s="4" t="str">
        <f>HYPERLINK("http://141.218.60.56/~jnz1568/getInfo.php?workbook=02_02.xlsx&amp;sheet=U0&amp;row=1289&amp;col=8&amp;number=&amp;sourceID=29","")</f>
        <v/>
      </c>
      <c r="I1289" s="4" t="str">
        <f>HYPERLINK("http://141.218.60.56/~jnz1568/getInfo.php?workbook=02_02.xlsx&amp;sheet=U0&amp;row=1289&amp;col=9&amp;number=&amp;sourceID=1","")</f>
        <v/>
      </c>
    </row>
    <row r="1290" spans="1:9">
      <c r="A1290" s="3"/>
      <c r="B1290" s="3"/>
      <c r="C1290" s="3"/>
      <c r="D1290" s="3"/>
      <c r="E1290" s="3">
        <v>2</v>
      </c>
      <c r="F1290" s="4" t="str">
        <f>HYPERLINK("http://141.218.60.56/~jnz1568/getInfo.php?workbook=02_02.xlsx&amp;sheet=U0&amp;row=1290&amp;col=6&amp;number=4&amp;sourceID=28","4")</f>
        <v>4</v>
      </c>
      <c r="G1290" s="4" t="str">
        <f>HYPERLINK("http://141.218.60.56/~jnz1568/getInfo.php?workbook=02_02.xlsx&amp;sheet=U0&amp;row=1290&amp;col=7&amp;number=0.000863&amp;sourceID=1","0.000863")</f>
        <v>0.000863</v>
      </c>
      <c r="H1290" s="4" t="str">
        <f>HYPERLINK("http://141.218.60.56/~jnz1568/getInfo.php?workbook=02_02.xlsx&amp;sheet=U0&amp;row=1290&amp;col=8&amp;number=&amp;sourceID=29","")</f>
        <v/>
      </c>
      <c r="I1290" s="4" t="str">
        <f>HYPERLINK("http://141.218.60.56/~jnz1568/getInfo.php?workbook=02_02.xlsx&amp;sheet=U0&amp;row=1290&amp;col=9&amp;number=&amp;sourceID=1","")</f>
        <v/>
      </c>
    </row>
    <row r="1291" spans="1:9">
      <c r="A1291" s="3"/>
      <c r="B1291" s="3"/>
      <c r="C1291" s="3"/>
      <c r="D1291" s="3"/>
      <c r="E1291" s="3">
        <v>3</v>
      </c>
      <c r="F1291" s="4" t="str">
        <f>HYPERLINK("http://141.218.60.56/~jnz1568/getInfo.php?workbook=02_02.xlsx&amp;sheet=U0&amp;row=1291&amp;col=6&amp;number=4.25&amp;sourceID=28","4.25")</f>
        <v>4.25</v>
      </c>
      <c r="G1291" s="4" t="str">
        <f>HYPERLINK("http://141.218.60.56/~jnz1568/getInfo.php?workbook=02_02.xlsx&amp;sheet=U0&amp;row=1291&amp;col=7&amp;number=0.0009306&amp;sourceID=1","0.0009306")</f>
        <v>0.0009306</v>
      </c>
      <c r="H1291" s="4" t="str">
        <f>HYPERLINK("http://141.218.60.56/~jnz1568/getInfo.php?workbook=02_02.xlsx&amp;sheet=U0&amp;row=1291&amp;col=8&amp;number=&amp;sourceID=29","")</f>
        <v/>
      </c>
      <c r="I1291" s="4" t="str">
        <f>HYPERLINK("http://141.218.60.56/~jnz1568/getInfo.php?workbook=02_02.xlsx&amp;sheet=U0&amp;row=1291&amp;col=9&amp;number=&amp;sourceID=1","")</f>
        <v/>
      </c>
    </row>
    <row r="1292" spans="1:9">
      <c r="A1292" s="3"/>
      <c r="B1292" s="3"/>
      <c r="C1292" s="3"/>
      <c r="D1292" s="3"/>
      <c r="E1292" s="3">
        <v>4</v>
      </c>
      <c r="F1292" s="4" t="str">
        <f>HYPERLINK("http://141.218.60.56/~jnz1568/getInfo.php?workbook=02_02.xlsx&amp;sheet=U0&amp;row=1292&amp;col=6&amp;number=4.5&amp;sourceID=28","4.5")</f>
        <v>4.5</v>
      </c>
      <c r="G1292" s="4" t="str">
        <f>HYPERLINK("http://141.218.60.56/~jnz1568/getInfo.php?workbook=02_02.xlsx&amp;sheet=U0&amp;row=1292&amp;col=7&amp;number=0.0009867&amp;sourceID=1","0.0009867")</f>
        <v>0.0009867</v>
      </c>
      <c r="H1292" s="4" t="str">
        <f>HYPERLINK("http://141.218.60.56/~jnz1568/getInfo.php?workbook=02_02.xlsx&amp;sheet=U0&amp;row=1292&amp;col=8&amp;number=&amp;sourceID=29","")</f>
        <v/>
      </c>
      <c r="I1292" s="4" t="str">
        <f>HYPERLINK("http://141.218.60.56/~jnz1568/getInfo.php?workbook=02_02.xlsx&amp;sheet=U0&amp;row=1292&amp;col=9&amp;number=&amp;sourceID=1","")</f>
        <v/>
      </c>
    </row>
    <row r="1293" spans="1:9">
      <c r="A1293" s="3"/>
      <c r="B1293" s="3"/>
      <c r="C1293" s="3"/>
      <c r="D1293" s="3"/>
      <c r="E1293" s="3">
        <v>5</v>
      </c>
      <c r="F1293" s="4" t="str">
        <f>HYPERLINK("http://141.218.60.56/~jnz1568/getInfo.php?workbook=02_02.xlsx&amp;sheet=U0&amp;row=1293&amp;col=6&amp;number=4.75&amp;sourceID=28","4.75")</f>
        <v>4.75</v>
      </c>
      <c r="G1293" s="4" t="str">
        <f>HYPERLINK("http://141.218.60.56/~jnz1568/getInfo.php?workbook=02_02.xlsx&amp;sheet=U0&amp;row=1293&amp;col=7&amp;number=0.0009957&amp;sourceID=1","0.0009957")</f>
        <v>0.0009957</v>
      </c>
      <c r="H1293" s="4" t="str">
        <f>HYPERLINK("http://141.218.60.56/~jnz1568/getInfo.php?workbook=02_02.xlsx&amp;sheet=U0&amp;row=1293&amp;col=8&amp;number=&amp;sourceID=29","")</f>
        <v/>
      </c>
      <c r="I1293" s="4" t="str">
        <f>HYPERLINK("http://141.218.60.56/~jnz1568/getInfo.php?workbook=02_02.xlsx&amp;sheet=U0&amp;row=1293&amp;col=9&amp;number=&amp;sourceID=1","")</f>
        <v/>
      </c>
    </row>
    <row r="1294" spans="1:9">
      <c r="A1294" s="3"/>
      <c r="B1294" s="3"/>
      <c r="C1294" s="3"/>
      <c r="D1294" s="3"/>
      <c r="E1294" s="3">
        <v>6</v>
      </c>
      <c r="F1294" s="4" t="str">
        <f>HYPERLINK("http://141.218.60.56/~jnz1568/getInfo.php?workbook=02_02.xlsx&amp;sheet=U0&amp;row=1294&amp;col=6&amp;number=5&amp;sourceID=28","5")</f>
        <v>5</v>
      </c>
      <c r="G1294" s="4" t="str">
        <f>HYPERLINK("http://141.218.60.56/~jnz1568/getInfo.php?workbook=02_02.xlsx&amp;sheet=U0&amp;row=1294&amp;col=7&amp;number=0.000948&amp;sourceID=1","0.000948")</f>
        <v>0.000948</v>
      </c>
      <c r="H1294" s="4" t="str">
        <f>HYPERLINK("http://141.218.60.56/~jnz1568/getInfo.php?workbook=02_02.xlsx&amp;sheet=U0&amp;row=1294&amp;col=8&amp;number=&amp;sourceID=29","")</f>
        <v/>
      </c>
      <c r="I1294" s="4" t="str">
        <f>HYPERLINK("http://141.218.60.56/~jnz1568/getInfo.php?workbook=02_02.xlsx&amp;sheet=U0&amp;row=1294&amp;col=9&amp;number=&amp;sourceID=1","")</f>
        <v/>
      </c>
    </row>
    <row r="1295" spans="1:9">
      <c r="A1295" s="3"/>
      <c r="B1295" s="3"/>
      <c r="C1295" s="3"/>
      <c r="D1295" s="3"/>
      <c r="E1295" s="3">
        <v>7</v>
      </c>
      <c r="F1295" s="4" t="str">
        <f>HYPERLINK("http://141.218.60.56/~jnz1568/getInfo.php?workbook=02_02.xlsx&amp;sheet=U0&amp;row=1295&amp;col=6&amp;number=5.25&amp;sourceID=28","5.25")</f>
        <v>5.25</v>
      </c>
      <c r="G1295" s="4" t="str">
        <f>HYPERLINK("http://141.218.60.56/~jnz1568/getInfo.php?workbook=02_02.xlsx&amp;sheet=U0&amp;row=1295&amp;col=7&amp;number=0.0008485&amp;sourceID=1","0.0008485")</f>
        <v>0.0008485</v>
      </c>
      <c r="H1295" s="4" t="str">
        <f>HYPERLINK("http://141.218.60.56/~jnz1568/getInfo.php?workbook=02_02.xlsx&amp;sheet=U0&amp;row=1295&amp;col=8&amp;number=&amp;sourceID=29","")</f>
        <v/>
      </c>
      <c r="I1295" s="4" t="str">
        <f>HYPERLINK("http://141.218.60.56/~jnz1568/getInfo.php?workbook=02_02.xlsx&amp;sheet=U0&amp;row=1295&amp;col=9&amp;number=&amp;sourceID=1","")</f>
        <v/>
      </c>
    </row>
    <row r="1296" spans="1:9">
      <c r="A1296" s="3"/>
      <c r="B1296" s="3"/>
      <c r="C1296" s="3"/>
      <c r="D1296" s="3"/>
      <c r="E1296" s="3">
        <v>8</v>
      </c>
      <c r="F1296" s="4" t="str">
        <f>HYPERLINK("http://141.218.60.56/~jnz1568/getInfo.php?workbook=02_02.xlsx&amp;sheet=U0&amp;row=1296&amp;col=6&amp;number=5.5&amp;sourceID=28","5.5")</f>
        <v>5.5</v>
      </c>
      <c r="G1296" s="4" t="str">
        <f>HYPERLINK("http://141.218.60.56/~jnz1568/getInfo.php?workbook=02_02.xlsx&amp;sheet=U0&amp;row=1296&amp;col=7&amp;number=0.0007044&amp;sourceID=1","0.0007044")</f>
        <v>0.0007044</v>
      </c>
      <c r="H1296" s="4" t="str">
        <f>HYPERLINK("http://141.218.60.56/~jnz1568/getInfo.php?workbook=02_02.xlsx&amp;sheet=U0&amp;row=1296&amp;col=8&amp;number=&amp;sourceID=29","")</f>
        <v/>
      </c>
      <c r="I1296" s="4" t="str">
        <f>HYPERLINK("http://141.218.60.56/~jnz1568/getInfo.php?workbook=02_02.xlsx&amp;sheet=U0&amp;row=1296&amp;col=9&amp;number=&amp;sourceID=1","")</f>
        <v/>
      </c>
    </row>
    <row r="1297" spans="1:9">
      <c r="A1297" s="3"/>
      <c r="B1297" s="3"/>
      <c r="C1297" s="3"/>
      <c r="D1297" s="3"/>
      <c r="E1297" s="3">
        <v>9</v>
      </c>
      <c r="F1297" s="4" t="str">
        <f>HYPERLINK("http://141.218.60.56/~jnz1568/getInfo.php?workbook=02_02.xlsx&amp;sheet=U0&amp;row=1297&amp;col=6&amp;number=5.75&amp;sourceID=28","5.75")</f>
        <v>5.75</v>
      </c>
      <c r="G1297" s="4" t="str">
        <f>HYPERLINK("http://141.218.60.56/~jnz1568/getInfo.php?workbook=02_02.xlsx&amp;sheet=U0&amp;row=1297&amp;col=7&amp;number=0.0005371&amp;sourceID=1","0.0005371")</f>
        <v>0.0005371</v>
      </c>
      <c r="H1297" s="4" t="str">
        <f>HYPERLINK("http://141.218.60.56/~jnz1568/getInfo.php?workbook=02_02.xlsx&amp;sheet=U0&amp;row=1297&amp;col=8&amp;number=&amp;sourceID=29","")</f>
        <v/>
      </c>
      <c r="I1297" s="4" t="str">
        <f>HYPERLINK("http://141.218.60.56/~jnz1568/getInfo.php?workbook=02_02.xlsx&amp;sheet=U0&amp;row=1297&amp;col=9&amp;number=&amp;sourceID=1","")</f>
        <v/>
      </c>
    </row>
    <row r="1298" spans="1:9">
      <c r="A1298" s="3">
        <v>2</v>
      </c>
      <c r="B1298" s="3">
        <v>2</v>
      </c>
      <c r="C1298" s="3">
        <v>23</v>
      </c>
      <c r="D1298" s="3">
        <v>2</v>
      </c>
      <c r="E1298" s="3">
        <v>1</v>
      </c>
      <c r="F1298" s="4" t="str">
        <f>HYPERLINK("http://141.218.60.56/~jnz1568/getInfo.php?workbook=02_02.xlsx&amp;sheet=U0&amp;row=1298&amp;col=6&amp;number=3.75&amp;sourceID=28","3.75")</f>
        <v>3.75</v>
      </c>
      <c r="G1298" s="4" t="str">
        <f>HYPERLINK("http://141.218.60.56/~jnz1568/getInfo.php?workbook=02_02.xlsx&amp;sheet=U0&amp;row=1298&amp;col=7&amp;number=0.1678&amp;sourceID=1","0.1678")</f>
        <v>0.1678</v>
      </c>
      <c r="H1298" s="4" t="str">
        <f>HYPERLINK("http://141.218.60.56/~jnz1568/getInfo.php?workbook=02_02.xlsx&amp;sheet=U0&amp;row=1298&amp;col=8&amp;number=&amp;sourceID=29","")</f>
        <v/>
      </c>
      <c r="I1298" s="4" t="str">
        <f>HYPERLINK("http://141.218.60.56/~jnz1568/getInfo.php?workbook=02_02.xlsx&amp;sheet=U0&amp;row=1298&amp;col=9&amp;number=&amp;sourceID=1","")</f>
        <v/>
      </c>
    </row>
    <row r="1299" spans="1:9">
      <c r="A1299" s="3"/>
      <c r="B1299" s="3"/>
      <c r="C1299" s="3"/>
      <c r="D1299" s="3"/>
      <c r="E1299" s="3">
        <v>2</v>
      </c>
      <c r="F1299" s="4" t="str">
        <f>HYPERLINK("http://141.218.60.56/~jnz1568/getInfo.php?workbook=02_02.xlsx&amp;sheet=U0&amp;row=1299&amp;col=6&amp;number=4&amp;sourceID=28","4")</f>
        <v>4</v>
      </c>
      <c r="G1299" s="4" t="str">
        <f>HYPERLINK("http://141.218.60.56/~jnz1568/getInfo.php?workbook=02_02.xlsx&amp;sheet=U0&amp;row=1299&amp;col=7&amp;number=0.2013&amp;sourceID=1","0.2013")</f>
        <v>0.2013</v>
      </c>
      <c r="H1299" s="4" t="str">
        <f>HYPERLINK("http://141.218.60.56/~jnz1568/getInfo.php?workbook=02_02.xlsx&amp;sheet=U0&amp;row=1299&amp;col=8&amp;number=&amp;sourceID=29","")</f>
        <v/>
      </c>
      <c r="I1299" s="4" t="str">
        <f>HYPERLINK("http://141.218.60.56/~jnz1568/getInfo.php?workbook=02_02.xlsx&amp;sheet=U0&amp;row=1299&amp;col=9&amp;number=&amp;sourceID=1","")</f>
        <v/>
      </c>
    </row>
    <row r="1300" spans="1:9">
      <c r="A1300" s="3"/>
      <c r="B1300" s="3"/>
      <c r="C1300" s="3"/>
      <c r="D1300" s="3"/>
      <c r="E1300" s="3">
        <v>3</v>
      </c>
      <c r="F1300" s="4" t="str">
        <f>HYPERLINK("http://141.218.60.56/~jnz1568/getInfo.php?workbook=02_02.xlsx&amp;sheet=U0&amp;row=1300&amp;col=6&amp;number=4.25&amp;sourceID=28","4.25")</f>
        <v>4.25</v>
      </c>
      <c r="G1300" s="4" t="str">
        <f>HYPERLINK("http://141.218.60.56/~jnz1568/getInfo.php?workbook=02_02.xlsx&amp;sheet=U0&amp;row=1300&amp;col=7&amp;number=0.2496&amp;sourceID=1","0.2496")</f>
        <v>0.2496</v>
      </c>
      <c r="H1300" s="4" t="str">
        <f>HYPERLINK("http://141.218.60.56/~jnz1568/getInfo.php?workbook=02_02.xlsx&amp;sheet=U0&amp;row=1300&amp;col=8&amp;number=&amp;sourceID=29","")</f>
        <v/>
      </c>
      <c r="I1300" s="4" t="str">
        <f>HYPERLINK("http://141.218.60.56/~jnz1568/getInfo.php?workbook=02_02.xlsx&amp;sheet=U0&amp;row=1300&amp;col=9&amp;number=&amp;sourceID=1","")</f>
        <v/>
      </c>
    </row>
    <row r="1301" spans="1:9">
      <c r="A1301" s="3"/>
      <c r="B1301" s="3"/>
      <c r="C1301" s="3"/>
      <c r="D1301" s="3"/>
      <c r="E1301" s="3">
        <v>4</v>
      </c>
      <c r="F1301" s="4" t="str">
        <f>HYPERLINK("http://141.218.60.56/~jnz1568/getInfo.php?workbook=02_02.xlsx&amp;sheet=U0&amp;row=1301&amp;col=6&amp;number=4.5&amp;sourceID=28","4.5")</f>
        <v>4.5</v>
      </c>
      <c r="G1301" s="4" t="str">
        <f>HYPERLINK("http://141.218.60.56/~jnz1568/getInfo.php?workbook=02_02.xlsx&amp;sheet=U0&amp;row=1301&amp;col=7&amp;number=0.3309&amp;sourceID=1","0.3309")</f>
        <v>0.3309</v>
      </c>
      <c r="H1301" s="4" t="str">
        <f>HYPERLINK("http://141.218.60.56/~jnz1568/getInfo.php?workbook=02_02.xlsx&amp;sheet=U0&amp;row=1301&amp;col=8&amp;number=&amp;sourceID=29","")</f>
        <v/>
      </c>
      <c r="I1301" s="4" t="str">
        <f>HYPERLINK("http://141.218.60.56/~jnz1568/getInfo.php?workbook=02_02.xlsx&amp;sheet=U0&amp;row=1301&amp;col=9&amp;number=&amp;sourceID=1","")</f>
        <v/>
      </c>
    </row>
    <row r="1302" spans="1:9">
      <c r="A1302" s="3"/>
      <c r="B1302" s="3"/>
      <c r="C1302" s="3"/>
      <c r="D1302" s="3"/>
      <c r="E1302" s="3">
        <v>5</v>
      </c>
      <c r="F1302" s="4" t="str">
        <f>HYPERLINK("http://141.218.60.56/~jnz1568/getInfo.php?workbook=02_02.xlsx&amp;sheet=U0&amp;row=1302&amp;col=6&amp;number=4.75&amp;sourceID=28","4.75")</f>
        <v>4.75</v>
      </c>
      <c r="G1302" s="4" t="str">
        <f>HYPERLINK("http://141.218.60.56/~jnz1568/getInfo.php?workbook=02_02.xlsx&amp;sheet=U0&amp;row=1302&amp;col=7&amp;number=0.4661&amp;sourceID=1","0.4661")</f>
        <v>0.4661</v>
      </c>
      <c r="H1302" s="4" t="str">
        <f>HYPERLINK("http://141.218.60.56/~jnz1568/getInfo.php?workbook=02_02.xlsx&amp;sheet=U0&amp;row=1302&amp;col=8&amp;number=&amp;sourceID=29","")</f>
        <v/>
      </c>
      <c r="I1302" s="4" t="str">
        <f>HYPERLINK("http://141.218.60.56/~jnz1568/getInfo.php?workbook=02_02.xlsx&amp;sheet=U0&amp;row=1302&amp;col=9&amp;number=&amp;sourceID=1","")</f>
        <v/>
      </c>
    </row>
    <row r="1303" spans="1:9">
      <c r="A1303" s="3"/>
      <c r="B1303" s="3"/>
      <c r="C1303" s="3"/>
      <c r="D1303" s="3"/>
      <c r="E1303" s="3">
        <v>6</v>
      </c>
      <c r="F1303" s="4" t="str">
        <f>HYPERLINK("http://141.218.60.56/~jnz1568/getInfo.php?workbook=02_02.xlsx&amp;sheet=U0&amp;row=1303&amp;col=6&amp;number=5&amp;sourceID=28","5")</f>
        <v>5</v>
      </c>
      <c r="G1303" s="4" t="str">
        <f>HYPERLINK("http://141.218.60.56/~jnz1568/getInfo.php?workbook=02_02.xlsx&amp;sheet=U0&amp;row=1303&amp;col=7&amp;number=0.6649&amp;sourceID=1","0.6649")</f>
        <v>0.6649</v>
      </c>
      <c r="H1303" s="4" t="str">
        <f>HYPERLINK("http://141.218.60.56/~jnz1568/getInfo.php?workbook=02_02.xlsx&amp;sheet=U0&amp;row=1303&amp;col=8&amp;number=&amp;sourceID=29","")</f>
        <v/>
      </c>
      <c r="I1303" s="4" t="str">
        <f>HYPERLINK("http://141.218.60.56/~jnz1568/getInfo.php?workbook=02_02.xlsx&amp;sheet=U0&amp;row=1303&amp;col=9&amp;number=&amp;sourceID=1","")</f>
        <v/>
      </c>
    </row>
    <row r="1304" spans="1:9">
      <c r="A1304" s="3"/>
      <c r="B1304" s="3"/>
      <c r="C1304" s="3"/>
      <c r="D1304" s="3"/>
      <c r="E1304" s="3">
        <v>7</v>
      </c>
      <c r="F1304" s="4" t="str">
        <f>HYPERLINK("http://141.218.60.56/~jnz1568/getInfo.php?workbook=02_02.xlsx&amp;sheet=U0&amp;row=1304&amp;col=6&amp;number=5.25&amp;sourceID=28","5.25")</f>
        <v>5.25</v>
      </c>
      <c r="G1304" s="4" t="str">
        <f>HYPERLINK("http://141.218.60.56/~jnz1568/getInfo.php?workbook=02_02.xlsx&amp;sheet=U0&amp;row=1304&amp;col=7&amp;number=0.9058&amp;sourceID=1","0.9058")</f>
        <v>0.9058</v>
      </c>
      <c r="H1304" s="4" t="str">
        <f>HYPERLINK("http://141.218.60.56/~jnz1568/getInfo.php?workbook=02_02.xlsx&amp;sheet=U0&amp;row=1304&amp;col=8&amp;number=&amp;sourceID=29","")</f>
        <v/>
      </c>
      <c r="I1304" s="4" t="str">
        <f>HYPERLINK("http://141.218.60.56/~jnz1568/getInfo.php?workbook=02_02.xlsx&amp;sheet=U0&amp;row=1304&amp;col=9&amp;number=&amp;sourceID=1","")</f>
        <v/>
      </c>
    </row>
    <row r="1305" spans="1:9">
      <c r="A1305" s="3"/>
      <c r="B1305" s="3"/>
      <c r="C1305" s="3"/>
      <c r="D1305" s="3"/>
      <c r="E1305" s="3">
        <v>8</v>
      </c>
      <c r="F1305" s="4" t="str">
        <f>HYPERLINK("http://141.218.60.56/~jnz1568/getInfo.php?workbook=02_02.xlsx&amp;sheet=U0&amp;row=1305&amp;col=6&amp;number=5.5&amp;sourceID=28","5.5")</f>
        <v>5.5</v>
      </c>
      <c r="G1305" s="4" t="str">
        <f>HYPERLINK("http://141.218.60.56/~jnz1568/getInfo.php?workbook=02_02.xlsx&amp;sheet=U0&amp;row=1305&amp;col=7&amp;number=1.143&amp;sourceID=1","1.143")</f>
        <v>1.143</v>
      </c>
      <c r="H1305" s="4" t="str">
        <f>HYPERLINK("http://141.218.60.56/~jnz1568/getInfo.php?workbook=02_02.xlsx&amp;sheet=U0&amp;row=1305&amp;col=8&amp;number=&amp;sourceID=29","")</f>
        <v/>
      </c>
      <c r="I1305" s="4" t="str">
        <f>HYPERLINK("http://141.218.60.56/~jnz1568/getInfo.php?workbook=02_02.xlsx&amp;sheet=U0&amp;row=1305&amp;col=9&amp;number=&amp;sourceID=1","")</f>
        <v/>
      </c>
    </row>
    <row r="1306" spans="1:9">
      <c r="A1306" s="3"/>
      <c r="B1306" s="3"/>
      <c r="C1306" s="3"/>
      <c r="D1306" s="3"/>
      <c r="E1306" s="3">
        <v>9</v>
      </c>
      <c r="F1306" s="4" t="str">
        <f>HYPERLINK("http://141.218.60.56/~jnz1568/getInfo.php?workbook=02_02.xlsx&amp;sheet=U0&amp;row=1306&amp;col=6&amp;number=5.75&amp;sourceID=28","5.75")</f>
        <v>5.75</v>
      </c>
      <c r="G1306" s="4" t="str">
        <f>HYPERLINK("http://141.218.60.56/~jnz1568/getInfo.php?workbook=02_02.xlsx&amp;sheet=U0&amp;row=1306&amp;col=7&amp;number=1.339&amp;sourceID=1","1.339")</f>
        <v>1.339</v>
      </c>
      <c r="H1306" s="4" t="str">
        <f>HYPERLINK("http://141.218.60.56/~jnz1568/getInfo.php?workbook=02_02.xlsx&amp;sheet=U0&amp;row=1306&amp;col=8&amp;number=&amp;sourceID=29","")</f>
        <v/>
      </c>
      <c r="I1306" s="4" t="str">
        <f>HYPERLINK("http://141.218.60.56/~jnz1568/getInfo.php?workbook=02_02.xlsx&amp;sheet=U0&amp;row=1306&amp;col=9&amp;number=&amp;sourceID=1","")</f>
        <v/>
      </c>
    </row>
    <row r="1307" spans="1:9">
      <c r="A1307" s="3">
        <v>2</v>
      </c>
      <c r="B1307" s="3">
        <v>2</v>
      </c>
      <c r="C1307" s="3">
        <v>23</v>
      </c>
      <c r="D1307" s="3">
        <v>3</v>
      </c>
      <c r="E1307" s="3">
        <v>1</v>
      </c>
      <c r="F1307" s="4" t="str">
        <f>HYPERLINK("http://141.218.60.56/~jnz1568/getInfo.php?workbook=02_02.xlsx&amp;sheet=U0&amp;row=1307&amp;col=6&amp;number=3.75&amp;sourceID=28","3.75")</f>
        <v>3.75</v>
      </c>
      <c r="G1307" s="4" t="str">
        <f>HYPERLINK("http://141.218.60.56/~jnz1568/getInfo.php?workbook=02_02.xlsx&amp;sheet=U0&amp;row=1307&amp;col=7&amp;number=0.04162&amp;sourceID=1","0.04162")</f>
        <v>0.04162</v>
      </c>
      <c r="H1307" s="4" t="str">
        <f>HYPERLINK("http://141.218.60.56/~jnz1568/getInfo.php?workbook=02_02.xlsx&amp;sheet=U0&amp;row=1307&amp;col=8&amp;number=&amp;sourceID=29","")</f>
        <v/>
      </c>
      <c r="I1307" s="4" t="str">
        <f>HYPERLINK("http://141.218.60.56/~jnz1568/getInfo.php?workbook=02_02.xlsx&amp;sheet=U0&amp;row=1307&amp;col=9&amp;number=&amp;sourceID=1","")</f>
        <v/>
      </c>
    </row>
    <row r="1308" spans="1:9">
      <c r="A1308" s="3"/>
      <c r="B1308" s="3"/>
      <c r="C1308" s="3"/>
      <c r="D1308" s="3"/>
      <c r="E1308" s="3">
        <v>2</v>
      </c>
      <c r="F1308" s="4" t="str">
        <f>HYPERLINK("http://141.218.60.56/~jnz1568/getInfo.php?workbook=02_02.xlsx&amp;sheet=U0&amp;row=1308&amp;col=6&amp;number=4&amp;sourceID=28","4")</f>
        <v>4</v>
      </c>
      <c r="G1308" s="4" t="str">
        <f>HYPERLINK("http://141.218.60.56/~jnz1568/getInfo.php?workbook=02_02.xlsx&amp;sheet=U0&amp;row=1308&amp;col=7&amp;number=0.04405&amp;sourceID=1","0.04405")</f>
        <v>0.04405</v>
      </c>
      <c r="H1308" s="4" t="str">
        <f>HYPERLINK("http://141.218.60.56/~jnz1568/getInfo.php?workbook=02_02.xlsx&amp;sheet=U0&amp;row=1308&amp;col=8&amp;number=&amp;sourceID=29","")</f>
        <v/>
      </c>
      <c r="I1308" s="4" t="str">
        <f>HYPERLINK("http://141.218.60.56/~jnz1568/getInfo.php?workbook=02_02.xlsx&amp;sheet=U0&amp;row=1308&amp;col=9&amp;number=&amp;sourceID=1","")</f>
        <v/>
      </c>
    </row>
    <row r="1309" spans="1:9">
      <c r="A1309" s="3"/>
      <c r="B1309" s="3"/>
      <c r="C1309" s="3"/>
      <c r="D1309" s="3"/>
      <c r="E1309" s="3">
        <v>3</v>
      </c>
      <c r="F1309" s="4" t="str">
        <f>HYPERLINK("http://141.218.60.56/~jnz1568/getInfo.php?workbook=02_02.xlsx&amp;sheet=U0&amp;row=1309&amp;col=6&amp;number=4.25&amp;sourceID=28","4.25")</f>
        <v>4.25</v>
      </c>
      <c r="G1309" s="4" t="str">
        <f>HYPERLINK("http://141.218.60.56/~jnz1568/getInfo.php?workbook=02_02.xlsx&amp;sheet=U0&amp;row=1309&amp;col=7&amp;number=0.04461&amp;sourceID=1","0.04461")</f>
        <v>0.04461</v>
      </c>
      <c r="H1309" s="4" t="str">
        <f>HYPERLINK("http://141.218.60.56/~jnz1568/getInfo.php?workbook=02_02.xlsx&amp;sheet=U0&amp;row=1309&amp;col=8&amp;number=&amp;sourceID=29","")</f>
        <v/>
      </c>
      <c r="I1309" s="4" t="str">
        <f>HYPERLINK("http://141.218.60.56/~jnz1568/getInfo.php?workbook=02_02.xlsx&amp;sheet=U0&amp;row=1309&amp;col=9&amp;number=&amp;sourceID=1","")</f>
        <v/>
      </c>
    </row>
    <row r="1310" spans="1:9">
      <c r="A1310" s="3"/>
      <c r="B1310" s="3"/>
      <c r="C1310" s="3"/>
      <c r="D1310" s="3"/>
      <c r="E1310" s="3">
        <v>4</v>
      </c>
      <c r="F1310" s="4" t="str">
        <f>HYPERLINK("http://141.218.60.56/~jnz1568/getInfo.php?workbook=02_02.xlsx&amp;sheet=U0&amp;row=1310&amp;col=6&amp;number=4.5&amp;sourceID=28","4.5")</f>
        <v>4.5</v>
      </c>
      <c r="G1310" s="4" t="str">
        <f>HYPERLINK("http://141.218.60.56/~jnz1568/getInfo.php?workbook=02_02.xlsx&amp;sheet=U0&amp;row=1310&amp;col=7&amp;number=0.04341&amp;sourceID=1","0.04341")</f>
        <v>0.04341</v>
      </c>
      <c r="H1310" s="4" t="str">
        <f>HYPERLINK("http://141.218.60.56/~jnz1568/getInfo.php?workbook=02_02.xlsx&amp;sheet=U0&amp;row=1310&amp;col=8&amp;number=&amp;sourceID=29","")</f>
        <v/>
      </c>
      <c r="I1310" s="4" t="str">
        <f>HYPERLINK("http://141.218.60.56/~jnz1568/getInfo.php?workbook=02_02.xlsx&amp;sheet=U0&amp;row=1310&amp;col=9&amp;number=&amp;sourceID=1","")</f>
        <v/>
      </c>
    </row>
    <row r="1311" spans="1:9">
      <c r="A1311" s="3"/>
      <c r="B1311" s="3"/>
      <c r="C1311" s="3"/>
      <c r="D1311" s="3"/>
      <c r="E1311" s="3">
        <v>5</v>
      </c>
      <c r="F1311" s="4" t="str">
        <f>HYPERLINK("http://141.218.60.56/~jnz1568/getInfo.php?workbook=02_02.xlsx&amp;sheet=U0&amp;row=1311&amp;col=6&amp;number=4.75&amp;sourceID=28","4.75")</f>
        <v>4.75</v>
      </c>
      <c r="G1311" s="4" t="str">
        <f>HYPERLINK("http://141.218.60.56/~jnz1568/getInfo.php?workbook=02_02.xlsx&amp;sheet=U0&amp;row=1311&amp;col=7&amp;number=0.04007&amp;sourceID=1","0.04007")</f>
        <v>0.04007</v>
      </c>
      <c r="H1311" s="4" t="str">
        <f>HYPERLINK("http://141.218.60.56/~jnz1568/getInfo.php?workbook=02_02.xlsx&amp;sheet=U0&amp;row=1311&amp;col=8&amp;number=&amp;sourceID=29","")</f>
        <v/>
      </c>
      <c r="I1311" s="4" t="str">
        <f>HYPERLINK("http://141.218.60.56/~jnz1568/getInfo.php?workbook=02_02.xlsx&amp;sheet=U0&amp;row=1311&amp;col=9&amp;number=&amp;sourceID=1","")</f>
        <v/>
      </c>
    </row>
    <row r="1312" spans="1:9">
      <c r="A1312" s="3"/>
      <c r="B1312" s="3"/>
      <c r="C1312" s="3"/>
      <c r="D1312" s="3"/>
      <c r="E1312" s="3">
        <v>6</v>
      </c>
      <c r="F1312" s="4" t="str">
        <f>HYPERLINK("http://141.218.60.56/~jnz1568/getInfo.php?workbook=02_02.xlsx&amp;sheet=U0&amp;row=1312&amp;col=6&amp;number=5&amp;sourceID=28","5")</f>
        <v>5</v>
      </c>
      <c r="G1312" s="4" t="str">
        <f>HYPERLINK("http://141.218.60.56/~jnz1568/getInfo.php?workbook=02_02.xlsx&amp;sheet=U0&amp;row=1312&amp;col=7&amp;number=0.0343&amp;sourceID=1","0.0343")</f>
        <v>0.0343</v>
      </c>
      <c r="H1312" s="4" t="str">
        <f>HYPERLINK("http://141.218.60.56/~jnz1568/getInfo.php?workbook=02_02.xlsx&amp;sheet=U0&amp;row=1312&amp;col=8&amp;number=&amp;sourceID=29","")</f>
        <v/>
      </c>
      <c r="I1312" s="4" t="str">
        <f>HYPERLINK("http://141.218.60.56/~jnz1568/getInfo.php?workbook=02_02.xlsx&amp;sheet=U0&amp;row=1312&amp;col=9&amp;number=&amp;sourceID=1","")</f>
        <v/>
      </c>
    </row>
    <row r="1313" spans="1:9">
      <c r="A1313" s="3"/>
      <c r="B1313" s="3"/>
      <c r="C1313" s="3"/>
      <c r="D1313" s="3"/>
      <c r="E1313" s="3">
        <v>7</v>
      </c>
      <c r="F1313" s="4" t="str">
        <f>HYPERLINK("http://141.218.60.56/~jnz1568/getInfo.php?workbook=02_02.xlsx&amp;sheet=U0&amp;row=1313&amp;col=6&amp;number=5.25&amp;sourceID=28","5.25")</f>
        <v>5.25</v>
      </c>
      <c r="G1313" s="4" t="str">
        <f>HYPERLINK("http://141.218.60.56/~jnz1568/getInfo.php?workbook=02_02.xlsx&amp;sheet=U0&amp;row=1313&amp;col=7&amp;number=0.02693&amp;sourceID=1","0.02693")</f>
        <v>0.02693</v>
      </c>
      <c r="H1313" s="4" t="str">
        <f>HYPERLINK("http://141.218.60.56/~jnz1568/getInfo.php?workbook=02_02.xlsx&amp;sheet=U0&amp;row=1313&amp;col=8&amp;number=&amp;sourceID=29","")</f>
        <v/>
      </c>
      <c r="I1313" s="4" t="str">
        <f>HYPERLINK("http://141.218.60.56/~jnz1568/getInfo.php?workbook=02_02.xlsx&amp;sheet=U0&amp;row=1313&amp;col=9&amp;number=&amp;sourceID=1","")</f>
        <v/>
      </c>
    </row>
    <row r="1314" spans="1:9">
      <c r="A1314" s="3"/>
      <c r="B1314" s="3"/>
      <c r="C1314" s="3"/>
      <c r="D1314" s="3"/>
      <c r="E1314" s="3">
        <v>8</v>
      </c>
      <c r="F1314" s="4" t="str">
        <f>HYPERLINK("http://141.218.60.56/~jnz1568/getInfo.php?workbook=02_02.xlsx&amp;sheet=U0&amp;row=1314&amp;col=6&amp;number=5.5&amp;sourceID=28","5.5")</f>
        <v>5.5</v>
      </c>
      <c r="G1314" s="4" t="str">
        <f>HYPERLINK("http://141.218.60.56/~jnz1568/getInfo.php?workbook=02_02.xlsx&amp;sheet=U0&amp;row=1314&amp;col=7&amp;number=0.01947&amp;sourceID=1","0.01947")</f>
        <v>0.01947</v>
      </c>
      <c r="H1314" s="4" t="str">
        <f>HYPERLINK("http://141.218.60.56/~jnz1568/getInfo.php?workbook=02_02.xlsx&amp;sheet=U0&amp;row=1314&amp;col=8&amp;number=&amp;sourceID=29","")</f>
        <v/>
      </c>
      <c r="I1314" s="4" t="str">
        <f>HYPERLINK("http://141.218.60.56/~jnz1568/getInfo.php?workbook=02_02.xlsx&amp;sheet=U0&amp;row=1314&amp;col=9&amp;number=&amp;sourceID=1","")</f>
        <v/>
      </c>
    </row>
    <row r="1315" spans="1:9">
      <c r="A1315" s="3"/>
      <c r="B1315" s="3"/>
      <c r="C1315" s="3"/>
      <c r="D1315" s="3"/>
      <c r="E1315" s="3">
        <v>9</v>
      </c>
      <c r="F1315" s="4" t="str">
        <f>HYPERLINK("http://141.218.60.56/~jnz1568/getInfo.php?workbook=02_02.xlsx&amp;sheet=U0&amp;row=1315&amp;col=6&amp;number=5.75&amp;sourceID=28","5.75")</f>
        <v>5.75</v>
      </c>
      <c r="G1315" s="4" t="str">
        <f>HYPERLINK("http://141.218.60.56/~jnz1568/getInfo.php?workbook=02_02.xlsx&amp;sheet=U0&amp;row=1315&amp;col=7&amp;number=0.01312&amp;sourceID=1","0.01312")</f>
        <v>0.01312</v>
      </c>
      <c r="H1315" s="4" t="str">
        <f>HYPERLINK("http://141.218.60.56/~jnz1568/getInfo.php?workbook=02_02.xlsx&amp;sheet=U0&amp;row=1315&amp;col=8&amp;number=&amp;sourceID=29","")</f>
        <v/>
      </c>
      <c r="I1315" s="4" t="str">
        <f>HYPERLINK("http://141.218.60.56/~jnz1568/getInfo.php?workbook=02_02.xlsx&amp;sheet=U0&amp;row=1315&amp;col=9&amp;number=&amp;sourceID=1","")</f>
        <v/>
      </c>
    </row>
    <row r="1316" spans="1:9">
      <c r="A1316" s="3">
        <v>2</v>
      </c>
      <c r="B1316" s="3">
        <v>2</v>
      </c>
      <c r="C1316" s="3">
        <v>23</v>
      </c>
      <c r="D1316" s="3">
        <v>4</v>
      </c>
      <c r="E1316" s="3">
        <v>1</v>
      </c>
      <c r="F1316" s="4" t="str">
        <f>HYPERLINK("http://141.218.60.56/~jnz1568/getInfo.php?workbook=02_02.xlsx&amp;sheet=U0&amp;row=1316&amp;col=6&amp;number=3.75&amp;sourceID=28","3.75")</f>
        <v>3.75</v>
      </c>
      <c r="G1316" s="4" t="str">
        <f>HYPERLINK("http://141.218.60.56/~jnz1568/getInfo.php?workbook=02_02.xlsx&amp;sheet=U0&amp;row=1316&amp;col=7&amp;number=1.357&amp;sourceID=1","1.357")</f>
        <v>1.357</v>
      </c>
      <c r="H1316" s="4" t="str">
        <f>HYPERLINK("http://141.218.60.56/~jnz1568/getInfo.php?workbook=02_02.xlsx&amp;sheet=U0&amp;row=1316&amp;col=8&amp;number=&amp;sourceID=29","")</f>
        <v/>
      </c>
      <c r="I1316" s="4" t="str">
        <f>HYPERLINK("http://141.218.60.56/~jnz1568/getInfo.php?workbook=02_02.xlsx&amp;sheet=U0&amp;row=1316&amp;col=9&amp;number=&amp;sourceID=1","")</f>
        <v/>
      </c>
    </row>
    <row r="1317" spans="1:9">
      <c r="A1317" s="3"/>
      <c r="B1317" s="3"/>
      <c r="C1317" s="3"/>
      <c r="D1317" s="3"/>
      <c r="E1317" s="3">
        <v>2</v>
      </c>
      <c r="F1317" s="4" t="str">
        <f>HYPERLINK("http://141.218.60.56/~jnz1568/getInfo.php?workbook=02_02.xlsx&amp;sheet=U0&amp;row=1317&amp;col=6&amp;number=4&amp;sourceID=28","4")</f>
        <v>4</v>
      </c>
      <c r="G1317" s="4" t="str">
        <f>HYPERLINK("http://141.218.60.56/~jnz1568/getInfo.php?workbook=02_02.xlsx&amp;sheet=U0&amp;row=1317&amp;col=7&amp;number=1.587&amp;sourceID=1","1.587")</f>
        <v>1.587</v>
      </c>
      <c r="H1317" s="4" t="str">
        <f>HYPERLINK("http://141.218.60.56/~jnz1568/getInfo.php?workbook=02_02.xlsx&amp;sheet=U0&amp;row=1317&amp;col=8&amp;number=&amp;sourceID=29","")</f>
        <v/>
      </c>
      <c r="I1317" s="4" t="str">
        <f>HYPERLINK("http://141.218.60.56/~jnz1568/getInfo.php?workbook=02_02.xlsx&amp;sheet=U0&amp;row=1317&amp;col=9&amp;number=&amp;sourceID=1","")</f>
        <v/>
      </c>
    </row>
    <row r="1318" spans="1:9">
      <c r="A1318" s="3"/>
      <c r="B1318" s="3"/>
      <c r="C1318" s="3"/>
      <c r="D1318" s="3"/>
      <c r="E1318" s="3">
        <v>3</v>
      </c>
      <c r="F1318" s="4" t="str">
        <f>HYPERLINK("http://141.218.60.56/~jnz1568/getInfo.php?workbook=02_02.xlsx&amp;sheet=U0&amp;row=1318&amp;col=6&amp;number=4.25&amp;sourceID=28","4.25")</f>
        <v>4.25</v>
      </c>
      <c r="G1318" s="4" t="str">
        <f>HYPERLINK("http://141.218.60.56/~jnz1568/getInfo.php?workbook=02_02.xlsx&amp;sheet=U0&amp;row=1318&amp;col=7&amp;number=1.961&amp;sourceID=1","1.961")</f>
        <v>1.961</v>
      </c>
      <c r="H1318" s="4" t="str">
        <f>HYPERLINK("http://141.218.60.56/~jnz1568/getInfo.php?workbook=02_02.xlsx&amp;sheet=U0&amp;row=1318&amp;col=8&amp;number=&amp;sourceID=29","")</f>
        <v/>
      </c>
      <c r="I1318" s="4" t="str">
        <f>HYPERLINK("http://141.218.60.56/~jnz1568/getInfo.php?workbook=02_02.xlsx&amp;sheet=U0&amp;row=1318&amp;col=9&amp;number=&amp;sourceID=1","")</f>
        <v/>
      </c>
    </row>
    <row r="1319" spans="1:9">
      <c r="A1319" s="3"/>
      <c r="B1319" s="3"/>
      <c r="C1319" s="3"/>
      <c r="D1319" s="3"/>
      <c r="E1319" s="3">
        <v>4</v>
      </c>
      <c r="F1319" s="4" t="str">
        <f>HYPERLINK("http://141.218.60.56/~jnz1568/getInfo.php?workbook=02_02.xlsx&amp;sheet=U0&amp;row=1319&amp;col=6&amp;number=4.5&amp;sourceID=28","4.5")</f>
        <v>4.5</v>
      </c>
      <c r="G1319" s="4" t="str">
        <f>HYPERLINK("http://141.218.60.56/~jnz1568/getInfo.php?workbook=02_02.xlsx&amp;sheet=U0&amp;row=1319&amp;col=7&amp;number=2.676&amp;sourceID=1","2.676")</f>
        <v>2.676</v>
      </c>
      <c r="H1319" s="4" t="str">
        <f>HYPERLINK("http://141.218.60.56/~jnz1568/getInfo.php?workbook=02_02.xlsx&amp;sheet=U0&amp;row=1319&amp;col=8&amp;number=&amp;sourceID=29","")</f>
        <v/>
      </c>
      <c r="I1319" s="4" t="str">
        <f>HYPERLINK("http://141.218.60.56/~jnz1568/getInfo.php?workbook=02_02.xlsx&amp;sheet=U0&amp;row=1319&amp;col=9&amp;number=&amp;sourceID=1","")</f>
        <v/>
      </c>
    </row>
    <row r="1320" spans="1:9">
      <c r="A1320" s="3"/>
      <c r="B1320" s="3"/>
      <c r="C1320" s="3"/>
      <c r="D1320" s="3"/>
      <c r="E1320" s="3">
        <v>5</v>
      </c>
      <c r="F1320" s="4" t="str">
        <f>HYPERLINK("http://141.218.60.56/~jnz1568/getInfo.php?workbook=02_02.xlsx&amp;sheet=U0&amp;row=1320&amp;col=6&amp;number=4.75&amp;sourceID=28","4.75")</f>
        <v>4.75</v>
      </c>
      <c r="G1320" s="4" t="str">
        <f>HYPERLINK("http://141.218.60.56/~jnz1568/getInfo.php?workbook=02_02.xlsx&amp;sheet=U0&amp;row=1320&amp;col=7&amp;number=4.041&amp;sourceID=1","4.041")</f>
        <v>4.041</v>
      </c>
      <c r="H1320" s="4" t="str">
        <f>HYPERLINK("http://141.218.60.56/~jnz1568/getInfo.php?workbook=02_02.xlsx&amp;sheet=U0&amp;row=1320&amp;col=8&amp;number=&amp;sourceID=29","")</f>
        <v/>
      </c>
      <c r="I1320" s="4" t="str">
        <f>HYPERLINK("http://141.218.60.56/~jnz1568/getInfo.php?workbook=02_02.xlsx&amp;sheet=U0&amp;row=1320&amp;col=9&amp;number=&amp;sourceID=1","")</f>
        <v/>
      </c>
    </row>
    <row r="1321" spans="1:9">
      <c r="A1321" s="3"/>
      <c r="B1321" s="3"/>
      <c r="C1321" s="3"/>
      <c r="D1321" s="3"/>
      <c r="E1321" s="3">
        <v>6</v>
      </c>
      <c r="F1321" s="4" t="str">
        <f>HYPERLINK("http://141.218.60.56/~jnz1568/getInfo.php?workbook=02_02.xlsx&amp;sheet=U0&amp;row=1321&amp;col=6&amp;number=5&amp;sourceID=28","5")</f>
        <v>5</v>
      </c>
      <c r="G1321" s="4" t="str">
        <f>HYPERLINK("http://141.218.60.56/~jnz1568/getInfo.php?workbook=02_02.xlsx&amp;sheet=U0&amp;row=1321&amp;col=7&amp;number=6.387&amp;sourceID=1","6.387")</f>
        <v>6.387</v>
      </c>
      <c r="H1321" s="4" t="str">
        <f>HYPERLINK("http://141.218.60.56/~jnz1568/getInfo.php?workbook=02_02.xlsx&amp;sheet=U0&amp;row=1321&amp;col=8&amp;number=&amp;sourceID=29","")</f>
        <v/>
      </c>
      <c r="I1321" s="4" t="str">
        <f>HYPERLINK("http://141.218.60.56/~jnz1568/getInfo.php?workbook=02_02.xlsx&amp;sheet=U0&amp;row=1321&amp;col=9&amp;number=&amp;sourceID=1","")</f>
        <v/>
      </c>
    </row>
    <row r="1322" spans="1:9">
      <c r="A1322" s="3"/>
      <c r="B1322" s="3"/>
      <c r="C1322" s="3"/>
      <c r="D1322" s="3"/>
      <c r="E1322" s="3">
        <v>7</v>
      </c>
      <c r="F1322" s="4" t="str">
        <f>HYPERLINK("http://141.218.60.56/~jnz1568/getInfo.php?workbook=02_02.xlsx&amp;sheet=U0&amp;row=1322&amp;col=6&amp;number=5.25&amp;sourceID=28","5.25")</f>
        <v>5.25</v>
      </c>
      <c r="G1322" s="4" t="str">
        <f>HYPERLINK("http://141.218.60.56/~jnz1568/getInfo.php?workbook=02_02.xlsx&amp;sheet=U0&amp;row=1322&amp;col=7&amp;number=9.836&amp;sourceID=1","9.836")</f>
        <v>9.836</v>
      </c>
      <c r="H1322" s="4" t="str">
        <f>HYPERLINK("http://141.218.60.56/~jnz1568/getInfo.php?workbook=02_02.xlsx&amp;sheet=U0&amp;row=1322&amp;col=8&amp;number=&amp;sourceID=29","")</f>
        <v/>
      </c>
      <c r="I1322" s="4" t="str">
        <f>HYPERLINK("http://141.218.60.56/~jnz1568/getInfo.php?workbook=02_02.xlsx&amp;sheet=U0&amp;row=1322&amp;col=9&amp;number=&amp;sourceID=1","")</f>
        <v/>
      </c>
    </row>
    <row r="1323" spans="1:9">
      <c r="A1323" s="3"/>
      <c r="B1323" s="3"/>
      <c r="C1323" s="3"/>
      <c r="D1323" s="3"/>
      <c r="E1323" s="3">
        <v>8</v>
      </c>
      <c r="F1323" s="4" t="str">
        <f>HYPERLINK("http://141.218.60.56/~jnz1568/getInfo.php?workbook=02_02.xlsx&amp;sheet=U0&amp;row=1323&amp;col=6&amp;number=5.5&amp;sourceID=28","5.5")</f>
        <v>5.5</v>
      </c>
      <c r="G1323" s="4" t="str">
        <f>HYPERLINK("http://141.218.60.56/~jnz1568/getInfo.php?workbook=02_02.xlsx&amp;sheet=U0&amp;row=1323&amp;col=7&amp;number=14.18&amp;sourceID=1","14.18")</f>
        <v>14.18</v>
      </c>
      <c r="H1323" s="4" t="str">
        <f>HYPERLINK("http://141.218.60.56/~jnz1568/getInfo.php?workbook=02_02.xlsx&amp;sheet=U0&amp;row=1323&amp;col=8&amp;number=&amp;sourceID=29","")</f>
        <v/>
      </c>
      <c r="I1323" s="4" t="str">
        <f>HYPERLINK("http://141.218.60.56/~jnz1568/getInfo.php?workbook=02_02.xlsx&amp;sheet=U0&amp;row=1323&amp;col=9&amp;number=&amp;sourceID=1","")</f>
        <v/>
      </c>
    </row>
    <row r="1324" spans="1:9">
      <c r="A1324" s="3"/>
      <c r="B1324" s="3"/>
      <c r="C1324" s="3"/>
      <c r="D1324" s="3"/>
      <c r="E1324" s="3">
        <v>9</v>
      </c>
      <c r="F1324" s="4" t="str">
        <f>HYPERLINK("http://141.218.60.56/~jnz1568/getInfo.php?workbook=02_02.xlsx&amp;sheet=U0&amp;row=1324&amp;col=6&amp;number=5.75&amp;sourceID=28","5.75")</f>
        <v>5.75</v>
      </c>
      <c r="G1324" s="4" t="str">
        <f>HYPERLINK("http://141.218.60.56/~jnz1568/getInfo.php?workbook=02_02.xlsx&amp;sheet=U0&amp;row=1324&amp;col=7&amp;number=19.08&amp;sourceID=1","19.08")</f>
        <v>19.08</v>
      </c>
      <c r="H1324" s="4" t="str">
        <f>HYPERLINK("http://141.218.60.56/~jnz1568/getInfo.php?workbook=02_02.xlsx&amp;sheet=U0&amp;row=1324&amp;col=8&amp;number=&amp;sourceID=29","")</f>
        <v/>
      </c>
      <c r="I1324" s="4" t="str">
        <f>HYPERLINK("http://141.218.60.56/~jnz1568/getInfo.php?workbook=02_02.xlsx&amp;sheet=U0&amp;row=1324&amp;col=9&amp;number=&amp;sourceID=1","")</f>
        <v/>
      </c>
    </row>
    <row r="1325" spans="1:9">
      <c r="A1325" s="3">
        <v>2</v>
      </c>
      <c r="B1325" s="3">
        <v>2</v>
      </c>
      <c r="C1325" s="3">
        <v>24</v>
      </c>
      <c r="D1325" s="3">
        <v>1</v>
      </c>
      <c r="E1325" s="3">
        <v>1</v>
      </c>
      <c r="F1325" s="4" t="str">
        <f>HYPERLINK("http://141.218.60.56/~jnz1568/getInfo.php?workbook=02_02.xlsx&amp;sheet=U0&amp;row=1325&amp;col=6&amp;number=3.75&amp;sourceID=28","3.75")</f>
        <v>3.75</v>
      </c>
      <c r="G1325" s="4" t="str">
        <f>HYPERLINK("http://141.218.60.56/~jnz1568/getInfo.php?workbook=02_02.xlsx&amp;sheet=U0&amp;row=1325&amp;col=7&amp;number=0.0007906&amp;sourceID=1","0.0007906")</f>
        <v>0.0007906</v>
      </c>
      <c r="H1325" s="4" t="str">
        <f>HYPERLINK("http://141.218.60.56/~jnz1568/getInfo.php?workbook=02_02.xlsx&amp;sheet=U0&amp;row=1325&amp;col=8&amp;number=&amp;sourceID=29","")</f>
        <v/>
      </c>
      <c r="I1325" s="4" t="str">
        <f>HYPERLINK("http://141.218.60.56/~jnz1568/getInfo.php?workbook=02_02.xlsx&amp;sheet=U0&amp;row=1325&amp;col=9&amp;number=&amp;sourceID=1","")</f>
        <v/>
      </c>
    </row>
    <row r="1326" spans="1:9">
      <c r="A1326" s="3"/>
      <c r="B1326" s="3"/>
      <c r="C1326" s="3"/>
      <c r="D1326" s="3"/>
      <c r="E1326" s="3">
        <v>2</v>
      </c>
      <c r="F1326" s="4" t="str">
        <f>HYPERLINK("http://141.218.60.56/~jnz1568/getInfo.php?workbook=02_02.xlsx&amp;sheet=U0&amp;row=1326&amp;col=6&amp;number=4&amp;sourceID=28","4")</f>
        <v>4</v>
      </c>
      <c r="G1326" s="4" t="str">
        <f>HYPERLINK("http://141.218.60.56/~jnz1568/getInfo.php?workbook=02_02.xlsx&amp;sheet=U0&amp;row=1326&amp;col=7&amp;number=0.0008285&amp;sourceID=1","0.0008285")</f>
        <v>0.0008285</v>
      </c>
      <c r="H1326" s="4" t="str">
        <f>HYPERLINK("http://141.218.60.56/~jnz1568/getInfo.php?workbook=02_02.xlsx&amp;sheet=U0&amp;row=1326&amp;col=8&amp;number=&amp;sourceID=29","")</f>
        <v/>
      </c>
      <c r="I1326" s="4" t="str">
        <f>HYPERLINK("http://141.218.60.56/~jnz1568/getInfo.php?workbook=02_02.xlsx&amp;sheet=U0&amp;row=1326&amp;col=9&amp;number=&amp;sourceID=1","")</f>
        <v/>
      </c>
    </row>
    <row r="1327" spans="1:9">
      <c r="A1327" s="3"/>
      <c r="B1327" s="3"/>
      <c r="C1327" s="3"/>
      <c r="D1327" s="3"/>
      <c r="E1327" s="3">
        <v>3</v>
      </c>
      <c r="F1327" s="4" t="str">
        <f>HYPERLINK("http://141.218.60.56/~jnz1568/getInfo.php?workbook=02_02.xlsx&amp;sheet=U0&amp;row=1327&amp;col=6&amp;number=4.25&amp;sourceID=28","4.25")</f>
        <v>4.25</v>
      </c>
      <c r="G1327" s="4" t="str">
        <f>HYPERLINK("http://141.218.60.56/~jnz1568/getInfo.php?workbook=02_02.xlsx&amp;sheet=U0&amp;row=1327&amp;col=7&amp;number=0.0008888&amp;sourceID=1","0.0008888")</f>
        <v>0.0008888</v>
      </c>
      <c r="H1327" s="4" t="str">
        <f>HYPERLINK("http://141.218.60.56/~jnz1568/getInfo.php?workbook=02_02.xlsx&amp;sheet=U0&amp;row=1327&amp;col=8&amp;number=&amp;sourceID=29","")</f>
        <v/>
      </c>
      <c r="I1327" s="4" t="str">
        <f>HYPERLINK("http://141.218.60.56/~jnz1568/getInfo.php?workbook=02_02.xlsx&amp;sheet=U0&amp;row=1327&amp;col=9&amp;number=&amp;sourceID=1","")</f>
        <v/>
      </c>
    </row>
    <row r="1328" spans="1:9">
      <c r="A1328" s="3"/>
      <c r="B1328" s="3"/>
      <c r="C1328" s="3"/>
      <c r="D1328" s="3"/>
      <c r="E1328" s="3">
        <v>4</v>
      </c>
      <c r="F1328" s="4" t="str">
        <f>HYPERLINK("http://141.218.60.56/~jnz1568/getInfo.php?workbook=02_02.xlsx&amp;sheet=U0&amp;row=1328&amp;col=6&amp;number=4.5&amp;sourceID=28","4.5")</f>
        <v>4.5</v>
      </c>
      <c r="G1328" s="4" t="str">
        <f>HYPERLINK("http://141.218.60.56/~jnz1568/getInfo.php?workbook=02_02.xlsx&amp;sheet=U0&amp;row=1328&amp;col=7&amp;number=0.001009&amp;sourceID=1","0.001009")</f>
        <v>0.001009</v>
      </c>
      <c r="H1328" s="4" t="str">
        <f>HYPERLINK("http://141.218.60.56/~jnz1568/getInfo.php?workbook=02_02.xlsx&amp;sheet=U0&amp;row=1328&amp;col=8&amp;number=&amp;sourceID=29","")</f>
        <v/>
      </c>
      <c r="I1328" s="4" t="str">
        <f>HYPERLINK("http://141.218.60.56/~jnz1568/getInfo.php?workbook=02_02.xlsx&amp;sheet=U0&amp;row=1328&amp;col=9&amp;number=&amp;sourceID=1","")</f>
        <v/>
      </c>
    </row>
    <row r="1329" spans="1:9">
      <c r="A1329" s="3"/>
      <c r="B1329" s="3"/>
      <c r="C1329" s="3"/>
      <c r="D1329" s="3"/>
      <c r="E1329" s="3">
        <v>5</v>
      </c>
      <c r="F1329" s="4" t="str">
        <f>HYPERLINK("http://141.218.60.56/~jnz1568/getInfo.php?workbook=02_02.xlsx&amp;sheet=U0&amp;row=1329&amp;col=6&amp;number=4.75&amp;sourceID=28","4.75")</f>
        <v>4.75</v>
      </c>
      <c r="G1329" s="4" t="str">
        <f>HYPERLINK("http://141.218.60.56/~jnz1568/getInfo.php?workbook=02_02.xlsx&amp;sheet=U0&amp;row=1329&amp;col=7&amp;number=0.00123&amp;sourceID=1","0.00123")</f>
        <v>0.00123</v>
      </c>
      <c r="H1329" s="4" t="str">
        <f>HYPERLINK("http://141.218.60.56/~jnz1568/getInfo.php?workbook=02_02.xlsx&amp;sheet=U0&amp;row=1329&amp;col=8&amp;number=&amp;sourceID=29","")</f>
        <v/>
      </c>
      <c r="I1329" s="4" t="str">
        <f>HYPERLINK("http://141.218.60.56/~jnz1568/getInfo.php?workbook=02_02.xlsx&amp;sheet=U0&amp;row=1329&amp;col=9&amp;number=&amp;sourceID=1","")</f>
        <v/>
      </c>
    </row>
    <row r="1330" spans="1:9">
      <c r="A1330" s="3"/>
      <c r="B1330" s="3"/>
      <c r="C1330" s="3"/>
      <c r="D1330" s="3"/>
      <c r="E1330" s="3">
        <v>6</v>
      </c>
      <c r="F1330" s="4" t="str">
        <f>HYPERLINK("http://141.218.60.56/~jnz1568/getInfo.php?workbook=02_02.xlsx&amp;sheet=U0&amp;row=1330&amp;col=6&amp;number=5&amp;sourceID=28","5")</f>
        <v>5</v>
      </c>
      <c r="G1330" s="4" t="str">
        <f>HYPERLINK("http://141.218.60.56/~jnz1568/getInfo.php?workbook=02_02.xlsx&amp;sheet=U0&amp;row=1330&amp;col=7&amp;number=0.001585&amp;sourceID=1","0.001585")</f>
        <v>0.001585</v>
      </c>
      <c r="H1330" s="4" t="str">
        <f>HYPERLINK("http://141.218.60.56/~jnz1568/getInfo.php?workbook=02_02.xlsx&amp;sheet=U0&amp;row=1330&amp;col=8&amp;number=&amp;sourceID=29","")</f>
        <v/>
      </c>
      <c r="I1330" s="4" t="str">
        <f>HYPERLINK("http://141.218.60.56/~jnz1568/getInfo.php?workbook=02_02.xlsx&amp;sheet=U0&amp;row=1330&amp;col=9&amp;number=&amp;sourceID=1","")</f>
        <v/>
      </c>
    </row>
    <row r="1331" spans="1:9">
      <c r="A1331" s="3"/>
      <c r="B1331" s="3"/>
      <c r="C1331" s="3"/>
      <c r="D1331" s="3"/>
      <c r="E1331" s="3">
        <v>7</v>
      </c>
      <c r="F1331" s="4" t="str">
        <f>HYPERLINK("http://141.218.60.56/~jnz1568/getInfo.php?workbook=02_02.xlsx&amp;sheet=U0&amp;row=1331&amp;col=6&amp;number=5.25&amp;sourceID=28","5.25")</f>
        <v>5.25</v>
      </c>
      <c r="G1331" s="4" t="str">
        <f>HYPERLINK("http://141.218.60.56/~jnz1568/getInfo.php?workbook=02_02.xlsx&amp;sheet=U0&amp;row=1331&amp;col=7&amp;number=0.002047&amp;sourceID=1","0.002047")</f>
        <v>0.002047</v>
      </c>
      <c r="H1331" s="4" t="str">
        <f>HYPERLINK("http://141.218.60.56/~jnz1568/getInfo.php?workbook=02_02.xlsx&amp;sheet=U0&amp;row=1331&amp;col=8&amp;number=&amp;sourceID=29","")</f>
        <v/>
      </c>
      <c r="I1331" s="4" t="str">
        <f>HYPERLINK("http://141.218.60.56/~jnz1568/getInfo.php?workbook=02_02.xlsx&amp;sheet=U0&amp;row=1331&amp;col=9&amp;number=&amp;sourceID=1","")</f>
        <v/>
      </c>
    </row>
    <row r="1332" spans="1:9">
      <c r="A1332" s="3"/>
      <c r="B1332" s="3"/>
      <c r="C1332" s="3"/>
      <c r="D1332" s="3"/>
      <c r="E1332" s="3">
        <v>8</v>
      </c>
      <c r="F1332" s="4" t="str">
        <f>HYPERLINK("http://141.218.60.56/~jnz1568/getInfo.php?workbook=02_02.xlsx&amp;sheet=U0&amp;row=1332&amp;col=6&amp;number=5.5&amp;sourceID=28","5.5")</f>
        <v>5.5</v>
      </c>
      <c r="G1332" s="4" t="str">
        <f>HYPERLINK("http://141.218.60.56/~jnz1568/getInfo.php?workbook=02_02.xlsx&amp;sheet=U0&amp;row=1332&amp;col=7&amp;number=0.002522&amp;sourceID=1","0.002522")</f>
        <v>0.002522</v>
      </c>
      <c r="H1332" s="4" t="str">
        <f>HYPERLINK("http://141.218.60.56/~jnz1568/getInfo.php?workbook=02_02.xlsx&amp;sheet=U0&amp;row=1332&amp;col=8&amp;number=&amp;sourceID=29","")</f>
        <v/>
      </c>
      <c r="I1332" s="4" t="str">
        <f>HYPERLINK("http://141.218.60.56/~jnz1568/getInfo.php?workbook=02_02.xlsx&amp;sheet=U0&amp;row=1332&amp;col=9&amp;number=&amp;sourceID=1","")</f>
        <v/>
      </c>
    </row>
    <row r="1333" spans="1:9">
      <c r="A1333" s="3"/>
      <c r="B1333" s="3"/>
      <c r="C1333" s="3"/>
      <c r="D1333" s="3"/>
      <c r="E1333" s="3">
        <v>9</v>
      </c>
      <c r="F1333" s="4" t="str">
        <f>HYPERLINK("http://141.218.60.56/~jnz1568/getInfo.php?workbook=02_02.xlsx&amp;sheet=U0&amp;row=1333&amp;col=6&amp;number=5.75&amp;sourceID=28","5.75")</f>
        <v>5.75</v>
      </c>
      <c r="G1333" s="4" t="str">
        <f>HYPERLINK("http://141.218.60.56/~jnz1568/getInfo.php?workbook=02_02.xlsx&amp;sheet=U0&amp;row=1333&amp;col=7&amp;number=0.0029&amp;sourceID=1","0.0029")</f>
        <v>0.0029</v>
      </c>
      <c r="H1333" s="4" t="str">
        <f>HYPERLINK("http://141.218.60.56/~jnz1568/getInfo.php?workbook=02_02.xlsx&amp;sheet=U0&amp;row=1333&amp;col=8&amp;number=&amp;sourceID=29","")</f>
        <v/>
      </c>
      <c r="I1333" s="4" t="str">
        <f>HYPERLINK("http://141.218.60.56/~jnz1568/getInfo.php?workbook=02_02.xlsx&amp;sheet=U0&amp;row=1333&amp;col=9&amp;number=&amp;sourceID=1","")</f>
        <v/>
      </c>
    </row>
    <row r="1334" spans="1:9">
      <c r="A1334" s="3">
        <v>2</v>
      </c>
      <c r="B1334" s="3">
        <v>2</v>
      </c>
      <c r="C1334" s="3">
        <v>24</v>
      </c>
      <c r="D1334" s="3">
        <v>2</v>
      </c>
      <c r="E1334" s="3">
        <v>1</v>
      </c>
      <c r="F1334" s="4" t="str">
        <f>HYPERLINK("http://141.218.60.56/~jnz1568/getInfo.php?workbook=02_02.xlsx&amp;sheet=U0&amp;row=1334&amp;col=6&amp;number=3.75&amp;sourceID=28","3.75")</f>
        <v>3.75</v>
      </c>
      <c r="G1334" s="4" t="str">
        <f>HYPERLINK("http://141.218.60.56/~jnz1568/getInfo.php?workbook=02_02.xlsx&amp;sheet=U0&amp;row=1334&amp;col=7&amp;number=0.04285&amp;sourceID=1","0.04285")</f>
        <v>0.04285</v>
      </c>
      <c r="H1334" s="4" t="str">
        <f>HYPERLINK("http://141.218.60.56/~jnz1568/getInfo.php?workbook=02_02.xlsx&amp;sheet=U0&amp;row=1334&amp;col=8&amp;number=&amp;sourceID=29","")</f>
        <v/>
      </c>
      <c r="I1334" s="4" t="str">
        <f>HYPERLINK("http://141.218.60.56/~jnz1568/getInfo.php?workbook=02_02.xlsx&amp;sheet=U0&amp;row=1334&amp;col=9&amp;number=&amp;sourceID=1","")</f>
        <v/>
      </c>
    </row>
    <row r="1335" spans="1:9">
      <c r="A1335" s="3"/>
      <c r="B1335" s="3"/>
      <c r="C1335" s="3"/>
      <c r="D1335" s="3"/>
      <c r="E1335" s="3">
        <v>2</v>
      </c>
      <c r="F1335" s="4" t="str">
        <f>HYPERLINK("http://141.218.60.56/~jnz1568/getInfo.php?workbook=02_02.xlsx&amp;sheet=U0&amp;row=1335&amp;col=6&amp;number=4&amp;sourceID=28","4")</f>
        <v>4</v>
      </c>
      <c r="G1335" s="4" t="str">
        <f>HYPERLINK("http://141.218.60.56/~jnz1568/getInfo.php?workbook=02_02.xlsx&amp;sheet=U0&amp;row=1335&amp;col=7&amp;number=0.0424&amp;sourceID=1","0.0424")</f>
        <v>0.0424</v>
      </c>
      <c r="H1335" s="4" t="str">
        <f>HYPERLINK("http://141.218.60.56/~jnz1568/getInfo.php?workbook=02_02.xlsx&amp;sheet=U0&amp;row=1335&amp;col=8&amp;number=&amp;sourceID=29","")</f>
        <v/>
      </c>
      <c r="I1335" s="4" t="str">
        <f>HYPERLINK("http://141.218.60.56/~jnz1568/getInfo.php?workbook=02_02.xlsx&amp;sheet=U0&amp;row=1335&amp;col=9&amp;number=&amp;sourceID=1","")</f>
        <v/>
      </c>
    </row>
    <row r="1336" spans="1:9">
      <c r="A1336" s="3"/>
      <c r="B1336" s="3"/>
      <c r="C1336" s="3"/>
      <c r="D1336" s="3"/>
      <c r="E1336" s="3">
        <v>3</v>
      </c>
      <c r="F1336" s="4" t="str">
        <f>HYPERLINK("http://141.218.60.56/~jnz1568/getInfo.php?workbook=02_02.xlsx&amp;sheet=U0&amp;row=1336&amp;col=6&amp;number=4.25&amp;sourceID=28","4.25")</f>
        <v>4.25</v>
      </c>
      <c r="G1336" s="4" t="str">
        <f>HYPERLINK("http://141.218.60.56/~jnz1568/getInfo.php?workbook=02_02.xlsx&amp;sheet=U0&amp;row=1336&amp;col=7&amp;number=0.04053&amp;sourceID=1","0.04053")</f>
        <v>0.04053</v>
      </c>
      <c r="H1336" s="4" t="str">
        <f>HYPERLINK("http://141.218.60.56/~jnz1568/getInfo.php?workbook=02_02.xlsx&amp;sheet=U0&amp;row=1336&amp;col=8&amp;number=&amp;sourceID=29","")</f>
        <v/>
      </c>
      <c r="I1336" s="4" t="str">
        <f>HYPERLINK("http://141.218.60.56/~jnz1568/getInfo.php?workbook=02_02.xlsx&amp;sheet=U0&amp;row=1336&amp;col=9&amp;number=&amp;sourceID=1","")</f>
        <v/>
      </c>
    </row>
    <row r="1337" spans="1:9">
      <c r="A1337" s="3"/>
      <c r="B1337" s="3"/>
      <c r="C1337" s="3"/>
      <c r="D1337" s="3"/>
      <c r="E1337" s="3">
        <v>4</v>
      </c>
      <c r="F1337" s="4" t="str">
        <f>HYPERLINK("http://141.218.60.56/~jnz1568/getInfo.php?workbook=02_02.xlsx&amp;sheet=U0&amp;row=1337&amp;col=6&amp;number=4.5&amp;sourceID=28","4.5")</f>
        <v>4.5</v>
      </c>
      <c r="G1337" s="4" t="str">
        <f>HYPERLINK("http://141.218.60.56/~jnz1568/getInfo.php?workbook=02_02.xlsx&amp;sheet=U0&amp;row=1337&amp;col=7&amp;number=0.03781&amp;sourceID=1","0.03781")</f>
        <v>0.03781</v>
      </c>
      <c r="H1337" s="4" t="str">
        <f>HYPERLINK("http://141.218.60.56/~jnz1568/getInfo.php?workbook=02_02.xlsx&amp;sheet=U0&amp;row=1337&amp;col=8&amp;number=&amp;sourceID=29","")</f>
        <v/>
      </c>
      <c r="I1337" s="4" t="str">
        <f>HYPERLINK("http://141.218.60.56/~jnz1568/getInfo.php?workbook=02_02.xlsx&amp;sheet=U0&amp;row=1337&amp;col=9&amp;number=&amp;sourceID=1","")</f>
        <v/>
      </c>
    </row>
    <row r="1338" spans="1:9">
      <c r="A1338" s="3"/>
      <c r="B1338" s="3"/>
      <c r="C1338" s="3"/>
      <c r="D1338" s="3"/>
      <c r="E1338" s="3">
        <v>5</v>
      </c>
      <c r="F1338" s="4" t="str">
        <f>HYPERLINK("http://141.218.60.56/~jnz1568/getInfo.php?workbook=02_02.xlsx&amp;sheet=U0&amp;row=1338&amp;col=6&amp;number=4.75&amp;sourceID=28","4.75")</f>
        <v>4.75</v>
      </c>
      <c r="G1338" s="4" t="str">
        <f>HYPERLINK("http://141.218.60.56/~jnz1568/getInfo.php?workbook=02_02.xlsx&amp;sheet=U0&amp;row=1338&amp;col=7&amp;number=0.03398&amp;sourceID=1","0.03398")</f>
        <v>0.03398</v>
      </c>
      <c r="H1338" s="4" t="str">
        <f>HYPERLINK("http://141.218.60.56/~jnz1568/getInfo.php?workbook=02_02.xlsx&amp;sheet=U0&amp;row=1338&amp;col=8&amp;number=&amp;sourceID=29","")</f>
        <v/>
      </c>
      <c r="I1338" s="4" t="str">
        <f>HYPERLINK("http://141.218.60.56/~jnz1568/getInfo.php?workbook=02_02.xlsx&amp;sheet=U0&amp;row=1338&amp;col=9&amp;number=&amp;sourceID=1","")</f>
        <v/>
      </c>
    </row>
    <row r="1339" spans="1:9">
      <c r="A1339" s="3"/>
      <c r="B1339" s="3"/>
      <c r="C1339" s="3"/>
      <c r="D1339" s="3"/>
      <c r="E1339" s="3">
        <v>6</v>
      </c>
      <c r="F1339" s="4" t="str">
        <f>HYPERLINK("http://141.218.60.56/~jnz1568/getInfo.php?workbook=02_02.xlsx&amp;sheet=U0&amp;row=1339&amp;col=6&amp;number=5&amp;sourceID=28","5")</f>
        <v>5</v>
      </c>
      <c r="G1339" s="4" t="str">
        <f>HYPERLINK("http://141.218.60.56/~jnz1568/getInfo.php?workbook=02_02.xlsx&amp;sheet=U0&amp;row=1339&amp;col=7&amp;number=0.02874&amp;sourceID=1","0.02874")</f>
        <v>0.02874</v>
      </c>
      <c r="H1339" s="4" t="str">
        <f>HYPERLINK("http://141.218.60.56/~jnz1568/getInfo.php?workbook=02_02.xlsx&amp;sheet=U0&amp;row=1339&amp;col=8&amp;number=&amp;sourceID=29","")</f>
        <v/>
      </c>
      <c r="I1339" s="4" t="str">
        <f>HYPERLINK("http://141.218.60.56/~jnz1568/getInfo.php?workbook=02_02.xlsx&amp;sheet=U0&amp;row=1339&amp;col=9&amp;number=&amp;sourceID=1","")</f>
        <v/>
      </c>
    </row>
    <row r="1340" spans="1:9">
      <c r="A1340" s="3"/>
      <c r="B1340" s="3"/>
      <c r="C1340" s="3"/>
      <c r="D1340" s="3"/>
      <c r="E1340" s="3">
        <v>7</v>
      </c>
      <c r="F1340" s="4" t="str">
        <f>HYPERLINK("http://141.218.60.56/~jnz1568/getInfo.php?workbook=02_02.xlsx&amp;sheet=U0&amp;row=1340&amp;col=6&amp;number=5.25&amp;sourceID=28","5.25")</f>
        <v>5.25</v>
      </c>
      <c r="G1340" s="4" t="str">
        <f>HYPERLINK("http://141.218.60.56/~jnz1568/getInfo.php?workbook=02_02.xlsx&amp;sheet=U0&amp;row=1340&amp;col=7&amp;number=0.02253&amp;sourceID=1","0.02253")</f>
        <v>0.02253</v>
      </c>
      <c r="H1340" s="4" t="str">
        <f>HYPERLINK("http://141.218.60.56/~jnz1568/getInfo.php?workbook=02_02.xlsx&amp;sheet=U0&amp;row=1340&amp;col=8&amp;number=&amp;sourceID=29","")</f>
        <v/>
      </c>
      <c r="I1340" s="4" t="str">
        <f>HYPERLINK("http://141.218.60.56/~jnz1568/getInfo.php?workbook=02_02.xlsx&amp;sheet=U0&amp;row=1340&amp;col=9&amp;number=&amp;sourceID=1","")</f>
        <v/>
      </c>
    </row>
    <row r="1341" spans="1:9">
      <c r="A1341" s="3"/>
      <c r="B1341" s="3"/>
      <c r="C1341" s="3"/>
      <c r="D1341" s="3"/>
      <c r="E1341" s="3">
        <v>8</v>
      </c>
      <c r="F1341" s="4" t="str">
        <f>HYPERLINK("http://141.218.60.56/~jnz1568/getInfo.php?workbook=02_02.xlsx&amp;sheet=U0&amp;row=1341&amp;col=6&amp;number=5.5&amp;sourceID=28","5.5")</f>
        <v>5.5</v>
      </c>
      <c r="G1341" s="4" t="str">
        <f>HYPERLINK("http://141.218.60.56/~jnz1568/getInfo.php?workbook=02_02.xlsx&amp;sheet=U0&amp;row=1341&amp;col=7&amp;number=0.01635&amp;sourceID=1","0.01635")</f>
        <v>0.01635</v>
      </c>
      <c r="H1341" s="4" t="str">
        <f>HYPERLINK("http://141.218.60.56/~jnz1568/getInfo.php?workbook=02_02.xlsx&amp;sheet=U0&amp;row=1341&amp;col=8&amp;number=&amp;sourceID=29","")</f>
        <v/>
      </c>
      <c r="I1341" s="4" t="str">
        <f>HYPERLINK("http://141.218.60.56/~jnz1568/getInfo.php?workbook=02_02.xlsx&amp;sheet=U0&amp;row=1341&amp;col=9&amp;number=&amp;sourceID=1","")</f>
        <v/>
      </c>
    </row>
    <row r="1342" spans="1:9">
      <c r="A1342" s="3"/>
      <c r="B1342" s="3"/>
      <c r="C1342" s="3"/>
      <c r="D1342" s="3"/>
      <c r="E1342" s="3">
        <v>9</v>
      </c>
      <c r="F1342" s="4" t="str">
        <f>HYPERLINK("http://141.218.60.56/~jnz1568/getInfo.php?workbook=02_02.xlsx&amp;sheet=U0&amp;row=1342&amp;col=6&amp;number=5.75&amp;sourceID=28","5.75")</f>
        <v>5.75</v>
      </c>
      <c r="G1342" s="4" t="str">
        <f>HYPERLINK("http://141.218.60.56/~jnz1568/getInfo.php?workbook=02_02.xlsx&amp;sheet=U0&amp;row=1342&amp;col=7&amp;number=0.01108&amp;sourceID=1","0.01108")</f>
        <v>0.01108</v>
      </c>
      <c r="H1342" s="4" t="str">
        <f>HYPERLINK("http://141.218.60.56/~jnz1568/getInfo.php?workbook=02_02.xlsx&amp;sheet=U0&amp;row=1342&amp;col=8&amp;number=&amp;sourceID=29","")</f>
        <v/>
      </c>
      <c r="I1342" s="4" t="str">
        <f>HYPERLINK("http://141.218.60.56/~jnz1568/getInfo.php?workbook=02_02.xlsx&amp;sheet=U0&amp;row=1342&amp;col=9&amp;number=&amp;sourceID=1","")</f>
        <v/>
      </c>
    </row>
    <row r="1343" spans="1:9">
      <c r="A1343" s="3">
        <v>2</v>
      </c>
      <c r="B1343" s="3">
        <v>2</v>
      </c>
      <c r="C1343" s="3">
        <v>24</v>
      </c>
      <c r="D1343" s="3">
        <v>3</v>
      </c>
      <c r="E1343" s="3">
        <v>1</v>
      </c>
      <c r="F1343" s="4" t="str">
        <f>HYPERLINK("http://141.218.60.56/~jnz1568/getInfo.php?workbook=02_02.xlsx&amp;sheet=U0&amp;row=1343&amp;col=6&amp;number=3.75&amp;sourceID=28","3.75")</f>
        <v>3.75</v>
      </c>
      <c r="G1343" s="4" t="str">
        <f>HYPERLINK("http://141.218.60.56/~jnz1568/getInfo.php?workbook=02_02.xlsx&amp;sheet=U0&amp;row=1343&amp;col=7&amp;number=0.07112&amp;sourceID=1","0.07112")</f>
        <v>0.07112</v>
      </c>
      <c r="H1343" s="4" t="str">
        <f>HYPERLINK("http://141.218.60.56/~jnz1568/getInfo.php?workbook=02_02.xlsx&amp;sheet=U0&amp;row=1343&amp;col=8&amp;number=&amp;sourceID=29","")</f>
        <v/>
      </c>
      <c r="I1343" s="4" t="str">
        <f>HYPERLINK("http://141.218.60.56/~jnz1568/getInfo.php?workbook=02_02.xlsx&amp;sheet=U0&amp;row=1343&amp;col=9&amp;number=&amp;sourceID=1","")</f>
        <v/>
      </c>
    </row>
    <row r="1344" spans="1:9">
      <c r="A1344" s="3"/>
      <c r="B1344" s="3"/>
      <c r="C1344" s="3"/>
      <c r="D1344" s="3"/>
      <c r="E1344" s="3">
        <v>2</v>
      </c>
      <c r="F1344" s="4" t="str">
        <f>HYPERLINK("http://141.218.60.56/~jnz1568/getInfo.php?workbook=02_02.xlsx&amp;sheet=U0&amp;row=1344&amp;col=6&amp;number=4&amp;sourceID=28","4")</f>
        <v>4</v>
      </c>
      <c r="G1344" s="4" t="str">
        <f>HYPERLINK("http://141.218.60.56/~jnz1568/getInfo.php?workbook=02_02.xlsx&amp;sheet=U0&amp;row=1344&amp;col=7&amp;number=0.08076&amp;sourceID=1","0.08076")</f>
        <v>0.08076</v>
      </c>
      <c r="H1344" s="4" t="str">
        <f>HYPERLINK("http://141.218.60.56/~jnz1568/getInfo.php?workbook=02_02.xlsx&amp;sheet=U0&amp;row=1344&amp;col=8&amp;number=&amp;sourceID=29","")</f>
        <v/>
      </c>
      <c r="I1344" s="4" t="str">
        <f>HYPERLINK("http://141.218.60.56/~jnz1568/getInfo.php?workbook=02_02.xlsx&amp;sheet=U0&amp;row=1344&amp;col=9&amp;number=&amp;sourceID=1","")</f>
        <v/>
      </c>
    </row>
    <row r="1345" spans="1:9">
      <c r="A1345" s="3"/>
      <c r="B1345" s="3"/>
      <c r="C1345" s="3"/>
      <c r="D1345" s="3"/>
      <c r="E1345" s="3">
        <v>3</v>
      </c>
      <c r="F1345" s="4" t="str">
        <f>HYPERLINK("http://141.218.60.56/~jnz1568/getInfo.php?workbook=02_02.xlsx&amp;sheet=U0&amp;row=1345&amp;col=6&amp;number=4.25&amp;sourceID=28","4.25")</f>
        <v>4.25</v>
      </c>
      <c r="G1345" s="4" t="str">
        <f>HYPERLINK("http://141.218.60.56/~jnz1568/getInfo.php?workbook=02_02.xlsx&amp;sheet=U0&amp;row=1345&amp;col=7&amp;number=0.097&amp;sourceID=1","0.097")</f>
        <v>0.097</v>
      </c>
      <c r="H1345" s="4" t="str">
        <f>HYPERLINK("http://141.218.60.56/~jnz1568/getInfo.php?workbook=02_02.xlsx&amp;sheet=U0&amp;row=1345&amp;col=8&amp;number=&amp;sourceID=29","")</f>
        <v/>
      </c>
      <c r="I1345" s="4" t="str">
        <f>HYPERLINK("http://141.218.60.56/~jnz1568/getInfo.php?workbook=02_02.xlsx&amp;sheet=U0&amp;row=1345&amp;col=9&amp;number=&amp;sourceID=1","")</f>
        <v/>
      </c>
    </row>
    <row r="1346" spans="1:9">
      <c r="A1346" s="3"/>
      <c r="B1346" s="3"/>
      <c r="C1346" s="3"/>
      <c r="D1346" s="3"/>
      <c r="E1346" s="3">
        <v>4</v>
      </c>
      <c r="F1346" s="4" t="str">
        <f>HYPERLINK("http://141.218.60.56/~jnz1568/getInfo.php?workbook=02_02.xlsx&amp;sheet=U0&amp;row=1346&amp;col=6&amp;number=4.5&amp;sourceID=28","4.5")</f>
        <v>4.5</v>
      </c>
      <c r="G1346" s="4" t="str">
        <f>HYPERLINK("http://141.218.60.56/~jnz1568/getInfo.php?workbook=02_02.xlsx&amp;sheet=U0&amp;row=1346&amp;col=7&amp;number=0.1296&amp;sourceID=1","0.1296")</f>
        <v>0.1296</v>
      </c>
      <c r="H1346" s="4" t="str">
        <f>HYPERLINK("http://141.218.60.56/~jnz1568/getInfo.php?workbook=02_02.xlsx&amp;sheet=U0&amp;row=1346&amp;col=8&amp;number=&amp;sourceID=29","")</f>
        <v/>
      </c>
      <c r="I1346" s="4" t="str">
        <f>HYPERLINK("http://141.218.60.56/~jnz1568/getInfo.php?workbook=02_02.xlsx&amp;sheet=U0&amp;row=1346&amp;col=9&amp;number=&amp;sourceID=1","")</f>
        <v/>
      </c>
    </row>
    <row r="1347" spans="1:9">
      <c r="A1347" s="3"/>
      <c r="B1347" s="3"/>
      <c r="C1347" s="3"/>
      <c r="D1347" s="3"/>
      <c r="E1347" s="3">
        <v>5</v>
      </c>
      <c r="F1347" s="4" t="str">
        <f>HYPERLINK("http://141.218.60.56/~jnz1568/getInfo.php?workbook=02_02.xlsx&amp;sheet=U0&amp;row=1347&amp;col=6&amp;number=4.75&amp;sourceID=28","4.75")</f>
        <v>4.75</v>
      </c>
      <c r="G1347" s="4" t="str">
        <f>HYPERLINK("http://141.218.60.56/~jnz1568/getInfo.php?workbook=02_02.xlsx&amp;sheet=U0&amp;row=1347&amp;col=7&amp;number=0.1893&amp;sourceID=1","0.1893")</f>
        <v>0.1893</v>
      </c>
      <c r="H1347" s="4" t="str">
        <f>HYPERLINK("http://141.218.60.56/~jnz1568/getInfo.php?workbook=02_02.xlsx&amp;sheet=U0&amp;row=1347&amp;col=8&amp;number=&amp;sourceID=29","")</f>
        <v/>
      </c>
      <c r="I1347" s="4" t="str">
        <f>HYPERLINK("http://141.218.60.56/~jnz1568/getInfo.php?workbook=02_02.xlsx&amp;sheet=U0&amp;row=1347&amp;col=9&amp;number=&amp;sourceID=1","")</f>
        <v/>
      </c>
    </row>
    <row r="1348" spans="1:9">
      <c r="A1348" s="3"/>
      <c r="B1348" s="3"/>
      <c r="C1348" s="3"/>
      <c r="D1348" s="3"/>
      <c r="E1348" s="3">
        <v>6</v>
      </c>
      <c r="F1348" s="4" t="str">
        <f>HYPERLINK("http://141.218.60.56/~jnz1568/getInfo.php?workbook=02_02.xlsx&amp;sheet=U0&amp;row=1348&amp;col=6&amp;number=5&amp;sourceID=28","5")</f>
        <v>5</v>
      </c>
      <c r="G1348" s="4" t="str">
        <f>HYPERLINK("http://141.218.60.56/~jnz1568/getInfo.php?workbook=02_02.xlsx&amp;sheet=U0&amp;row=1348&amp;col=7&amp;number=0.2781&amp;sourceID=1","0.2781")</f>
        <v>0.2781</v>
      </c>
      <c r="H1348" s="4" t="str">
        <f>HYPERLINK("http://141.218.60.56/~jnz1568/getInfo.php?workbook=02_02.xlsx&amp;sheet=U0&amp;row=1348&amp;col=8&amp;number=&amp;sourceID=29","")</f>
        <v/>
      </c>
      <c r="I1348" s="4" t="str">
        <f>HYPERLINK("http://141.218.60.56/~jnz1568/getInfo.php?workbook=02_02.xlsx&amp;sheet=U0&amp;row=1348&amp;col=9&amp;number=&amp;sourceID=1","")</f>
        <v/>
      </c>
    </row>
    <row r="1349" spans="1:9">
      <c r="A1349" s="3"/>
      <c r="B1349" s="3"/>
      <c r="C1349" s="3"/>
      <c r="D1349" s="3"/>
      <c r="E1349" s="3">
        <v>7</v>
      </c>
      <c r="F1349" s="4" t="str">
        <f>HYPERLINK("http://141.218.60.56/~jnz1568/getInfo.php?workbook=02_02.xlsx&amp;sheet=U0&amp;row=1349&amp;col=6&amp;number=5.25&amp;sourceID=28","5.25")</f>
        <v>5.25</v>
      </c>
      <c r="G1349" s="4" t="str">
        <f>HYPERLINK("http://141.218.60.56/~jnz1568/getInfo.php?workbook=02_02.xlsx&amp;sheet=U0&amp;row=1349&amp;col=7&amp;number=0.3829&amp;sourceID=1","0.3829")</f>
        <v>0.3829</v>
      </c>
      <c r="H1349" s="4" t="str">
        <f>HYPERLINK("http://141.218.60.56/~jnz1568/getInfo.php?workbook=02_02.xlsx&amp;sheet=U0&amp;row=1349&amp;col=8&amp;number=&amp;sourceID=29","")</f>
        <v/>
      </c>
      <c r="I1349" s="4" t="str">
        <f>HYPERLINK("http://141.218.60.56/~jnz1568/getInfo.php?workbook=02_02.xlsx&amp;sheet=U0&amp;row=1349&amp;col=9&amp;number=&amp;sourceID=1","")</f>
        <v/>
      </c>
    </row>
    <row r="1350" spans="1:9">
      <c r="A1350" s="3"/>
      <c r="B1350" s="3"/>
      <c r="C1350" s="3"/>
      <c r="D1350" s="3"/>
      <c r="E1350" s="3">
        <v>8</v>
      </c>
      <c r="F1350" s="4" t="str">
        <f>HYPERLINK("http://141.218.60.56/~jnz1568/getInfo.php?workbook=02_02.xlsx&amp;sheet=U0&amp;row=1350&amp;col=6&amp;number=5.5&amp;sourceID=28","5.5")</f>
        <v>5.5</v>
      </c>
      <c r="G1350" s="4" t="str">
        <f>HYPERLINK("http://141.218.60.56/~jnz1568/getInfo.php?workbook=02_02.xlsx&amp;sheet=U0&amp;row=1350&amp;col=7&amp;number=0.483&amp;sourceID=1","0.483")</f>
        <v>0.483</v>
      </c>
      <c r="H1350" s="4" t="str">
        <f>HYPERLINK("http://141.218.60.56/~jnz1568/getInfo.php?workbook=02_02.xlsx&amp;sheet=U0&amp;row=1350&amp;col=8&amp;number=&amp;sourceID=29","")</f>
        <v/>
      </c>
      <c r="I1350" s="4" t="str">
        <f>HYPERLINK("http://141.218.60.56/~jnz1568/getInfo.php?workbook=02_02.xlsx&amp;sheet=U0&amp;row=1350&amp;col=9&amp;number=&amp;sourceID=1","")</f>
        <v/>
      </c>
    </row>
    <row r="1351" spans="1:9">
      <c r="A1351" s="3"/>
      <c r="B1351" s="3"/>
      <c r="C1351" s="3"/>
      <c r="D1351" s="3"/>
      <c r="E1351" s="3">
        <v>9</v>
      </c>
      <c r="F1351" s="4" t="str">
        <f>HYPERLINK("http://141.218.60.56/~jnz1568/getInfo.php?workbook=02_02.xlsx&amp;sheet=U0&amp;row=1351&amp;col=6&amp;number=5.75&amp;sourceID=28","5.75")</f>
        <v>5.75</v>
      </c>
      <c r="G1351" s="4" t="str">
        <f>HYPERLINK("http://141.218.60.56/~jnz1568/getInfo.php?workbook=02_02.xlsx&amp;sheet=U0&amp;row=1351&amp;col=7&amp;number=0.5637&amp;sourceID=1","0.5637")</f>
        <v>0.5637</v>
      </c>
      <c r="H1351" s="4" t="str">
        <f>HYPERLINK("http://141.218.60.56/~jnz1568/getInfo.php?workbook=02_02.xlsx&amp;sheet=U0&amp;row=1351&amp;col=8&amp;number=&amp;sourceID=29","")</f>
        <v/>
      </c>
      <c r="I1351" s="4" t="str">
        <f>HYPERLINK("http://141.218.60.56/~jnz1568/getInfo.php?workbook=02_02.xlsx&amp;sheet=U0&amp;row=1351&amp;col=9&amp;number=&amp;sourceID=1","")</f>
        <v/>
      </c>
    </row>
    <row r="1352" spans="1:9">
      <c r="A1352" s="3">
        <v>2</v>
      </c>
      <c r="B1352" s="3">
        <v>2</v>
      </c>
      <c r="C1352" s="3">
        <v>24</v>
      </c>
      <c r="D1352" s="3">
        <v>4</v>
      </c>
      <c r="E1352" s="3">
        <v>1</v>
      </c>
      <c r="F1352" s="4" t="str">
        <f>HYPERLINK("http://141.218.60.56/~jnz1568/getInfo.php?workbook=02_02.xlsx&amp;sheet=U0&amp;row=1352&amp;col=6&amp;number=3.75&amp;sourceID=28","3.75")</f>
        <v>3.75</v>
      </c>
      <c r="G1352" s="4" t="str">
        <f>HYPERLINK("http://141.218.60.56/~jnz1568/getInfo.php?workbook=02_02.xlsx&amp;sheet=U0&amp;row=1352&amp;col=7&amp;number=0.2103&amp;sourceID=1","0.2103")</f>
        <v>0.2103</v>
      </c>
      <c r="H1352" s="4" t="str">
        <f>HYPERLINK("http://141.218.60.56/~jnz1568/getInfo.php?workbook=02_02.xlsx&amp;sheet=U0&amp;row=1352&amp;col=8&amp;number=&amp;sourceID=29","")</f>
        <v/>
      </c>
      <c r="I1352" s="4" t="str">
        <f>HYPERLINK("http://141.218.60.56/~jnz1568/getInfo.php?workbook=02_02.xlsx&amp;sheet=U0&amp;row=1352&amp;col=9&amp;number=&amp;sourceID=1","")</f>
        <v/>
      </c>
    </row>
    <row r="1353" spans="1:9">
      <c r="A1353" s="3"/>
      <c r="B1353" s="3"/>
      <c r="C1353" s="3"/>
      <c r="D1353" s="3"/>
      <c r="E1353" s="3">
        <v>2</v>
      </c>
      <c r="F1353" s="4" t="str">
        <f>HYPERLINK("http://141.218.60.56/~jnz1568/getInfo.php?workbook=02_02.xlsx&amp;sheet=U0&amp;row=1353&amp;col=6&amp;number=4&amp;sourceID=28","4")</f>
        <v>4</v>
      </c>
      <c r="G1353" s="4" t="str">
        <f>HYPERLINK("http://141.218.60.56/~jnz1568/getInfo.php?workbook=02_02.xlsx&amp;sheet=U0&amp;row=1353&amp;col=7&amp;number=0.1998&amp;sourceID=1","0.1998")</f>
        <v>0.1998</v>
      </c>
      <c r="H1353" s="4" t="str">
        <f>HYPERLINK("http://141.218.60.56/~jnz1568/getInfo.php?workbook=02_02.xlsx&amp;sheet=U0&amp;row=1353&amp;col=8&amp;number=&amp;sourceID=29","")</f>
        <v/>
      </c>
      <c r="I1353" s="4" t="str">
        <f>HYPERLINK("http://141.218.60.56/~jnz1568/getInfo.php?workbook=02_02.xlsx&amp;sheet=U0&amp;row=1353&amp;col=9&amp;number=&amp;sourceID=1","")</f>
        <v/>
      </c>
    </row>
    <row r="1354" spans="1:9">
      <c r="A1354" s="3"/>
      <c r="B1354" s="3"/>
      <c r="C1354" s="3"/>
      <c r="D1354" s="3"/>
      <c r="E1354" s="3">
        <v>3</v>
      </c>
      <c r="F1354" s="4" t="str">
        <f>HYPERLINK("http://141.218.60.56/~jnz1568/getInfo.php?workbook=02_02.xlsx&amp;sheet=U0&amp;row=1354&amp;col=6&amp;number=4.25&amp;sourceID=28","4.25")</f>
        <v>4.25</v>
      </c>
      <c r="G1354" s="4" t="str">
        <f>HYPERLINK("http://141.218.60.56/~jnz1568/getInfo.php?workbook=02_02.xlsx&amp;sheet=U0&amp;row=1354&amp;col=7&amp;number=0.1832&amp;sourceID=1","0.1832")</f>
        <v>0.1832</v>
      </c>
      <c r="H1354" s="4" t="str">
        <f>HYPERLINK("http://141.218.60.56/~jnz1568/getInfo.php?workbook=02_02.xlsx&amp;sheet=U0&amp;row=1354&amp;col=8&amp;number=&amp;sourceID=29","")</f>
        <v/>
      </c>
      <c r="I1354" s="4" t="str">
        <f>HYPERLINK("http://141.218.60.56/~jnz1568/getInfo.php?workbook=02_02.xlsx&amp;sheet=U0&amp;row=1354&amp;col=9&amp;number=&amp;sourceID=1","")</f>
        <v/>
      </c>
    </row>
    <row r="1355" spans="1:9">
      <c r="A1355" s="3"/>
      <c r="B1355" s="3"/>
      <c r="C1355" s="3"/>
      <c r="D1355" s="3"/>
      <c r="E1355" s="3">
        <v>4</v>
      </c>
      <c r="F1355" s="4" t="str">
        <f>HYPERLINK("http://141.218.60.56/~jnz1568/getInfo.php?workbook=02_02.xlsx&amp;sheet=U0&amp;row=1355&amp;col=6&amp;number=4.5&amp;sourceID=28","4.5")</f>
        <v>4.5</v>
      </c>
      <c r="G1355" s="4" t="str">
        <f>HYPERLINK("http://141.218.60.56/~jnz1568/getInfo.php?workbook=02_02.xlsx&amp;sheet=U0&amp;row=1355&amp;col=7&amp;number=0.1639&amp;sourceID=1","0.1639")</f>
        <v>0.1639</v>
      </c>
      <c r="H1355" s="4" t="str">
        <f>HYPERLINK("http://141.218.60.56/~jnz1568/getInfo.php?workbook=02_02.xlsx&amp;sheet=U0&amp;row=1355&amp;col=8&amp;number=&amp;sourceID=29","")</f>
        <v/>
      </c>
      <c r="I1355" s="4" t="str">
        <f>HYPERLINK("http://141.218.60.56/~jnz1568/getInfo.php?workbook=02_02.xlsx&amp;sheet=U0&amp;row=1355&amp;col=9&amp;number=&amp;sourceID=1","")</f>
        <v/>
      </c>
    </row>
    <row r="1356" spans="1:9">
      <c r="A1356" s="3"/>
      <c r="B1356" s="3"/>
      <c r="C1356" s="3"/>
      <c r="D1356" s="3"/>
      <c r="E1356" s="3">
        <v>5</v>
      </c>
      <c r="F1356" s="4" t="str">
        <f>HYPERLINK("http://141.218.60.56/~jnz1568/getInfo.php?workbook=02_02.xlsx&amp;sheet=U0&amp;row=1356&amp;col=6&amp;number=4.75&amp;sourceID=28","4.75")</f>
        <v>4.75</v>
      </c>
      <c r="G1356" s="4" t="str">
        <f>HYPERLINK("http://141.218.60.56/~jnz1568/getInfo.php?workbook=02_02.xlsx&amp;sheet=U0&amp;row=1356&amp;col=7&amp;number=0.1426&amp;sourceID=1","0.1426")</f>
        <v>0.1426</v>
      </c>
      <c r="H1356" s="4" t="str">
        <f>HYPERLINK("http://141.218.60.56/~jnz1568/getInfo.php?workbook=02_02.xlsx&amp;sheet=U0&amp;row=1356&amp;col=8&amp;number=&amp;sourceID=29","")</f>
        <v/>
      </c>
      <c r="I1356" s="4" t="str">
        <f>HYPERLINK("http://141.218.60.56/~jnz1568/getInfo.php?workbook=02_02.xlsx&amp;sheet=U0&amp;row=1356&amp;col=9&amp;number=&amp;sourceID=1","")</f>
        <v/>
      </c>
    </row>
    <row r="1357" spans="1:9">
      <c r="A1357" s="3"/>
      <c r="B1357" s="3"/>
      <c r="C1357" s="3"/>
      <c r="D1357" s="3"/>
      <c r="E1357" s="3">
        <v>6</v>
      </c>
      <c r="F1357" s="4" t="str">
        <f>HYPERLINK("http://141.218.60.56/~jnz1568/getInfo.php?workbook=02_02.xlsx&amp;sheet=U0&amp;row=1357&amp;col=6&amp;number=5&amp;sourceID=28","5")</f>
        <v>5</v>
      </c>
      <c r="G1357" s="4" t="str">
        <f>HYPERLINK("http://141.218.60.56/~jnz1568/getInfo.php?workbook=02_02.xlsx&amp;sheet=U0&amp;row=1357&amp;col=7&amp;number=0.118&amp;sourceID=1","0.118")</f>
        <v>0.118</v>
      </c>
      <c r="H1357" s="4" t="str">
        <f>HYPERLINK("http://141.218.60.56/~jnz1568/getInfo.php?workbook=02_02.xlsx&amp;sheet=U0&amp;row=1357&amp;col=8&amp;number=&amp;sourceID=29","")</f>
        <v/>
      </c>
      <c r="I1357" s="4" t="str">
        <f>HYPERLINK("http://141.218.60.56/~jnz1568/getInfo.php?workbook=02_02.xlsx&amp;sheet=U0&amp;row=1357&amp;col=9&amp;number=&amp;sourceID=1","")</f>
        <v/>
      </c>
    </row>
    <row r="1358" spans="1:9">
      <c r="A1358" s="3"/>
      <c r="B1358" s="3"/>
      <c r="C1358" s="3"/>
      <c r="D1358" s="3"/>
      <c r="E1358" s="3">
        <v>7</v>
      </c>
      <c r="F1358" s="4" t="str">
        <f>HYPERLINK("http://141.218.60.56/~jnz1568/getInfo.php?workbook=02_02.xlsx&amp;sheet=U0&amp;row=1358&amp;col=6&amp;number=5.25&amp;sourceID=28","5.25")</f>
        <v>5.25</v>
      </c>
      <c r="G1358" s="4" t="str">
        <f>HYPERLINK("http://141.218.60.56/~jnz1568/getInfo.php?workbook=02_02.xlsx&amp;sheet=U0&amp;row=1358&amp;col=7&amp;number=0.09106&amp;sourceID=1","0.09106")</f>
        <v>0.09106</v>
      </c>
      <c r="H1358" s="4" t="str">
        <f>HYPERLINK("http://141.218.60.56/~jnz1568/getInfo.php?workbook=02_02.xlsx&amp;sheet=U0&amp;row=1358&amp;col=8&amp;number=&amp;sourceID=29","")</f>
        <v/>
      </c>
      <c r="I1358" s="4" t="str">
        <f>HYPERLINK("http://141.218.60.56/~jnz1568/getInfo.php?workbook=02_02.xlsx&amp;sheet=U0&amp;row=1358&amp;col=9&amp;number=&amp;sourceID=1","")</f>
        <v/>
      </c>
    </row>
    <row r="1359" spans="1:9">
      <c r="A1359" s="3"/>
      <c r="B1359" s="3"/>
      <c r="C1359" s="3"/>
      <c r="D1359" s="3"/>
      <c r="E1359" s="3">
        <v>8</v>
      </c>
      <c r="F1359" s="4" t="str">
        <f>HYPERLINK("http://141.218.60.56/~jnz1568/getInfo.php?workbook=02_02.xlsx&amp;sheet=U0&amp;row=1359&amp;col=6&amp;number=5.5&amp;sourceID=28","5.5")</f>
        <v>5.5</v>
      </c>
      <c r="G1359" s="4" t="str">
        <f>HYPERLINK("http://141.218.60.56/~jnz1568/getInfo.php?workbook=02_02.xlsx&amp;sheet=U0&amp;row=1359&amp;col=7&amp;number=0.06532&amp;sourceID=1","0.06532")</f>
        <v>0.06532</v>
      </c>
      <c r="H1359" s="4" t="str">
        <f>HYPERLINK("http://141.218.60.56/~jnz1568/getInfo.php?workbook=02_02.xlsx&amp;sheet=U0&amp;row=1359&amp;col=8&amp;number=&amp;sourceID=29","")</f>
        <v/>
      </c>
      <c r="I1359" s="4" t="str">
        <f>HYPERLINK("http://141.218.60.56/~jnz1568/getInfo.php?workbook=02_02.xlsx&amp;sheet=U0&amp;row=1359&amp;col=9&amp;number=&amp;sourceID=1","")</f>
        <v/>
      </c>
    </row>
    <row r="1360" spans="1:9">
      <c r="A1360" s="3"/>
      <c r="B1360" s="3"/>
      <c r="C1360" s="3"/>
      <c r="D1360" s="3"/>
      <c r="E1360" s="3">
        <v>9</v>
      </c>
      <c r="F1360" s="4" t="str">
        <f>HYPERLINK("http://141.218.60.56/~jnz1568/getInfo.php?workbook=02_02.xlsx&amp;sheet=U0&amp;row=1360&amp;col=6&amp;number=5.75&amp;sourceID=28","5.75")</f>
        <v>5.75</v>
      </c>
      <c r="G1360" s="4" t="str">
        <f>HYPERLINK("http://141.218.60.56/~jnz1568/getInfo.php?workbook=02_02.xlsx&amp;sheet=U0&amp;row=1360&amp;col=7&amp;number=0.04392&amp;sourceID=1","0.04392")</f>
        <v>0.04392</v>
      </c>
      <c r="H1360" s="4" t="str">
        <f>HYPERLINK("http://141.218.60.56/~jnz1568/getInfo.php?workbook=02_02.xlsx&amp;sheet=U0&amp;row=1360&amp;col=8&amp;number=&amp;sourceID=29","")</f>
        <v/>
      </c>
      <c r="I1360" s="4" t="str">
        <f>HYPERLINK("http://141.218.60.56/~jnz1568/getInfo.php?workbook=02_02.xlsx&amp;sheet=U0&amp;row=1360&amp;col=9&amp;number=&amp;sourceID=1","")</f>
        <v/>
      </c>
    </row>
    <row r="1361" spans="1:9">
      <c r="A1361" s="3">
        <v>2</v>
      </c>
      <c r="B1361" s="3">
        <v>2</v>
      </c>
      <c r="C1361" s="3">
        <v>25</v>
      </c>
      <c r="D1361" s="3">
        <v>1</v>
      </c>
      <c r="E1361" s="3">
        <v>1</v>
      </c>
      <c r="F1361" s="4" t="str">
        <f>HYPERLINK("http://141.218.60.56/~jnz1568/getInfo.php?workbook=02_02.xlsx&amp;sheet=U0&amp;row=1361&amp;col=6&amp;number=3.75&amp;sourceID=28","3.75")</f>
        <v>3.75</v>
      </c>
      <c r="G1361" s="4" t="str">
        <f>HYPERLINK("http://141.218.60.56/~jnz1568/getInfo.php?workbook=02_02.xlsx&amp;sheet=U0&amp;row=1361&amp;col=7&amp;number=0.0005039&amp;sourceID=1","0.0005039")</f>
        <v>0.0005039</v>
      </c>
      <c r="H1361" s="4" t="str">
        <f>HYPERLINK("http://141.218.60.56/~jnz1568/getInfo.php?workbook=02_02.xlsx&amp;sheet=U0&amp;row=1361&amp;col=8&amp;number=&amp;sourceID=29","")</f>
        <v/>
      </c>
      <c r="I1361" s="4" t="str">
        <f>HYPERLINK("http://141.218.60.56/~jnz1568/getInfo.php?workbook=02_02.xlsx&amp;sheet=U0&amp;row=1361&amp;col=9&amp;number=&amp;sourceID=1","")</f>
        <v/>
      </c>
    </row>
    <row r="1362" spans="1:9">
      <c r="A1362" s="3"/>
      <c r="B1362" s="3"/>
      <c r="C1362" s="3"/>
      <c r="D1362" s="3"/>
      <c r="E1362" s="3">
        <v>2</v>
      </c>
      <c r="F1362" s="4" t="str">
        <f>HYPERLINK("http://141.218.60.56/~jnz1568/getInfo.php?workbook=02_02.xlsx&amp;sheet=U0&amp;row=1362&amp;col=6&amp;number=4&amp;sourceID=28","4")</f>
        <v>4</v>
      </c>
      <c r="G1362" s="4" t="str">
        <f>HYPERLINK("http://141.218.60.56/~jnz1568/getInfo.php?workbook=02_02.xlsx&amp;sheet=U0&amp;row=1362&amp;col=7&amp;number=0.0004501&amp;sourceID=1","0.0004501")</f>
        <v>0.0004501</v>
      </c>
      <c r="H1362" s="4" t="str">
        <f>HYPERLINK("http://141.218.60.56/~jnz1568/getInfo.php?workbook=02_02.xlsx&amp;sheet=U0&amp;row=1362&amp;col=8&amp;number=&amp;sourceID=29","")</f>
        <v/>
      </c>
      <c r="I1362" s="4" t="str">
        <f>HYPERLINK("http://141.218.60.56/~jnz1568/getInfo.php?workbook=02_02.xlsx&amp;sheet=U0&amp;row=1362&amp;col=9&amp;number=&amp;sourceID=1","")</f>
        <v/>
      </c>
    </row>
    <row r="1363" spans="1:9">
      <c r="A1363" s="3"/>
      <c r="B1363" s="3"/>
      <c r="C1363" s="3"/>
      <c r="D1363" s="3"/>
      <c r="E1363" s="3">
        <v>3</v>
      </c>
      <c r="F1363" s="4" t="str">
        <f>HYPERLINK("http://141.218.60.56/~jnz1568/getInfo.php?workbook=02_02.xlsx&amp;sheet=U0&amp;row=1363&amp;col=6&amp;number=4.25&amp;sourceID=28","4.25")</f>
        <v>4.25</v>
      </c>
      <c r="G1363" s="4" t="str">
        <f>HYPERLINK("http://141.218.60.56/~jnz1568/getInfo.php?workbook=02_02.xlsx&amp;sheet=U0&amp;row=1363&amp;col=7&amp;number=0.0003664&amp;sourceID=1","0.0003664")</f>
        <v>0.0003664</v>
      </c>
      <c r="H1363" s="4" t="str">
        <f>HYPERLINK("http://141.218.60.56/~jnz1568/getInfo.php?workbook=02_02.xlsx&amp;sheet=U0&amp;row=1363&amp;col=8&amp;number=&amp;sourceID=29","")</f>
        <v/>
      </c>
      <c r="I1363" s="4" t="str">
        <f>HYPERLINK("http://141.218.60.56/~jnz1568/getInfo.php?workbook=02_02.xlsx&amp;sheet=U0&amp;row=1363&amp;col=9&amp;number=&amp;sourceID=1","")</f>
        <v/>
      </c>
    </row>
    <row r="1364" spans="1:9">
      <c r="A1364" s="3"/>
      <c r="B1364" s="3"/>
      <c r="C1364" s="3"/>
      <c r="D1364" s="3"/>
      <c r="E1364" s="3">
        <v>4</v>
      </c>
      <c r="F1364" s="4" t="str">
        <f>HYPERLINK("http://141.218.60.56/~jnz1568/getInfo.php?workbook=02_02.xlsx&amp;sheet=U0&amp;row=1364&amp;col=6&amp;number=4.5&amp;sourceID=28","4.5")</f>
        <v>4.5</v>
      </c>
      <c r="G1364" s="4" t="str">
        <f>HYPERLINK("http://141.218.60.56/~jnz1568/getInfo.php?workbook=02_02.xlsx&amp;sheet=U0&amp;row=1364&amp;col=7&amp;number=0.0002801&amp;sourceID=1","0.0002801")</f>
        <v>0.0002801</v>
      </c>
      <c r="H1364" s="4" t="str">
        <f>HYPERLINK("http://141.218.60.56/~jnz1568/getInfo.php?workbook=02_02.xlsx&amp;sheet=U0&amp;row=1364&amp;col=8&amp;number=&amp;sourceID=29","")</f>
        <v/>
      </c>
      <c r="I1364" s="4" t="str">
        <f>HYPERLINK("http://141.218.60.56/~jnz1568/getInfo.php?workbook=02_02.xlsx&amp;sheet=U0&amp;row=1364&amp;col=9&amp;number=&amp;sourceID=1","")</f>
        <v/>
      </c>
    </row>
    <row r="1365" spans="1:9">
      <c r="A1365" s="3"/>
      <c r="B1365" s="3"/>
      <c r="C1365" s="3"/>
      <c r="D1365" s="3"/>
      <c r="E1365" s="3">
        <v>5</v>
      </c>
      <c r="F1365" s="4" t="str">
        <f>HYPERLINK("http://141.218.60.56/~jnz1568/getInfo.php?workbook=02_02.xlsx&amp;sheet=U0&amp;row=1365&amp;col=6&amp;number=4.75&amp;sourceID=28","4.75")</f>
        <v>4.75</v>
      </c>
      <c r="G1365" s="4" t="str">
        <f>HYPERLINK("http://141.218.60.56/~jnz1568/getInfo.php?workbook=02_02.xlsx&amp;sheet=U0&amp;row=1365&amp;col=7&amp;number=0.0002078&amp;sourceID=1","0.0002078")</f>
        <v>0.0002078</v>
      </c>
      <c r="H1365" s="4" t="str">
        <f>HYPERLINK("http://141.218.60.56/~jnz1568/getInfo.php?workbook=02_02.xlsx&amp;sheet=U0&amp;row=1365&amp;col=8&amp;number=&amp;sourceID=29","")</f>
        <v/>
      </c>
      <c r="I1365" s="4" t="str">
        <f>HYPERLINK("http://141.218.60.56/~jnz1568/getInfo.php?workbook=02_02.xlsx&amp;sheet=U0&amp;row=1365&amp;col=9&amp;number=&amp;sourceID=1","")</f>
        <v/>
      </c>
    </row>
    <row r="1366" spans="1:9">
      <c r="A1366" s="3"/>
      <c r="B1366" s="3"/>
      <c r="C1366" s="3"/>
      <c r="D1366" s="3"/>
      <c r="E1366" s="3">
        <v>6</v>
      </c>
      <c r="F1366" s="4" t="str">
        <f>HYPERLINK("http://141.218.60.56/~jnz1568/getInfo.php?workbook=02_02.xlsx&amp;sheet=U0&amp;row=1366&amp;col=6&amp;number=5&amp;sourceID=28","5")</f>
        <v>5</v>
      </c>
      <c r="G1366" s="4" t="str">
        <f>HYPERLINK("http://141.218.60.56/~jnz1568/getInfo.php?workbook=02_02.xlsx&amp;sheet=U0&amp;row=1366&amp;col=7&amp;number=0.0001525&amp;sourceID=1","0.0001525")</f>
        <v>0.0001525</v>
      </c>
      <c r="H1366" s="4" t="str">
        <f>HYPERLINK("http://141.218.60.56/~jnz1568/getInfo.php?workbook=02_02.xlsx&amp;sheet=U0&amp;row=1366&amp;col=8&amp;number=&amp;sourceID=29","")</f>
        <v/>
      </c>
      <c r="I1366" s="4" t="str">
        <f>HYPERLINK("http://141.218.60.56/~jnz1568/getInfo.php?workbook=02_02.xlsx&amp;sheet=U0&amp;row=1366&amp;col=9&amp;number=&amp;sourceID=1","")</f>
        <v/>
      </c>
    </row>
    <row r="1367" spans="1:9">
      <c r="A1367" s="3"/>
      <c r="B1367" s="3"/>
      <c r="C1367" s="3"/>
      <c r="D1367" s="3"/>
      <c r="E1367" s="3">
        <v>7</v>
      </c>
      <c r="F1367" s="4" t="str">
        <f>HYPERLINK("http://141.218.60.56/~jnz1568/getInfo.php?workbook=02_02.xlsx&amp;sheet=U0&amp;row=1367&amp;col=6&amp;number=5.25&amp;sourceID=28","5.25")</f>
        <v>5.25</v>
      </c>
      <c r="G1367" s="4" t="str">
        <f>HYPERLINK("http://141.218.60.56/~jnz1568/getInfo.php?workbook=02_02.xlsx&amp;sheet=U0&amp;row=1367&amp;col=7&amp;number=0.0001111&amp;sourceID=1","0.0001111")</f>
        <v>0.0001111</v>
      </c>
      <c r="H1367" s="4" t="str">
        <f>HYPERLINK("http://141.218.60.56/~jnz1568/getInfo.php?workbook=02_02.xlsx&amp;sheet=U0&amp;row=1367&amp;col=8&amp;number=&amp;sourceID=29","")</f>
        <v/>
      </c>
      <c r="I1367" s="4" t="str">
        <f>HYPERLINK("http://141.218.60.56/~jnz1568/getInfo.php?workbook=02_02.xlsx&amp;sheet=U0&amp;row=1367&amp;col=9&amp;number=&amp;sourceID=1","")</f>
        <v/>
      </c>
    </row>
    <row r="1368" spans="1:9">
      <c r="A1368" s="3"/>
      <c r="B1368" s="3"/>
      <c r="C1368" s="3"/>
      <c r="D1368" s="3"/>
      <c r="E1368" s="3">
        <v>8</v>
      </c>
      <c r="F1368" s="4" t="str">
        <f>HYPERLINK("http://141.218.60.56/~jnz1568/getInfo.php?workbook=02_02.xlsx&amp;sheet=U0&amp;row=1368&amp;col=6&amp;number=5.5&amp;sourceID=28","5.5")</f>
        <v>5.5</v>
      </c>
      <c r="G1368" s="4" t="str">
        <f>HYPERLINK("http://141.218.60.56/~jnz1568/getInfo.php?workbook=02_02.xlsx&amp;sheet=U0&amp;row=1368&amp;col=7&amp;number=7.878e-05&amp;sourceID=1","7.878e-05")</f>
        <v>7.878e-05</v>
      </c>
      <c r="H1368" s="4" t="str">
        <f>HYPERLINK("http://141.218.60.56/~jnz1568/getInfo.php?workbook=02_02.xlsx&amp;sheet=U0&amp;row=1368&amp;col=8&amp;number=&amp;sourceID=29","")</f>
        <v/>
      </c>
      <c r="I1368" s="4" t="str">
        <f>HYPERLINK("http://141.218.60.56/~jnz1568/getInfo.php?workbook=02_02.xlsx&amp;sheet=U0&amp;row=1368&amp;col=9&amp;number=&amp;sourceID=1","")</f>
        <v/>
      </c>
    </row>
    <row r="1369" spans="1:9">
      <c r="A1369" s="3"/>
      <c r="B1369" s="3"/>
      <c r="C1369" s="3"/>
      <c r="D1369" s="3"/>
      <c r="E1369" s="3">
        <v>9</v>
      </c>
      <c r="F1369" s="4" t="str">
        <f>HYPERLINK("http://141.218.60.56/~jnz1568/getInfo.php?workbook=02_02.xlsx&amp;sheet=U0&amp;row=1369&amp;col=6&amp;number=5.75&amp;sourceID=28","5.75")</f>
        <v>5.75</v>
      </c>
      <c r="G1369" s="4" t="str">
        <f>HYPERLINK("http://141.218.60.56/~jnz1568/getInfo.php?workbook=02_02.xlsx&amp;sheet=U0&amp;row=1369&amp;col=7&amp;number=5.335e-05&amp;sourceID=1","5.335e-05")</f>
        <v>5.335e-05</v>
      </c>
      <c r="H1369" s="4" t="str">
        <f>HYPERLINK("http://141.218.60.56/~jnz1568/getInfo.php?workbook=02_02.xlsx&amp;sheet=U0&amp;row=1369&amp;col=8&amp;number=&amp;sourceID=29","")</f>
        <v/>
      </c>
      <c r="I1369" s="4" t="str">
        <f>HYPERLINK("http://141.218.60.56/~jnz1568/getInfo.php?workbook=02_02.xlsx&amp;sheet=U0&amp;row=1369&amp;col=9&amp;number=&amp;sourceID=1","")</f>
        <v/>
      </c>
    </row>
    <row r="1370" spans="1:9">
      <c r="A1370" s="3">
        <v>2</v>
      </c>
      <c r="B1370" s="3">
        <v>2</v>
      </c>
      <c r="C1370" s="3">
        <v>25</v>
      </c>
      <c r="D1370" s="3">
        <v>2</v>
      </c>
      <c r="E1370" s="3">
        <v>1</v>
      </c>
      <c r="F1370" s="4" t="str">
        <f>HYPERLINK("http://141.218.60.56/~jnz1568/getInfo.php?workbook=02_02.xlsx&amp;sheet=U0&amp;row=1370&amp;col=6&amp;number=3.75&amp;sourceID=28","3.75")</f>
        <v>3.75</v>
      </c>
      <c r="G1370" s="4" t="str">
        <f>HYPERLINK("http://141.218.60.56/~jnz1568/getInfo.php?workbook=02_02.xlsx&amp;sheet=U0&amp;row=1370&amp;col=7&amp;number=0.184&amp;sourceID=1","0.184")</f>
        <v>0.184</v>
      </c>
      <c r="H1370" s="4" t="str">
        <f>HYPERLINK("http://141.218.60.56/~jnz1568/getInfo.php?workbook=02_02.xlsx&amp;sheet=U0&amp;row=1370&amp;col=8&amp;number=&amp;sourceID=29","")</f>
        <v/>
      </c>
      <c r="I1370" s="4" t="str">
        <f>HYPERLINK("http://141.218.60.56/~jnz1568/getInfo.php?workbook=02_02.xlsx&amp;sheet=U0&amp;row=1370&amp;col=9&amp;number=&amp;sourceID=1","")</f>
        <v/>
      </c>
    </row>
    <row r="1371" spans="1:9">
      <c r="A1371" s="3"/>
      <c r="B1371" s="3"/>
      <c r="C1371" s="3"/>
      <c r="D1371" s="3"/>
      <c r="E1371" s="3">
        <v>2</v>
      </c>
      <c r="F1371" s="4" t="str">
        <f>HYPERLINK("http://141.218.60.56/~jnz1568/getInfo.php?workbook=02_02.xlsx&amp;sheet=U0&amp;row=1371&amp;col=6&amp;number=4&amp;sourceID=28","4")</f>
        <v>4</v>
      </c>
      <c r="G1371" s="4" t="str">
        <f>HYPERLINK("http://141.218.60.56/~jnz1568/getInfo.php?workbook=02_02.xlsx&amp;sheet=U0&amp;row=1371&amp;col=7&amp;number=0.2165&amp;sourceID=1","0.2165")</f>
        <v>0.2165</v>
      </c>
      <c r="H1371" s="4" t="str">
        <f>HYPERLINK("http://141.218.60.56/~jnz1568/getInfo.php?workbook=02_02.xlsx&amp;sheet=U0&amp;row=1371&amp;col=8&amp;number=&amp;sourceID=29","")</f>
        <v/>
      </c>
      <c r="I1371" s="4" t="str">
        <f>HYPERLINK("http://141.218.60.56/~jnz1568/getInfo.php?workbook=02_02.xlsx&amp;sheet=U0&amp;row=1371&amp;col=9&amp;number=&amp;sourceID=1","")</f>
        <v/>
      </c>
    </row>
    <row r="1372" spans="1:9">
      <c r="A1372" s="3"/>
      <c r="B1372" s="3"/>
      <c r="C1372" s="3"/>
      <c r="D1372" s="3"/>
      <c r="E1372" s="3">
        <v>3</v>
      </c>
      <c r="F1372" s="4" t="str">
        <f>HYPERLINK("http://141.218.60.56/~jnz1568/getInfo.php?workbook=02_02.xlsx&amp;sheet=U0&amp;row=1372&amp;col=6&amp;number=4.25&amp;sourceID=28","4.25")</f>
        <v>4.25</v>
      </c>
      <c r="G1372" s="4" t="str">
        <f>HYPERLINK("http://141.218.60.56/~jnz1568/getInfo.php?workbook=02_02.xlsx&amp;sheet=U0&amp;row=1372&amp;col=7&amp;number=0.2564&amp;sourceID=1","0.2564")</f>
        <v>0.2564</v>
      </c>
      <c r="H1372" s="4" t="str">
        <f>HYPERLINK("http://141.218.60.56/~jnz1568/getInfo.php?workbook=02_02.xlsx&amp;sheet=U0&amp;row=1372&amp;col=8&amp;number=&amp;sourceID=29","")</f>
        <v/>
      </c>
      <c r="I1372" s="4" t="str">
        <f>HYPERLINK("http://141.218.60.56/~jnz1568/getInfo.php?workbook=02_02.xlsx&amp;sheet=U0&amp;row=1372&amp;col=9&amp;number=&amp;sourceID=1","")</f>
        <v/>
      </c>
    </row>
    <row r="1373" spans="1:9">
      <c r="A1373" s="3"/>
      <c r="B1373" s="3"/>
      <c r="C1373" s="3"/>
      <c r="D1373" s="3"/>
      <c r="E1373" s="3">
        <v>4</v>
      </c>
      <c r="F1373" s="4" t="str">
        <f>HYPERLINK("http://141.218.60.56/~jnz1568/getInfo.php?workbook=02_02.xlsx&amp;sheet=U0&amp;row=1373&amp;col=6&amp;number=4.5&amp;sourceID=28","4.5")</f>
        <v>4.5</v>
      </c>
      <c r="G1373" s="4" t="str">
        <f>HYPERLINK("http://141.218.60.56/~jnz1568/getInfo.php?workbook=02_02.xlsx&amp;sheet=U0&amp;row=1373&amp;col=7&amp;number=0.3066&amp;sourceID=1","0.3066")</f>
        <v>0.3066</v>
      </c>
      <c r="H1373" s="4" t="str">
        <f>HYPERLINK("http://141.218.60.56/~jnz1568/getInfo.php?workbook=02_02.xlsx&amp;sheet=U0&amp;row=1373&amp;col=8&amp;number=&amp;sourceID=29","")</f>
        <v/>
      </c>
      <c r="I1373" s="4" t="str">
        <f>HYPERLINK("http://141.218.60.56/~jnz1568/getInfo.php?workbook=02_02.xlsx&amp;sheet=U0&amp;row=1373&amp;col=9&amp;number=&amp;sourceID=1","")</f>
        <v/>
      </c>
    </row>
    <row r="1374" spans="1:9">
      <c r="A1374" s="3"/>
      <c r="B1374" s="3"/>
      <c r="C1374" s="3"/>
      <c r="D1374" s="3"/>
      <c r="E1374" s="3">
        <v>5</v>
      </c>
      <c r="F1374" s="4" t="str">
        <f>HYPERLINK("http://141.218.60.56/~jnz1568/getInfo.php?workbook=02_02.xlsx&amp;sheet=U0&amp;row=1374&amp;col=6&amp;number=4.75&amp;sourceID=28","4.75")</f>
        <v>4.75</v>
      </c>
      <c r="G1374" s="4" t="str">
        <f>HYPERLINK("http://141.218.60.56/~jnz1568/getInfo.php?workbook=02_02.xlsx&amp;sheet=U0&amp;row=1374&amp;col=7&amp;number=0.3692&amp;sourceID=1","0.3692")</f>
        <v>0.3692</v>
      </c>
      <c r="H1374" s="4" t="str">
        <f>HYPERLINK("http://141.218.60.56/~jnz1568/getInfo.php?workbook=02_02.xlsx&amp;sheet=U0&amp;row=1374&amp;col=8&amp;number=&amp;sourceID=29","")</f>
        <v/>
      </c>
      <c r="I1374" s="4" t="str">
        <f>HYPERLINK("http://141.218.60.56/~jnz1568/getInfo.php?workbook=02_02.xlsx&amp;sheet=U0&amp;row=1374&amp;col=9&amp;number=&amp;sourceID=1","")</f>
        <v/>
      </c>
    </row>
    <row r="1375" spans="1:9">
      <c r="A1375" s="3"/>
      <c r="B1375" s="3"/>
      <c r="C1375" s="3"/>
      <c r="D1375" s="3"/>
      <c r="E1375" s="3">
        <v>6</v>
      </c>
      <c r="F1375" s="4" t="str">
        <f>HYPERLINK("http://141.218.60.56/~jnz1568/getInfo.php?workbook=02_02.xlsx&amp;sheet=U0&amp;row=1375&amp;col=6&amp;number=5&amp;sourceID=28","5")</f>
        <v>5</v>
      </c>
      <c r="G1375" s="4" t="str">
        <f>HYPERLINK("http://141.218.60.56/~jnz1568/getInfo.php?workbook=02_02.xlsx&amp;sheet=U0&amp;row=1375&amp;col=7&amp;number=0.4329&amp;sourceID=1","0.4329")</f>
        <v>0.4329</v>
      </c>
      <c r="H1375" s="4" t="str">
        <f>HYPERLINK("http://141.218.60.56/~jnz1568/getInfo.php?workbook=02_02.xlsx&amp;sheet=U0&amp;row=1375&amp;col=8&amp;number=&amp;sourceID=29","")</f>
        <v/>
      </c>
      <c r="I1375" s="4" t="str">
        <f>HYPERLINK("http://141.218.60.56/~jnz1568/getInfo.php?workbook=02_02.xlsx&amp;sheet=U0&amp;row=1375&amp;col=9&amp;number=&amp;sourceID=1","")</f>
        <v/>
      </c>
    </row>
    <row r="1376" spans="1:9">
      <c r="A1376" s="3"/>
      <c r="B1376" s="3"/>
      <c r="C1376" s="3"/>
      <c r="D1376" s="3"/>
      <c r="E1376" s="3">
        <v>7</v>
      </c>
      <c r="F1376" s="4" t="str">
        <f>HYPERLINK("http://141.218.60.56/~jnz1568/getInfo.php?workbook=02_02.xlsx&amp;sheet=U0&amp;row=1376&amp;col=6&amp;number=5.25&amp;sourceID=28","5.25")</f>
        <v>5.25</v>
      </c>
      <c r="G1376" s="4" t="str">
        <f>HYPERLINK("http://141.218.60.56/~jnz1568/getInfo.php?workbook=02_02.xlsx&amp;sheet=U0&amp;row=1376&amp;col=7&amp;number=0.4769&amp;sourceID=1","0.4769")</f>
        <v>0.4769</v>
      </c>
      <c r="H1376" s="4" t="str">
        <f>HYPERLINK("http://141.218.60.56/~jnz1568/getInfo.php?workbook=02_02.xlsx&amp;sheet=U0&amp;row=1376&amp;col=8&amp;number=&amp;sourceID=29","")</f>
        <v/>
      </c>
      <c r="I1376" s="4" t="str">
        <f>HYPERLINK("http://141.218.60.56/~jnz1568/getInfo.php?workbook=02_02.xlsx&amp;sheet=U0&amp;row=1376&amp;col=9&amp;number=&amp;sourceID=1","")</f>
        <v/>
      </c>
    </row>
    <row r="1377" spans="1:9">
      <c r="A1377" s="3"/>
      <c r="B1377" s="3"/>
      <c r="C1377" s="3"/>
      <c r="D1377" s="3"/>
      <c r="E1377" s="3">
        <v>8</v>
      </c>
      <c r="F1377" s="4" t="str">
        <f>HYPERLINK("http://141.218.60.56/~jnz1568/getInfo.php?workbook=02_02.xlsx&amp;sheet=U0&amp;row=1377&amp;col=6&amp;number=5.5&amp;sourceID=28","5.5")</f>
        <v>5.5</v>
      </c>
      <c r="G1377" s="4" t="str">
        <f>HYPERLINK("http://141.218.60.56/~jnz1568/getInfo.php?workbook=02_02.xlsx&amp;sheet=U0&amp;row=1377&amp;col=7&amp;number=0.4903&amp;sourceID=1","0.4903")</f>
        <v>0.4903</v>
      </c>
      <c r="H1377" s="4" t="str">
        <f>HYPERLINK("http://141.218.60.56/~jnz1568/getInfo.php?workbook=02_02.xlsx&amp;sheet=U0&amp;row=1377&amp;col=8&amp;number=&amp;sourceID=29","")</f>
        <v/>
      </c>
      <c r="I1377" s="4" t="str">
        <f>HYPERLINK("http://141.218.60.56/~jnz1568/getInfo.php?workbook=02_02.xlsx&amp;sheet=U0&amp;row=1377&amp;col=9&amp;number=&amp;sourceID=1","")</f>
        <v/>
      </c>
    </row>
    <row r="1378" spans="1:9">
      <c r="A1378" s="3"/>
      <c r="B1378" s="3"/>
      <c r="C1378" s="3"/>
      <c r="D1378" s="3"/>
      <c r="E1378" s="3">
        <v>9</v>
      </c>
      <c r="F1378" s="4" t="str">
        <f>HYPERLINK("http://141.218.60.56/~jnz1568/getInfo.php?workbook=02_02.xlsx&amp;sheet=U0&amp;row=1378&amp;col=6&amp;number=5.75&amp;sourceID=28","5.75")</f>
        <v>5.75</v>
      </c>
      <c r="G1378" s="4" t="str">
        <f>HYPERLINK("http://141.218.60.56/~jnz1568/getInfo.php?workbook=02_02.xlsx&amp;sheet=U0&amp;row=1378&amp;col=7&amp;number=0.4774&amp;sourceID=1","0.4774")</f>
        <v>0.4774</v>
      </c>
      <c r="H1378" s="4" t="str">
        <f>HYPERLINK("http://141.218.60.56/~jnz1568/getInfo.php?workbook=02_02.xlsx&amp;sheet=U0&amp;row=1378&amp;col=8&amp;number=&amp;sourceID=29","")</f>
        <v/>
      </c>
      <c r="I1378" s="4" t="str">
        <f>HYPERLINK("http://141.218.60.56/~jnz1568/getInfo.php?workbook=02_02.xlsx&amp;sheet=U0&amp;row=1378&amp;col=9&amp;number=&amp;sourceID=1","")</f>
        <v/>
      </c>
    </row>
    <row r="1379" spans="1:9">
      <c r="A1379" s="3">
        <v>2</v>
      </c>
      <c r="B1379" s="3">
        <v>2</v>
      </c>
      <c r="C1379" s="3">
        <v>25</v>
      </c>
      <c r="D1379" s="3">
        <v>3</v>
      </c>
      <c r="E1379" s="3">
        <v>1</v>
      </c>
      <c r="F1379" s="4" t="str">
        <f>HYPERLINK("http://141.218.60.56/~jnz1568/getInfo.php?workbook=02_02.xlsx&amp;sheet=U0&amp;row=1379&amp;col=6&amp;number=3.75&amp;sourceID=28","3.75")</f>
        <v>3.75</v>
      </c>
      <c r="G1379" s="4" t="str">
        <f>HYPERLINK("http://141.218.60.56/~jnz1568/getInfo.php?workbook=02_02.xlsx&amp;sheet=U0&amp;row=1379&amp;col=7&amp;number=0.03836&amp;sourceID=1","0.03836")</f>
        <v>0.03836</v>
      </c>
      <c r="H1379" s="4" t="str">
        <f>HYPERLINK("http://141.218.60.56/~jnz1568/getInfo.php?workbook=02_02.xlsx&amp;sheet=U0&amp;row=1379&amp;col=8&amp;number=&amp;sourceID=29","")</f>
        <v/>
      </c>
      <c r="I1379" s="4" t="str">
        <f>HYPERLINK("http://141.218.60.56/~jnz1568/getInfo.php?workbook=02_02.xlsx&amp;sheet=U0&amp;row=1379&amp;col=9&amp;number=&amp;sourceID=1","")</f>
        <v/>
      </c>
    </row>
    <row r="1380" spans="1:9">
      <c r="A1380" s="3"/>
      <c r="B1380" s="3"/>
      <c r="C1380" s="3"/>
      <c r="D1380" s="3"/>
      <c r="E1380" s="3">
        <v>2</v>
      </c>
      <c r="F1380" s="4" t="str">
        <f>HYPERLINK("http://141.218.60.56/~jnz1568/getInfo.php?workbook=02_02.xlsx&amp;sheet=U0&amp;row=1380&amp;col=6&amp;number=4&amp;sourceID=28","4")</f>
        <v>4</v>
      </c>
      <c r="G1380" s="4" t="str">
        <f>HYPERLINK("http://141.218.60.56/~jnz1568/getInfo.php?workbook=02_02.xlsx&amp;sheet=U0&amp;row=1380&amp;col=7&amp;number=0.04042&amp;sourceID=1","0.04042")</f>
        <v>0.04042</v>
      </c>
      <c r="H1380" s="4" t="str">
        <f>HYPERLINK("http://141.218.60.56/~jnz1568/getInfo.php?workbook=02_02.xlsx&amp;sheet=U0&amp;row=1380&amp;col=8&amp;number=&amp;sourceID=29","")</f>
        <v/>
      </c>
      <c r="I1380" s="4" t="str">
        <f>HYPERLINK("http://141.218.60.56/~jnz1568/getInfo.php?workbook=02_02.xlsx&amp;sheet=U0&amp;row=1380&amp;col=9&amp;number=&amp;sourceID=1","")</f>
        <v/>
      </c>
    </row>
    <row r="1381" spans="1:9">
      <c r="A1381" s="3"/>
      <c r="B1381" s="3"/>
      <c r="C1381" s="3"/>
      <c r="D1381" s="3"/>
      <c r="E1381" s="3">
        <v>3</v>
      </c>
      <c r="F1381" s="4" t="str">
        <f>HYPERLINK("http://141.218.60.56/~jnz1568/getInfo.php?workbook=02_02.xlsx&amp;sheet=U0&amp;row=1381&amp;col=6&amp;number=4.25&amp;sourceID=28","4.25")</f>
        <v>4.25</v>
      </c>
      <c r="G1381" s="4" t="str">
        <f>HYPERLINK("http://141.218.60.56/~jnz1568/getInfo.php?workbook=02_02.xlsx&amp;sheet=U0&amp;row=1381&amp;col=7&amp;number=0.04009&amp;sourceID=1","0.04009")</f>
        <v>0.04009</v>
      </c>
      <c r="H1381" s="4" t="str">
        <f>HYPERLINK("http://141.218.60.56/~jnz1568/getInfo.php?workbook=02_02.xlsx&amp;sheet=U0&amp;row=1381&amp;col=8&amp;number=&amp;sourceID=29","")</f>
        <v/>
      </c>
      <c r="I1381" s="4" t="str">
        <f>HYPERLINK("http://141.218.60.56/~jnz1568/getInfo.php?workbook=02_02.xlsx&amp;sheet=U0&amp;row=1381&amp;col=9&amp;number=&amp;sourceID=1","")</f>
        <v/>
      </c>
    </row>
    <row r="1382" spans="1:9">
      <c r="A1382" s="3"/>
      <c r="B1382" s="3"/>
      <c r="C1382" s="3"/>
      <c r="D1382" s="3"/>
      <c r="E1382" s="3">
        <v>4</v>
      </c>
      <c r="F1382" s="4" t="str">
        <f>HYPERLINK("http://141.218.60.56/~jnz1568/getInfo.php?workbook=02_02.xlsx&amp;sheet=U0&amp;row=1382&amp;col=6&amp;number=4.5&amp;sourceID=28","4.5")</f>
        <v>4.5</v>
      </c>
      <c r="G1382" s="4" t="str">
        <f>HYPERLINK("http://141.218.60.56/~jnz1568/getInfo.php?workbook=02_02.xlsx&amp;sheet=U0&amp;row=1382&amp;col=7&amp;number=0.03707&amp;sourceID=1","0.03707")</f>
        <v>0.03707</v>
      </c>
      <c r="H1382" s="4" t="str">
        <f>HYPERLINK("http://141.218.60.56/~jnz1568/getInfo.php?workbook=02_02.xlsx&amp;sheet=U0&amp;row=1382&amp;col=8&amp;number=&amp;sourceID=29","")</f>
        <v/>
      </c>
      <c r="I1382" s="4" t="str">
        <f>HYPERLINK("http://141.218.60.56/~jnz1568/getInfo.php?workbook=02_02.xlsx&amp;sheet=U0&amp;row=1382&amp;col=9&amp;number=&amp;sourceID=1","")</f>
        <v/>
      </c>
    </row>
    <row r="1383" spans="1:9">
      <c r="A1383" s="3"/>
      <c r="B1383" s="3"/>
      <c r="C1383" s="3"/>
      <c r="D1383" s="3"/>
      <c r="E1383" s="3">
        <v>5</v>
      </c>
      <c r="F1383" s="4" t="str">
        <f>HYPERLINK("http://141.218.60.56/~jnz1568/getInfo.php?workbook=02_02.xlsx&amp;sheet=U0&amp;row=1383&amp;col=6&amp;number=4.75&amp;sourceID=28","4.75")</f>
        <v>4.75</v>
      </c>
      <c r="G1383" s="4" t="str">
        <f>HYPERLINK("http://141.218.60.56/~jnz1568/getInfo.php?workbook=02_02.xlsx&amp;sheet=U0&amp;row=1383&amp;col=7&amp;number=0.03201&amp;sourceID=1","0.03201")</f>
        <v>0.03201</v>
      </c>
      <c r="H1383" s="4" t="str">
        <f>HYPERLINK("http://141.218.60.56/~jnz1568/getInfo.php?workbook=02_02.xlsx&amp;sheet=U0&amp;row=1383&amp;col=8&amp;number=&amp;sourceID=29","")</f>
        <v/>
      </c>
      <c r="I1383" s="4" t="str">
        <f>HYPERLINK("http://141.218.60.56/~jnz1568/getInfo.php?workbook=02_02.xlsx&amp;sheet=U0&amp;row=1383&amp;col=9&amp;number=&amp;sourceID=1","")</f>
        <v/>
      </c>
    </row>
    <row r="1384" spans="1:9">
      <c r="A1384" s="3"/>
      <c r="B1384" s="3"/>
      <c r="C1384" s="3"/>
      <c r="D1384" s="3"/>
      <c r="E1384" s="3">
        <v>6</v>
      </c>
      <c r="F1384" s="4" t="str">
        <f>HYPERLINK("http://141.218.60.56/~jnz1568/getInfo.php?workbook=02_02.xlsx&amp;sheet=U0&amp;row=1384&amp;col=6&amp;number=5&amp;sourceID=28","5")</f>
        <v>5</v>
      </c>
      <c r="G1384" s="4" t="str">
        <f>HYPERLINK("http://141.218.60.56/~jnz1568/getInfo.php?workbook=02_02.xlsx&amp;sheet=U0&amp;row=1384&amp;col=7&amp;number=0.02568&amp;sourceID=1","0.02568")</f>
        <v>0.02568</v>
      </c>
      <c r="H1384" s="4" t="str">
        <f>HYPERLINK("http://141.218.60.56/~jnz1568/getInfo.php?workbook=02_02.xlsx&amp;sheet=U0&amp;row=1384&amp;col=8&amp;number=&amp;sourceID=29","")</f>
        <v/>
      </c>
      <c r="I1384" s="4" t="str">
        <f>HYPERLINK("http://141.218.60.56/~jnz1568/getInfo.php?workbook=02_02.xlsx&amp;sheet=U0&amp;row=1384&amp;col=9&amp;number=&amp;sourceID=1","")</f>
        <v/>
      </c>
    </row>
    <row r="1385" spans="1:9">
      <c r="A1385" s="3"/>
      <c r="B1385" s="3"/>
      <c r="C1385" s="3"/>
      <c r="D1385" s="3"/>
      <c r="E1385" s="3">
        <v>7</v>
      </c>
      <c r="F1385" s="4" t="str">
        <f>HYPERLINK("http://141.218.60.56/~jnz1568/getInfo.php?workbook=02_02.xlsx&amp;sheet=U0&amp;row=1385&amp;col=6&amp;number=5.25&amp;sourceID=28","5.25")</f>
        <v>5.25</v>
      </c>
      <c r="G1385" s="4" t="str">
        <f>HYPERLINK("http://141.218.60.56/~jnz1568/getInfo.php?workbook=02_02.xlsx&amp;sheet=U0&amp;row=1385&amp;col=7&amp;number=0.01903&amp;sourceID=1","0.01903")</f>
        <v>0.01903</v>
      </c>
      <c r="H1385" s="4" t="str">
        <f>HYPERLINK("http://141.218.60.56/~jnz1568/getInfo.php?workbook=02_02.xlsx&amp;sheet=U0&amp;row=1385&amp;col=8&amp;number=&amp;sourceID=29","")</f>
        <v/>
      </c>
      <c r="I1385" s="4" t="str">
        <f>HYPERLINK("http://141.218.60.56/~jnz1568/getInfo.php?workbook=02_02.xlsx&amp;sheet=U0&amp;row=1385&amp;col=9&amp;number=&amp;sourceID=1","")</f>
        <v/>
      </c>
    </row>
    <row r="1386" spans="1:9">
      <c r="A1386" s="3"/>
      <c r="B1386" s="3"/>
      <c r="C1386" s="3"/>
      <c r="D1386" s="3"/>
      <c r="E1386" s="3">
        <v>8</v>
      </c>
      <c r="F1386" s="4" t="str">
        <f>HYPERLINK("http://141.218.60.56/~jnz1568/getInfo.php?workbook=02_02.xlsx&amp;sheet=U0&amp;row=1386&amp;col=6&amp;number=5.5&amp;sourceID=28","5.5")</f>
        <v>5.5</v>
      </c>
      <c r="G1386" s="4" t="str">
        <f>HYPERLINK("http://141.218.60.56/~jnz1568/getInfo.php?workbook=02_02.xlsx&amp;sheet=U0&amp;row=1386&amp;col=7&amp;number=0.0131&amp;sourceID=1","0.0131")</f>
        <v>0.0131</v>
      </c>
      <c r="H1386" s="4" t="str">
        <f>HYPERLINK("http://141.218.60.56/~jnz1568/getInfo.php?workbook=02_02.xlsx&amp;sheet=U0&amp;row=1386&amp;col=8&amp;number=&amp;sourceID=29","")</f>
        <v/>
      </c>
      <c r="I1386" s="4" t="str">
        <f>HYPERLINK("http://141.218.60.56/~jnz1568/getInfo.php?workbook=02_02.xlsx&amp;sheet=U0&amp;row=1386&amp;col=9&amp;number=&amp;sourceID=1","")</f>
        <v/>
      </c>
    </row>
    <row r="1387" spans="1:9">
      <c r="A1387" s="3"/>
      <c r="B1387" s="3"/>
      <c r="C1387" s="3"/>
      <c r="D1387" s="3"/>
      <c r="E1387" s="3">
        <v>9</v>
      </c>
      <c r="F1387" s="4" t="str">
        <f>HYPERLINK("http://141.218.60.56/~jnz1568/getInfo.php?workbook=02_02.xlsx&amp;sheet=U0&amp;row=1387&amp;col=6&amp;number=5.75&amp;sourceID=28","5.75")</f>
        <v>5.75</v>
      </c>
      <c r="G1387" s="4" t="str">
        <f>HYPERLINK("http://141.218.60.56/~jnz1568/getInfo.php?workbook=02_02.xlsx&amp;sheet=U0&amp;row=1387&amp;col=7&amp;number=0.008484&amp;sourceID=1","0.008484")</f>
        <v>0.008484</v>
      </c>
      <c r="H1387" s="4" t="str">
        <f>HYPERLINK("http://141.218.60.56/~jnz1568/getInfo.php?workbook=02_02.xlsx&amp;sheet=U0&amp;row=1387&amp;col=8&amp;number=&amp;sourceID=29","")</f>
        <v/>
      </c>
      <c r="I1387" s="4" t="str">
        <f>HYPERLINK("http://141.218.60.56/~jnz1568/getInfo.php?workbook=02_02.xlsx&amp;sheet=U0&amp;row=1387&amp;col=9&amp;number=&amp;sourceID=1","")</f>
        <v/>
      </c>
    </row>
    <row r="1388" spans="1:9">
      <c r="A1388" s="3">
        <v>2</v>
      </c>
      <c r="B1388" s="3">
        <v>2</v>
      </c>
      <c r="C1388" s="3">
        <v>25</v>
      </c>
      <c r="D1388" s="3">
        <v>4</v>
      </c>
      <c r="E1388" s="3">
        <v>1</v>
      </c>
      <c r="F1388" s="4" t="str">
        <f>HYPERLINK("http://141.218.60.56/~jnz1568/getInfo.php?workbook=02_02.xlsx&amp;sheet=U0&amp;row=1388&amp;col=6&amp;number=3.75&amp;sourceID=28","3.75")</f>
        <v>3.75</v>
      </c>
      <c r="G1388" s="4" t="str">
        <f>HYPERLINK("http://141.218.60.56/~jnz1568/getInfo.php?workbook=02_02.xlsx&amp;sheet=U0&amp;row=1388&amp;col=7&amp;number=1.364&amp;sourceID=1","1.364")</f>
        <v>1.364</v>
      </c>
      <c r="H1388" s="4" t="str">
        <f>HYPERLINK("http://141.218.60.56/~jnz1568/getInfo.php?workbook=02_02.xlsx&amp;sheet=U0&amp;row=1388&amp;col=8&amp;number=&amp;sourceID=29","")</f>
        <v/>
      </c>
      <c r="I1388" s="4" t="str">
        <f>HYPERLINK("http://141.218.60.56/~jnz1568/getInfo.php?workbook=02_02.xlsx&amp;sheet=U0&amp;row=1388&amp;col=9&amp;number=&amp;sourceID=1","")</f>
        <v/>
      </c>
    </row>
    <row r="1389" spans="1:9">
      <c r="A1389" s="3"/>
      <c r="B1389" s="3"/>
      <c r="C1389" s="3"/>
      <c r="D1389" s="3"/>
      <c r="E1389" s="3">
        <v>2</v>
      </c>
      <c r="F1389" s="4" t="str">
        <f>HYPERLINK("http://141.218.60.56/~jnz1568/getInfo.php?workbook=02_02.xlsx&amp;sheet=U0&amp;row=1389&amp;col=6&amp;number=4&amp;sourceID=28","4")</f>
        <v>4</v>
      </c>
      <c r="G1389" s="4" t="str">
        <f>HYPERLINK("http://141.218.60.56/~jnz1568/getInfo.php?workbook=02_02.xlsx&amp;sheet=U0&amp;row=1389&amp;col=7&amp;number=1.533&amp;sourceID=1","1.533")</f>
        <v>1.533</v>
      </c>
      <c r="H1389" s="4" t="str">
        <f>HYPERLINK("http://141.218.60.56/~jnz1568/getInfo.php?workbook=02_02.xlsx&amp;sheet=U0&amp;row=1389&amp;col=8&amp;number=&amp;sourceID=29","")</f>
        <v/>
      </c>
      <c r="I1389" s="4" t="str">
        <f>HYPERLINK("http://141.218.60.56/~jnz1568/getInfo.php?workbook=02_02.xlsx&amp;sheet=U0&amp;row=1389&amp;col=9&amp;number=&amp;sourceID=1","")</f>
        <v/>
      </c>
    </row>
    <row r="1390" spans="1:9">
      <c r="A1390" s="3"/>
      <c r="B1390" s="3"/>
      <c r="C1390" s="3"/>
      <c r="D1390" s="3"/>
      <c r="E1390" s="3">
        <v>3</v>
      </c>
      <c r="F1390" s="4" t="str">
        <f>HYPERLINK("http://141.218.60.56/~jnz1568/getInfo.php?workbook=02_02.xlsx&amp;sheet=U0&amp;row=1390&amp;col=6&amp;number=4.25&amp;sourceID=28","4.25")</f>
        <v>4.25</v>
      </c>
      <c r="G1390" s="4" t="str">
        <f>HYPERLINK("http://141.218.60.56/~jnz1568/getInfo.php?workbook=02_02.xlsx&amp;sheet=U0&amp;row=1390&amp;col=7&amp;number=1.809&amp;sourceID=1","1.809")</f>
        <v>1.809</v>
      </c>
      <c r="H1390" s="4" t="str">
        <f>HYPERLINK("http://141.218.60.56/~jnz1568/getInfo.php?workbook=02_02.xlsx&amp;sheet=U0&amp;row=1390&amp;col=8&amp;number=&amp;sourceID=29","")</f>
        <v/>
      </c>
      <c r="I1390" s="4" t="str">
        <f>HYPERLINK("http://141.218.60.56/~jnz1568/getInfo.php?workbook=02_02.xlsx&amp;sheet=U0&amp;row=1390&amp;col=9&amp;number=&amp;sourceID=1","")</f>
        <v/>
      </c>
    </row>
    <row r="1391" spans="1:9">
      <c r="A1391" s="3"/>
      <c r="B1391" s="3"/>
      <c r="C1391" s="3"/>
      <c r="D1391" s="3"/>
      <c r="E1391" s="3">
        <v>4</v>
      </c>
      <c r="F1391" s="4" t="str">
        <f>HYPERLINK("http://141.218.60.56/~jnz1568/getInfo.php?workbook=02_02.xlsx&amp;sheet=U0&amp;row=1391&amp;col=6&amp;number=4.5&amp;sourceID=28","4.5")</f>
        <v>4.5</v>
      </c>
      <c r="G1391" s="4" t="str">
        <f>HYPERLINK("http://141.218.60.56/~jnz1568/getInfo.php?workbook=02_02.xlsx&amp;sheet=U0&amp;row=1391&amp;col=7&amp;number=2.253&amp;sourceID=1","2.253")</f>
        <v>2.253</v>
      </c>
      <c r="H1391" s="4" t="str">
        <f>HYPERLINK("http://141.218.60.56/~jnz1568/getInfo.php?workbook=02_02.xlsx&amp;sheet=U0&amp;row=1391&amp;col=8&amp;number=&amp;sourceID=29","")</f>
        <v/>
      </c>
      <c r="I1391" s="4" t="str">
        <f>HYPERLINK("http://141.218.60.56/~jnz1568/getInfo.php?workbook=02_02.xlsx&amp;sheet=U0&amp;row=1391&amp;col=9&amp;number=&amp;sourceID=1","")</f>
        <v/>
      </c>
    </row>
    <row r="1392" spans="1:9">
      <c r="A1392" s="3"/>
      <c r="B1392" s="3"/>
      <c r="C1392" s="3"/>
      <c r="D1392" s="3"/>
      <c r="E1392" s="3">
        <v>5</v>
      </c>
      <c r="F1392" s="4" t="str">
        <f>HYPERLINK("http://141.218.60.56/~jnz1568/getInfo.php?workbook=02_02.xlsx&amp;sheet=U0&amp;row=1392&amp;col=6&amp;number=4.75&amp;sourceID=28","4.75")</f>
        <v>4.75</v>
      </c>
      <c r="G1392" s="4" t="str">
        <f>HYPERLINK("http://141.218.60.56/~jnz1568/getInfo.php?workbook=02_02.xlsx&amp;sheet=U0&amp;row=1392&amp;col=7&amp;number=2.906&amp;sourceID=1","2.906")</f>
        <v>2.906</v>
      </c>
      <c r="H1392" s="4" t="str">
        <f>HYPERLINK("http://141.218.60.56/~jnz1568/getInfo.php?workbook=02_02.xlsx&amp;sheet=U0&amp;row=1392&amp;col=8&amp;number=&amp;sourceID=29","")</f>
        <v/>
      </c>
      <c r="I1392" s="4" t="str">
        <f>HYPERLINK("http://141.218.60.56/~jnz1568/getInfo.php?workbook=02_02.xlsx&amp;sheet=U0&amp;row=1392&amp;col=9&amp;number=&amp;sourceID=1","")</f>
        <v/>
      </c>
    </row>
    <row r="1393" spans="1:9">
      <c r="A1393" s="3"/>
      <c r="B1393" s="3"/>
      <c r="C1393" s="3"/>
      <c r="D1393" s="3"/>
      <c r="E1393" s="3">
        <v>6</v>
      </c>
      <c r="F1393" s="4" t="str">
        <f>HYPERLINK("http://141.218.60.56/~jnz1568/getInfo.php?workbook=02_02.xlsx&amp;sheet=U0&amp;row=1393&amp;col=6&amp;number=5&amp;sourceID=28","5")</f>
        <v>5</v>
      </c>
      <c r="G1393" s="4" t="str">
        <f>HYPERLINK("http://141.218.60.56/~jnz1568/getInfo.php?workbook=02_02.xlsx&amp;sheet=U0&amp;row=1393&amp;col=7&amp;number=3.693&amp;sourceID=1","3.693")</f>
        <v>3.693</v>
      </c>
      <c r="H1393" s="4" t="str">
        <f>HYPERLINK("http://141.218.60.56/~jnz1568/getInfo.php?workbook=02_02.xlsx&amp;sheet=U0&amp;row=1393&amp;col=8&amp;number=&amp;sourceID=29","")</f>
        <v/>
      </c>
      <c r="I1393" s="4" t="str">
        <f>HYPERLINK("http://141.218.60.56/~jnz1568/getInfo.php?workbook=02_02.xlsx&amp;sheet=U0&amp;row=1393&amp;col=9&amp;number=&amp;sourceID=1","")</f>
        <v/>
      </c>
    </row>
    <row r="1394" spans="1:9">
      <c r="A1394" s="3"/>
      <c r="B1394" s="3"/>
      <c r="C1394" s="3"/>
      <c r="D1394" s="3"/>
      <c r="E1394" s="3">
        <v>7</v>
      </c>
      <c r="F1394" s="4" t="str">
        <f>HYPERLINK("http://141.218.60.56/~jnz1568/getInfo.php?workbook=02_02.xlsx&amp;sheet=U0&amp;row=1394&amp;col=6&amp;number=5.25&amp;sourceID=28","5.25")</f>
        <v>5.25</v>
      </c>
      <c r="G1394" s="4" t="str">
        <f>HYPERLINK("http://141.218.60.56/~jnz1568/getInfo.php?workbook=02_02.xlsx&amp;sheet=U0&amp;row=1394&amp;col=7&amp;number=4.422&amp;sourceID=1","4.422")</f>
        <v>4.422</v>
      </c>
      <c r="H1394" s="4" t="str">
        <f>HYPERLINK("http://141.218.60.56/~jnz1568/getInfo.php?workbook=02_02.xlsx&amp;sheet=U0&amp;row=1394&amp;col=8&amp;number=&amp;sourceID=29","")</f>
        <v/>
      </c>
      <c r="I1394" s="4" t="str">
        <f>HYPERLINK("http://141.218.60.56/~jnz1568/getInfo.php?workbook=02_02.xlsx&amp;sheet=U0&amp;row=1394&amp;col=9&amp;number=&amp;sourceID=1","")</f>
        <v/>
      </c>
    </row>
    <row r="1395" spans="1:9">
      <c r="A1395" s="3"/>
      <c r="B1395" s="3"/>
      <c r="C1395" s="3"/>
      <c r="D1395" s="3"/>
      <c r="E1395" s="3">
        <v>8</v>
      </c>
      <c r="F1395" s="4" t="str">
        <f>HYPERLINK("http://141.218.60.56/~jnz1568/getInfo.php?workbook=02_02.xlsx&amp;sheet=U0&amp;row=1395&amp;col=6&amp;number=5.5&amp;sourceID=28","5.5")</f>
        <v>5.5</v>
      </c>
      <c r="G1395" s="4" t="str">
        <f>HYPERLINK("http://141.218.60.56/~jnz1568/getInfo.php?workbook=02_02.xlsx&amp;sheet=U0&amp;row=1395&amp;col=7&amp;number=4.966&amp;sourceID=1","4.966")</f>
        <v>4.966</v>
      </c>
      <c r="H1395" s="4" t="str">
        <f>HYPERLINK("http://141.218.60.56/~jnz1568/getInfo.php?workbook=02_02.xlsx&amp;sheet=U0&amp;row=1395&amp;col=8&amp;number=&amp;sourceID=29","")</f>
        <v/>
      </c>
      <c r="I1395" s="4" t="str">
        <f>HYPERLINK("http://141.218.60.56/~jnz1568/getInfo.php?workbook=02_02.xlsx&amp;sheet=U0&amp;row=1395&amp;col=9&amp;number=&amp;sourceID=1","")</f>
        <v/>
      </c>
    </row>
    <row r="1396" spans="1:9">
      <c r="A1396" s="3"/>
      <c r="B1396" s="3"/>
      <c r="C1396" s="3"/>
      <c r="D1396" s="3"/>
      <c r="E1396" s="3">
        <v>9</v>
      </c>
      <c r="F1396" s="4" t="str">
        <f>HYPERLINK("http://141.218.60.56/~jnz1568/getInfo.php?workbook=02_02.xlsx&amp;sheet=U0&amp;row=1396&amp;col=6&amp;number=5.75&amp;sourceID=28","5.75")</f>
        <v>5.75</v>
      </c>
      <c r="G1396" s="4" t="str">
        <f>HYPERLINK("http://141.218.60.56/~jnz1568/getInfo.php?workbook=02_02.xlsx&amp;sheet=U0&amp;row=1396&amp;col=7&amp;number=5.24&amp;sourceID=1","5.24")</f>
        <v>5.24</v>
      </c>
      <c r="H1396" s="4" t="str">
        <f>HYPERLINK("http://141.218.60.56/~jnz1568/getInfo.php?workbook=02_02.xlsx&amp;sheet=U0&amp;row=1396&amp;col=8&amp;number=&amp;sourceID=29","")</f>
        <v/>
      </c>
      <c r="I1396" s="4" t="str">
        <f>HYPERLINK("http://141.218.60.56/~jnz1568/getInfo.php?workbook=02_02.xlsx&amp;sheet=U0&amp;row=1396&amp;col=9&amp;number=&amp;sourceID=1","")</f>
        <v/>
      </c>
    </row>
    <row r="1397" spans="1:9">
      <c r="A1397" s="3">
        <v>2</v>
      </c>
      <c r="B1397" s="3">
        <v>2</v>
      </c>
      <c r="C1397" s="3">
        <v>26</v>
      </c>
      <c r="D1397" s="3">
        <v>1</v>
      </c>
      <c r="E1397" s="3">
        <v>1</v>
      </c>
      <c r="F1397" s="4" t="str">
        <f>HYPERLINK("http://141.218.60.56/~jnz1568/getInfo.php?workbook=02_02.xlsx&amp;sheet=U0&amp;row=1397&amp;col=6&amp;number=3.75&amp;sourceID=28","3.75")</f>
        <v>3.75</v>
      </c>
      <c r="G1397" s="4" t="str">
        <f>HYPERLINK("http://141.218.60.56/~jnz1568/getInfo.php?workbook=02_02.xlsx&amp;sheet=U0&amp;row=1397&amp;col=7&amp;number=0.0004221&amp;sourceID=1","0.0004221")</f>
        <v>0.0004221</v>
      </c>
      <c r="H1397" s="4" t="str">
        <f>HYPERLINK("http://141.218.60.56/~jnz1568/getInfo.php?workbook=02_02.xlsx&amp;sheet=U0&amp;row=1397&amp;col=8&amp;number=&amp;sourceID=29","")</f>
        <v/>
      </c>
      <c r="I1397" s="4" t="str">
        <f>HYPERLINK("http://141.218.60.56/~jnz1568/getInfo.php?workbook=02_02.xlsx&amp;sheet=U0&amp;row=1397&amp;col=9&amp;number=&amp;sourceID=1","")</f>
        <v/>
      </c>
    </row>
    <row r="1398" spans="1:9">
      <c r="A1398" s="3"/>
      <c r="B1398" s="3"/>
      <c r="C1398" s="3"/>
      <c r="D1398" s="3"/>
      <c r="E1398" s="3">
        <v>2</v>
      </c>
      <c r="F1398" s="4" t="str">
        <f>HYPERLINK("http://141.218.60.56/~jnz1568/getInfo.php?workbook=02_02.xlsx&amp;sheet=U0&amp;row=1398&amp;col=6&amp;number=4&amp;sourceID=28","4")</f>
        <v>4</v>
      </c>
      <c r="G1398" s="4" t="str">
        <f>HYPERLINK("http://141.218.60.56/~jnz1568/getInfo.php?workbook=02_02.xlsx&amp;sheet=U0&amp;row=1398&amp;col=7&amp;number=0.0003813&amp;sourceID=1","0.0003813")</f>
        <v>0.0003813</v>
      </c>
      <c r="H1398" s="4" t="str">
        <f>HYPERLINK("http://141.218.60.56/~jnz1568/getInfo.php?workbook=02_02.xlsx&amp;sheet=U0&amp;row=1398&amp;col=8&amp;number=&amp;sourceID=29","")</f>
        <v/>
      </c>
      <c r="I1398" s="4" t="str">
        <f>HYPERLINK("http://141.218.60.56/~jnz1568/getInfo.php?workbook=02_02.xlsx&amp;sheet=U0&amp;row=1398&amp;col=9&amp;number=&amp;sourceID=1","")</f>
        <v/>
      </c>
    </row>
    <row r="1399" spans="1:9">
      <c r="A1399" s="3"/>
      <c r="B1399" s="3"/>
      <c r="C1399" s="3"/>
      <c r="D1399" s="3"/>
      <c r="E1399" s="3">
        <v>3</v>
      </c>
      <c r="F1399" s="4" t="str">
        <f>HYPERLINK("http://141.218.60.56/~jnz1568/getInfo.php?workbook=02_02.xlsx&amp;sheet=U0&amp;row=1399&amp;col=6&amp;number=4.25&amp;sourceID=28","4.25")</f>
        <v>4.25</v>
      </c>
      <c r="G1399" s="4" t="str">
        <f>HYPERLINK("http://141.218.60.56/~jnz1568/getInfo.php?workbook=02_02.xlsx&amp;sheet=U0&amp;row=1399&amp;col=7&amp;number=0.0003488&amp;sourceID=1","0.0003488")</f>
        <v>0.0003488</v>
      </c>
      <c r="H1399" s="4" t="str">
        <f>HYPERLINK("http://141.218.60.56/~jnz1568/getInfo.php?workbook=02_02.xlsx&amp;sheet=U0&amp;row=1399&amp;col=8&amp;number=&amp;sourceID=29","")</f>
        <v/>
      </c>
      <c r="I1399" s="4" t="str">
        <f>HYPERLINK("http://141.218.60.56/~jnz1568/getInfo.php?workbook=02_02.xlsx&amp;sheet=U0&amp;row=1399&amp;col=9&amp;number=&amp;sourceID=1","")</f>
        <v/>
      </c>
    </row>
    <row r="1400" spans="1:9">
      <c r="A1400" s="3"/>
      <c r="B1400" s="3"/>
      <c r="C1400" s="3"/>
      <c r="D1400" s="3"/>
      <c r="E1400" s="3">
        <v>4</v>
      </c>
      <c r="F1400" s="4" t="str">
        <f>HYPERLINK("http://141.218.60.56/~jnz1568/getInfo.php?workbook=02_02.xlsx&amp;sheet=U0&amp;row=1400&amp;col=6&amp;number=4.5&amp;sourceID=28","4.5")</f>
        <v>4.5</v>
      </c>
      <c r="G1400" s="4" t="str">
        <f>HYPERLINK("http://141.218.60.56/~jnz1568/getInfo.php?workbook=02_02.xlsx&amp;sheet=U0&amp;row=1400&amp;col=7&amp;number=0.0003149&amp;sourceID=1","0.0003149")</f>
        <v>0.0003149</v>
      </c>
      <c r="H1400" s="4" t="str">
        <f>HYPERLINK("http://141.218.60.56/~jnz1568/getInfo.php?workbook=02_02.xlsx&amp;sheet=U0&amp;row=1400&amp;col=8&amp;number=&amp;sourceID=29","")</f>
        <v/>
      </c>
      <c r="I1400" s="4" t="str">
        <f>HYPERLINK("http://141.218.60.56/~jnz1568/getInfo.php?workbook=02_02.xlsx&amp;sheet=U0&amp;row=1400&amp;col=9&amp;number=&amp;sourceID=1","")</f>
        <v/>
      </c>
    </row>
    <row r="1401" spans="1:9">
      <c r="A1401" s="3"/>
      <c r="B1401" s="3"/>
      <c r="C1401" s="3"/>
      <c r="D1401" s="3"/>
      <c r="E1401" s="3">
        <v>5</v>
      </c>
      <c r="F1401" s="4" t="str">
        <f>HYPERLINK("http://141.218.60.56/~jnz1568/getInfo.php?workbook=02_02.xlsx&amp;sheet=U0&amp;row=1401&amp;col=6&amp;number=4.75&amp;sourceID=28","4.75")</f>
        <v>4.75</v>
      </c>
      <c r="G1401" s="4" t="str">
        <f>HYPERLINK("http://141.218.60.56/~jnz1568/getInfo.php?workbook=02_02.xlsx&amp;sheet=U0&amp;row=1401&amp;col=7&amp;number=0.0002797&amp;sourceID=1","0.0002797")</f>
        <v>0.0002797</v>
      </c>
      <c r="H1401" s="4" t="str">
        <f>HYPERLINK("http://141.218.60.56/~jnz1568/getInfo.php?workbook=02_02.xlsx&amp;sheet=U0&amp;row=1401&amp;col=8&amp;number=&amp;sourceID=29","")</f>
        <v/>
      </c>
      <c r="I1401" s="4" t="str">
        <f>HYPERLINK("http://141.218.60.56/~jnz1568/getInfo.php?workbook=02_02.xlsx&amp;sheet=U0&amp;row=1401&amp;col=9&amp;number=&amp;sourceID=1","")</f>
        <v/>
      </c>
    </row>
    <row r="1402" spans="1:9">
      <c r="A1402" s="3"/>
      <c r="B1402" s="3"/>
      <c r="C1402" s="3"/>
      <c r="D1402" s="3"/>
      <c r="E1402" s="3">
        <v>6</v>
      </c>
      <c r="F1402" s="4" t="str">
        <f>HYPERLINK("http://141.218.60.56/~jnz1568/getInfo.php?workbook=02_02.xlsx&amp;sheet=U0&amp;row=1402&amp;col=6&amp;number=5&amp;sourceID=28","5")</f>
        <v>5</v>
      </c>
      <c r="G1402" s="4" t="str">
        <f>HYPERLINK("http://141.218.60.56/~jnz1568/getInfo.php?workbook=02_02.xlsx&amp;sheet=U0&amp;row=1402&amp;col=7&amp;number=0.0002472&amp;sourceID=1","0.0002472")</f>
        <v>0.0002472</v>
      </c>
      <c r="H1402" s="4" t="str">
        <f>HYPERLINK("http://141.218.60.56/~jnz1568/getInfo.php?workbook=02_02.xlsx&amp;sheet=U0&amp;row=1402&amp;col=8&amp;number=&amp;sourceID=29","")</f>
        <v/>
      </c>
      <c r="I1402" s="4" t="str">
        <f>HYPERLINK("http://141.218.60.56/~jnz1568/getInfo.php?workbook=02_02.xlsx&amp;sheet=U0&amp;row=1402&amp;col=9&amp;number=&amp;sourceID=1","")</f>
        <v/>
      </c>
    </row>
    <row r="1403" spans="1:9">
      <c r="A1403" s="3"/>
      <c r="B1403" s="3"/>
      <c r="C1403" s="3"/>
      <c r="D1403" s="3"/>
      <c r="E1403" s="3">
        <v>7</v>
      </c>
      <c r="F1403" s="4" t="str">
        <f>HYPERLINK("http://141.218.60.56/~jnz1568/getInfo.php?workbook=02_02.xlsx&amp;sheet=U0&amp;row=1403&amp;col=6&amp;number=5.25&amp;sourceID=28","5.25")</f>
        <v>5.25</v>
      </c>
      <c r="G1403" s="4" t="str">
        <f>HYPERLINK("http://141.218.60.56/~jnz1568/getInfo.php?workbook=02_02.xlsx&amp;sheet=U0&amp;row=1403&amp;col=7&amp;number=0.0002179&amp;sourceID=1","0.0002179")</f>
        <v>0.0002179</v>
      </c>
      <c r="H1403" s="4" t="str">
        <f>HYPERLINK("http://141.218.60.56/~jnz1568/getInfo.php?workbook=02_02.xlsx&amp;sheet=U0&amp;row=1403&amp;col=8&amp;number=&amp;sourceID=29","")</f>
        <v/>
      </c>
      <c r="I1403" s="4" t="str">
        <f>HYPERLINK("http://141.218.60.56/~jnz1568/getInfo.php?workbook=02_02.xlsx&amp;sheet=U0&amp;row=1403&amp;col=9&amp;number=&amp;sourceID=1","")</f>
        <v/>
      </c>
    </row>
    <row r="1404" spans="1:9">
      <c r="A1404" s="3"/>
      <c r="B1404" s="3"/>
      <c r="C1404" s="3"/>
      <c r="D1404" s="3"/>
      <c r="E1404" s="3">
        <v>8</v>
      </c>
      <c r="F1404" s="4" t="str">
        <f>HYPERLINK("http://141.218.60.56/~jnz1568/getInfo.php?workbook=02_02.xlsx&amp;sheet=U0&amp;row=1404&amp;col=6&amp;number=5.5&amp;sourceID=28","5.5")</f>
        <v>5.5</v>
      </c>
      <c r="G1404" s="4" t="str">
        <f>HYPERLINK("http://141.218.60.56/~jnz1568/getInfo.php?workbook=02_02.xlsx&amp;sheet=U0&amp;row=1404&amp;col=7&amp;number=0.0001881&amp;sourceID=1","0.0001881")</f>
        <v>0.0001881</v>
      </c>
      <c r="H1404" s="4" t="str">
        <f>HYPERLINK("http://141.218.60.56/~jnz1568/getInfo.php?workbook=02_02.xlsx&amp;sheet=U0&amp;row=1404&amp;col=8&amp;number=&amp;sourceID=29","")</f>
        <v/>
      </c>
      <c r="I1404" s="4" t="str">
        <f>HYPERLINK("http://141.218.60.56/~jnz1568/getInfo.php?workbook=02_02.xlsx&amp;sheet=U0&amp;row=1404&amp;col=9&amp;number=&amp;sourceID=1","")</f>
        <v/>
      </c>
    </row>
    <row r="1405" spans="1:9">
      <c r="A1405" s="3"/>
      <c r="B1405" s="3"/>
      <c r="C1405" s="3"/>
      <c r="D1405" s="3"/>
      <c r="E1405" s="3">
        <v>9</v>
      </c>
      <c r="F1405" s="4" t="str">
        <f>HYPERLINK("http://141.218.60.56/~jnz1568/getInfo.php?workbook=02_02.xlsx&amp;sheet=U0&amp;row=1405&amp;col=6&amp;number=5.75&amp;sourceID=28","5.75")</f>
        <v>5.75</v>
      </c>
      <c r="G1405" s="4" t="str">
        <f>HYPERLINK("http://141.218.60.56/~jnz1568/getInfo.php?workbook=02_02.xlsx&amp;sheet=U0&amp;row=1405&amp;col=7&amp;number=0.0001564&amp;sourceID=1","0.0001564")</f>
        <v>0.0001564</v>
      </c>
      <c r="H1405" s="4" t="str">
        <f>HYPERLINK("http://141.218.60.56/~jnz1568/getInfo.php?workbook=02_02.xlsx&amp;sheet=U0&amp;row=1405&amp;col=8&amp;number=&amp;sourceID=29","")</f>
        <v/>
      </c>
      <c r="I1405" s="4" t="str">
        <f>HYPERLINK("http://141.218.60.56/~jnz1568/getInfo.php?workbook=02_02.xlsx&amp;sheet=U0&amp;row=1405&amp;col=9&amp;number=&amp;sourceID=1","")</f>
        <v/>
      </c>
    </row>
    <row r="1406" spans="1:9">
      <c r="A1406" s="3">
        <v>2</v>
      </c>
      <c r="B1406" s="3">
        <v>2</v>
      </c>
      <c r="C1406" s="3">
        <v>26</v>
      </c>
      <c r="D1406" s="3">
        <v>2</v>
      </c>
      <c r="E1406" s="3">
        <v>1</v>
      </c>
      <c r="F1406" s="4" t="str">
        <f>HYPERLINK("http://141.218.60.56/~jnz1568/getInfo.php?workbook=02_02.xlsx&amp;sheet=U0&amp;row=1406&amp;col=6&amp;number=3.75&amp;sourceID=28","3.75")</f>
        <v>3.75</v>
      </c>
      <c r="G1406" s="4" t="str">
        <f>HYPERLINK("http://141.218.60.56/~jnz1568/getInfo.php?workbook=02_02.xlsx&amp;sheet=U0&amp;row=1406&amp;col=7&amp;number=0.02766&amp;sourceID=1","0.02766")</f>
        <v>0.02766</v>
      </c>
      <c r="H1406" s="4" t="str">
        <f>HYPERLINK("http://141.218.60.56/~jnz1568/getInfo.php?workbook=02_02.xlsx&amp;sheet=U0&amp;row=1406&amp;col=8&amp;number=&amp;sourceID=29","")</f>
        <v/>
      </c>
      <c r="I1406" s="4" t="str">
        <f>HYPERLINK("http://141.218.60.56/~jnz1568/getInfo.php?workbook=02_02.xlsx&amp;sheet=U0&amp;row=1406&amp;col=9&amp;number=&amp;sourceID=1","")</f>
        <v/>
      </c>
    </row>
    <row r="1407" spans="1:9">
      <c r="A1407" s="3"/>
      <c r="B1407" s="3"/>
      <c r="C1407" s="3"/>
      <c r="D1407" s="3"/>
      <c r="E1407" s="3">
        <v>2</v>
      </c>
      <c r="F1407" s="4" t="str">
        <f>HYPERLINK("http://141.218.60.56/~jnz1568/getInfo.php?workbook=02_02.xlsx&amp;sheet=U0&amp;row=1407&amp;col=6&amp;number=4&amp;sourceID=28","4")</f>
        <v>4</v>
      </c>
      <c r="G1407" s="4" t="str">
        <f>HYPERLINK("http://141.218.60.56/~jnz1568/getInfo.php?workbook=02_02.xlsx&amp;sheet=U0&amp;row=1407&amp;col=7&amp;number=0.02809&amp;sourceID=1","0.02809")</f>
        <v>0.02809</v>
      </c>
      <c r="H1407" s="4" t="str">
        <f>HYPERLINK("http://141.218.60.56/~jnz1568/getInfo.php?workbook=02_02.xlsx&amp;sheet=U0&amp;row=1407&amp;col=8&amp;number=&amp;sourceID=29","")</f>
        <v/>
      </c>
      <c r="I1407" s="4" t="str">
        <f>HYPERLINK("http://141.218.60.56/~jnz1568/getInfo.php?workbook=02_02.xlsx&amp;sheet=U0&amp;row=1407&amp;col=9&amp;number=&amp;sourceID=1","")</f>
        <v/>
      </c>
    </row>
    <row r="1408" spans="1:9">
      <c r="A1408" s="3"/>
      <c r="B1408" s="3"/>
      <c r="C1408" s="3"/>
      <c r="D1408" s="3"/>
      <c r="E1408" s="3">
        <v>3</v>
      </c>
      <c r="F1408" s="4" t="str">
        <f>HYPERLINK("http://141.218.60.56/~jnz1568/getInfo.php?workbook=02_02.xlsx&amp;sheet=U0&amp;row=1408&amp;col=6&amp;number=4.25&amp;sourceID=28","4.25")</f>
        <v>4.25</v>
      </c>
      <c r="G1408" s="4" t="str">
        <f>HYPERLINK("http://141.218.60.56/~jnz1568/getInfo.php?workbook=02_02.xlsx&amp;sheet=U0&amp;row=1408&amp;col=7&amp;number=0.02713&amp;sourceID=1","0.02713")</f>
        <v>0.02713</v>
      </c>
      <c r="H1408" s="4" t="str">
        <f>HYPERLINK("http://141.218.60.56/~jnz1568/getInfo.php?workbook=02_02.xlsx&amp;sheet=U0&amp;row=1408&amp;col=8&amp;number=&amp;sourceID=29","")</f>
        <v/>
      </c>
      <c r="I1408" s="4" t="str">
        <f>HYPERLINK("http://141.218.60.56/~jnz1568/getInfo.php?workbook=02_02.xlsx&amp;sheet=U0&amp;row=1408&amp;col=9&amp;number=&amp;sourceID=1","")</f>
        <v/>
      </c>
    </row>
    <row r="1409" spans="1:9">
      <c r="A1409" s="3"/>
      <c r="B1409" s="3"/>
      <c r="C1409" s="3"/>
      <c r="D1409" s="3"/>
      <c r="E1409" s="3">
        <v>4</v>
      </c>
      <c r="F1409" s="4" t="str">
        <f>HYPERLINK("http://141.218.60.56/~jnz1568/getInfo.php?workbook=02_02.xlsx&amp;sheet=U0&amp;row=1409&amp;col=6&amp;number=4.5&amp;sourceID=28","4.5")</f>
        <v>4.5</v>
      </c>
      <c r="G1409" s="4" t="str">
        <f>HYPERLINK("http://141.218.60.56/~jnz1568/getInfo.php?workbook=02_02.xlsx&amp;sheet=U0&amp;row=1409&amp;col=7&amp;number=0.0245&amp;sourceID=1","0.0245")</f>
        <v>0.0245</v>
      </c>
      <c r="H1409" s="4" t="str">
        <f>HYPERLINK("http://141.218.60.56/~jnz1568/getInfo.php?workbook=02_02.xlsx&amp;sheet=U0&amp;row=1409&amp;col=8&amp;number=&amp;sourceID=29","")</f>
        <v/>
      </c>
      <c r="I1409" s="4" t="str">
        <f>HYPERLINK("http://141.218.60.56/~jnz1568/getInfo.php?workbook=02_02.xlsx&amp;sheet=U0&amp;row=1409&amp;col=9&amp;number=&amp;sourceID=1","")</f>
        <v/>
      </c>
    </row>
    <row r="1410" spans="1:9">
      <c r="A1410" s="3"/>
      <c r="B1410" s="3"/>
      <c r="C1410" s="3"/>
      <c r="D1410" s="3"/>
      <c r="E1410" s="3">
        <v>5</v>
      </c>
      <c r="F1410" s="4" t="str">
        <f>HYPERLINK("http://141.218.60.56/~jnz1568/getInfo.php?workbook=02_02.xlsx&amp;sheet=U0&amp;row=1410&amp;col=6&amp;number=4.75&amp;sourceID=28","4.75")</f>
        <v>4.75</v>
      </c>
      <c r="G1410" s="4" t="str">
        <f>HYPERLINK("http://141.218.60.56/~jnz1568/getInfo.php?workbook=02_02.xlsx&amp;sheet=U0&amp;row=1410&amp;col=7&amp;number=0.02068&amp;sourceID=1","0.02068")</f>
        <v>0.02068</v>
      </c>
      <c r="H1410" s="4" t="str">
        <f>HYPERLINK("http://141.218.60.56/~jnz1568/getInfo.php?workbook=02_02.xlsx&amp;sheet=U0&amp;row=1410&amp;col=8&amp;number=&amp;sourceID=29","")</f>
        <v/>
      </c>
      <c r="I1410" s="4" t="str">
        <f>HYPERLINK("http://141.218.60.56/~jnz1568/getInfo.php?workbook=02_02.xlsx&amp;sheet=U0&amp;row=1410&amp;col=9&amp;number=&amp;sourceID=1","")</f>
        <v/>
      </c>
    </row>
    <row r="1411" spans="1:9">
      <c r="A1411" s="3"/>
      <c r="B1411" s="3"/>
      <c r="C1411" s="3"/>
      <c r="D1411" s="3"/>
      <c r="E1411" s="3">
        <v>6</v>
      </c>
      <c r="F1411" s="4" t="str">
        <f>HYPERLINK("http://141.218.60.56/~jnz1568/getInfo.php?workbook=02_02.xlsx&amp;sheet=U0&amp;row=1411&amp;col=6&amp;number=5&amp;sourceID=28","5")</f>
        <v>5</v>
      </c>
      <c r="G1411" s="4" t="str">
        <f>HYPERLINK("http://141.218.60.56/~jnz1568/getInfo.php?workbook=02_02.xlsx&amp;sheet=U0&amp;row=1411&amp;col=7&amp;number=0.01628&amp;sourceID=1","0.01628")</f>
        <v>0.01628</v>
      </c>
      <c r="H1411" s="4" t="str">
        <f>HYPERLINK("http://141.218.60.56/~jnz1568/getInfo.php?workbook=02_02.xlsx&amp;sheet=U0&amp;row=1411&amp;col=8&amp;number=&amp;sourceID=29","")</f>
        <v/>
      </c>
      <c r="I1411" s="4" t="str">
        <f>HYPERLINK("http://141.218.60.56/~jnz1568/getInfo.php?workbook=02_02.xlsx&amp;sheet=U0&amp;row=1411&amp;col=9&amp;number=&amp;sourceID=1","")</f>
        <v/>
      </c>
    </row>
    <row r="1412" spans="1:9">
      <c r="A1412" s="3"/>
      <c r="B1412" s="3"/>
      <c r="C1412" s="3"/>
      <c r="D1412" s="3"/>
      <c r="E1412" s="3">
        <v>7</v>
      </c>
      <c r="F1412" s="4" t="str">
        <f>HYPERLINK("http://141.218.60.56/~jnz1568/getInfo.php?workbook=02_02.xlsx&amp;sheet=U0&amp;row=1412&amp;col=6&amp;number=5.25&amp;sourceID=28","5.25")</f>
        <v>5.25</v>
      </c>
      <c r="G1412" s="4" t="str">
        <f>HYPERLINK("http://141.218.60.56/~jnz1568/getInfo.php?workbook=02_02.xlsx&amp;sheet=U0&amp;row=1412&amp;col=7&amp;number=0.01192&amp;sourceID=1","0.01192")</f>
        <v>0.01192</v>
      </c>
      <c r="H1412" s="4" t="str">
        <f>HYPERLINK("http://141.218.60.56/~jnz1568/getInfo.php?workbook=02_02.xlsx&amp;sheet=U0&amp;row=1412&amp;col=8&amp;number=&amp;sourceID=29","")</f>
        <v/>
      </c>
      <c r="I1412" s="4" t="str">
        <f>HYPERLINK("http://141.218.60.56/~jnz1568/getInfo.php?workbook=02_02.xlsx&amp;sheet=U0&amp;row=1412&amp;col=9&amp;number=&amp;sourceID=1","")</f>
        <v/>
      </c>
    </row>
    <row r="1413" spans="1:9">
      <c r="A1413" s="3"/>
      <c r="B1413" s="3"/>
      <c r="C1413" s="3"/>
      <c r="D1413" s="3"/>
      <c r="E1413" s="3">
        <v>8</v>
      </c>
      <c r="F1413" s="4" t="str">
        <f>HYPERLINK("http://141.218.60.56/~jnz1568/getInfo.php?workbook=02_02.xlsx&amp;sheet=U0&amp;row=1413&amp;col=6&amp;number=5.5&amp;sourceID=28","5.5")</f>
        <v>5.5</v>
      </c>
      <c r="G1413" s="4" t="str">
        <f>HYPERLINK("http://141.218.60.56/~jnz1568/getInfo.php?workbook=02_02.xlsx&amp;sheet=U0&amp;row=1413&amp;col=7&amp;number=0.008147&amp;sourceID=1","0.008147")</f>
        <v>0.008147</v>
      </c>
      <c r="H1413" s="4" t="str">
        <f>HYPERLINK("http://141.218.60.56/~jnz1568/getInfo.php?workbook=02_02.xlsx&amp;sheet=U0&amp;row=1413&amp;col=8&amp;number=&amp;sourceID=29","")</f>
        <v/>
      </c>
      <c r="I1413" s="4" t="str">
        <f>HYPERLINK("http://141.218.60.56/~jnz1568/getInfo.php?workbook=02_02.xlsx&amp;sheet=U0&amp;row=1413&amp;col=9&amp;number=&amp;sourceID=1","")</f>
        <v/>
      </c>
    </row>
    <row r="1414" spans="1:9">
      <c r="A1414" s="3"/>
      <c r="B1414" s="3"/>
      <c r="C1414" s="3"/>
      <c r="D1414" s="3"/>
      <c r="E1414" s="3">
        <v>9</v>
      </c>
      <c r="F1414" s="4" t="str">
        <f>HYPERLINK("http://141.218.60.56/~jnz1568/getInfo.php?workbook=02_02.xlsx&amp;sheet=U0&amp;row=1414&amp;col=6&amp;number=5.75&amp;sourceID=28","5.75")</f>
        <v>5.75</v>
      </c>
      <c r="G1414" s="4" t="str">
        <f>HYPERLINK("http://141.218.60.56/~jnz1568/getInfo.php?workbook=02_02.xlsx&amp;sheet=U0&amp;row=1414&amp;col=7&amp;number=0.005257&amp;sourceID=1","0.005257")</f>
        <v>0.005257</v>
      </c>
      <c r="H1414" s="4" t="str">
        <f>HYPERLINK("http://141.218.60.56/~jnz1568/getInfo.php?workbook=02_02.xlsx&amp;sheet=U0&amp;row=1414&amp;col=8&amp;number=&amp;sourceID=29","")</f>
        <v/>
      </c>
      <c r="I1414" s="4" t="str">
        <f>HYPERLINK("http://141.218.60.56/~jnz1568/getInfo.php?workbook=02_02.xlsx&amp;sheet=U0&amp;row=1414&amp;col=9&amp;number=&amp;sourceID=1","")</f>
        <v/>
      </c>
    </row>
    <row r="1415" spans="1:9">
      <c r="A1415" s="3">
        <v>2</v>
      </c>
      <c r="B1415" s="3">
        <v>2</v>
      </c>
      <c r="C1415" s="3">
        <v>26</v>
      </c>
      <c r="D1415" s="3">
        <v>3</v>
      </c>
      <c r="E1415" s="3">
        <v>1</v>
      </c>
      <c r="F1415" s="4" t="str">
        <f>HYPERLINK("http://141.218.60.56/~jnz1568/getInfo.php?workbook=02_02.xlsx&amp;sheet=U0&amp;row=1415&amp;col=6&amp;number=3.75&amp;sourceID=28","3.75")</f>
        <v>3.75</v>
      </c>
      <c r="G1415" s="4" t="str">
        <f>HYPERLINK("http://141.218.60.56/~jnz1568/getInfo.php?workbook=02_02.xlsx&amp;sheet=U0&amp;row=1415&amp;col=7&amp;number=0.08834&amp;sourceID=1","0.08834")</f>
        <v>0.08834</v>
      </c>
      <c r="H1415" s="4" t="str">
        <f>HYPERLINK("http://141.218.60.56/~jnz1568/getInfo.php?workbook=02_02.xlsx&amp;sheet=U0&amp;row=1415&amp;col=8&amp;number=&amp;sourceID=29","")</f>
        <v/>
      </c>
      <c r="I1415" s="4" t="str">
        <f>HYPERLINK("http://141.218.60.56/~jnz1568/getInfo.php?workbook=02_02.xlsx&amp;sheet=U0&amp;row=1415&amp;col=9&amp;number=&amp;sourceID=1","")</f>
        <v/>
      </c>
    </row>
    <row r="1416" spans="1:9">
      <c r="A1416" s="3"/>
      <c r="B1416" s="3"/>
      <c r="C1416" s="3"/>
      <c r="D1416" s="3"/>
      <c r="E1416" s="3">
        <v>2</v>
      </c>
      <c r="F1416" s="4" t="str">
        <f>HYPERLINK("http://141.218.60.56/~jnz1568/getInfo.php?workbook=02_02.xlsx&amp;sheet=U0&amp;row=1416&amp;col=6&amp;number=4&amp;sourceID=28","4")</f>
        <v>4</v>
      </c>
      <c r="G1416" s="4" t="str">
        <f>HYPERLINK("http://141.218.60.56/~jnz1568/getInfo.php?workbook=02_02.xlsx&amp;sheet=U0&amp;row=1416&amp;col=7&amp;number=0.1039&amp;sourceID=1","0.1039")</f>
        <v>0.1039</v>
      </c>
      <c r="H1416" s="4" t="str">
        <f>HYPERLINK("http://141.218.60.56/~jnz1568/getInfo.php?workbook=02_02.xlsx&amp;sheet=U0&amp;row=1416&amp;col=8&amp;number=&amp;sourceID=29","")</f>
        <v/>
      </c>
      <c r="I1416" s="4" t="str">
        <f>HYPERLINK("http://141.218.60.56/~jnz1568/getInfo.php?workbook=02_02.xlsx&amp;sheet=U0&amp;row=1416&amp;col=9&amp;number=&amp;sourceID=1","")</f>
        <v/>
      </c>
    </row>
    <row r="1417" spans="1:9">
      <c r="A1417" s="3"/>
      <c r="B1417" s="3"/>
      <c r="C1417" s="3"/>
      <c r="D1417" s="3"/>
      <c r="E1417" s="3">
        <v>3</v>
      </c>
      <c r="F1417" s="4" t="str">
        <f>HYPERLINK("http://141.218.60.56/~jnz1568/getInfo.php?workbook=02_02.xlsx&amp;sheet=U0&amp;row=1417&amp;col=6&amp;number=4.25&amp;sourceID=28","4.25")</f>
        <v>4.25</v>
      </c>
      <c r="G1417" s="4" t="str">
        <f>HYPERLINK("http://141.218.60.56/~jnz1568/getInfo.php?workbook=02_02.xlsx&amp;sheet=U0&amp;row=1417&amp;col=7&amp;number=0.1295&amp;sourceID=1","0.1295")</f>
        <v>0.1295</v>
      </c>
      <c r="H1417" s="4" t="str">
        <f>HYPERLINK("http://141.218.60.56/~jnz1568/getInfo.php?workbook=02_02.xlsx&amp;sheet=U0&amp;row=1417&amp;col=8&amp;number=&amp;sourceID=29","")</f>
        <v/>
      </c>
      <c r="I1417" s="4" t="str">
        <f>HYPERLINK("http://141.218.60.56/~jnz1568/getInfo.php?workbook=02_02.xlsx&amp;sheet=U0&amp;row=1417&amp;col=9&amp;number=&amp;sourceID=1","")</f>
        <v/>
      </c>
    </row>
    <row r="1418" spans="1:9">
      <c r="A1418" s="3"/>
      <c r="B1418" s="3"/>
      <c r="C1418" s="3"/>
      <c r="D1418" s="3"/>
      <c r="E1418" s="3">
        <v>4</v>
      </c>
      <c r="F1418" s="4" t="str">
        <f>HYPERLINK("http://141.218.60.56/~jnz1568/getInfo.php?workbook=02_02.xlsx&amp;sheet=U0&amp;row=1418&amp;col=6&amp;number=4.5&amp;sourceID=28","4.5")</f>
        <v>4.5</v>
      </c>
      <c r="G1418" s="4" t="str">
        <f>HYPERLINK("http://141.218.60.56/~jnz1568/getInfo.php?workbook=02_02.xlsx&amp;sheet=U0&amp;row=1418&amp;col=7&amp;number=0.1681&amp;sourceID=1","0.1681")</f>
        <v>0.1681</v>
      </c>
      <c r="H1418" s="4" t="str">
        <f>HYPERLINK("http://141.218.60.56/~jnz1568/getInfo.php?workbook=02_02.xlsx&amp;sheet=U0&amp;row=1418&amp;col=8&amp;number=&amp;sourceID=29","")</f>
        <v/>
      </c>
      <c r="I1418" s="4" t="str">
        <f>HYPERLINK("http://141.218.60.56/~jnz1568/getInfo.php?workbook=02_02.xlsx&amp;sheet=U0&amp;row=1418&amp;col=9&amp;number=&amp;sourceID=1","")</f>
        <v/>
      </c>
    </row>
    <row r="1419" spans="1:9">
      <c r="A1419" s="3"/>
      <c r="B1419" s="3"/>
      <c r="C1419" s="3"/>
      <c r="D1419" s="3"/>
      <c r="E1419" s="3">
        <v>5</v>
      </c>
      <c r="F1419" s="4" t="str">
        <f>HYPERLINK("http://141.218.60.56/~jnz1568/getInfo.php?workbook=02_02.xlsx&amp;sheet=U0&amp;row=1419&amp;col=6&amp;number=4.75&amp;sourceID=28","4.75")</f>
        <v>4.75</v>
      </c>
      <c r="G1419" s="4" t="str">
        <f>HYPERLINK("http://141.218.60.56/~jnz1568/getInfo.php?workbook=02_02.xlsx&amp;sheet=U0&amp;row=1419&amp;col=7&amp;number=0.2204&amp;sourceID=1","0.2204")</f>
        <v>0.2204</v>
      </c>
      <c r="H1419" s="4" t="str">
        <f>HYPERLINK("http://141.218.60.56/~jnz1568/getInfo.php?workbook=02_02.xlsx&amp;sheet=U0&amp;row=1419&amp;col=8&amp;number=&amp;sourceID=29","")</f>
        <v/>
      </c>
      <c r="I1419" s="4" t="str">
        <f>HYPERLINK("http://141.218.60.56/~jnz1568/getInfo.php?workbook=02_02.xlsx&amp;sheet=U0&amp;row=1419&amp;col=9&amp;number=&amp;sourceID=1","")</f>
        <v/>
      </c>
    </row>
    <row r="1420" spans="1:9">
      <c r="A1420" s="3"/>
      <c r="B1420" s="3"/>
      <c r="C1420" s="3"/>
      <c r="D1420" s="3"/>
      <c r="E1420" s="3">
        <v>6</v>
      </c>
      <c r="F1420" s="4" t="str">
        <f>HYPERLINK("http://141.218.60.56/~jnz1568/getInfo.php?workbook=02_02.xlsx&amp;sheet=U0&amp;row=1420&amp;col=6&amp;number=5&amp;sourceID=28","5")</f>
        <v>5</v>
      </c>
      <c r="G1420" s="4" t="str">
        <f>HYPERLINK("http://141.218.60.56/~jnz1568/getInfo.php?workbook=02_02.xlsx&amp;sheet=U0&amp;row=1420&amp;col=7&amp;number=0.2762&amp;sourceID=1","0.2762")</f>
        <v>0.2762</v>
      </c>
      <c r="H1420" s="4" t="str">
        <f>HYPERLINK("http://141.218.60.56/~jnz1568/getInfo.php?workbook=02_02.xlsx&amp;sheet=U0&amp;row=1420&amp;col=8&amp;number=&amp;sourceID=29","")</f>
        <v/>
      </c>
      <c r="I1420" s="4" t="str">
        <f>HYPERLINK("http://141.218.60.56/~jnz1568/getInfo.php?workbook=02_02.xlsx&amp;sheet=U0&amp;row=1420&amp;col=9&amp;number=&amp;sourceID=1","")</f>
        <v/>
      </c>
    </row>
    <row r="1421" spans="1:9">
      <c r="A1421" s="3"/>
      <c r="B1421" s="3"/>
      <c r="C1421" s="3"/>
      <c r="D1421" s="3"/>
      <c r="E1421" s="3">
        <v>7</v>
      </c>
      <c r="F1421" s="4" t="str">
        <f>HYPERLINK("http://141.218.60.56/~jnz1568/getInfo.php?workbook=02_02.xlsx&amp;sheet=U0&amp;row=1421&amp;col=6&amp;number=5.25&amp;sourceID=28","5.25")</f>
        <v>5.25</v>
      </c>
      <c r="G1421" s="4" t="str">
        <f>HYPERLINK("http://141.218.60.56/~jnz1568/getInfo.php?workbook=02_02.xlsx&amp;sheet=U0&amp;row=1421&amp;col=7&amp;number=0.3192&amp;sourceID=1","0.3192")</f>
        <v>0.3192</v>
      </c>
      <c r="H1421" s="4" t="str">
        <f>HYPERLINK("http://141.218.60.56/~jnz1568/getInfo.php?workbook=02_02.xlsx&amp;sheet=U0&amp;row=1421&amp;col=8&amp;number=&amp;sourceID=29","")</f>
        <v/>
      </c>
      <c r="I1421" s="4" t="str">
        <f>HYPERLINK("http://141.218.60.56/~jnz1568/getInfo.php?workbook=02_02.xlsx&amp;sheet=U0&amp;row=1421&amp;col=9&amp;number=&amp;sourceID=1","")</f>
        <v/>
      </c>
    </row>
    <row r="1422" spans="1:9">
      <c r="A1422" s="3"/>
      <c r="B1422" s="3"/>
      <c r="C1422" s="3"/>
      <c r="D1422" s="3"/>
      <c r="E1422" s="3">
        <v>8</v>
      </c>
      <c r="F1422" s="4" t="str">
        <f>HYPERLINK("http://141.218.60.56/~jnz1568/getInfo.php?workbook=02_02.xlsx&amp;sheet=U0&amp;row=1422&amp;col=6&amp;number=5.5&amp;sourceID=28","5.5")</f>
        <v>5.5</v>
      </c>
      <c r="G1422" s="4" t="str">
        <f>HYPERLINK("http://141.218.60.56/~jnz1568/getInfo.php?workbook=02_02.xlsx&amp;sheet=U0&amp;row=1422&amp;col=7&amp;number=0.3409&amp;sourceID=1","0.3409")</f>
        <v>0.3409</v>
      </c>
      <c r="H1422" s="4" t="str">
        <f>HYPERLINK("http://141.218.60.56/~jnz1568/getInfo.php?workbook=02_02.xlsx&amp;sheet=U0&amp;row=1422&amp;col=8&amp;number=&amp;sourceID=29","")</f>
        <v/>
      </c>
      <c r="I1422" s="4" t="str">
        <f>HYPERLINK("http://141.218.60.56/~jnz1568/getInfo.php?workbook=02_02.xlsx&amp;sheet=U0&amp;row=1422&amp;col=9&amp;number=&amp;sourceID=1","")</f>
        <v/>
      </c>
    </row>
    <row r="1423" spans="1:9">
      <c r="A1423" s="3"/>
      <c r="B1423" s="3"/>
      <c r="C1423" s="3"/>
      <c r="D1423" s="3"/>
      <c r="E1423" s="3">
        <v>9</v>
      </c>
      <c r="F1423" s="4" t="str">
        <f>HYPERLINK("http://141.218.60.56/~jnz1568/getInfo.php?workbook=02_02.xlsx&amp;sheet=U0&amp;row=1423&amp;col=6&amp;number=5.75&amp;sourceID=28","5.75")</f>
        <v>5.75</v>
      </c>
      <c r="G1423" s="4" t="str">
        <f>HYPERLINK("http://141.218.60.56/~jnz1568/getInfo.php?workbook=02_02.xlsx&amp;sheet=U0&amp;row=1423&amp;col=7&amp;number=0.3443&amp;sourceID=1","0.3443")</f>
        <v>0.3443</v>
      </c>
      <c r="H1423" s="4" t="str">
        <f>HYPERLINK("http://141.218.60.56/~jnz1568/getInfo.php?workbook=02_02.xlsx&amp;sheet=U0&amp;row=1423&amp;col=8&amp;number=&amp;sourceID=29","")</f>
        <v/>
      </c>
      <c r="I1423" s="4" t="str">
        <f>HYPERLINK("http://141.218.60.56/~jnz1568/getInfo.php?workbook=02_02.xlsx&amp;sheet=U0&amp;row=1423&amp;col=9&amp;number=&amp;sourceID=1","")</f>
        <v/>
      </c>
    </row>
    <row r="1424" spans="1:9">
      <c r="A1424" s="3">
        <v>2</v>
      </c>
      <c r="B1424" s="3">
        <v>2</v>
      </c>
      <c r="C1424" s="3">
        <v>26</v>
      </c>
      <c r="D1424" s="3">
        <v>4</v>
      </c>
      <c r="E1424" s="3">
        <v>1</v>
      </c>
      <c r="F1424" s="4" t="str">
        <f>HYPERLINK("http://141.218.60.56/~jnz1568/getInfo.php?workbook=02_02.xlsx&amp;sheet=U0&amp;row=1424&amp;col=6&amp;number=3.75&amp;sourceID=28","3.75")</f>
        <v>3.75</v>
      </c>
      <c r="G1424" s="4" t="str">
        <f>HYPERLINK("http://141.218.60.56/~jnz1568/getInfo.php?workbook=02_02.xlsx&amp;sheet=U0&amp;row=1424&amp;col=7&amp;number=0.1565&amp;sourceID=1","0.1565")</f>
        <v>0.1565</v>
      </c>
      <c r="H1424" s="4" t="str">
        <f>HYPERLINK("http://141.218.60.56/~jnz1568/getInfo.php?workbook=02_02.xlsx&amp;sheet=U0&amp;row=1424&amp;col=8&amp;number=&amp;sourceID=29","")</f>
        <v/>
      </c>
      <c r="I1424" s="4" t="str">
        <f>HYPERLINK("http://141.218.60.56/~jnz1568/getInfo.php?workbook=02_02.xlsx&amp;sheet=U0&amp;row=1424&amp;col=9&amp;number=&amp;sourceID=1","")</f>
        <v/>
      </c>
    </row>
    <row r="1425" spans="1:9">
      <c r="A1425" s="3"/>
      <c r="B1425" s="3"/>
      <c r="C1425" s="3"/>
      <c r="D1425" s="3"/>
      <c r="E1425" s="3">
        <v>2</v>
      </c>
      <c r="F1425" s="4" t="str">
        <f>HYPERLINK("http://141.218.60.56/~jnz1568/getInfo.php?workbook=02_02.xlsx&amp;sheet=U0&amp;row=1425&amp;col=6&amp;number=4&amp;sourceID=28","4")</f>
        <v>4</v>
      </c>
      <c r="G1425" s="4" t="str">
        <f>HYPERLINK("http://141.218.60.56/~jnz1568/getInfo.php?workbook=02_02.xlsx&amp;sheet=U0&amp;row=1425&amp;col=7&amp;number=0.1445&amp;sourceID=1","0.1445")</f>
        <v>0.1445</v>
      </c>
      <c r="H1425" s="4" t="str">
        <f>HYPERLINK("http://141.218.60.56/~jnz1568/getInfo.php?workbook=02_02.xlsx&amp;sheet=U0&amp;row=1425&amp;col=8&amp;number=&amp;sourceID=29","")</f>
        <v/>
      </c>
      <c r="I1425" s="4" t="str">
        <f>HYPERLINK("http://141.218.60.56/~jnz1568/getInfo.php?workbook=02_02.xlsx&amp;sheet=U0&amp;row=1425&amp;col=9&amp;number=&amp;sourceID=1","")</f>
        <v/>
      </c>
    </row>
    <row r="1426" spans="1:9">
      <c r="A1426" s="3"/>
      <c r="B1426" s="3"/>
      <c r="C1426" s="3"/>
      <c r="D1426" s="3"/>
      <c r="E1426" s="3">
        <v>3</v>
      </c>
      <c r="F1426" s="4" t="str">
        <f>HYPERLINK("http://141.218.60.56/~jnz1568/getInfo.php?workbook=02_02.xlsx&amp;sheet=U0&amp;row=1426&amp;col=6&amp;number=4.25&amp;sourceID=28","4.25")</f>
        <v>4.25</v>
      </c>
      <c r="G1426" s="4" t="str">
        <f>HYPERLINK("http://141.218.60.56/~jnz1568/getInfo.php?workbook=02_02.xlsx&amp;sheet=U0&amp;row=1426&amp;col=7&amp;number=0.1306&amp;sourceID=1","0.1306")</f>
        <v>0.1306</v>
      </c>
      <c r="H1426" s="4" t="str">
        <f>HYPERLINK("http://141.218.60.56/~jnz1568/getInfo.php?workbook=02_02.xlsx&amp;sheet=U0&amp;row=1426&amp;col=8&amp;number=&amp;sourceID=29","")</f>
        <v/>
      </c>
      <c r="I1426" s="4" t="str">
        <f>HYPERLINK("http://141.218.60.56/~jnz1568/getInfo.php?workbook=02_02.xlsx&amp;sheet=U0&amp;row=1426&amp;col=9&amp;number=&amp;sourceID=1","")</f>
        <v/>
      </c>
    </row>
    <row r="1427" spans="1:9">
      <c r="A1427" s="3"/>
      <c r="B1427" s="3"/>
      <c r="C1427" s="3"/>
      <c r="D1427" s="3"/>
      <c r="E1427" s="3">
        <v>4</v>
      </c>
      <c r="F1427" s="4" t="str">
        <f>HYPERLINK("http://141.218.60.56/~jnz1568/getInfo.php?workbook=02_02.xlsx&amp;sheet=U0&amp;row=1427&amp;col=6&amp;number=4.5&amp;sourceID=28","4.5")</f>
        <v>4.5</v>
      </c>
      <c r="G1427" s="4" t="str">
        <f>HYPERLINK("http://141.218.60.56/~jnz1568/getInfo.php?workbook=02_02.xlsx&amp;sheet=U0&amp;row=1427&amp;col=7&amp;number=0.1147&amp;sourceID=1","0.1147")</f>
        <v>0.1147</v>
      </c>
      <c r="H1427" s="4" t="str">
        <f>HYPERLINK("http://141.218.60.56/~jnz1568/getInfo.php?workbook=02_02.xlsx&amp;sheet=U0&amp;row=1427&amp;col=8&amp;number=&amp;sourceID=29","")</f>
        <v/>
      </c>
      <c r="I1427" s="4" t="str">
        <f>HYPERLINK("http://141.218.60.56/~jnz1568/getInfo.php?workbook=02_02.xlsx&amp;sheet=U0&amp;row=1427&amp;col=9&amp;number=&amp;sourceID=1","")</f>
        <v/>
      </c>
    </row>
    <row r="1428" spans="1:9">
      <c r="A1428" s="3"/>
      <c r="B1428" s="3"/>
      <c r="C1428" s="3"/>
      <c r="D1428" s="3"/>
      <c r="E1428" s="3">
        <v>5</v>
      </c>
      <c r="F1428" s="4" t="str">
        <f>HYPERLINK("http://141.218.60.56/~jnz1568/getInfo.php?workbook=02_02.xlsx&amp;sheet=U0&amp;row=1428&amp;col=6&amp;number=4.75&amp;sourceID=28","4.75")</f>
        <v>4.75</v>
      </c>
      <c r="G1428" s="4" t="str">
        <f>HYPERLINK("http://141.218.60.56/~jnz1568/getInfo.php?workbook=02_02.xlsx&amp;sheet=U0&amp;row=1428&amp;col=7&amp;number=0.09666&amp;sourceID=1","0.09666")</f>
        <v>0.09666</v>
      </c>
      <c r="H1428" s="4" t="str">
        <f>HYPERLINK("http://141.218.60.56/~jnz1568/getInfo.php?workbook=02_02.xlsx&amp;sheet=U0&amp;row=1428&amp;col=8&amp;number=&amp;sourceID=29","")</f>
        <v/>
      </c>
      <c r="I1428" s="4" t="str">
        <f>HYPERLINK("http://141.218.60.56/~jnz1568/getInfo.php?workbook=02_02.xlsx&amp;sheet=U0&amp;row=1428&amp;col=9&amp;number=&amp;sourceID=1","")</f>
        <v/>
      </c>
    </row>
    <row r="1429" spans="1:9">
      <c r="A1429" s="3"/>
      <c r="B1429" s="3"/>
      <c r="C1429" s="3"/>
      <c r="D1429" s="3"/>
      <c r="E1429" s="3">
        <v>6</v>
      </c>
      <c r="F1429" s="4" t="str">
        <f>HYPERLINK("http://141.218.60.56/~jnz1568/getInfo.php?workbook=02_02.xlsx&amp;sheet=U0&amp;row=1429&amp;col=6&amp;number=5&amp;sourceID=28","5")</f>
        <v>5</v>
      </c>
      <c r="G1429" s="4" t="str">
        <f>HYPERLINK("http://141.218.60.56/~jnz1568/getInfo.php?workbook=02_02.xlsx&amp;sheet=U0&amp;row=1429&amp;col=7&amp;number=0.07659&amp;sourceID=1","0.07659")</f>
        <v>0.07659</v>
      </c>
      <c r="H1429" s="4" t="str">
        <f>HYPERLINK("http://141.218.60.56/~jnz1568/getInfo.php?workbook=02_02.xlsx&amp;sheet=U0&amp;row=1429&amp;col=8&amp;number=&amp;sourceID=29","")</f>
        <v/>
      </c>
      <c r="I1429" s="4" t="str">
        <f>HYPERLINK("http://141.218.60.56/~jnz1568/getInfo.php?workbook=02_02.xlsx&amp;sheet=U0&amp;row=1429&amp;col=9&amp;number=&amp;sourceID=1","")</f>
        <v/>
      </c>
    </row>
    <row r="1430" spans="1:9">
      <c r="A1430" s="3"/>
      <c r="B1430" s="3"/>
      <c r="C1430" s="3"/>
      <c r="D1430" s="3"/>
      <c r="E1430" s="3">
        <v>7</v>
      </c>
      <c r="F1430" s="4" t="str">
        <f>HYPERLINK("http://141.218.60.56/~jnz1568/getInfo.php?workbook=02_02.xlsx&amp;sheet=U0&amp;row=1430&amp;col=6&amp;number=5.25&amp;sourceID=28","5.25")</f>
        <v>5.25</v>
      </c>
      <c r="G1430" s="4" t="str">
        <f>HYPERLINK("http://141.218.60.56/~jnz1568/getInfo.php?workbook=02_02.xlsx&amp;sheet=U0&amp;row=1430&amp;col=7&amp;number=0.05636&amp;sourceID=1","0.05636")</f>
        <v>0.05636</v>
      </c>
      <c r="H1430" s="4" t="str">
        <f>HYPERLINK("http://141.218.60.56/~jnz1568/getInfo.php?workbook=02_02.xlsx&amp;sheet=U0&amp;row=1430&amp;col=8&amp;number=&amp;sourceID=29","")</f>
        <v/>
      </c>
      <c r="I1430" s="4" t="str">
        <f>HYPERLINK("http://141.218.60.56/~jnz1568/getInfo.php?workbook=02_02.xlsx&amp;sheet=U0&amp;row=1430&amp;col=9&amp;number=&amp;sourceID=1","")</f>
        <v/>
      </c>
    </row>
    <row r="1431" spans="1:9">
      <c r="A1431" s="3"/>
      <c r="B1431" s="3"/>
      <c r="C1431" s="3"/>
      <c r="D1431" s="3"/>
      <c r="E1431" s="3">
        <v>8</v>
      </c>
      <c r="F1431" s="4" t="str">
        <f>HYPERLINK("http://141.218.60.56/~jnz1568/getInfo.php?workbook=02_02.xlsx&amp;sheet=U0&amp;row=1431&amp;col=6&amp;number=5.5&amp;sourceID=28","5.5")</f>
        <v>5.5</v>
      </c>
      <c r="G1431" s="4" t="str">
        <f>HYPERLINK("http://141.218.60.56/~jnz1568/getInfo.php?workbook=02_02.xlsx&amp;sheet=U0&amp;row=1431&amp;col=7&amp;number=0.03863&amp;sourceID=1","0.03863")</f>
        <v>0.03863</v>
      </c>
      <c r="H1431" s="4" t="str">
        <f>HYPERLINK("http://141.218.60.56/~jnz1568/getInfo.php?workbook=02_02.xlsx&amp;sheet=U0&amp;row=1431&amp;col=8&amp;number=&amp;sourceID=29","")</f>
        <v/>
      </c>
      <c r="I1431" s="4" t="str">
        <f>HYPERLINK("http://141.218.60.56/~jnz1568/getInfo.php?workbook=02_02.xlsx&amp;sheet=U0&amp;row=1431&amp;col=9&amp;number=&amp;sourceID=1","")</f>
        <v/>
      </c>
    </row>
    <row r="1432" spans="1:9">
      <c r="A1432" s="3"/>
      <c r="B1432" s="3"/>
      <c r="C1432" s="3"/>
      <c r="D1432" s="3"/>
      <c r="E1432" s="3">
        <v>9</v>
      </c>
      <c r="F1432" s="4" t="str">
        <f>HYPERLINK("http://141.218.60.56/~jnz1568/getInfo.php?workbook=02_02.xlsx&amp;sheet=U0&amp;row=1432&amp;col=6&amp;number=5.75&amp;sourceID=28","5.75")</f>
        <v>5.75</v>
      </c>
      <c r="G1432" s="4" t="str">
        <f>HYPERLINK("http://141.218.60.56/~jnz1568/getInfo.php?workbook=02_02.xlsx&amp;sheet=U0&amp;row=1432&amp;col=7&amp;number=0.02499&amp;sourceID=1","0.02499")</f>
        <v>0.02499</v>
      </c>
      <c r="H1432" s="4" t="str">
        <f>HYPERLINK("http://141.218.60.56/~jnz1568/getInfo.php?workbook=02_02.xlsx&amp;sheet=U0&amp;row=1432&amp;col=8&amp;number=&amp;sourceID=29","")</f>
        <v/>
      </c>
      <c r="I1432" s="4" t="str">
        <f>HYPERLINK("http://141.218.60.56/~jnz1568/getInfo.php?workbook=02_02.xlsx&amp;sheet=U0&amp;row=1432&amp;col=9&amp;number=&amp;sourceID=1","")</f>
        <v/>
      </c>
    </row>
    <row r="1433" spans="1:9">
      <c r="A1433" s="3">
        <v>2</v>
      </c>
      <c r="B1433" s="3">
        <v>2</v>
      </c>
      <c r="C1433" s="3">
        <v>27</v>
      </c>
      <c r="D1433" s="3">
        <v>1</v>
      </c>
      <c r="E1433" s="3">
        <v>1</v>
      </c>
      <c r="F1433" s="4" t="str">
        <f>HYPERLINK("http://141.218.60.56/~jnz1568/getInfo.php?workbook=02_02.xlsx&amp;sheet=U0&amp;row=1433&amp;col=6&amp;number=3.75&amp;sourceID=28","3.75")</f>
        <v>3.75</v>
      </c>
      <c r="G1433" s="4" t="str">
        <f>HYPERLINK("http://141.218.60.56/~jnz1568/getInfo.php?workbook=02_02.xlsx&amp;sheet=U0&amp;row=1433&amp;col=7&amp;number=0.0003037&amp;sourceID=1","0.0003037")</f>
        <v>0.0003037</v>
      </c>
      <c r="H1433" s="4" t="str">
        <f>HYPERLINK("http://141.218.60.56/~jnz1568/getInfo.php?workbook=02_02.xlsx&amp;sheet=U0&amp;row=1433&amp;col=8&amp;number=&amp;sourceID=29","")</f>
        <v/>
      </c>
      <c r="I1433" s="4" t="str">
        <f>HYPERLINK("http://141.218.60.56/~jnz1568/getInfo.php?workbook=02_02.xlsx&amp;sheet=U0&amp;row=1433&amp;col=9&amp;number=&amp;sourceID=1","")</f>
        <v/>
      </c>
    </row>
    <row r="1434" spans="1:9">
      <c r="A1434" s="3"/>
      <c r="B1434" s="3"/>
      <c r="C1434" s="3"/>
      <c r="D1434" s="3"/>
      <c r="E1434" s="3">
        <v>2</v>
      </c>
      <c r="F1434" s="4" t="str">
        <f>HYPERLINK("http://141.218.60.56/~jnz1568/getInfo.php?workbook=02_02.xlsx&amp;sheet=U0&amp;row=1434&amp;col=6&amp;number=4&amp;sourceID=28","4")</f>
        <v>4</v>
      </c>
      <c r="G1434" s="4" t="str">
        <f>HYPERLINK("http://141.218.60.56/~jnz1568/getInfo.php?workbook=02_02.xlsx&amp;sheet=U0&amp;row=1434&amp;col=7&amp;number=0.0002389&amp;sourceID=1","0.0002389")</f>
        <v>0.0002389</v>
      </c>
      <c r="H1434" s="4" t="str">
        <f>HYPERLINK("http://141.218.60.56/~jnz1568/getInfo.php?workbook=02_02.xlsx&amp;sheet=U0&amp;row=1434&amp;col=8&amp;number=&amp;sourceID=29","")</f>
        <v/>
      </c>
      <c r="I1434" s="4" t="str">
        <f>HYPERLINK("http://141.218.60.56/~jnz1568/getInfo.php?workbook=02_02.xlsx&amp;sheet=U0&amp;row=1434&amp;col=9&amp;number=&amp;sourceID=1","")</f>
        <v/>
      </c>
    </row>
    <row r="1435" spans="1:9">
      <c r="A1435" s="3"/>
      <c r="B1435" s="3"/>
      <c r="C1435" s="3"/>
      <c r="D1435" s="3"/>
      <c r="E1435" s="3">
        <v>3</v>
      </c>
      <c r="F1435" s="4" t="str">
        <f>HYPERLINK("http://141.218.60.56/~jnz1568/getInfo.php?workbook=02_02.xlsx&amp;sheet=U0&amp;row=1435&amp;col=6&amp;number=4.25&amp;sourceID=28","4.25")</f>
        <v>4.25</v>
      </c>
      <c r="G1435" s="4" t="str">
        <f>HYPERLINK("http://141.218.60.56/~jnz1568/getInfo.php?workbook=02_02.xlsx&amp;sheet=U0&amp;row=1435&amp;col=7&amp;number=0.0001717&amp;sourceID=1","0.0001717")</f>
        <v>0.0001717</v>
      </c>
      <c r="H1435" s="4" t="str">
        <f>HYPERLINK("http://141.218.60.56/~jnz1568/getInfo.php?workbook=02_02.xlsx&amp;sheet=U0&amp;row=1435&amp;col=8&amp;number=&amp;sourceID=29","")</f>
        <v/>
      </c>
      <c r="I1435" s="4" t="str">
        <f>HYPERLINK("http://141.218.60.56/~jnz1568/getInfo.php?workbook=02_02.xlsx&amp;sheet=U0&amp;row=1435&amp;col=9&amp;number=&amp;sourceID=1","")</f>
        <v/>
      </c>
    </row>
    <row r="1436" spans="1:9">
      <c r="A1436" s="3"/>
      <c r="B1436" s="3"/>
      <c r="C1436" s="3"/>
      <c r="D1436" s="3"/>
      <c r="E1436" s="3">
        <v>4</v>
      </c>
      <c r="F1436" s="4" t="str">
        <f>HYPERLINK("http://141.218.60.56/~jnz1568/getInfo.php?workbook=02_02.xlsx&amp;sheet=U0&amp;row=1436&amp;col=6&amp;number=4.5&amp;sourceID=28","4.5")</f>
        <v>4.5</v>
      </c>
      <c r="G1436" s="4" t="str">
        <f>HYPERLINK("http://141.218.60.56/~jnz1568/getInfo.php?workbook=02_02.xlsx&amp;sheet=U0&amp;row=1436&amp;col=7&amp;number=0.0001157&amp;sourceID=1","0.0001157")</f>
        <v>0.0001157</v>
      </c>
      <c r="H1436" s="4" t="str">
        <f>HYPERLINK("http://141.218.60.56/~jnz1568/getInfo.php?workbook=02_02.xlsx&amp;sheet=U0&amp;row=1436&amp;col=8&amp;number=&amp;sourceID=29","")</f>
        <v/>
      </c>
      <c r="I1436" s="4" t="str">
        <f>HYPERLINK("http://141.218.60.56/~jnz1568/getInfo.php?workbook=02_02.xlsx&amp;sheet=U0&amp;row=1436&amp;col=9&amp;number=&amp;sourceID=1","")</f>
        <v/>
      </c>
    </row>
    <row r="1437" spans="1:9">
      <c r="A1437" s="3"/>
      <c r="B1437" s="3"/>
      <c r="C1437" s="3"/>
      <c r="D1437" s="3"/>
      <c r="E1437" s="3">
        <v>5</v>
      </c>
      <c r="F1437" s="4" t="str">
        <f>HYPERLINK("http://141.218.60.56/~jnz1568/getInfo.php?workbook=02_02.xlsx&amp;sheet=U0&amp;row=1437&amp;col=6&amp;number=4.75&amp;sourceID=28","4.75")</f>
        <v>4.75</v>
      </c>
      <c r="G1437" s="4" t="str">
        <f>HYPERLINK("http://141.218.60.56/~jnz1568/getInfo.php?workbook=02_02.xlsx&amp;sheet=U0&amp;row=1437&amp;col=7&amp;number=7.485e-05&amp;sourceID=1","7.485e-05")</f>
        <v>7.485e-05</v>
      </c>
      <c r="H1437" s="4" t="str">
        <f>HYPERLINK("http://141.218.60.56/~jnz1568/getInfo.php?workbook=02_02.xlsx&amp;sheet=U0&amp;row=1437&amp;col=8&amp;number=&amp;sourceID=29","")</f>
        <v/>
      </c>
      <c r="I1437" s="4" t="str">
        <f>HYPERLINK("http://141.218.60.56/~jnz1568/getInfo.php?workbook=02_02.xlsx&amp;sheet=U0&amp;row=1437&amp;col=9&amp;number=&amp;sourceID=1","")</f>
        <v/>
      </c>
    </row>
    <row r="1438" spans="1:9">
      <c r="A1438" s="3"/>
      <c r="B1438" s="3"/>
      <c r="C1438" s="3"/>
      <c r="D1438" s="3"/>
      <c r="E1438" s="3">
        <v>6</v>
      </c>
      <c r="F1438" s="4" t="str">
        <f>HYPERLINK("http://141.218.60.56/~jnz1568/getInfo.php?workbook=02_02.xlsx&amp;sheet=U0&amp;row=1438&amp;col=6&amp;number=5&amp;sourceID=28","5")</f>
        <v>5</v>
      </c>
      <c r="G1438" s="4" t="str">
        <f>HYPERLINK("http://141.218.60.56/~jnz1568/getInfo.php?workbook=02_02.xlsx&amp;sheet=U0&amp;row=1438&amp;col=7&amp;number=4.734e-05&amp;sourceID=1","4.734e-05")</f>
        <v>4.734e-05</v>
      </c>
      <c r="H1438" s="4" t="str">
        <f>HYPERLINK("http://141.218.60.56/~jnz1568/getInfo.php?workbook=02_02.xlsx&amp;sheet=U0&amp;row=1438&amp;col=8&amp;number=&amp;sourceID=29","")</f>
        <v/>
      </c>
      <c r="I1438" s="4" t="str">
        <f>HYPERLINK("http://141.218.60.56/~jnz1568/getInfo.php?workbook=02_02.xlsx&amp;sheet=U0&amp;row=1438&amp;col=9&amp;number=&amp;sourceID=1","")</f>
        <v/>
      </c>
    </row>
    <row r="1439" spans="1:9">
      <c r="A1439" s="3"/>
      <c r="B1439" s="3"/>
      <c r="C1439" s="3"/>
      <c r="D1439" s="3"/>
      <c r="E1439" s="3">
        <v>7</v>
      </c>
      <c r="F1439" s="4" t="str">
        <f>HYPERLINK("http://141.218.60.56/~jnz1568/getInfo.php?workbook=02_02.xlsx&amp;sheet=U0&amp;row=1439&amp;col=6&amp;number=5.25&amp;sourceID=28","5.25")</f>
        <v>5.25</v>
      </c>
      <c r="G1439" s="4" t="str">
        <f>HYPERLINK("http://141.218.60.56/~jnz1568/getInfo.php?workbook=02_02.xlsx&amp;sheet=U0&amp;row=1439&amp;col=7&amp;number=2.968e-05&amp;sourceID=1","2.968e-05")</f>
        <v>2.968e-05</v>
      </c>
      <c r="H1439" s="4" t="str">
        <f>HYPERLINK("http://141.218.60.56/~jnz1568/getInfo.php?workbook=02_02.xlsx&amp;sheet=U0&amp;row=1439&amp;col=8&amp;number=&amp;sourceID=29","")</f>
        <v/>
      </c>
      <c r="I1439" s="4" t="str">
        <f>HYPERLINK("http://141.218.60.56/~jnz1568/getInfo.php?workbook=02_02.xlsx&amp;sheet=U0&amp;row=1439&amp;col=9&amp;number=&amp;sourceID=1","")</f>
        <v/>
      </c>
    </row>
    <row r="1440" spans="1:9">
      <c r="A1440" s="3"/>
      <c r="B1440" s="3"/>
      <c r="C1440" s="3"/>
      <c r="D1440" s="3"/>
      <c r="E1440" s="3">
        <v>8</v>
      </c>
      <c r="F1440" s="4" t="str">
        <f>HYPERLINK("http://141.218.60.56/~jnz1568/getInfo.php?workbook=02_02.xlsx&amp;sheet=U0&amp;row=1440&amp;col=6&amp;number=5.5&amp;sourceID=28","5.5")</f>
        <v>5.5</v>
      </c>
      <c r="G1440" s="4" t="str">
        <f>HYPERLINK("http://141.218.60.56/~jnz1568/getInfo.php?workbook=02_02.xlsx&amp;sheet=U0&amp;row=1440&amp;col=7&amp;number=1.86e-05&amp;sourceID=1","1.86e-05")</f>
        <v>1.86e-05</v>
      </c>
      <c r="H1440" s="4" t="str">
        <f>HYPERLINK("http://141.218.60.56/~jnz1568/getInfo.php?workbook=02_02.xlsx&amp;sheet=U0&amp;row=1440&amp;col=8&amp;number=&amp;sourceID=29","")</f>
        <v/>
      </c>
      <c r="I1440" s="4" t="str">
        <f>HYPERLINK("http://141.218.60.56/~jnz1568/getInfo.php?workbook=02_02.xlsx&amp;sheet=U0&amp;row=1440&amp;col=9&amp;number=&amp;sourceID=1","")</f>
        <v/>
      </c>
    </row>
    <row r="1441" spans="1:9">
      <c r="A1441" s="3"/>
      <c r="B1441" s="3"/>
      <c r="C1441" s="3"/>
      <c r="D1441" s="3"/>
      <c r="E1441" s="3">
        <v>9</v>
      </c>
      <c r="F1441" s="4" t="str">
        <f>HYPERLINK("http://141.218.60.56/~jnz1568/getInfo.php?workbook=02_02.xlsx&amp;sheet=U0&amp;row=1441&amp;col=6&amp;number=5.75&amp;sourceID=28","5.75")</f>
        <v>5.75</v>
      </c>
      <c r="G1441" s="4" t="str">
        <f>HYPERLINK("http://141.218.60.56/~jnz1568/getInfo.php?workbook=02_02.xlsx&amp;sheet=U0&amp;row=1441&amp;col=7&amp;number=1.197e-05&amp;sourceID=1","1.197e-05")</f>
        <v>1.197e-05</v>
      </c>
      <c r="H1441" s="4" t="str">
        <f>HYPERLINK("http://141.218.60.56/~jnz1568/getInfo.php?workbook=02_02.xlsx&amp;sheet=U0&amp;row=1441&amp;col=8&amp;number=&amp;sourceID=29","")</f>
        <v/>
      </c>
      <c r="I1441" s="4" t="str">
        <f>HYPERLINK("http://141.218.60.56/~jnz1568/getInfo.php?workbook=02_02.xlsx&amp;sheet=U0&amp;row=1441&amp;col=9&amp;number=&amp;sourceID=1","")</f>
        <v/>
      </c>
    </row>
    <row r="1442" spans="1:9">
      <c r="A1442" s="3">
        <v>2</v>
      </c>
      <c r="B1442" s="3">
        <v>2</v>
      </c>
      <c r="C1442" s="3">
        <v>27</v>
      </c>
      <c r="D1442" s="3">
        <v>2</v>
      </c>
      <c r="E1442" s="3">
        <v>1</v>
      </c>
      <c r="F1442" s="4" t="str">
        <f>HYPERLINK("http://141.218.60.56/~jnz1568/getInfo.php?workbook=02_02.xlsx&amp;sheet=U0&amp;row=1442&amp;col=6&amp;number=3.75&amp;sourceID=28","3.75")</f>
        <v>3.75</v>
      </c>
      <c r="G1442" s="4" t="str">
        <f>HYPERLINK("http://141.218.60.56/~jnz1568/getInfo.php?workbook=02_02.xlsx&amp;sheet=U0&amp;row=1442&amp;col=7&amp;number=0.08969&amp;sourceID=1","0.08969")</f>
        <v>0.08969</v>
      </c>
      <c r="H1442" s="4" t="str">
        <f>HYPERLINK("http://141.218.60.56/~jnz1568/getInfo.php?workbook=02_02.xlsx&amp;sheet=U0&amp;row=1442&amp;col=8&amp;number=&amp;sourceID=29","")</f>
        <v/>
      </c>
      <c r="I1442" s="4" t="str">
        <f>HYPERLINK("http://141.218.60.56/~jnz1568/getInfo.php?workbook=02_02.xlsx&amp;sheet=U0&amp;row=1442&amp;col=9&amp;number=&amp;sourceID=1","")</f>
        <v/>
      </c>
    </row>
    <row r="1443" spans="1:9">
      <c r="A1443" s="3"/>
      <c r="B1443" s="3"/>
      <c r="C1443" s="3"/>
      <c r="D1443" s="3"/>
      <c r="E1443" s="3">
        <v>2</v>
      </c>
      <c r="F1443" s="4" t="str">
        <f>HYPERLINK("http://141.218.60.56/~jnz1568/getInfo.php?workbook=02_02.xlsx&amp;sheet=U0&amp;row=1443&amp;col=6&amp;number=4&amp;sourceID=28","4")</f>
        <v>4</v>
      </c>
      <c r="G1443" s="4" t="str">
        <f>HYPERLINK("http://141.218.60.56/~jnz1568/getInfo.php?workbook=02_02.xlsx&amp;sheet=U0&amp;row=1443&amp;col=7&amp;number=0.08533&amp;sourceID=1","0.08533")</f>
        <v>0.08533</v>
      </c>
      <c r="H1443" s="4" t="str">
        <f>HYPERLINK("http://141.218.60.56/~jnz1568/getInfo.php?workbook=02_02.xlsx&amp;sheet=U0&amp;row=1443&amp;col=8&amp;number=&amp;sourceID=29","")</f>
        <v/>
      </c>
      <c r="I1443" s="4" t="str">
        <f>HYPERLINK("http://141.218.60.56/~jnz1568/getInfo.php?workbook=02_02.xlsx&amp;sheet=U0&amp;row=1443&amp;col=9&amp;number=&amp;sourceID=1","")</f>
        <v/>
      </c>
    </row>
    <row r="1444" spans="1:9">
      <c r="A1444" s="3"/>
      <c r="B1444" s="3"/>
      <c r="C1444" s="3"/>
      <c r="D1444" s="3"/>
      <c r="E1444" s="3">
        <v>3</v>
      </c>
      <c r="F1444" s="4" t="str">
        <f>HYPERLINK("http://141.218.60.56/~jnz1568/getInfo.php?workbook=02_02.xlsx&amp;sheet=U0&amp;row=1444&amp;col=6&amp;number=4.25&amp;sourceID=28","4.25")</f>
        <v>4.25</v>
      </c>
      <c r="G1444" s="4" t="str">
        <f>HYPERLINK("http://141.218.60.56/~jnz1568/getInfo.php?workbook=02_02.xlsx&amp;sheet=U0&amp;row=1444&amp;col=7&amp;number=0.07928&amp;sourceID=1","0.07928")</f>
        <v>0.07928</v>
      </c>
      <c r="H1444" s="4" t="str">
        <f>HYPERLINK("http://141.218.60.56/~jnz1568/getInfo.php?workbook=02_02.xlsx&amp;sheet=U0&amp;row=1444&amp;col=8&amp;number=&amp;sourceID=29","")</f>
        <v/>
      </c>
      <c r="I1444" s="4" t="str">
        <f>HYPERLINK("http://141.218.60.56/~jnz1568/getInfo.php?workbook=02_02.xlsx&amp;sheet=U0&amp;row=1444&amp;col=9&amp;number=&amp;sourceID=1","")</f>
        <v/>
      </c>
    </row>
    <row r="1445" spans="1:9">
      <c r="A1445" s="3"/>
      <c r="B1445" s="3"/>
      <c r="C1445" s="3"/>
      <c r="D1445" s="3"/>
      <c r="E1445" s="3">
        <v>4</v>
      </c>
      <c r="F1445" s="4" t="str">
        <f>HYPERLINK("http://141.218.60.56/~jnz1568/getInfo.php?workbook=02_02.xlsx&amp;sheet=U0&amp;row=1445&amp;col=6&amp;number=4.5&amp;sourceID=28","4.5")</f>
        <v>4.5</v>
      </c>
      <c r="G1445" s="4" t="str">
        <f>HYPERLINK("http://141.218.60.56/~jnz1568/getInfo.php?workbook=02_02.xlsx&amp;sheet=U0&amp;row=1445&amp;col=7&amp;number=0.07392&amp;sourceID=1","0.07392")</f>
        <v>0.07392</v>
      </c>
      <c r="H1445" s="4" t="str">
        <f>HYPERLINK("http://141.218.60.56/~jnz1568/getInfo.php?workbook=02_02.xlsx&amp;sheet=U0&amp;row=1445&amp;col=8&amp;number=&amp;sourceID=29","")</f>
        <v/>
      </c>
      <c r="I1445" s="4" t="str">
        <f>HYPERLINK("http://141.218.60.56/~jnz1568/getInfo.php?workbook=02_02.xlsx&amp;sheet=U0&amp;row=1445&amp;col=9&amp;number=&amp;sourceID=1","")</f>
        <v/>
      </c>
    </row>
    <row r="1446" spans="1:9">
      <c r="A1446" s="3"/>
      <c r="B1446" s="3"/>
      <c r="C1446" s="3"/>
      <c r="D1446" s="3"/>
      <c r="E1446" s="3">
        <v>5</v>
      </c>
      <c r="F1446" s="4" t="str">
        <f>HYPERLINK("http://141.218.60.56/~jnz1568/getInfo.php?workbook=02_02.xlsx&amp;sheet=U0&amp;row=1446&amp;col=6&amp;number=4.75&amp;sourceID=28","4.75")</f>
        <v>4.75</v>
      </c>
      <c r="G1446" s="4" t="str">
        <f>HYPERLINK("http://141.218.60.56/~jnz1568/getInfo.php?workbook=02_02.xlsx&amp;sheet=U0&amp;row=1446&amp;col=7&amp;number=0.06903&amp;sourceID=1","0.06903")</f>
        <v>0.06903</v>
      </c>
      <c r="H1446" s="4" t="str">
        <f>HYPERLINK("http://141.218.60.56/~jnz1568/getInfo.php?workbook=02_02.xlsx&amp;sheet=U0&amp;row=1446&amp;col=8&amp;number=&amp;sourceID=29","")</f>
        <v/>
      </c>
      <c r="I1446" s="4" t="str">
        <f>HYPERLINK("http://141.218.60.56/~jnz1568/getInfo.php?workbook=02_02.xlsx&amp;sheet=U0&amp;row=1446&amp;col=9&amp;number=&amp;sourceID=1","")</f>
        <v/>
      </c>
    </row>
    <row r="1447" spans="1:9">
      <c r="A1447" s="3"/>
      <c r="B1447" s="3"/>
      <c r="C1447" s="3"/>
      <c r="D1447" s="3"/>
      <c r="E1447" s="3">
        <v>6</v>
      </c>
      <c r="F1447" s="4" t="str">
        <f>HYPERLINK("http://141.218.60.56/~jnz1568/getInfo.php?workbook=02_02.xlsx&amp;sheet=U0&amp;row=1447&amp;col=6&amp;number=5&amp;sourceID=28","5")</f>
        <v>5</v>
      </c>
      <c r="G1447" s="4" t="str">
        <f>HYPERLINK("http://141.218.60.56/~jnz1568/getInfo.php?workbook=02_02.xlsx&amp;sheet=U0&amp;row=1447&amp;col=7&amp;number=0.06279&amp;sourceID=1","0.06279")</f>
        <v>0.06279</v>
      </c>
      <c r="H1447" s="4" t="str">
        <f>HYPERLINK("http://141.218.60.56/~jnz1568/getInfo.php?workbook=02_02.xlsx&amp;sheet=U0&amp;row=1447&amp;col=8&amp;number=&amp;sourceID=29","")</f>
        <v/>
      </c>
      <c r="I1447" s="4" t="str">
        <f>HYPERLINK("http://141.218.60.56/~jnz1568/getInfo.php?workbook=02_02.xlsx&amp;sheet=U0&amp;row=1447&amp;col=9&amp;number=&amp;sourceID=1","")</f>
        <v/>
      </c>
    </row>
    <row r="1448" spans="1:9">
      <c r="A1448" s="3"/>
      <c r="B1448" s="3"/>
      <c r="C1448" s="3"/>
      <c r="D1448" s="3"/>
      <c r="E1448" s="3">
        <v>7</v>
      </c>
      <c r="F1448" s="4" t="str">
        <f>HYPERLINK("http://141.218.60.56/~jnz1568/getInfo.php?workbook=02_02.xlsx&amp;sheet=U0&amp;row=1448&amp;col=6&amp;number=5.25&amp;sourceID=28","5.25")</f>
        <v>5.25</v>
      </c>
      <c r="G1448" s="4" t="str">
        <f>HYPERLINK("http://141.218.60.56/~jnz1568/getInfo.php?workbook=02_02.xlsx&amp;sheet=U0&amp;row=1448&amp;col=7&amp;number=0.0544&amp;sourceID=1","0.0544")</f>
        <v>0.0544</v>
      </c>
      <c r="H1448" s="4" t="str">
        <f>HYPERLINK("http://141.218.60.56/~jnz1568/getInfo.php?workbook=02_02.xlsx&amp;sheet=U0&amp;row=1448&amp;col=8&amp;number=&amp;sourceID=29","")</f>
        <v/>
      </c>
      <c r="I1448" s="4" t="str">
        <f>HYPERLINK("http://141.218.60.56/~jnz1568/getInfo.php?workbook=02_02.xlsx&amp;sheet=U0&amp;row=1448&amp;col=9&amp;number=&amp;sourceID=1","")</f>
        <v/>
      </c>
    </row>
    <row r="1449" spans="1:9">
      <c r="A1449" s="3"/>
      <c r="B1449" s="3"/>
      <c r="C1449" s="3"/>
      <c r="D1449" s="3"/>
      <c r="E1449" s="3">
        <v>8</v>
      </c>
      <c r="F1449" s="4" t="str">
        <f>HYPERLINK("http://141.218.60.56/~jnz1568/getInfo.php?workbook=02_02.xlsx&amp;sheet=U0&amp;row=1449&amp;col=6&amp;number=5.5&amp;sourceID=28","5.5")</f>
        <v>5.5</v>
      </c>
      <c r="G1449" s="4" t="str">
        <f>HYPERLINK("http://141.218.60.56/~jnz1568/getInfo.php?workbook=02_02.xlsx&amp;sheet=U0&amp;row=1449&amp;col=7&amp;number=0.04498&amp;sourceID=1","0.04498")</f>
        <v>0.04498</v>
      </c>
      <c r="H1449" s="4" t="str">
        <f>HYPERLINK("http://141.218.60.56/~jnz1568/getInfo.php?workbook=02_02.xlsx&amp;sheet=U0&amp;row=1449&amp;col=8&amp;number=&amp;sourceID=29","")</f>
        <v/>
      </c>
      <c r="I1449" s="4" t="str">
        <f>HYPERLINK("http://141.218.60.56/~jnz1568/getInfo.php?workbook=02_02.xlsx&amp;sheet=U0&amp;row=1449&amp;col=9&amp;number=&amp;sourceID=1","")</f>
        <v/>
      </c>
    </row>
    <row r="1450" spans="1:9">
      <c r="A1450" s="3"/>
      <c r="B1450" s="3"/>
      <c r="C1450" s="3"/>
      <c r="D1450" s="3"/>
      <c r="E1450" s="3">
        <v>9</v>
      </c>
      <c r="F1450" s="4" t="str">
        <f>HYPERLINK("http://141.218.60.56/~jnz1568/getInfo.php?workbook=02_02.xlsx&amp;sheet=U0&amp;row=1450&amp;col=6&amp;number=5.75&amp;sourceID=28","5.75")</f>
        <v>5.75</v>
      </c>
      <c r="G1450" s="4" t="str">
        <f>HYPERLINK("http://141.218.60.56/~jnz1568/getInfo.php?workbook=02_02.xlsx&amp;sheet=U0&amp;row=1450&amp;col=7&amp;number=0.03616&amp;sourceID=1","0.03616")</f>
        <v>0.03616</v>
      </c>
      <c r="H1450" s="4" t="str">
        <f>HYPERLINK("http://141.218.60.56/~jnz1568/getInfo.php?workbook=02_02.xlsx&amp;sheet=U0&amp;row=1450&amp;col=8&amp;number=&amp;sourceID=29","")</f>
        <v/>
      </c>
      <c r="I1450" s="4" t="str">
        <f>HYPERLINK("http://141.218.60.56/~jnz1568/getInfo.php?workbook=02_02.xlsx&amp;sheet=U0&amp;row=1450&amp;col=9&amp;number=&amp;sourceID=1","")</f>
        <v/>
      </c>
    </row>
    <row r="1451" spans="1:9">
      <c r="A1451" s="3">
        <v>2</v>
      </c>
      <c r="B1451" s="3">
        <v>2</v>
      </c>
      <c r="C1451" s="3">
        <v>27</v>
      </c>
      <c r="D1451" s="3">
        <v>3</v>
      </c>
      <c r="E1451" s="3">
        <v>1</v>
      </c>
      <c r="F1451" s="4" t="str">
        <f>HYPERLINK("http://141.218.60.56/~jnz1568/getInfo.php?workbook=02_02.xlsx&amp;sheet=U0&amp;row=1451&amp;col=6&amp;number=3.75&amp;sourceID=28","3.75")</f>
        <v>3.75</v>
      </c>
      <c r="G1451" s="4" t="str">
        <f>HYPERLINK("http://141.218.60.56/~jnz1568/getInfo.php?workbook=02_02.xlsx&amp;sheet=U0&amp;row=1451&amp;col=7&amp;number=0.02367&amp;sourceID=1","0.02367")</f>
        <v>0.02367</v>
      </c>
      <c r="H1451" s="4" t="str">
        <f>HYPERLINK("http://141.218.60.56/~jnz1568/getInfo.php?workbook=02_02.xlsx&amp;sheet=U0&amp;row=1451&amp;col=8&amp;number=&amp;sourceID=29","")</f>
        <v/>
      </c>
      <c r="I1451" s="4" t="str">
        <f>HYPERLINK("http://141.218.60.56/~jnz1568/getInfo.php?workbook=02_02.xlsx&amp;sheet=U0&amp;row=1451&amp;col=9&amp;number=&amp;sourceID=1","")</f>
        <v/>
      </c>
    </row>
    <row r="1452" spans="1:9">
      <c r="A1452" s="3"/>
      <c r="B1452" s="3"/>
      <c r="C1452" s="3"/>
      <c r="D1452" s="3"/>
      <c r="E1452" s="3">
        <v>2</v>
      </c>
      <c r="F1452" s="4" t="str">
        <f>HYPERLINK("http://141.218.60.56/~jnz1568/getInfo.php?workbook=02_02.xlsx&amp;sheet=U0&amp;row=1452&amp;col=6&amp;number=4&amp;sourceID=28","4")</f>
        <v>4</v>
      </c>
      <c r="G1452" s="4" t="str">
        <f>HYPERLINK("http://141.218.60.56/~jnz1568/getInfo.php?workbook=02_02.xlsx&amp;sheet=U0&amp;row=1452&amp;col=7&amp;number=0.01929&amp;sourceID=1","0.01929")</f>
        <v>0.01929</v>
      </c>
      <c r="H1452" s="4" t="str">
        <f>HYPERLINK("http://141.218.60.56/~jnz1568/getInfo.php?workbook=02_02.xlsx&amp;sheet=U0&amp;row=1452&amp;col=8&amp;number=&amp;sourceID=29","")</f>
        <v/>
      </c>
      <c r="I1452" s="4" t="str">
        <f>HYPERLINK("http://141.218.60.56/~jnz1568/getInfo.php?workbook=02_02.xlsx&amp;sheet=U0&amp;row=1452&amp;col=9&amp;number=&amp;sourceID=1","")</f>
        <v/>
      </c>
    </row>
    <row r="1453" spans="1:9">
      <c r="A1453" s="3"/>
      <c r="B1453" s="3"/>
      <c r="C1453" s="3"/>
      <c r="D1453" s="3"/>
      <c r="E1453" s="3">
        <v>3</v>
      </c>
      <c r="F1453" s="4" t="str">
        <f>HYPERLINK("http://141.218.60.56/~jnz1568/getInfo.php?workbook=02_02.xlsx&amp;sheet=U0&amp;row=1453&amp;col=6&amp;number=4.25&amp;sourceID=28","4.25")</f>
        <v>4.25</v>
      </c>
      <c r="G1453" s="4" t="str">
        <f>HYPERLINK("http://141.218.60.56/~jnz1568/getInfo.php?workbook=02_02.xlsx&amp;sheet=U0&amp;row=1453&amp;col=7&amp;number=0.01507&amp;sourceID=1","0.01507")</f>
        <v>0.01507</v>
      </c>
      <c r="H1453" s="4" t="str">
        <f>HYPERLINK("http://141.218.60.56/~jnz1568/getInfo.php?workbook=02_02.xlsx&amp;sheet=U0&amp;row=1453&amp;col=8&amp;number=&amp;sourceID=29","")</f>
        <v/>
      </c>
      <c r="I1453" s="4" t="str">
        <f>HYPERLINK("http://141.218.60.56/~jnz1568/getInfo.php?workbook=02_02.xlsx&amp;sheet=U0&amp;row=1453&amp;col=9&amp;number=&amp;sourceID=1","")</f>
        <v/>
      </c>
    </row>
    <row r="1454" spans="1:9">
      <c r="A1454" s="3"/>
      <c r="B1454" s="3"/>
      <c r="C1454" s="3"/>
      <c r="D1454" s="3"/>
      <c r="E1454" s="3">
        <v>4</v>
      </c>
      <c r="F1454" s="4" t="str">
        <f>HYPERLINK("http://141.218.60.56/~jnz1568/getInfo.php?workbook=02_02.xlsx&amp;sheet=U0&amp;row=1454&amp;col=6&amp;number=4.5&amp;sourceID=28","4.5")</f>
        <v>4.5</v>
      </c>
      <c r="G1454" s="4" t="str">
        <f>HYPERLINK("http://141.218.60.56/~jnz1568/getInfo.php?workbook=02_02.xlsx&amp;sheet=U0&amp;row=1454&amp;col=7&amp;number=0.0114&amp;sourceID=1","0.0114")</f>
        <v>0.0114</v>
      </c>
      <c r="H1454" s="4" t="str">
        <f>HYPERLINK("http://141.218.60.56/~jnz1568/getInfo.php?workbook=02_02.xlsx&amp;sheet=U0&amp;row=1454&amp;col=8&amp;number=&amp;sourceID=29","")</f>
        <v/>
      </c>
      <c r="I1454" s="4" t="str">
        <f>HYPERLINK("http://141.218.60.56/~jnz1568/getInfo.php?workbook=02_02.xlsx&amp;sheet=U0&amp;row=1454&amp;col=9&amp;number=&amp;sourceID=1","")</f>
        <v/>
      </c>
    </row>
    <row r="1455" spans="1:9">
      <c r="A1455" s="3"/>
      <c r="B1455" s="3"/>
      <c r="C1455" s="3"/>
      <c r="D1455" s="3"/>
      <c r="E1455" s="3">
        <v>5</v>
      </c>
      <c r="F1455" s="4" t="str">
        <f>HYPERLINK("http://141.218.60.56/~jnz1568/getInfo.php?workbook=02_02.xlsx&amp;sheet=U0&amp;row=1455&amp;col=6&amp;number=4.75&amp;sourceID=28","4.75")</f>
        <v>4.75</v>
      </c>
      <c r="G1455" s="4" t="str">
        <f>HYPERLINK("http://141.218.60.56/~jnz1568/getInfo.php?workbook=02_02.xlsx&amp;sheet=U0&amp;row=1455&amp;col=7&amp;number=0.008329&amp;sourceID=1","0.008329")</f>
        <v>0.008329</v>
      </c>
      <c r="H1455" s="4" t="str">
        <f>HYPERLINK("http://141.218.60.56/~jnz1568/getInfo.php?workbook=02_02.xlsx&amp;sheet=U0&amp;row=1455&amp;col=8&amp;number=&amp;sourceID=29","")</f>
        <v/>
      </c>
      <c r="I1455" s="4" t="str">
        <f>HYPERLINK("http://141.218.60.56/~jnz1568/getInfo.php?workbook=02_02.xlsx&amp;sheet=U0&amp;row=1455&amp;col=9&amp;number=&amp;sourceID=1","")</f>
        <v/>
      </c>
    </row>
    <row r="1456" spans="1:9">
      <c r="A1456" s="3"/>
      <c r="B1456" s="3"/>
      <c r="C1456" s="3"/>
      <c r="D1456" s="3"/>
      <c r="E1456" s="3">
        <v>6</v>
      </c>
      <c r="F1456" s="4" t="str">
        <f>HYPERLINK("http://141.218.60.56/~jnz1568/getInfo.php?workbook=02_02.xlsx&amp;sheet=U0&amp;row=1456&amp;col=6&amp;number=5&amp;sourceID=28","5")</f>
        <v>5</v>
      </c>
      <c r="G1456" s="4" t="str">
        <f>HYPERLINK("http://141.218.60.56/~jnz1568/getInfo.php?workbook=02_02.xlsx&amp;sheet=U0&amp;row=1456&amp;col=7&amp;number=0.005804&amp;sourceID=1","0.005804")</f>
        <v>0.005804</v>
      </c>
      <c r="H1456" s="4" t="str">
        <f>HYPERLINK("http://141.218.60.56/~jnz1568/getInfo.php?workbook=02_02.xlsx&amp;sheet=U0&amp;row=1456&amp;col=8&amp;number=&amp;sourceID=29","")</f>
        <v/>
      </c>
      <c r="I1456" s="4" t="str">
        <f>HYPERLINK("http://141.218.60.56/~jnz1568/getInfo.php?workbook=02_02.xlsx&amp;sheet=U0&amp;row=1456&amp;col=9&amp;number=&amp;sourceID=1","")</f>
        <v/>
      </c>
    </row>
    <row r="1457" spans="1:9">
      <c r="A1457" s="3"/>
      <c r="B1457" s="3"/>
      <c r="C1457" s="3"/>
      <c r="D1457" s="3"/>
      <c r="E1457" s="3">
        <v>7</v>
      </c>
      <c r="F1457" s="4" t="str">
        <f>HYPERLINK("http://141.218.60.56/~jnz1568/getInfo.php?workbook=02_02.xlsx&amp;sheet=U0&amp;row=1457&amp;col=6&amp;number=5.25&amp;sourceID=28","5.25")</f>
        <v>5.25</v>
      </c>
      <c r="G1457" s="4" t="str">
        <f>HYPERLINK("http://141.218.60.56/~jnz1568/getInfo.php?workbook=02_02.xlsx&amp;sheet=U0&amp;row=1457&amp;col=7&amp;number=0.003842&amp;sourceID=1","0.003842")</f>
        <v>0.003842</v>
      </c>
      <c r="H1457" s="4" t="str">
        <f>HYPERLINK("http://141.218.60.56/~jnz1568/getInfo.php?workbook=02_02.xlsx&amp;sheet=U0&amp;row=1457&amp;col=8&amp;number=&amp;sourceID=29","")</f>
        <v/>
      </c>
      <c r="I1457" s="4" t="str">
        <f>HYPERLINK("http://141.218.60.56/~jnz1568/getInfo.php?workbook=02_02.xlsx&amp;sheet=U0&amp;row=1457&amp;col=9&amp;number=&amp;sourceID=1","")</f>
        <v/>
      </c>
    </row>
    <row r="1458" spans="1:9">
      <c r="A1458" s="3"/>
      <c r="B1458" s="3"/>
      <c r="C1458" s="3"/>
      <c r="D1458" s="3"/>
      <c r="E1458" s="3">
        <v>8</v>
      </c>
      <c r="F1458" s="4" t="str">
        <f>HYPERLINK("http://141.218.60.56/~jnz1568/getInfo.php?workbook=02_02.xlsx&amp;sheet=U0&amp;row=1458&amp;col=6&amp;number=5.5&amp;sourceID=28","5.5")</f>
        <v>5.5</v>
      </c>
      <c r="G1458" s="4" t="str">
        <f>HYPERLINK("http://141.218.60.56/~jnz1568/getInfo.php?workbook=02_02.xlsx&amp;sheet=U0&amp;row=1458&amp;col=7&amp;number=0.002429&amp;sourceID=1","0.002429")</f>
        <v>0.002429</v>
      </c>
      <c r="H1458" s="4" t="str">
        <f>HYPERLINK("http://141.218.60.56/~jnz1568/getInfo.php?workbook=02_02.xlsx&amp;sheet=U0&amp;row=1458&amp;col=8&amp;number=&amp;sourceID=29","")</f>
        <v/>
      </c>
      <c r="I1458" s="4" t="str">
        <f>HYPERLINK("http://141.218.60.56/~jnz1568/getInfo.php?workbook=02_02.xlsx&amp;sheet=U0&amp;row=1458&amp;col=9&amp;number=&amp;sourceID=1","")</f>
        <v/>
      </c>
    </row>
    <row r="1459" spans="1:9">
      <c r="A1459" s="3"/>
      <c r="B1459" s="3"/>
      <c r="C1459" s="3"/>
      <c r="D1459" s="3"/>
      <c r="E1459" s="3">
        <v>9</v>
      </c>
      <c r="F1459" s="4" t="str">
        <f>HYPERLINK("http://141.218.60.56/~jnz1568/getInfo.php?workbook=02_02.xlsx&amp;sheet=U0&amp;row=1459&amp;col=6&amp;number=5.75&amp;sourceID=28","5.75")</f>
        <v>5.75</v>
      </c>
      <c r="G1459" s="4" t="str">
        <f>HYPERLINK("http://141.218.60.56/~jnz1568/getInfo.php?workbook=02_02.xlsx&amp;sheet=U0&amp;row=1459&amp;col=7&amp;number=0.001486&amp;sourceID=1","0.001486")</f>
        <v>0.001486</v>
      </c>
      <c r="H1459" s="4" t="str">
        <f>HYPERLINK("http://141.218.60.56/~jnz1568/getInfo.php?workbook=02_02.xlsx&amp;sheet=U0&amp;row=1459&amp;col=8&amp;number=&amp;sourceID=29","")</f>
        <v/>
      </c>
      <c r="I1459" s="4" t="str">
        <f>HYPERLINK("http://141.218.60.56/~jnz1568/getInfo.php?workbook=02_02.xlsx&amp;sheet=U0&amp;row=1459&amp;col=9&amp;number=&amp;sourceID=1","")</f>
        <v/>
      </c>
    </row>
    <row r="1460" spans="1:9">
      <c r="A1460" s="3">
        <v>2</v>
      </c>
      <c r="B1460" s="3">
        <v>2</v>
      </c>
      <c r="C1460" s="3">
        <v>27</v>
      </c>
      <c r="D1460" s="3">
        <v>4</v>
      </c>
      <c r="E1460" s="3">
        <v>1</v>
      </c>
      <c r="F1460" s="4" t="str">
        <f>HYPERLINK("http://141.218.60.56/~jnz1568/getInfo.php?workbook=02_02.xlsx&amp;sheet=U0&amp;row=1460&amp;col=6&amp;number=3.75&amp;sourceID=28","3.75")</f>
        <v>3.75</v>
      </c>
      <c r="G1460" s="4" t="str">
        <f>HYPERLINK("http://141.218.60.56/~jnz1568/getInfo.php?workbook=02_02.xlsx&amp;sheet=U0&amp;row=1460&amp;col=7&amp;number=0.6103&amp;sourceID=1","0.6103")</f>
        <v>0.6103</v>
      </c>
      <c r="H1460" s="4" t="str">
        <f>HYPERLINK("http://141.218.60.56/~jnz1568/getInfo.php?workbook=02_02.xlsx&amp;sheet=U0&amp;row=1460&amp;col=8&amp;number=&amp;sourceID=29","")</f>
        <v/>
      </c>
      <c r="I1460" s="4" t="str">
        <f>HYPERLINK("http://141.218.60.56/~jnz1568/getInfo.php?workbook=02_02.xlsx&amp;sheet=U0&amp;row=1460&amp;col=9&amp;number=&amp;sourceID=1","")</f>
        <v/>
      </c>
    </row>
    <row r="1461" spans="1:9">
      <c r="A1461" s="3"/>
      <c r="B1461" s="3"/>
      <c r="C1461" s="3"/>
      <c r="D1461" s="3"/>
      <c r="E1461" s="3">
        <v>2</v>
      </c>
      <c r="F1461" s="4" t="str">
        <f>HYPERLINK("http://141.218.60.56/~jnz1568/getInfo.php?workbook=02_02.xlsx&amp;sheet=U0&amp;row=1461&amp;col=6&amp;number=4&amp;sourceID=28","4")</f>
        <v>4</v>
      </c>
      <c r="G1461" s="4" t="str">
        <f>HYPERLINK("http://141.218.60.56/~jnz1568/getInfo.php?workbook=02_02.xlsx&amp;sheet=U0&amp;row=1461&amp;col=7&amp;number=0.5874&amp;sourceID=1","0.5874")</f>
        <v>0.5874</v>
      </c>
      <c r="H1461" s="4" t="str">
        <f>HYPERLINK("http://141.218.60.56/~jnz1568/getInfo.php?workbook=02_02.xlsx&amp;sheet=U0&amp;row=1461&amp;col=8&amp;number=&amp;sourceID=29","")</f>
        <v/>
      </c>
      <c r="I1461" s="4" t="str">
        <f>HYPERLINK("http://141.218.60.56/~jnz1568/getInfo.php?workbook=02_02.xlsx&amp;sheet=U0&amp;row=1461&amp;col=9&amp;number=&amp;sourceID=1","")</f>
        <v/>
      </c>
    </row>
    <row r="1462" spans="1:9">
      <c r="A1462" s="3"/>
      <c r="B1462" s="3"/>
      <c r="C1462" s="3"/>
      <c r="D1462" s="3"/>
      <c r="E1462" s="3">
        <v>3</v>
      </c>
      <c r="F1462" s="4" t="str">
        <f>HYPERLINK("http://141.218.60.56/~jnz1568/getInfo.php?workbook=02_02.xlsx&amp;sheet=U0&amp;row=1462&amp;col=6&amp;number=4.25&amp;sourceID=28","4.25")</f>
        <v>4.25</v>
      </c>
      <c r="G1462" s="4" t="str">
        <f>HYPERLINK("http://141.218.60.56/~jnz1568/getInfo.php?workbook=02_02.xlsx&amp;sheet=U0&amp;row=1462&amp;col=7&amp;number=0.5743&amp;sourceID=1","0.5743")</f>
        <v>0.5743</v>
      </c>
      <c r="H1462" s="4" t="str">
        <f>HYPERLINK("http://141.218.60.56/~jnz1568/getInfo.php?workbook=02_02.xlsx&amp;sheet=U0&amp;row=1462&amp;col=8&amp;number=&amp;sourceID=29","")</f>
        <v/>
      </c>
      <c r="I1462" s="4" t="str">
        <f>HYPERLINK("http://141.218.60.56/~jnz1568/getInfo.php?workbook=02_02.xlsx&amp;sheet=U0&amp;row=1462&amp;col=9&amp;number=&amp;sourceID=1","")</f>
        <v/>
      </c>
    </row>
    <row r="1463" spans="1:9">
      <c r="A1463" s="3"/>
      <c r="B1463" s="3"/>
      <c r="C1463" s="3"/>
      <c r="D1463" s="3"/>
      <c r="E1463" s="3">
        <v>4</v>
      </c>
      <c r="F1463" s="4" t="str">
        <f>HYPERLINK("http://141.218.60.56/~jnz1568/getInfo.php?workbook=02_02.xlsx&amp;sheet=U0&amp;row=1463&amp;col=6&amp;number=4.5&amp;sourceID=28","4.5")</f>
        <v>4.5</v>
      </c>
      <c r="G1463" s="4" t="str">
        <f>HYPERLINK("http://141.218.60.56/~jnz1568/getInfo.php?workbook=02_02.xlsx&amp;sheet=U0&amp;row=1463&amp;col=7&amp;number=0.5844&amp;sourceID=1","0.5844")</f>
        <v>0.5844</v>
      </c>
      <c r="H1463" s="4" t="str">
        <f>HYPERLINK("http://141.218.60.56/~jnz1568/getInfo.php?workbook=02_02.xlsx&amp;sheet=U0&amp;row=1463&amp;col=8&amp;number=&amp;sourceID=29","")</f>
        <v/>
      </c>
      <c r="I1463" s="4" t="str">
        <f>HYPERLINK("http://141.218.60.56/~jnz1568/getInfo.php?workbook=02_02.xlsx&amp;sheet=U0&amp;row=1463&amp;col=9&amp;number=&amp;sourceID=1","")</f>
        <v/>
      </c>
    </row>
    <row r="1464" spans="1:9">
      <c r="A1464" s="3"/>
      <c r="B1464" s="3"/>
      <c r="C1464" s="3"/>
      <c r="D1464" s="3"/>
      <c r="E1464" s="3">
        <v>5</v>
      </c>
      <c r="F1464" s="4" t="str">
        <f>HYPERLINK("http://141.218.60.56/~jnz1568/getInfo.php?workbook=02_02.xlsx&amp;sheet=U0&amp;row=1464&amp;col=6&amp;number=4.75&amp;sourceID=28","4.75")</f>
        <v>4.75</v>
      </c>
      <c r="G1464" s="4" t="str">
        <f>HYPERLINK("http://141.218.60.56/~jnz1568/getInfo.php?workbook=02_02.xlsx&amp;sheet=U0&amp;row=1464&amp;col=7&amp;number=0.6035&amp;sourceID=1","0.6035")</f>
        <v>0.6035</v>
      </c>
      <c r="H1464" s="4" t="str">
        <f>HYPERLINK("http://141.218.60.56/~jnz1568/getInfo.php?workbook=02_02.xlsx&amp;sheet=U0&amp;row=1464&amp;col=8&amp;number=&amp;sourceID=29","")</f>
        <v/>
      </c>
      <c r="I1464" s="4" t="str">
        <f>HYPERLINK("http://141.218.60.56/~jnz1568/getInfo.php?workbook=02_02.xlsx&amp;sheet=U0&amp;row=1464&amp;col=9&amp;number=&amp;sourceID=1","")</f>
        <v/>
      </c>
    </row>
    <row r="1465" spans="1:9">
      <c r="A1465" s="3"/>
      <c r="B1465" s="3"/>
      <c r="C1465" s="3"/>
      <c r="D1465" s="3"/>
      <c r="E1465" s="3">
        <v>6</v>
      </c>
      <c r="F1465" s="4" t="str">
        <f>HYPERLINK("http://141.218.60.56/~jnz1568/getInfo.php?workbook=02_02.xlsx&amp;sheet=U0&amp;row=1465&amp;col=6&amp;number=5&amp;sourceID=28","5")</f>
        <v>5</v>
      </c>
      <c r="G1465" s="4" t="str">
        <f>HYPERLINK("http://141.218.60.56/~jnz1568/getInfo.php?workbook=02_02.xlsx&amp;sheet=U0&amp;row=1465&amp;col=7&amp;number=0.6009&amp;sourceID=1","0.6009")</f>
        <v>0.6009</v>
      </c>
      <c r="H1465" s="4" t="str">
        <f>HYPERLINK("http://141.218.60.56/~jnz1568/getInfo.php?workbook=02_02.xlsx&amp;sheet=U0&amp;row=1465&amp;col=8&amp;number=&amp;sourceID=29","")</f>
        <v/>
      </c>
      <c r="I1465" s="4" t="str">
        <f>HYPERLINK("http://141.218.60.56/~jnz1568/getInfo.php?workbook=02_02.xlsx&amp;sheet=U0&amp;row=1465&amp;col=9&amp;number=&amp;sourceID=1","")</f>
        <v/>
      </c>
    </row>
    <row r="1466" spans="1:9">
      <c r="A1466" s="3"/>
      <c r="B1466" s="3"/>
      <c r="C1466" s="3"/>
      <c r="D1466" s="3"/>
      <c r="E1466" s="3">
        <v>7</v>
      </c>
      <c r="F1466" s="4" t="str">
        <f>HYPERLINK("http://141.218.60.56/~jnz1568/getInfo.php?workbook=02_02.xlsx&amp;sheet=U0&amp;row=1466&amp;col=6&amp;number=5.25&amp;sourceID=28","5.25")</f>
        <v>5.25</v>
      </c>
      <c r="G1466" s="4" t="str">
        <f>HYPERLINK("http://141.218.60.56/~jnz1568/getInfo.php?workbook=02_02.xlsx&amp;sheet=U0&amp;row=1466&amp;col=7&amp;number=0.5601&amp;sourceID=1","0.5601")</f>
        <v>0.5601</v>
      </c>
      <c r="H1466" s="4" t="str">
        <f>HYPERLINK("http://141.218.60.56/~jnz1568/getInfo.php?workbook=02_02.xlsx&amp;sheet=U0&amp;row=1466&amp;col=8&amp;number=&amp;sourceID=29","")</f>
        <v/>
      </c>
      <c r="I1466" s="4" t="str">
        <f>HYPERLINK("http://141.218.60.56/~jnz1568/getInfo.php?workbook=02_02.xlsx&amp;sheet=U0&amp;row=1466&amp;col=9&amp;number=&amp;sourceID=1","")</f>
        <v/>
      </c>
    </row>
    <row r="1467" spans="1:9">
      <c r="A1467" s="3"/>
      <c r="B1467" s="3"/>
      <c r="C1467" s="3"/>
      <c r="D1467" s="3"/>
      <c r="E1467" s="3">
        <v>8</v>
      </c>
      <c r="F1467" s="4" t="str">
        <f>HYPERLINK("http://141.218.60.56/~jnz1568/getInfo.php?workbook=02_02.xlsx&amp;sheet=U0&amp;row=1467&amp;col=6&amp;number=5.5&amp;sourceID=28","5.5")</f>
        <v>5.5</v>
      </c>
      <c r="G1467" s="4" t="str">
        <f>HYPERLINK("http://141.218.60.56/~jnz1568/getInfo.php?workbook=02_02.xlsx&amp;sheet=U0&amp;row=1467&amp;col=7&amp;number=0.4928&amp;sourceID=1","0.4928")</f>
        <v>0.4928</v>
      </c>
      <c r="H1467" s="4" t="str">
        <f>HYPERLINK("http://141.218.60.56/~jnz1568/getInfo.php?workbook=02_02.xlsx&amp;sheet=U0&amp;row=1467&amp;col=8&amp;number=&amp;sourceID=29","")</f>
        <v/>
      </c>
      <c r="I1467" s="4" t="str">
        <f>HYPERLINK("http://141.218.60.56/~jnz1568/getInfo.php?workbook=02_02.xlsx&amp;sheet=U0&amp;row=1467&amp;col=9&amp;number=&amp;sourceID=1","")</f>
        <v/>
      </c>
    </row>
    <row r="1468" spans="1:9">
      <c r="A1468" s="3"/>
      <c r="B1468" s="3"/>
      <c r="C1468" s="3"/>
      <c r="D1468" s="3"/>
      <c r="E1468" s="3">
        <v>9</v>
      </c>
      <c r="F1468" s="4" t="str">
        <f>HYPERLINK("http://141.218.60.56/~jnz1568/getInfo.php?workbook=02_02.xlsx&amp;sheet=U0&amp;row=1468&amp;col=6&amp;number=5.75&amp;sourceID=28","5.75")</f>
        <v>5.75</v>
      </c>
      <c r="G1468" s="4" t="str">
        <f>HYPERLINK("http://141.218.60.56/~jnz1568/getInfo.php?workbook=02_02.xlsx&amp;sheet=U0&amp;row=1468&amp;col=7&amp;number=0.4207&amp;sourceID=1","0.4207")</f>
        <v>0.4207</v>
      </c>
      <c r="H1468" s="4" t="str">
        <f>HYPERLINK("http://141.218.60.56/~jnz1568/getInfo.php?workbook=02_02.xlsx&amp;sheet=U0&amp;row=1468&amp;col=8&amp;number=&amp;sourceID=29","")</f>
        <v/>
      </c>
      <c r="I1468" s="4" t="str">
        <f>HYPERLINK("http://141.218.60.56/~jnz1568/getInfo.php?workbook=02_02.xlsx&amp;sheet=U0&amp;row=1468&amp;col=9&amp;number=&amp;sourceID=1","")</f>
        <v/>
      </c>
    </row>
    <row r="1469" spans="1:9">
      <c r="A1469" s="3">
        <v>2</v>
      </c>
      <c r="B1469" s="3">
        <v>2</v>
      </c>
      <c r="C1469" s="3">
        <v>28</v>
      </c>
      <c r="D1469" s="3">
        <v>1</v>
      </c>
      <c r="E1469" s="3">
        <v>1</v>
      </c>
      <c r="F1469" s="4" t="str">
        <f>HYPERLINK("http://141.218.60.56/~jnz1568/getInfo.php?workbook=02_02.xlsx&amp;sheet=U0&amp;row=1469&amp;col=6&amp;number=3.75&amp;sourceID=28","3.75")</f>
        <v>3.75</v>
      </c>
      <c r="G1469" s="4" t="str">
        <f>HYPERLINK("http://141.218.60.56/~jnz1568/getInfo.php?workbook=02_02.xlsx&amp;sheet=U0&amp;row=1469&amp;col=7&amp;number=0.0001938&amp;sourceID=1","0.0001938")</f>
        <v>0.0001938</v>
      </c>
      <c r="H1469" s="4" t="str">
        <f>HYPERLINK("http://141.218.60.56/~jnz1568/getInfo.php?workbook=02_02.xlsx&amp;sheet=U0&amp;row=1469&amp;col=8&amp;number=&amp;sourceID=29","")</f>
        <v/>
      </c>
      <c r="I1469" s="4" t="str">
        <f>HYPERLINK("http://141.218.60.56/~jnz1568/getInfo.php?workbook=02_02.xlsx&amp;sheet=U0&amp;row=1469&amp;col=9&amp;number=&amp;sourceID=1","")</f>
        <v/>
      </c>
    </row>
    <row r="1470" spans="1:9">
      <c r="A1470" s="3"/>
      <c r="B1470" s="3"/>
      <c r="C1470" s="3"/>
      <c r="D1470" s="3"/>
      <c r="E1470" s="3">
        <v>2</v>
      </c>
      <c r="F1470" s="4" t="str">
        <f>HYPERLINK("http://141.218.60.56/~jnz1568/getInfo.php?workbook=02_02.xlsx&amp;sheet=U0&amp;row=1470&amp;col=6&amp;number=4&amp;sourceID=28","4")</f>
        <v>4</v>
      </c>
      <c r="G1470" s="4" t="str">
        <f>HYPERLINK("http://141.218.60.56/~jnz1568/getInfo.php?workbook=02_02.xlsx&amp;sheet=U0&amp;row=1470&amp;col=7&amp;number=0.0001551&amp;sourceID=1","0.0001551")</f>
        <v>0.0001551</v>
      </c>
      <c r="H1470" s="4" t="str">
        <f>HYPERLINK("http://141.218.60.56/~jnz1568/getInfo.php?workbook=02_02.xlsx&amp;sheet=U0&amp;row=1470&amp;col=8&amp;number=&amp;sourceID=29","")</f>
        <v/>
      </c>
      <c r="I1470" s="4" t="str">
        <f>HYPERLINK("http://141.218.60.56/~jnz1568/getInfo.php?workbook=02_02.xlsx&amp;sheet=U0&amp;row=1470&amp;col=9&amp;number=&amp;sourceID=1","")</f>
        <v/>
      </c>
    </row>
    <row r="1471" spans="1:9">
      <c r="A1471" s="3"/>
      <c r="B1471" s="3"/>
      <c r="C1471" s="3"/>
      <c r="D1471" s="3"/>
      <c r="E1471" s="3">
        <v>3</v>
      </c>
      <c r="F1471" s="4" t="str">
        <f>HYPERLINK("http://141.218.60.56/~jnz1568/getInfo.php?workbook=02_02.xlsx&amp;sheet=U0&amp;row=1471&amp;col=6&amp;number=4.25&amp;sourceID=28","4.25")</f>
        <v>4.25</v>
      </c>
      <c r="G1471" s="4" t="str">
        <f>HYPERLINK("http://141.218.60.56/~jnz1568/getInfo.php?workbook=02_02.xlsx&amp;sheet=U0&amp;row=1471&amp;col=7&amp;number=0.0001158&amp;sourceID=1","0.0001158")</f>
        <v>0.0001158</v>
      </c>
      <c r="H1471" s="4" t="str">
        <f>HYPERLINK("http://141.218.60.56/~jnz1568/getInfo.php?workbook=02_02.xlsx&amp;sheet=U0&amp;row=1471&amp;col=8&amp;number=&amp;sourceID=29","")</f>
        <v/>
      </c>
      <c r="I1471" s="4" t="str">
        <f>HYPERLINK("http://141.218.60.56/~jnz1568/getInfo.php?workbook=02_02.xlsx&amp;sheet=U0&amp;row=1471&amp;col=9&amp;number=&amp;sourceID=1","")</f>
        <v/>
      </c>
    </row>
    <row r="1472" spans="1:9">
      <c r="A1472" s="3"/>
      <c r="B1472" s="3"/>
      <c r="C1472" s="3"/>
      <c r="D1472" s="3"/>
      <c r="E1472" s="3">
        <v>4</v>
      </c>
      <c r="F1472" s="4" t="str">
        <f>HYPERLINK("http://141.218.60.56/~jnz1568/getInfo.php?workbook=02_02.xlsx&amp;sheet=U0&amp;row=1472&amp;col=6&amp;number=4.5&amp;sourceID=28","4.5")</f>
        <v>4.5</v>
      </c>
      <c r="G1472" s="4" t="str">
        <f>HYPERLINK("http://141.218.60.56/~jnz1568/getInfo.php?workbook=02_02.xlsx&amp;sheet=U0&amp;row=1472&amp;col=7&amp;number=8.143e-05&amp;sourceID=1","8.143e-05")</f>
        <v>8.143e-05</v>
      </c>
      <c r="H1472" s="4" t="str">
        <f>HYPERLINK("http://141.218.60.56/~jnz1568/getInfo.php?workbook=02_02.xlsx&amp;sheet=U0&amp;row=1472&amp;col=8&amp;number=&amp;sourceID=29","")</f>
        <v/>
      </c>
      <c r="I1472" s="4" t="str">
        <f>HYPERLINK("http://141.218.60.56/~jnz1568/getInfo.php?workbook=02_02.xlsx&amp;sheet=U0&amp;row=1472&amp;col=9&amp;number=&amp;sourceID=1","")</f>
        <v/>
      </c>
    </row>
    <row r="1473" spans="1:9">
      <c r="A1473" s="3"/>
      <c r="B1473" s="3"/>
      <c r="C1473" s="3"/>
      <c r="D1473" s="3"/>
      <c r="E1473" s="3">
        <v>5</v>
      </c>
      <c r="F1473" s="4" t="str">
        <f>HYPERLINK("http://141.218.60.56/~jnz1568/getInfo.php?workbook=02_02.xlsx&amp;sheet=U0&amp;row=1473&amp;col=6&amp;number=4.75&amp;sourceID=28","4.75")</f>
        <v>4.75</v>
      </c>
      <c r="G1473" s="4" t="str">
        <f>HYPERLINK("http://141.218.60.56/~jnz1568/getInfo.php?workbook=02_02.xlsx&amp;sheet=U0&amp;row=1473&amp;col=7&amp;number=5.484e-05&amp;sourceID=1","5.484e-05")</f>
        <v>5.484e-05</v>
      </c>
      <c r="H1473" s="4" t="str">
        <f>HYPERLINK("http://141.218.60.56/~jnz1568/getInfo.php?workbook=02_02.xlsx&amp;sheet=U0&amp;row=1473&amp;col=8&amp;number=&amp;sourceID=29","")</f>
        <v/>
      </c>
      <c r="I1473" s="4" t="str">
        <f>HYPERLINK("http://141.218.60.56/~jnz1568/getInfo.php?workbook=02_02.xlsx&amp;sheet=U0&amp;row=1473&amp;col=9&amp;number=&amp;sourceID=1","")</f>
        <v/>
      </c>
    </row>
    <row r="1474" spans="1:9">
      <c r="A1474" s="3"/>
      <c r="B1474" s="3"/>
      <c r="C1474" s="3"/>
      <c r="D1474" s="3"/>
      <c r="E1474" s="3">
        <v>6</v>
      </c>
      <c r="F1474" s="4" t="str">
        <f>HYPERLINK("http://141.218.60.56/~jnz1568/getInfo.php?workbook=02_02.xlsx&amp;sheet=U0&amp;row=1474&amp;col=6&amp;number=5&amp;sourceID=28","5")</f>
        <v>5</v>
      </c>
      <c r="G1474" s="4" t="str">
        <f>HYPERLINK("http://141.218.60.56/~jnz1568/getInfo.php?workbook=02_02.xlsx&amp;sheet=U0&amp;row=1474&amp;col=7&amp;number=3.64e-05&amp;sourceID=1","3.64e-05")</f>
        <v>3.64e-05</v>
      </c>
      <c r="H1474" s="4" t="str">
        <f>HYPERLINK("http://141.218.60.56/~jnz1568/getInfo.php?workbook=02_02.xlsx&amp;sheet=U0&amp;row=1474&amp;col=8&amp;number=&amp;sourceID=29","")</f>
        <v/>
      </c>
      <c r="I1474" s="4" t="str">
        <f>HYPERLINK("http://141.218.60.56/~jnz1568/getInfo.php?workbook=02_02.xlsx&amp;sheet=U0&amp;row=1474&amp;col=9&amp;number=&amp;sourceID=1","")</f>
        <v/>
      </c>
    </row>
    <row r="1475" spans="1:9">
      <c r="A1475" s="3"/>
      <c r="B1475" s="3"/>
      <c r="C1475" s="3"/>
      <c r="D1475" s="3"/>
      <c r="E1475" s="3">
        <v>7</v>
      </c>
      <c r="F1475" s="4" t="str">
        <f>HYPERLINK("http://141.218.60.56/~jnz1568/getInfo.php?workbook=02_02.xlsx&amp;sheet=U0&amp;row=1475&amp;col=6&amp;number=5.25&amp;sourceID=28","5.25")</f>
        <v>5.25</v>
      </c>
      <c r="G1475" s="4" t="str">
        <f>HYPERLINK("http://141.218.60.56/~jnz1568/getInfo.php?workbook=02_02.xlsx&amp;sheet=U0&amp;row=1475&amp;col=7&amp;number=2.473e-05&amp;sourceID=1","2.473e-05")</f>
        <v>2.473e-05</v>
      </c>
      <c r="H1475" s="4" t="str">
        <f>HYPERLINK("http://141.218.60.56/~jnz1568/getInfo.php?workbook=02_02.xlsx&amp;sheet=U0&amp;row=1475&amp;col=8&amp;number=&amp;sourceID=29","")</f>
        <v/>
      </c>
      <c r="I1475" s="4" t="str">
        <f>HYPERLINK("http://141.218.60.56/~jnz1568/getInfo.php?workbook=02_02.xlsx&amp;sheet=U0&amp;row=1475&amp;col=9&amp;number=&amp;sourceID=1","")</f>
        <v/>
      </c>
    </row>
    <row r="1476" spans="1:9">
      <c r="A1476" s="3"/>
      <c r="B1476" s="3"/>
      <c r="C1476" s="3"/>
      <c r="D1476" s="3"/>
      <c r="E1476" s="3">
        <v>8</v>
      </c>
      <c r="F1476" s="4" t="str">
        <f>HYPERLINK("http://141.218.60.56/~jnz1568/getInfo.php?workbook=02_02.xlsx&amp;sheet=U0&amp;row=1476&amp;col=6&amp;number=5.5&amp;sourceID=28","5.5")</f>
        <v>5.5</v>
      </c>
      <c r="G1476" s="4" t="str">
        <f>HYPERLINK("http://141.218.60.56/~jnz1568/getInfo.php?workbook=02_02.xlsx&amp;sheet=U0&amp;row=1476&amp;col=7&amp;number=1.742e-05&amp;sourceID=1","1.742e-05")</f>
        <v>1.742e-05</v>
      </c>
      <c r="H1476" s="4" t="str">
        <f>HYPERLINK("http://141.218.60.56/~jnz1568/getInfo.php?workbook=02_02.xlsx&amp;sheet=U0&amp;row=1476&amp;col=8&amp;number=&amp;sourceID=29","")</f>
        <v/>
      </c>
      <c r="I1476" s="4" t="str">
        <f>HYPERLINK("http://141.218.60.56/~jnz1568/getInfo.php?workbook=02_02.xlsx&amp;sheet=U0&amp;row=1476&amp;col=9&amp;number=&amp;sourceID=1","")</f>
        <v/>
      </c>
    </row>
    <row r="1477" spans="1:9">
      <c r="A1477" s="3"/>
      <c r="B1477" s="3"/>
      <c r="C1477" s="3"/>
      <c r="D1477" s="3"/>
      <c r="E1477" s="3">
        <v>9</v>
      </c>
      <c r="F1477" s="4" t="str">
        <f>HYPERLINK("http://141.218.60.56/~jnz1568/getInfo.php?workbook=02_02.xlsx&amp;sheet=U0&amp;row=1477&amp;col=6&amp;number=5.75&amp;sourceID=28","5.75")</f>
        <v>5.75</v>
      </c>
      <c r="G1477" s="4" t="str">
        <f>HYPERLINK("http://141.218.60.56/~jnz1568/getInfo.php?workbook=02_02.xlsx&amp;sheet=U0&amp;row=1477&amp;col=7&amp;number=1.244e-05&amp;sourceID=1","1.244e-05")</f>
        <v>1.244e-05</v>
      </c>
      <c r="H1477" s="4" t="str">
        <f>HYPERLINK("http://141.218.60.56/~jnz1568/getInfo.php?workbook=02_02.xlsx&amp;sheet=U0&amp;row=1477&amp;col=8&amp;number=&amp;sourceID=29","")</f>
        <v/>
      </c>
      <c r="I1477" s="4" t="str">
        <f>HYPERLINK("http://141.218.60.56/~jnz1568/getInfo.php?workbook=02_02.xlsx&amp;sheet=U0&amp;row=1477&amp;col=9&amp;number=&amp;sourceID=1","")</f>
        <v/>
      </c>
    </row>
    <row r="1478" spans="1:9">
      <c r="A1478" s="3">
        <v>2</v>
      </c>
      <c r="B1478" s="3">
        <v>2</v>
      </c>
      <c r="C1478" s="3">
        <v>28</v>
      </c>
      <c r="D1478" s="3">
        <v>2</v>
      </c>
      <c r="E1478" s="3">
        <v>1</v>
      </c>
      <c r="F1478" s="4" t="str">
        <f>HYPERLINK("http://141.218.60.56/~jnz1568/getInfo.php?workbook=02_02.xlsx&amp;sheet=U0&amp;row=1478&amp;col=6&amp;number=3.75&amp;sourceID=28","3.75")</f>
        <v>3.75</v>
      </c>
      <c r="G1478" s="4" t="str">
        <f>HYPERLINK("http://141.218.60.56/~jnz1568/getInfo.php?workbook=02_02.xlsx&amp;sheet=U0&amp;row=1478&amp;col=7&amp;number=0.01409&amp;sourceID=1","0.01409")</f>
        <v>0.01409</v>
      </c>
      <c r="H1478" s="4" t="str">
        <f>HYPERLINK("http://141.218.60.56/~jnz1568/getInfo.php?workbook=02_02.xlsx&amp;sheet=U0&amp;row=1478&amp;col=8&amp;number=&amp;sourceID=29","")</f>
        <v/>
      </c>
      <c r="I1478" s="4" t="str">
        <f>HYPERLINK("http://141.218.60.56/~jnz1568/getInfo.php?workbook=02_02.xlsx&amp;sheet=U0&amp;row=1478&amp;col=9&amp;number=&amp;sourceID=1","")</f>
        <v/>
      </c>
    </row>
    <row r="1479" spans="1:9">
      <c r="A1479" s="3"/>
      <c r="B1479" s="3"/>
      <c r="C1479" s="3"/>
      <c r="D1479" s="3"/>
      <c r="E1479" s="3">
        <v>2</v>
      </c>
      <c r="F1479" s="4" t="str">
        <f>HYPERLINK("http://141.218.60.56/~jnz1568/getInfo.php?workbook=02_02.xlsx&amp;sheet=U0&amp;row=1479&amp;col=6&amp;number=4&amp;sourceID=28","4")</f>
        <v>4</v>
      </c>
      <c r="G1479" s="4" t="str">
        <f>HYPERLINK("http://141.218.60.56/~jnz1568/getInfo.php?workbook=02_02.xlsx&amp;sheet=U0&amp;row=1479&amp;col=7&amp;number=0.01175&amp;sourceID=1","0.01175")</f>
        <v>0.01175</v>
      </c>
      <c r="H1479" s="4" t="str">
        <f>HYPERLINK("http://141.218.60.56/~jnz1568/getInfo.php?workbook=02_02.xlsx&amp;sheet=U0&amp;row=1479&amp;col=8&amp;number=&amp;sourceID=29","")</f>
        <v/>
      </c>
      <c r="I1479" s="4" t="str">
        <f>HYPERLINK("http://141.218.60.56/~jnz1568/getInfo.php?workbook=02_02.xlsx&amp;sheet=U0&amp;row=1479&amp;col=9&amp;number=&amp;sourceID=1","")</f>
        <v/>
      </c>
    </row>
    <row r="1480" spans="1:9">
      <c r="A1480" s="3"/>
      <c r="B1480" s="3"/>
      <c r="C1480" s="3"/>
      <c r="D1480" s="3"/>
      <c r="E1480" s="3">
        <v>3</v>
      </c>
      <c r="F1480" s="4" t="str">
        <f>HYPERLINK("http://141.218.60.56/~jnz1568/getInfo.php?workbook=02_02.xlsx&amp;sheet=U0&amp;row=1480&amp;col=6&amp;number=4.25&amp;sourceID=28","4.25")</f>
        <v>4.25</v>
      </c>
      <c r="G1480" s="4" t="str">
        <f>HYPERLINK("http://141.218.60.56/~jnz1568/getInfo.php?workbook=02_02.xlsx&amp;sheet=U0&amp;row=1480&amp;col=7&amp;number=0.009224&amp;sourceID=1","0.009224")</f>
        <v>0.009224</v>
      </c>
      <c r="H1480" s="4" t="str">
        <f>HYPERLINK("http://141.218.60.56/~jnz1568/getInfo.php?workbook=02_02.xlsx&amp;sheet=U0&amp;row=1480&amp;col=8&amp;number=&amp;sourceID=29","")</f>
        <v/>
      </c>
      <c r="I1480" s="4" t="str">
        <f>HYPERLINK("http://141.218.60.56/~jnz1568/getInfo.php?workbook=02_02.xlsx&amp;sheet=U0&amp;row=1480&amp;col=9&amp;number=&amp;sourceID=1","")</f>
        <v/>
      </c>
    </row>
    <row r="1481" spans="1:9">
      <c r="A1481" s="3"/>
      <c r="B1481" s="3"/>
      <c r="C1481" s="3"/>
      <c r="D1481" s="3"/>
      <c r="E1481" s="3">
        <v>4</v>
      </c>
      <c r="F1481" s="4" t="str">
        <f>HYPERLINK("http://141.218.60.56/~jnz1568/getInfo.php?workbook=02_02.xlsx&amp;sheet=U0&amp;row=1481&amp;col=6&amp;number=4.5&amp;sourceID=28","4.5")</f>
        <v>4.5</v>
      </c>
      <c r="G1481" s="4" t="str">
        <f>HYPERLINK("http://141.218.60.56/~jnz1568/getInfo.php?workbook=02_02.xlsx&amp;sheet=U0&amp;row=1481&amp;col=7&amp;number=0.0069&amp;sourceID=1","0.0069")</f>
        <v>0.0069</v>
      </c>
      <c r="H1481" s="4" t="str">
        <f>HYPERLINK("http://141.218.60.56/~jnz1568/getInfo.php?workbook=02_02.xlsx&amp;sheet=U0&amp;row=1481&amp;col=8&amp;number=&amp;sourceID=29","")</f>
        <v/>
      </c>
      <c r="I1481" s="4" t="str">
        <f>HYPERLINK("http://141.218.60.56/~jnz1568/getInfo.php?workbook=02_02.xlsx&amp;sheet=U0&amp;row=1481&amp;col=9&amp;number=&amp;sourceID=1","")</f>
        <v/>
      </c>
    </row>
    <row r="1482" spans="1:9">
      <c r="A1482" s="3"/>
      <c r="B1482" s="3"/>
      <c r="C1482" s="3"/>
      <c r="D1482" s="3"/>
      <c r="E1482" s="3">
        <v>5</v>
      </c>
      <c r="F1482" s="4" t="str">
        <f>HYPERLINK("http://141.218.60.56/~jnz1568/getInfo.php?workbook=02_02.xlsx&amp;sheet=U0&amp;row=1482&amp;col=6&amp;number=4.75&amp;sourceID=28","4.75")</f>
        <v>4.75</v>
      </c>
      <c r="G1482" s="4" t="str">
        <f>HYPERLINK("http://141.218.60.56/~jnz1568/getInfo.php?workbook=02_02.xlsx&amp;sheet=U0&amp;row=1482&amp;col=7&amp;number=0.004932&amp;sourceID=1","0.004932")</f>
        <v>0.004932</v>
      </c>
      <c r="H1482" s="4" t="str">
        <f>HYPERLINK("http://141.218.60.56/~jnz1568/getInfo.php?workbook=02_02.xlsx&amp;sheet=U0&amp;row=1482&amp;col=8&amp;number=&amp;sourceID=29","")</f>
        <v/>
      </c>
      <c r="I1482" s="4" t="str">
        <f>HYPERLINK("http://141.218.60.56/~jnz1568/getInfo.php?workbook=02_02.xlsx&amp;sheet=U0&amp;row=1482&amp;col=9&amp;number=&amp;sourceID=1","")</f>
        <v/>
      </c>
    </row>
    <row r="1483" spans="1:9">
      <c r="A1483" s="3"/>
      <c r="B1483" s="3"/>
      <c r="C1483" s="3"/>
      <c r="D1483" s="3"/>
      <c r="E1483" s="3">
        <v>6</v>
      </c>
      <c r="F1483" s="4" t="str">
        <f>HYPERLINK("http://141.218.60.56/~jnz1568/getInfo.php?workbook=02_02.xlsx&amp;sheet=U0&amp;row=1483&amp;col=6&amp;number=5&amp;sourceID=28","5")</f>
        <v>5</v>
      </c>
      <c r="G1483" s="4" t="str">
        <f>HYPERLINK("http://141.218.60.56/~jnz1568/getInfo.php?workbook=02_02.xlsx&amp;sheet=U0&amp;row=1483&amp;col=7&amp;number=0.003359&amp;sourceID=1","0.003359")</f>
        <v>0.003359</v>
      </c>
      <c r="H1483" s="4" t="str">
        <f>HYPERLINK("http://141.218.60.56/~jnz1568/getInfo.php?workbook=02_02.xlsx&amp;sheet=U0&amp;row=1483&amp;col=8&amp;number=&amp;sourceID=29","")</f>
        <v/>
      </c>
      <c r="I1483" s="4" t="str">
        <f>HYPERLINK("http://141.218.60.56/~jnz1568/getInfo.php?workbook=02_02.xlsx&amp;sheet=U0&amp;row=1483&amp;col=9&amp;number=&amp;sourceID=1","")</f>
        <v/>
      </c>
    </row>
    <row r="1484" spans="1:9">
      <c r="A1484" s="3"/>
      <c r="B1484" s="3"/>
      <c r="C1484" s="3"/>
      <c r="D1484" s="3"/>
      <c r="E1484" s="3">
        <v>7</v>
      </c>
      <c r="F1484" s="4" t="str">
        <f>HYPERLINK("http://141.218.60.56/~jnz1568/getInfo.php?workbook=02_02.xlsx&amp;sheet=U0&amp;row=1484&amp;col=6&amp;number=5.25&amp;sourceID=28","5.25")</f>
        <v>5.25</v>
      </c>
      <c r="G1484" s="4" t="str">
        <f>HYPERLINK("http://141.218.60.56/~jnz1568/getInfo.php?workbook=02_02.xlsx&amp;sheet=U0&amp;row=1484&amp;col=7&amp;number=0.002181&amp;sourceID=1","0.002181")</f>
        <v>0.002181</v>
      </c>
      <c r="H1484" s="4" t="str">
        <f>HYPERLINK("http://141.218.60.56/~jnz1568/getInfo.php?workbook=02_02.xlsx&amp;sheet=U0&amp;row=1484&amp;col=8&amp;number=&amp;sourceID=29","")</f>
        <v/>
      </c>
      <c r="I1484" s="4" t="str">
        <f>HYPERLINK("http://141.218.60.56/~jnz1568/getInfo.php?workbook=02_02.xlsx&amp;sheet=U0&amp;row=1484&amp;col=9&amp;number=&amp;sourceID=1","")</f>
        <v/>
      </c>
    </row>
    <row r="1485" spans="1:9">
      <c r="A1485" s="3"/>
      <c r="B1485" s="3"/>
      <c r="C1485" s="3"/>
      <c r="D1485" s="3"/>
      <c r="E1485" s="3">
        <v>8</v>
      </c>
      <c r="F1485" s="4" t="str">
        <f>HYPERLINK("http://141.218.60.56/~jnz1568/getInfo.php?workbook=02_02.xlsx&amp;sheet=U0&amp;row=1485&amp;col=6&amp;number=5.5&amp;sourceID=28","5.5")</f>
        <v>5.5</v>
      </c>
      <c r="G1485" s="4" t="str">
        <f>HYPERLINK("http://141.218.60.56/~jnz1568/getInfo.php?workbook=02_02.xlsx&amp;sheet=U0&amp;row=1485&amp;col=7&amp;number=0.00136&amp;sourceID=1","0.00136")</f>
        <v>0.00136</v>
      </c>
      <c r="H1485" s="4" t="str">
        <f>HYPERLINK("http://141.218.60.56/~jnz1568/getInfo.php?workbook=02_02.xlsx&amp;sheet=U0&amp;row=1485&amp;col=8&amp;number=&amp;sourceID=29","")</f>
        <v/>
      </c>
      <c r="I1485" s="4" t="str">
        <f>HYPERLINK("http://141.218.60.56/~jnz1568/getInfo.php?workbook=02_02.xlsx&amp;sheet=U0&amp;row=1485&amp;col=9&amp;number=&amp;sourceID=1","")</f>
        <v/>
      </c>
    </row>
    <row r="1486" spans="1:9">
      <c r="A1486" s="3"/>
      <c r="B1486" s="3"/>
      <c r="C1486" s="3"/>
      <c r="D1486" s="3"/>
      <c r="E1486" s="3">
        <v>9</v>
      </c>
      <c r="F1486" s="4" t="str">
        <f>HYPERLINK("http://141.218.60.56/~jnz1568/getInfo.php?workbook=02_02.xlsx&amp;sheet=U0&amp;row=1486&amp;col=6&amp;number=5.75&amp;sourceID=28","5.75")</f>
        <v>5.75</v>
      </c>
      <c r="G1486" s="4" t="str">
        <f>HYPERLINK("http://141.218.60.56/~jnz1568/getInfo.php?workbook=02_02.xlsx&amp;sheet=U0&amp;row=1486&amp;col=7&amp;number=0.0008284&amp;sourceID=1","0.0008284")</f>
        <v>0.0008284</v>
      </c>
      <c r="H1486" s="4" t="str">
        <f>HYPERLINK("http://141.218.60.56/~jnz1568/getInfo.php?workbook=02_02.xlsx&amp;sheet=U0&amp;row=1486&amp;col=8&amp;number=&amp;sourceID=29","")</f>
        <v/>
      </c>
      <c r="I1486" s="4" t="str">
        <f>HYPERLINK("http://141.218.60.56/~jnz1568/getInfo.php?workbook=02_02.xlsx&amp;sheet=U0&amp;row=1486&amp;col=9&amp;number=&amp;sourceID=1","")</f>
        <v/>
      </c>
    </row>
    <row r="1487" spans="1:9">
      <c r="A1487" s="3">
        <v>2</v>
      </c>
      <c r="B1487" s="3">
        <v>2</v>
      </c>
      <c r="C1487" s="3">
        <v>28</v>
      </c>
      <c r="D1487" s="3">
        <v>3</v>
      </c>
      <c r="E1487" s="3">
        <v>1</v>
      </c>
      <c r="F1487" s="4" t="str">
        <f>HYPERLINK("http://141.218.60.56/~jnz1568/getInfo.php?workbook=02_02.xlsx&amp;sheet=U0&amp;row=1487&amp;col=6&amp;number=3.75&amp;sourceID=28","3.75")</f>
        <v>3.75</v>
      </c>
      <c r="G1487" s="4" t="str">
        <f>HYPERLINK("http://141.218.60.56/~jnz1568/getInfo.php?workbook=02_02.xlsx&amp;sheet=U0&amp;row=1487&amp;col=7&amp;number=0.04146&amp;sourceID=1","0.04146")</f>
        <v>0.04146</v>
      </c>
      <c r="H1487" s="4" t="str">
        <f>HYPERLINK("http://141.218.60.56/~jnz1568/getInfo.php?workbook=02_02.xlsx&amp;sheet=U0&amp;row=1487&amp;col=8&amp;number=&amp;sourceID=29","")</f>
        <v/>
      </c>
      <c r="I1487" s="4" t="str">
        <f>HYPERLINK("http://141.218.60.56/~jnz1568/getInfo.php?workbook=02_02.xlsx&amp;sheet=U0&amp;row=1487&amp;col=9&amp;number=&amp;sourceID=1","")</f>
        <v/>
      </c>
    </row>
    <row r="1488" spans="1:9">
      <c r="A1488" s="3"/>
      <c r="B1488" s="3"/>
      <c r="C1488" s="3"/>
      <c r="D1488" s="3"/>
      <c r="E1488" s="3">
        <v>2</v>
      </c>
      <c r="F1488" s="4" t="str">
        <f>HYPERLINK("http://141.218.60.56/~jnz1568/getInfo.php?workbook=02_02.xlsx&amp;sheet=U0&amp;row=1488&amp;col=6&amp;number=4&amp;sourceID=28","4")</f>
        <v>4</v>
      </c>
      <c r="G1488" s="4" t="str">
        <f>HYPERLINK("http://141.218.60.56/~jnz1568/getInfo.php?workbook=02_02.xlsx&amp;sheet=U0&amp;row=1488&amp;col=7&amp;number=0.04233&amp;sourceID=1","0.04233")</f>
        <v>0.04233</v>
      </c>
      <c r="H1488" s="4" t="str">
        <f>HYPERLINK("http://141.218.60.56/~jnz1568/getInfo.php?workbook=02_02.xlsx&amp;sheet=U0&amp;row=1488&amp;col=8&amp;number=&amp;sourceID=29","")</f>
        <v/>
      </c>
      <c r="I1488" s="4" t="str">
        <f>HYPERLINK("http://141.218.60.56/~jnz1568/getInfo.php?workbook=02_02.xlsx&amp;sheet=U0&amp;row=1488&amp;col=9&amp;number=&amp;sourceID=1","")</f>
        <v/>
      </c>
    </row>
    <row r="1489" spans="1:9">
      <c r="A1489" s="3"/>
      <c r="B1489" s="3"/>
      <c r="C1489" s="3"/>
      <c r="D1489" s="3"/>
      <c r="E1489" s="3">
        <v>3</v>
      </c>
      <c r="F1489" s="4" t="str">
        <f>HYPERLINK("http://141.218.60.56/~jnz1568/getInfo.php?workbook=02_02.xlsx&amp;sheet=U0&amp;row=1489&amp;col=6&amp;number=4.25&amp;sourceID=28","4.25")</f>
        <v>4.25</v>
      </c>
      <c r="G1489" s="4" t="str">
        <f>HYPERLINK("http://141.218.60.56/~jnz1568/getInfo.php?workbook=02_02.xlsx&amp;sheet=U0&amp;row=1489&amp;col=7&amp;number=0.04377&amp;sourceID=1","0.04377")</f>
        <v>0.04377</v>
      </c>
      <c r="H1489" s="4" t="str">
        <f>HYPERLINK("http://141.218.60.56/~jnz1568/getInfo.php?workbook=02_02.xlsx&amp;sheet=U0&amp;row=1489&amp;col=8&amp;number=&amp;sourceID=29","")</f>
        <v/>
      </c>
      <c r="I1489" s="4" t="str">
        <f>HYPERLINK("http://141.218.60.56/~jnz1568/getInfo.php?workbook=02_02.xlsx&amp;sheet=U0&amp;row=1489&amp;col=9&amp;number=&amp;sourceID=1","")</f>
        <v/>
      </c>
    </row>
    <row r="1490" spans="1:9">
      <c r="A1490" s="3"/>
      <c r="B1490" s="3"/>
      <c r="C1490" s="3"/>
      <c r="D1490" s="3"/>
      <c r="E1490" s="3">
        <v>4</v>
      </c>
      <c r="F1490" s="4" t="str">
        <f>HYPERLINK("http://141.218.60.56/~jnz1568/getInfo.php?workbook=02_02.xlsx&amp;sheet=U0&amp;row=1490&amp;col=6&amp;number=4.5&amp;sourceID=28","4.5")</f>
        <v>4.5</v>
      </c>
      <c r="G1490" s="4" t="str">
        <f>HYPERLINK("http://141.218.60.56/~jnz1568/getInfo.php?workbook=02_02.xlsx&amp;sheet=U0&amp;row=1490&amp;col=7&amp;number=0.04673&amp;sourceID=1","0.04673")</f>
        <v>0.04673</v>
      </c>
      <c r="H1490" s="4" t="str">
        <f>HYPERLINK("http://141.218.60.56/~jnz1568/getInfo.php?workbook=02_02.xlsx&amp;sheet=U0&amp;row=1490&amp;col=8&amp;number=&amp;sourceID=29","")</f>
        <v/>
      </c>
      <c r="I1490" s="4" t="str">
        <f>HYPERLINK("http://141.218.60.56/~jnz1568/getInfo.php?workbook=02_02.xlsx&amp;sheet=U0&amp;row=1490&amp;col=9&amp;number=&amp;sourceID=1","")</f>
        <v/>
      </c>
    </row>
    <row r="1491" spans="1:9">
      <c r="A1491" s="3"/>
      <c r="B1491" s="3"/>
      <c r="C1491" s="3"/>
      <c r="D1491" s="3"/>
      <c r="E1491" s="3">
        <v>5</v>
      </c>
      <c r="F1491" s="4" t="str">
        <f>HYPERLINK("http://141.218.60.56/~jnz1568/getInfo.php?workbook=02_02.xlsx&amp;sheet=U0&amp;row=1491&amp;col=6&amp;number=4.75&amp;sourceID=28","4.75")</f>
        <v>4.75</v>
      </c>
      <c r="G1491" s="4" t="str">
        <f>HYPERLINK("http://141.218.60.56/~jnz1568/getInfo.php?workbook=02_02.xlsx&amp;sheet=U0&amp;row=1491&amp;col=7&amp;number=0.04971&amp;sourceID=1","0.04971")</f>
        <v>0.04971</v>
      </c>
      <c r="H1491" s="4" t="str">
        <f>HYPERLINK("http://141.218.60.56/~jnz1568/getInfo.php?workbook=02_02.xlsx&amp;sheet=U0&amp;row=1491&amp;col=8&amp;number=&amp;sourceID=29","")</f>
        <v/>
      </c>
      <c r="I1491" s="4" t="str">
        <f>HYPERLINK("http://141.218.60.56/~jnz1568/getInfo.php?workbook=02_02.xlsx&amp;sheet=U0&amp;row=1491&amp;col=9&amp;number=&amp;sourceID=1","")</f>
        <v/>
      </c>
    </row>
    <row r="1492" spans="1:9">
      <c r="A1492" s="3"/>
      <c r="B1492" s="3"/>
      <c r="C1492" s="3"/>
      <c r="D1492" s="3"/>
      <c r="E1492" s="3">
        <v>6</v>
      </c>
      <c r="F1492" s="4" t="str">
        <f>HYPERLINK("http://141.218.60.56/~jnz1568/getInfo.php?workbook=02_02.xlsx&amp;sheet=U0&amp;row=1492&amp;col=6&amp;number=5&amp;sourceID=28","5")</f>
        <v>5</v>
      </c>
      <c r="G1492" s="4" t="str">
        <f>HYPERLINK("http://141.218.60.56/~jnz1568/getInfo.php?workbook=02_02.xlsx&amp;sheet=U0&amp;row=1492&amp;col=7&amp;number=0.05011&amp;sourceID=1","0.05011")</f>
        <v>0.05011</v>
      </c>
      <c r="H1492" s="4" t="str">
        <f>HYPERLINK("http://141.218.60.56/~jnz1568/getInfo.php?workbook=02_02.xlsx&amp;sheet=U0&amp;row=1492&amp;col=8&amp;number=&amp;sourceID=29","")</f>
        <v/>
      </c>
      <c r="I1492" s="4" t="str">
        <f>HYPERLINK("http://141.218.60.56/~jnz1568/getInfo.php?workbook=02_02.xlsx&amp;sheet=U0&amp;row=1492&amp;col=9&amp;number=&amp;sourceID=1","")</f>
        <v/>
      </c>
    </row>
    <row r="1493" spans="1:9">
      <c r="A1493" s="3"/>
      <c r="B1493" s="3"/>
      <c r="C1493" s="3"/>
      <c r="D1493" s="3"/>
      <c r="E1493" s="3">
        <v>7</v>
      </c>
      <c r="F1493" s="4" t="str">
        <f>HYPERLINK("http://141.218.60.56/~jnz1568/getInfo.php?workbook=02_02.xlsx&amp;sheet=U0&amp;row=1493&amp;col=6&amp;number=5.25&amp;sourceID=28","5.25")</f>
        <v>5.25</v>
      </c>
      <c r="G1493" s="4" t="str">
        <f>HYPERLINK("http://141.218.60.56/~jnz1568/getInfo.php?workbook=02_02.xlsx&amp;sheet=U0&amp;row=1493&amp;col=7&amp;number=0.04685&amp;sourceID=1","0.04685")</f>
        <v>0.04685</v>
      </c>
      <c r="H1493" s="4" t="str">
        <f>HYPERLINK("http://141.218.60.56/~jnz1568/getInfo.php?workbook=02_02.xlsx&amp;sheet=U0&amp;row=1493&amp;col=8&amp;number=&amp;sourceID=29","")</f>
        <v/>
      </c>
      <c r="I1493" s="4" t="str">
        <f>HYPERLINK("http://141.218.60.56/~jnz1568/getInfo.php?workbook=02_02.xlsx&amp;sheet=U0&amp;row=1493&amp;col=9&amp;number=&amp;sourceID=1","")</f>
        <v/>
      </c>
    </row>
    <row r="1494" spans="1:9">
      <c r="A1494" s="3"/>
      <c r="B1494" s="3"/>
      <c r="C1494" s="3"/>
      <c r="D1494" s="3"/>
      <c r="E1494" s="3">
        <v>8</v>
      </c>
      <c r="F1494" s="4" t="str">
        <f>HYPERLINK("http://141.218.60.56/~jnz1568/getInfo.php?workbook=02_02.xlsx&amp;sheet=U0&amp;row=1494&amp;col=6&amp;number=5.5&amp;sourceID=28","5.5")</f>
        <v>5.5</v>
      </c>
      <c r="G1494" s="4" t="str">
        <f>HYPERLINK("http://141.218.60.56/~jnz1568/getInfo.php?workbook=02_02.xlsx&amp;sheet=U0&amp;row=1494&amp;col=7&amp;number=0.04115&amp;sourceID=1","0.04115")</f>
        <v>0.04115</v>
      </c>
      <c r="H1494" s="4" t="str">
        <f>HYPERLINK("http://141.218.60.56/~jnz1568/getInfo.php?workbook=02_02.xlsx&amp;sheet=U0&amp;row=1494&amp;col=8&amp;number=&amp;sourceID=29","")</f>
        <v/>
      </c>
      <c r="I1494" s="4" t="str">
        <f>HYPERLINK("http://141.218.60.56/~jnz1568/getInfo.php?workbook=02_02.xlsx&amp;sheet=U0&amp;row=1494&amp;col=9&amp;number=&amp;sourceID=1","")</f>
        <v/>
      </c>
    </row>
    <row r="1495" spans="1:9">
      <c r="A1495" s="3"/>
      <c r="B1495" s="3"/>
      <c r="C1495" s="3"/>
      <c r="D1495" s="3"/>
      <c r="E1495" s="3">
        <v>9</v>
      </c>
      <c r="F1495" s="4" t="str">
        <f>HYPERLINK("http://141.218.60.56/~jnz1568/getInfo.php?workbook=02_02.xlsx&amp;sheet=U0&amp;row=1495&amp;col=6&amp;number=5.75&amp;sourceID=28","5.75")</f>
        <v>5.75</v>
      </c>
      <c r="G1495" s="4" t="str">
        <f>HYPERLINK("http://141.218.60.56/~jnz1568/getInfo.php?workbook=02_02.xlsx&amp;sheet=U0&amp;row=1495&amp;col=7&amp;number=0.03499&amp;sourceID=1","0.03499")</f>
        <v>0.03499</v>
      </c>
      <c r="H1495" s="4" t="str">
        <f>HYPERLINK("http://141.218.60.56/~jnz1568/getInfo.php?workbook=02_02.xlsx&amp;sheet=U0&amp;row=1495&amp;col=8&amp;number=&amp;sourceID=29","")</f>
        <v/>
      </c>
      <c r="I1495" s="4" t="str">
        <f>HYPERLINK("http://141.218.60.56/~jnz1568/getInfo.php?workbook=02_02.xlsx&amp;sheet=U0&amp;row=1495&amp;col=9&amp;number=&amp;sourceID=1","")</f>
        <v/>
      </c>
    </row>
    <row r="1496" spans="1:9">
      <c r="A1496" s="3">
        <v>2</v>
      </c>
      <c r="B1496" s="3">
        <v>2</v>
      </c>
      <c r="C1496" s="3">
        <v>28</v>
      </c>
      <c r="D1496" s="3">
        <v>4</v>
      </c>
      <c r="E1496" s="3">
        <v>1</v>
      </c>
      <c r="F1496" s="4" t="str">
        <f>HYPERLINK("http://141.218.60.56/~jnz1568/getInfo.php?workbook=02_02.xlsx&amp;sheet=U0&amp;row=1496&amp;col=6&amp;number=3.75&amp;sourceID=28","3.75")</f>
        <v>3.75</v>
      </c>
      <c r="G1496" s="4" t="str">
        <f>HYPERLINK("http://141.218.60.56/~jnz1568/getInfo.php?workbook=02_02.xlsx&amp;sheet=U0&amp;row=1496&amp;col=7&amp;number=0.06174&amp;sourceID=1","0.06174")</f>
        <v>0.06174</v>
      </c>
      <c r="H1496" s="4" t="str">
        <f>HYPERLINK("http://141.218.60.56/~jnz1568/getInfo.php?workbook=02_02.xlsx&amp;sheet=U0&amp;row=1496&amp;col=8&amp;number=&amp;sourceID=29","")</f>
        <v/>
      </c>
      <c r="I1496" s="4" t="str">
        <f>HYPERLINK("http://141.218.60.56/~jnz1568/getInfo.php?workbook=02_02.xlsx&amp;sheet=U0&amp;row=1496&amp;col=9&amp;number=&amp;sourceID=1","")</f>
        <v/>
      </c>
    </row>
    <row r="1497" spans="1:9">
      <c r="A1497" s="3"/>
      <c r="B1497" s="3"/>
      <c r="C1497" s="3"/>
      <c r="D1497" s="3"/>
      <c r="E1497" s="3">
        <v>2</v>
      </c>
      <c r="F1497" s="4" t="str">
        <f>HYPERLINK("http://141.218.60.56/~jnz1568/getInfo.php?workbook=02_02.xlsx&amp;sheet=U0&amp;row=1497&amp;col=6&amp;number=4&amp;sourceID=28","4")</f>
        <v>4</v>
      </c>
      <c r="G1497" s="4" t="str">
        <f>HYPERLINK("http://141.218.60.56/~jnz1568/getInfo.php?workbook=02_02.xlsx&amp;sheet=U0&amp;row=1497&amp;col=7&amp;number=0.05161&amp;sourceID=1","0.05161")</f>
        <v>0.05161</v>
      </c>
      <c r="H1497" s="4" t="str">
        <f>HYPERLINK("http://141.218.60.56/~jnz1568/getInfo.php?workbook=02_02.xlsx&amp;sheet=U0&amp;row=1497&amp;col=8&amp;number=&amp;sourceID=29","")</f>
        <v/>
      </c>
      <c r="I1497" s="4" t="str">
        <f>HYPERLINK("http://141.218.60.56/~jnz1568/getInfo.php?workbook=02_02.xlsx&amp;sheet=U0&amp;row=1497&amp;col=9&amp;number=&amp;sourceID=1","")</f>
        <v/>
      </c>
    </row>
    <row r="1498" spans="1:9">
      <c r="A1498" s="3"/>
      <c r="B1498" s="3"/>
      <c r="C1498" s="3"/>
      <c r="D1498" s="3"/>
      <c r="E1498" s="3">
        <v>3</v>
      </c>
      <c r="F1498" s="4" t="str">
        <f>HYPERLINK("http://141.218.60.56/~jnz1568/getInfo.php?workbook=02_02.xlsx&amp;sheet=U0&amp;row=1498&amp;col=6&amp;number=4.25&amp;sourceID=28","4.25")</f>
        <v>4.25</v>
      </c>
      <c r="G1498" s="4" t="str">
        <f>HYPERLINK("http://141.218.60.56/~jnz1568/getInfo.php?workbook=02_02.xlsx&amp;sheet=U0&amp;row=1498&amp;col=7&amp;number=0.04157&amp;sourceID=1","0.04157")</f>
        <v>0.04157</v>
      </c>
      <c r="H1498" s="4" t="str">
        <f>HYPERLINK("http://141.218.60.56/~jnz1568/getInfo.php?workbook=02_02.xlsx&amp;sheet=U0&amp;row=1498&amp;col=8&amp;number=&amp;sourceID=29","")</f>
        <v/>
      </c>
      <c r="I1498" s="4" t="str">
        <f>HYPERLINK("http://141.218.60.56/~jnz1568/getInfo.php?workbook=02_02.xlsx&amp;sheet=U0&amp;row=1498&amp;col=9&amp;number=&amp;sourceID=1","")</f>
        <v/>
      </c>
    </row>
    <row r="1499" spans="1:9">
      <c r="A1499" s="3"/>
      <c r="B1499" s="3"/>
      <c r="C1499" s="3"/>
      <c r="D1499" s="3"/>
      <c r="E1499" s="3">
        <v>4</v>
      </c>
      <c r="F1499" s="4" t="str">
        <f>HYPERLINK("http://141.218.60.56/~jnz1568/getInfo.php?workbook=02_02.xlsx&amp;sheet=U0&amp;row=1499&amp;col=6&amp;number=4.5&amp;sourceID=28","4.5")</f>
        <v>4.5</v>
      </c>
      <c r="G1499" s="4" t="str">
        <f>HYPERLINK("http://141.218.60.56/~jnz1568/getInfo.php?workbook=02_02.xlsx&amp;sheet=U0&amp;row=1499&amp;col=7&amp;number=0.03257&amp;sourceID=1","0.03257")</f>
        <v>0.03257</v>
      </c>
      <c r="H1499" s="4" t="str">
        <f>HYPERLINK("http://141.218.60.56/~jnz1568/getInfo.php?workbook=02_02.xlsx&amp;sheet=U0&amp;row=1499&amp;col=8&amp;number=&amp;sourceID=29","")</f>
        <v/>
      </c>
      <c r="I1499" s="4" t="str">
        <f>HYPERLINK("http://141.218.60.56/~jnz1568/getInfo.php?workbook=02_02.xlsx&amp;sheet=U0&amp;row=1499&amp;col=9&amp;number=&amp;sourceID=1","")</f>
        <v/>
      </c>
    </row>
    <row r="1500" spans="1:9">
      <c r="A1500" s="3"/>
      <c r="B1500" s="3"/>
      <c r="C1500" s="3"/>
      <c r="D1500" s="3"/>
      <c r="E1500" s="3">
        <v>5</v>
      </c>
      <c r="F1500" s="4" t="str">
        <f>HYPERLINK("http://141.218.60.56/~jnz1568/getInfo.php?workbook=02_02.xlsx&amp;sheet=U0&amp;row=1500&amp;col=6&amp;number=4.75&amp;sourceID=28","4.75")</f>
        <v>4.75</v>
      </c>
      <c r="G1500" s="4" t="str">
        <f>HYPERLINK("http://141.218.60.56/~jnz1568/getInfo.php?workbook=02_02.xlsx&amp;sheet=U0&amp;row=1500&amp;col=7&amp;number=0.02459&amp;sourceID=1","0.02459")</f>
        <v>0.02459</v>
      </c>
      <c r="H1500" s="4" t="str">
        <f>HYPERLINK("http://141.218.60.56/~jnz1568/getInfo.php?workbook=02_02.xlsx&amp;sheet=U0&amp;row=1500&amp;col=8&amp;number=&amp;sourceID=29","")</f>
        <v/>
      </c>
      <c r="I1500" s="4" t="str">
        <f>HYPERLINK("http://141.218.60.56/~jnz1568/getInfo.php?workbook=02_02.xlsx&amp;sheet=U0&amp;row=1500&amp;col=9&amp;number=&amp;sourceID=1","")</f>
        <v/>
      </c>
    </row>
    <row r="1501" spans="1:9">
      <c r="A1501" s="3"/>
      <c r="B1501" s="3"/>
      <c r="C1501" s="3"/>
      <c r="D1501" s="3"/>
      <c r="E1501" s="3">
        <v>6</v>
      </c>
      <c r="F1501" s="4" t="str">
        <f>HYPERLINK("http://141.218.60.56/~jnz1568/getInfo.php?workbook=02_02.xlsx&amp;sheet=U0&amp;row=1501&amp;col=6&amp;number=5&amp;sourceID=28","5")</f>
        <v>5</v>
      </c>
      <c r="G1501" s="4" t="str">
        <f>HYPERLINK("http://141.218.60.56/~jnz1568/getInfo.php?workbook=02_02.xlsx&amp;sheet=U0&amp;row=1501&amp;col=7&amp;number=0.01758&amp;sourceID=1","0.01758")</f>
        <v>0.01758</v>
      </c>
      <c r="H1501" s="4" t="str">
        <f>HYPERLINK("http://141.218.60.56/~jnz1568/getInfo.php?workbook=02_02.xlsx&amp;sheet=U0&amp;row=1501&amp;col=8&amp;number=&amp;sourceID=29","")</f>
        <v/>
      </c>
      <c r="I1501" s="4" t="str">
        <f>HYPERLINK("http://141.218.60.56/~jnz1568/getInfo.php?workbook=02_02.xlsx&amp;sheet=U0&amp;row=1501&amp;col=9&amp;number=&amp;sourceID=1","")</f>
        <v/>
      </c>
    </row>
    <row r="1502" spans="1:9">
      <c r="A1502" s="3"/>
      <c r="B1502" s="3"/>
      <c r="C1502" s="3"/>
      <c r="D1502" s="3"/>
      <c r="E1502" s="3">
        <v>7</v>
      </c>
      <c r="F1502" s="4" t="str">
        <f>HYPERLINK("http://141.218.60.56/~jnz1568/getInfo.php?workbook=02_02.xlsx&amp;sheet=U0&amp;row=1502&amp;col=6&amp;number=5.25&amp;sourceID=28","5.25")</f>
        <v>5.25</v>
      </c>
      <c r="G1502" s="4" t="str">
        <f>HYPERLINK("http://141.218.60.56/~jnz1568/getInfo.php?workbook=02_02.xlsx&amp;sheet=U0&amp;row=1502&amp;col=7&amp;number=0.01181&amp;sourceID=1","0.01181")</f>
        <v>0.01181</v>
      </c>
      <c r="H1502" s="4" t="str">
        <f>HYPERLINK("http://141.218.60.56/~jnz1568/getInfo.php?workbook=02_02.xlsx&amp;sheet=U0&amp;row=1502&amp;col=8&amp;number=&amp;sourceID=29","")</f>
        <v/>
      </c>
      <c r="I1502" s="4" t="str">
        <f>HYPERLINK("http://141.218.60.56/~jnz1568/getInfo.php?workbook=02_02.xlsx&amp;sheet=U0&amp;row=1502&amp;col=9&amp;number=&amp;sourceID=1","")</f>
        <v/>
      </c>
    </row>
    <row r="1503" spans="1:9">
      <c r="A1503" s="3"/>
      <c r="B1503" s="3"/>
      <c r="C1503" s="3"/>
      <c r="D1503" s="3"/>
      <c r="E1503" s="3">
        <v>8</v>
      </c>
      <c r="F1503" s="4" t="str">
        <f>HYPERLINK("http://141.218.60.56/~jnz1568/getInfo.php?workbook=02_02.xlsx&amp;sheet=U0&amp;row=1503&amp;col=6&amp;number=5.5&amp;sourceID=28","5.5")</f>
        <v>5.5</v>
      </c>
      <c r="G1503" s="4" t="str">
        <f>HYPERLINK("http://141.218.60.56/~jnz1568/getInfo.php?workbook=02_02.xlsx&amp;sheet=U0&amp;row=1503&amp;col=7&amp;number=0.007523&amp;sourceID=1","0.007523")</f>
        <v>0.007523</v>
      </c>
      <c r="H1503" s="4" t="str">
        <f>HYPERLINK("http://141.218.60.56/~jnz1568/getInfo.php?workbook=02_02.xlsx&amp;sheet=U0&amp;row=1503&amp;col=8&amp;number=&amp;sourceID=29","")</f>
        <v/>
      </c>
      <c r="I1503" s="4" t="str">
        <f>HYPERLINK("http://141.218.60.56/~jnz1568/getInfo.php?workbook=02_02.xlsx&amp;sheet=U0&amp;row=1503&amp;col=9&amp;number=&amp;sourceID=1","")</f>
        <v/>
      </c>
    </row>
    <row r="1504" spans="1:9">
      <c r="A1504" s="3"/>
      <c r="B1504" s="3"/>
      <c r="C1504" s="3"/>
      <c r="D1504" s="3"/>
      <c r="E1504" s="3">
        <v>9</v>
      </c>
      <c r="F1504" s="4" t="str">
        <f>HYPERLINK("http://141.218.60.56/~jnz1568/getInfo.php?workbook=02_02.xlsx&amp;sheet=U0&amp;row=1504&amp;col=6&amp;number=5.75&amp;sourceID=28","5.75")</f>
        <v>5.75</v>
      </c>
      <c r="G1504" s="4" t="str">
        <f>HYPERLINK("http://141.218.60.56/~jnz1568/getInfo.php?workbook=02_02.xlsx&amp;sheet=U0&amp;row=1504&amp;col=7&amp;number=0.004597&amp;sourceID=1","0.004597")</f>
        <v>0.004597</v>
      </c>
      <c r="H1504" s="4" t="str">
        <f>HYPERLINK("http://141.218.60.56/~jnz1568/getInfo.php?workbook=02_02.xlsx&amp;sheet=U0&amp;row=1504&amp;col=8&amp;number=&amp;sourceID=29","")</f>
        <v/>
      </c>
      <c r="I1504" s="4" t="str">
        <f>HYPERLINK("http://141.218.60.56/~jnz1568/getInfo.php?workbook=02_02.xlsx&amp;sheet=U0&amp;row=1504&amp;col=9&amp;number=&amp;sourceID=1","")</f>
        <v/>
      </c>
    </row>
    <row r="1505" spans="1:9">
      <c r="A1505" s="3">
        <v>2</v>
      </c>
      <c r="B1505" s="3">
        <v>2</v>
      </c>
      <c r="C1505" s="3">
        <v>29</v>
      </c>
      <c r="D1505" s="3">
        <v>1</v>
      </c>
      <c r="E1505" s="3">
        <v>1</v>
      </c>
      <c r="F1505" s="4" t="str">
        <f>HYPERLINK("http://141.218.60.56/~jnz1568/getInfo.php?workbook=02_02.xlsx&amp;sheet=U0&amp;row=1505&amp;col=6&amp;number=3.75&amp;sourceID=28","3.75")</f>
        <v>3.75</v>
      </c>
      <c r="G1505" s="4" t="str">
        <f>HYPERLINK("http://141.218.60.56/~jnz1568/getInfo.php?workbook=02_02.xlsx&amp;sheet=U0&amp;row=1505&amp;col=7&amp;number=0.0006597&amp;sourceID=1","0.0006597")</f>
        <v>0.0006597</v>
      </c>
      <c r="H1505" s="4" t="str">
        <f>HYPERLINK("http://141.218.60.56/~jnz1568/getInfo.php?workbook=02_02.xlsx&amp;sheet=U0&amp;row=1505&amp;col=8&amp;number=&amp;sourceID=29","")</f>
        <v/>
      </c>
      <c r="I1505" s="4" t="str">
        <f>HYPERLINK("http://141.218.60.56/~jnz1568/getInfo.php?workbook=02_02.xlsx&amp;sheet=U0&amp;row=1505&amp;col=9&amp;number=&amp;sourceID=1","")</f>
        <v/>
      </c>
    </row>
    <row r="1506" spans="1:9">
      <c r="A1506" s="3"/>
      <c r="B1506" s="3"/>
      <c r="C1506" s="3"/>
      <c r="D1506" s="3"/>
      <c r="E1506" s="3">
        <v>2</v>
      </c>
      <c r="F1506" s="4" t="str">
        <f>HYPERLINK("http://141.218.60.56/~jnz1568/getInfo.php?workbook=02_02.xlsx&amp;sheet=U0&amp;row=1506&amp;col=6&amp;number=4&amp;sourceID=28","4")</f>
        <v>4</v>
      </c>
      <c r="G1506" s="4" t="str">
        <f>HYPERLINK("http://141.218.60.56/~jnz1568/getInfo.php?workbook=02_02.xlsx&amp;sheet=U0&amp;row=1506&amp;col=7&amp;number=0.0009203&amp;sourceID=1","0.0009203")</f>
        <v>0.0009203</v>
      </c>
      <c r="H1506" s="4" t="str">
        <f>HYPERLINK("http://141.218.60.56/~jnz1568/getInfo.php?workbook=02_02.xlsx&amp;sheet=U0&amp;row=1506&amp;col=8&amp;number=&amp;sourceID=29","")</f>
        <v/>
      </c>
      <c r="I1506" s="4" t="str">
        <f>HYPERLINK("http://141.218.60.56/~jnz1568/getInfo.php?workbook=02_02.xlsx&amp;sheet=U0&amp;row=1506&amp;col=9&amp;number=&amp;sourceID=1","")</f>
        <v/>
      </c>
    </row>
    <row r="1507" spans="1:9">
      <c r="A1507" s="3"/>
      <c r="B1507" s="3"/>
      <c r="C1507" s="3"/>
      <c r="D1507" s="3"/>
      <c r="E1507" s="3">
        <v>3</v>
      </c>
      <c r="F1507" s="4" t="str">
        <f>HYPERLINK("http://141.218.60.56/~jnz1568/getInfo.php?workbook=02_02.xlsx&amp;sheet=U0&amp;row=1507&amp;col=6&amp;number=4.25&amp;sourceID=28","4.25")</f>
        <v>4.25</v>
      </c>
      <c r="G1507" s="4" t="str">
        <f>HYPERLINK("http://141.218.60.56/~jnz1568/getInfo.php?workbook=02_02.xlsx&amp;sheet=U0&amp;row=1507&amp;col=7&amp;number=0.001223&amp;sourceID=1","0.001223")</f>
        <v>0.001223</v>
      </c>
      <c r="H1507" s="4" t="str">
        <f>HYPERLINK("http://141.218.60.56/~jnz1568/getInfo.php?workbook=02_02.xlsx&amp;sheet=U0&amp;row=1507&amp;col=8&amp;number=&amp;sourceID=29","")</f>
        <v/>
      </c>
      <c r="I1507" s="4" t="str">
        <f>HYPERLINK("http://141.218.60.56/~jnz1568/getInfo.php?workbook=02_02.xlsx&amp;sheet=U0&amp;row=1507&amp;col=9&amp;number=&amp;sourceID=1","")</f>
        <v/>
      </c>
    </row>
    <row r="1508" spans="1:9">
      <c r="A1508" s="3"/>
      <c r="B1508" s="3"/>
      <c r="C1508" s="3"/>
      <c r="D1508" s="3"/>
      <c r="E1508" s="3">
        <v>4</v>
      </c>
      <c r="F1508" s="4" t="str">
        <f>HYPERLINK("http://141.218.60.56/~jnz1568/getInfo.php?workbook=02_02.xlsx&amp;sheet=U0&amp;row=1508&amp;col=6&amp;number=4.5&amp;sourceID=28","4.5")</f>
        <v>4.5</v>
      </c>
      <c r="G1508" s="4" t="str">
        <f>HYPERLINK("http://141.218.60.56/~jnz1568/getInfo.php?workbook=02_02.xlsx&amp;sheet=U0&amp;row=1508&amp;col=7&amp;number=0.001701&amp;sourceID=1","0.001701")</f>
        <v>0.001701</v>
      </c>
      <c r="H1508" s="4" t="str">
        <f>HYPERLINK("http://141.218.60.56/~jnz1568/getInfo.php?workbook=02_02.xlsx&amp;sheet=U0&amp;row=1508&amp;col=8&amp;number=&amp;sourceID=29","")</f>
        <v/>
      </c>
      <c r="I1508" s="4" t="str">
        <f>HYPERLINK("http://141.218.60.56/~jnz1568/getInfo.php?workbook=02_02.xlsx&amp;sheet=U0&amp;row=1508&amp;col=9&amp;number=&amp;sourceID=1","")</f>
        <v/>
      </c>
    </row>
    <row r="1509" spans="1:9">
      <c r="A1509" s="3"/>
      <c r="B1509" s="3"/>
      <c r="C1509" s="3"/>
      <c r="D1509" s="3"/>
      <c r="E1509" s="3">
        <v>5</v>
      </c>
      <c r="F1509" s="4" t="str">
        <f>HYPERLINK("http://141.218.60.56/~jnz1568/getInfo.php?workbook=02_02.xlsx&amp;sheet=U0&amp;row=1509&amp;col=6&amp;number=4.75&amp;sourceID=28","4.75")</f>
        <v>4.75</v>
      </c>
      <c r="G1509" s="4" t="str">
        <f>HYPERLINK("http://141.218.60.56/~jnz1568/getInfo.php?workbook=02_02.xlsx&amp;sheet=U0&amp;row=1509&amp;col=7&amp;number=0.002673&amp;sourceID=1","0.002673")</f>
        <v>0.002673</v>
      </c>
      <c r="H1509" s="4" t="str">
        <f>HYPERLINK("http://141.218.60.56/~jnz1568/getInfo.php?workbook=02_02.xlsx&amp;sheet=U0&amp;row=1509&amp;col=8&amp;number=&amp;sourceID=29","")</f>
        <v/>
      </c>
      <c r="I1509" s="4" t="str">
        <f>HYPERLINK("http://141.218.60.56/~jnz1568/getInfo.php?workbook=02_02.xlsx&amp;sheet=U0&amp;row=1509&amp;col=9&amp;number=&amp;sourceID=1","")</f>
        <v/>
      </c>
    </row>
    <row r="1510" spans="1:9">
      <c r="A1510" s="3"/>
      <c r="B1510" s="3"/>
      <c r="C1510" s="3"/>
      <c r="D1510" s="3"/>
      <c r="E1510" s="3">
        <v>6</v>
      </c>
      <c r="F1510" s="4" t="str">
        <f>HYPERLINK("http://141.218.60.56/~jnz1568/getInfo.php?workbook=02_02.xlsx&amp;sheet=U0&amp;row=1510&amp;col=6&amp;number=5&amp;sourceID=28","5")</f>
        <v>5</v>
      </c>
      <c r="G1510" s="4" t="str">
        <f>HYPERLINK("http://141.218.60.56/~jnz1568/getInfo.php?workbook=02_02.xlsx&amp;sheet=U0&amp;row=1510&amp;col=7&amp;number=0.004706&amp;sourceID=1","0.004706")</f>
        <v>0.004706</v>
      </c>
      <c r="H1510" s="4" t="str">
        <f>HYPERLINK("http://141.218.60.56/~jnz1568/getInfo.php?workbook=02_02.xlsx&amp;sheet=U0&amp;row=1510&amp;col=8&amp;number=&amp;sourceID=29","")</f>
        <v/>
      </c>
      <c r="I1510" s="4" t="str">
        <f>HYPERLINK("http://141.218.60.56/~jnz1568/getInfo.php?workbook=02_02.xlsx&amp;sheet=U0&amp;row=1510&amp;col=9&amp;number=&amp;sourceID=1","")</f>
        <v/>
      </c>
    </row>
    <row r="1511" spans="1:9">
      <c r="A1511" s="3"/>
      <c r="B1511" s="3"/>
      <c r="C1511" s="3"/>
      <c r="D1511" s="3"/>
      <c r="E1511" s="3">
        <v>7</v>
      </c>
      <c r="F1511" s="4" t="str">
        <f>HYPERLINK("http://141.218.60.56/~jnz1568/getInfo.php?workbook=02_02.xlsx&amp;sheet=U0&amp;row=1511&amp;col=6&amp;number=5.25&amp;sourceID=28","5.25")</f>
        <v>5.25</v>
      </c>
      <c r="G1511" s="4" t="str">
        <f>HYPERLINK("http://141.218.60.56/~jnz1568/getInfo.php?workbook=02_02.xlsx&amp;sheet=U0&amp;row=1511&amp;col=7&amp;number=0.008605&amp;sourceID=1","0.008605")</f>
        <v>0.008605</v>
      </c>
      <c r="H1511" s="4" t="str">
        <f>HYPERLINK("http://141.218.60.56/~jnz1568/getInfo.php?workbook=02_02.xlsx&amp;sheet=U0&amp;row=1511&amp;col=8&amp;number=&amp;sourceID=29","")</f>
        <v/>
      </c>
      <c r="I1511" s="4" t="str">
        <f>HYPERLINK("http://141.218.60.56/~jnz1568/getInfo.php?workbook=02_02.xlsx&amp;sheet=U0&amp;row=1511&amp;col=9&amp;number=&amp;sourceID=1","")</f>
        <v/>
      </c>
    </row>
    <row r="1512" spans="1:9">
      <c r="A1512" s="3"/>
      <c r="B1512" s="3"/>
      <c r="C1512" s="3"/>
      <c r="D1512" s="3"/>
      <c r="E1512" s="3">
        <v>8</v>
      </c>
      <c r="F1512" s="4" t="str">
        <f>HYPERLINK("http://141.218.60.56/~jnz1568/getInfo.php?workbook=02_02.xlsx&amp;sheet=U0&amp;row=1512&amp;col=6&amp;number=5.5&amp;sourceID=28","5.5")</f>
        <v>5.5</v>
      </c>
      <c r="G1512" s="4" t="str">
        <f>HYPERLINK("http://141.218.60.56/~jnz1568/getInfo.php?workbook=02_02.xlsx&amp;sheet=U0&amp;row=1512&amp;col=7&amp;number=0.01521&amp;sourceID=1","0.01521")</f>
        <v>0.01521</v>
      </c>
      <c r="H1512" s="4" t="str">
        <f>HYPERLINK("http://141.218.60.56/~jnz1568/getInfo.php?workbook=02_02.xlsx&amp;sheet=U0&amp;row=1512&amp;col=8&amp;number=&amp;sourceID=29","")</f>
        <v/>
      </c>
      <c r="I1512" s="4" t="str">
        <f>HYPERLINK("http://141.218.60.56/~jnz1568/getInfo.php?workbook=02_02.xlsx&amp;sheet=U0&amp;row=1512&amp;col=9&amp;number=&amp;sourceID=1","")</f>
        <v/>
      </c>
    </row>
    <row r="1513" spans="1:9">
      <c r="A1513" s="3"/>
      <c r="B1513" s="3"/>
      <c r="C1513" s="3"/>
      <c r="D1513" s="3"/>
      <c r="E1513" s="3">
        <v>9</v>
      </c>
      <c r="F1513" s="4" t="str">
        <f>HYPERLINK("http://141.218.60.56/~jnz1568/getInfo.php?workbook=02_02.xlsx&amp;sheet=U0&amp;row=1513&amp;col=6&amp;number=5.75&amp;sourceID=28","5.75")</f>
        <v>5.75</v>
      </c>
      <c r="G1513" s="4" t="str">
        <f>HYPERLINK("http://141.218.60.56/~jnz1568/getInfo.php?workbook=02_02.xlsx&amp;sheet=U0&amp;row=1513&amp;col=7&amp;number=0.02515&amp;sourceID=1","0.02515")</f>
        <v>0.02515</v>
      </c>
      <c r="H1513" s="4" t="str">
        <f>HYPERLINK("http://141.218.60.56/~jnz1568/getInfo.php?workbook=02_02.xlsx&amp;sheet=U0&amp;row=1513&amp;col=8&amp;number=&amp;sourceID=29","")</f>
        <v/>
      </c>
      <c r="I1513" s="4" t="str">
        <f>HYPERLINK("http://141.218.60.56/~jnz1568/getInfo.php?workbook=02_02.xlsx&amp;sheet=U0&amp;row=1513&amp;col=9&amp;number=&amp;sourceID=1","")</f>
        <v/>
      </c>
    </row>
    <row r="1514" spans="1:9">
      <c r="A1514" s="3">
        <v>2</v>
      </c>
      <c r="B1514" s="3">
        <v>2</v>
      </c>
      <c r="C1514" s="3">
        <v>29</v>
      </c>
      <c r="D1514" s="3">
        <v>2</v>
      </c>
      <c r="E1514" s="3">
        <v>1</v>
      </c>
      <c r="F1514" s="4" t="str">
        <f>HYPERLINK("http://141.218.60.56/~jnz1568/getInfo.php?workbook=02_02.xlsx&amp;sheet=U0&amp;row=1514&amp;col=6&amp;number=3.75&amp;sourceID=28","3.75")</f>
        <v>3.75</v>
      </c>
      <c r="G1514" s="4" t="str">
        <f>HYPERLINK("http://141.218.60.56/~jnz1568/getInfo.php?workbook=02_02.xlsx&amp;sheet=U0&amp;row=1514&amp;col=7&amp;number=0.03272&amp;sourceID=1","0.03272")</f>
        <v>0.03272</v>
      </c>
      <c r="H1514" s="4" t="str">
        <f>HYPERLINK("http://141.218.60.56/~jnz1568/getInfo.php?workbook=02_02.xlsx&amp;sheet=U0&amp;row=1514&amp;col=8&amp;number=&amp;sourceID=29","")</f>
        <v/>
      </c>
      <c r="I1514" s="4" t="str">
        <f>HYPERLINK("http://141.218.60.56/~jnz1568/getInfo.php?workbook=02_02.xlsx&amp;sheet=U0&amp;row=1514&amp;col=9&amp;number=&amp;sourceID=1","")</f>
        <v/>
      </c>
    </row>
    <row r="1515" spans="1:9">
      <c r="A1515" s="3"/>
      <c r="B1515" s="3"/>
      <c r="C1515" s="3"/>
      <c r="D1515" s="3"/>
      <c r="E1515" s="3">
        <v>2</v>
      </c>
      <c r="F1515" s="4" t="str">
        <f>HYPERLINK("http://141.218.60.56/~jnz1568/getInfo.php?workbook=02_02.xlsx&amp;sheet=U0&amp;row=1515&amp;col=6&amp;number=4&amp;sourceID=28","4")</f>
        <v>4</v>
      </c>
      <c r="G1515" s="4" t="str">
        <f>HYPERLINK("http://141.218.60.56/~jnz1568/getInfo.php?workbook=02_02.xlsx&amp;sheet=U0&amp;row=1515&amp;col=7&amp;number=0.03599&amp;sourceID=1","0.03599")</f>
        <v>0.03599</v>
      </c>
      <c r="H1515" s="4" t="str">
        <f>HYPERLINK("http://141.218.60.56/~jnz1568/getInfo.php?workbook=02_02.xlsx&amp;sheet=U0&amp;row=1515&amp;col=8&amp;number=&amp;sourceID=29","")</f>
        <v/>
      </c>
      <c r="I1515" s="4" t="str">
        <f>HYPERLINK("http://141.218.60.56/~jnz1568/getInfo.php?workbook=02_02.xlsx&amp;sheet=U0&amp;row=1515&amp;col=9&amp;number=&amp;sourceID=1","")</f>
        <v/>
      </c>
    </row>
    <row r="1516" spans="1:9">
      <c r="A1516" s="3"/>
      <c r="B1516" s="3"/>
      <c r="C1516" s="3"/>
      <c r="D1516" s="3"/>
      <c r="E1516" s="3">
        <v>3</v>
      </c>
      <c r="F1516" s="4" t="str">
        <f>HYPERLINK("http://141.218.60.56/~jnz1568/getInfo.php?workbook=02_02.xlsx&amp;sheet=U0&amp;row=1516&amp;col=6&amp;number=4.25&amp;sourceID=28","4.25")</f>
        <v>4.25</v>
      </c>
      <c r="G1516" s="4" t="str">
        <f>HYPERLINK("http://141.218.60.56/~jnz1568/getInfo.php?workbook=02_02.xlsx&amp;sheet=U0&amp;row=1516&amp;col=7&amp;number=0.03587&amp;sourceID=1","0.03587")</f>
        <v>0.03587</v>
      </c>
      <c r="H1516" s="4" t="str">
        <f>HYPERLINK("http://141.218.60.56/~jnz1568/getInfo.php?workbook=02_02.xlsx&amp;sheet=U0&amp;row=1516&amp;col=8&amp;number=&amp;sourceID=29","")</f>
        <v/>
      </c>
      <c r="I1516" s="4" t="str">
        <f>HYPERLINK("http://141.218.60.56/~jnz1568/getInfo.php?workbook=02_02.xlsx&amp;sheet=U0&amp;row=1516&amp;col=9&amp;number=&amp;sourceID=1","")</f>
        <v/>
      </c>
    </row>
    <row r="1517" spans="1:9">
      <c r="A1517" s="3"/>
      <c r="B1517" s="3"/>
      <c r="C1517" s="3"/>
      <c r="D1517" s="3"/>
      <c r="E1517" s="3">
        <v>4</v>
      </c>
      <c r="F1517" s="4" t="str">
        <f>HYPERLINK("http://141.218.60.56/~jnz1568/getInfo.php?workbook=02_02.xlsx&amp;sheet=U0&amp;row=1517&amp;col=6&amp;number=4.5&amp;sourceID=28","4.5")</f>
        <v>4.5</v>
      </c>
      <c r="G1517" s="4" t="str">
        <f>HYPERLINK("http://141.218.60.56/~jnz1568/getInfo.php?workbook=02_02.xlsx&amp;sheet=U0&amp;row=1517&amp;col=7&amp;number=0.03259&amp;sourceID=1","0.03259")</f>
        <v>0.03259</v>
      </c>
      <c r="H1517" s="4" t="str">
        <f>HYPERLINK("http://141.218.60.56/~jnz1568/getInfo.php?workbook=02_02.xlsx&amp;sheet=U0&amp;row=1517&amp;col=8&amp;number=&amp;sourceID=29","")</f>
        <v/>
      </c>
      <c r="I1517" s="4" t="str">
        <f>HYPERLINK("http://141.218.60.56/~jnz1568/getInfo.php?workbook=02_02.xlsx&amp;sheet=U0&amp;row=1517&amp;col=9&amp;number=&amp;sourceID=1","")</f>
        <v/>
      </c>
    </row>
    <row r="1518" spans="1:9">
      <c r="A1518" s="3"/>
      <c r="B1518" s="3"/>
      <c r="C1518" s="3"/>
      <c r="D1518" s="3"/>
      <c r="E1518" s="3">
        <v>5</v>
      </c>
      <c r="F1518" s="4" t="str">
        <f>HYPERLINK("http://141.218.60.56/~jnz1568/getInfo.php?workbook=02_02.xlsx&amp;sheet=U0&amp;row=1518&amp;col=6&amp;number=4.75&amp;sourceID=28","4.75")</f>
        <v>4.75</v>
      </c>
      <c r="G1518" s="4" t="str">
        <f>HYPERLINK("http://141.218.60.56/~jnz1568/getInfo.php?workbook=02_02.xlsx&amp;sheet=U0&amp;row=1518&amp;col=7&amp;number=0.0273&amp;sourceID=1","0.0273")</f>
        <v>0.0273</v>
      </c>
      <c r="H1518" s="4" t="str">
        <f>HYPERLINK("http://141.218.60.56/~jnz1568/getInfo.php?workbook=02_02.xlsx&amp;sheet=U0&amp;row=1518&amp;col=8&amp;number=&amp;sourceID=29","")</f>
        <v/>
      </c>
      <c r="I1518" s="4" t="str">
        <f>HYPERLINK("http://141.218.60.56/~jnz1568/getInfo.php?workbook=02_02.xlsx&amp;sheet=U0&amp;row=1518&amp;col=9&amp;number=&amp;sourceID=1","")</f>
        <v/>
      </c>
    </row>
    <row r="1519" spans="1:9">
      <c r="A1519" s="3"/>
      <c r="B1519" s="3"/>
      <c r="C1519" s="3"/>
      <c r="D1519" s="3"/>
      <c r="E1519" s="3">
        <v>6</v>
      </c>
      <c r="F1519" s="4" t="str">
        <f>HYPERLINK("http://141.218.60.56/~jnz1568/getInfo.php?workbook=02_02.xlsx&amp;sheet=U0&amp;row=1519&amp;col=6&amp;number=5&amp;sourceID=28","5")</f>
        <v>5</v>
      </c>
      <c r="G1519" s="4" t="str">
        <f>HYPERLINK("http://141.218.60.56/~jnz1568/getInfo.php?workbook=02_02.xlsx&amp;sheet=U0&amp;row=1519&amp;col=7&amp;number=0.02141&amp;sourceID=1","0.02141")</f>
        <v>0.02141</v>
      </c>
      <c r="H1519" s="4" t="str">
        <f>HYPERLINK("http://141.218.60.56/~jnz1568/getInfo.php?workbook=02_02.xlsx&amp;sheet=U0&amp;row=1519&amp;col=8&amp;number=&amp;sourceID=29","")</f>
        <v/>
      </c>
      <c r="I1519" s="4" t="str">
        <f>HYPERLINK("http://141.218.60.56/~jnz1568/getInfo.php?workbook=02_02.xlsx&amp;sheet=U0&amp;row=1519&amp;col=9&amp;number=&amp;sourceID=1","")</f>
        <v/>
      </c>
    </row>
    <row r="1520" spans="1:9">
      <c r="A1520" s="3"/>
      <c r="B1520" s="3"/>
      <c r="C1520" s="3"/>
      <c r="D1520" s="3"/>
      <c r="E1520" s="3">
        <v>7</v>
      </c>
      <c r="F1520" s="4" t="str">
        <f>HYPERLINK("http://141.218.60.56/~jnz1568/getInfo.php?workbook=02_02.xlsx&amp;sheet=U0&amp;row=1520&amp;col=6&amp;number=5.25&amp;sourceID=28","5.25")</f>
        <v>5.25</v>
      </c>
      <c r="G1520" s="4" t="str">
        <f>HYPERLINK("http://141.218.60.56/~jnz1568/getInfo.php?workbook=02_02.xlsx&amp;sheet=U0&amp;row=1520&amp;col=7&amp;number=0.01586&amp;sourceID=1","0.01586")</f>
        <v>0.01586</v>
      </c>
      <c r="H1520" s="4" t="str">
        <f>HYPERLINK("http://141.218.60.56/~jnz1568/getInfo.php?workbook=02_02.xlsx&amp;sheet=U0&amp;row=1520&amp;col=8&amp;number=&amp;sourceID=29","")</f>
        <v/>
      </c>
      <c r="I1520" s="4" t="str">
        <f>HYPERLINK("http://141.218.60.56/~jnz1568/getInfo.php?workbook=02_02.xlsx&amp;sheet=U0&amp;row=1520&amp;col=9&amp;number=&amp;sourceID=1","")</f>
        <v/>
      </c>
    </row>
    <row r="1521" spans="1:9">
      <c r="A1521" s="3"/>
      <c r="B1521" s="3"/>
      <c r="C1521" s="3"/>
      <c r="D1521" s="3"/>
      <c r="E1521" s="3">
        <v>8</v>
      </c>
      <c r="F1521" s="4" t="str">
        <f>HYPERLINK("http://141.218.60.56/~jnz1568/getInfo.php?workbook=02_02.xlsx&amp;sheet=U0&amp;row=1521&amp;col=6&amp;number=5.5&amp;sourceID=28","5.5")</f>
        <v>5.5</v>
      </c>
      <c r="G1521" s="4" t="str">
        <f>HYPERLINK("http://141.218.60.56/~jnz1568/getInfo.php?workbook=02_02.xlsx&amp;sheet=U0&amp;row=1521&amp;col=7&amp;number=0.01114&amp;sourceID=1","0.01114")</f>
        <v>0.01114</v>
      </c>
      <c r="H1521" s="4" t="str">
        <f>HYPERLINK("http://141.218.60.56/~jnz1568/getInfo.php?workbook=02_02.xlsx&amp;sheet=U0&amp;row=1521&amp;col=8&amp;number=&amp;sourceID=29","")</f>
        <v/>
      </c>
      <c r="I1521" s="4" t="str">
        <f>HYPERLINK("http://141.218.60.56/~jnz1568/getInfo.php?workbook=02_02.xlsx&amp;sheet=U0&amp;row=1521&amp;col=9&amp;number=&amp;sourceID=1","")</f>
        <v/>
      </c>
    </row>
    <row r="1522" spans="1:9">
      <c r="A1522" s="3"/>
      <c r="B1522" s="3"/>
      <c r="C1522" s="3"/>
      <c r="D1522" s="3"/>
      <c r="E1522" s="3">
        <v>9</v>
      </c>
      <c r="F1522" s="4" t="str">
        <f>HYPERLINK("http://141.218.60.56/~jnz1568/getInfo.php?workbook=02_02.xlsx&amp;sheet=U0&amp;row=1522&amp;col=6&amp;number=5.75&amp;sourceID=28","5.75")</f>
        <v>5.75</v>
      </c>
      <c r="G1522" s="4" t="str">
        <f>HYPERLINK("http://141.218.60.56/~jnz1568/getInfo.php?workbook=02_02.xlsx&amp;sheet=U0&amp;row=1522&amp;col=7&amp;number=0.007434&amp;sourceID=1","0.007434")</f>
        <v>0.007434</v>
      </c>
      <c r="H1522" s="4" t="str">
        <f>HYPERLINK("http://141.218.60.56/~jnz1568/getInfo.php?workbook=02_02.xlsx&amp;sheet=U0&amp;row=1522&amp;col=8&amp;number=&amp;sourceID=29","")</f>
        <v/>
      </c>
      <c r="I1522" s="4" t="str">
        <f>HYPERLINK("http://141.218.60.56/~jnz1568/getInfo.php?workbook=02_02.xlsx&amp;sheet=U0&amp;row=1522&amp;col=9&amp;number=&amp;sourceID=1","")</f>
        <v/>
      </c>
    </row>
    <row r="1523" spans="1:9">
      <c r="A1523" s="3">
        <v>2</v>
      </c>
      <c r="B1523" s="3">
        <v>2</v>
      </c>
      <c r="C1523" s="3">
        <v>29</v>
      </c>
      <c r="D1523" s="3">
        <v>3</v>
      </c>
      <c r="E1523" s="3">
        <v>1</v>
      </c>
      <c r="F1523" s="4" t="str">
        <f>HYPERLINK("http://141.218.60.56/~jnz1568/getInfo.php?workbook=02_02.xlsx&amp;sheet=U0&amp;row=1523&amp;col=6&amp;number=3.75&amp;sourceID=28","3.75")</f>
        <v>3.75</v>
      </c>
      <c r="G1523" s="4" t="str">
        <f>HYPERLINK("http://141.218.60.56/~jnz1568/getInfo.php?workbook=02_02.xlsx&amp;sheet=U0&amp;row=1523&amp;col=7&amp;number=0.04363&amp;sourceID=1","0.04363")</f>
        <v>0.04363</v>
      </c>
      <c r="H1523" s="4" t="str">
        <f>HYPERLINK("http://141.218.60.56/~jnz1568/getInfo.php?workbook=02_02.xlsx&amp;sheet=U0&amp;row=1523&amp;col=8&amp;number=&amp;sourceID=29","")</f>
        <v/>
      </c>
      <c r="I1523" s="4" t="str">
        <f>HYPERLINK("http://141.218.60.56/~jnz1568/getInfo.php?workbook=02_02.xlsx&amp;sheet=U0&amp;row=1523&amp;col=9&amp;number=&amp;sourceID=1","")</f>
        <v/>
      </c>
    </row>
    <row r="1524" spans="1:9">
      <c r="A1524" s="3"/>
      <c r="B1524" s="3"/>
      <c r="C1524" s="3"/>
      <c r="D1524" s="3"/>
      <c r="E1524" s="3">
        <v>2</v>
      </c>
      <c r="F1524" s="4" t="str">
        <f>HYPERLINK("http://141.218.60.56/~jnz1568/getInfo.php?workbook=02_02.xlsx&amp;sheet=U0&amp;row=1524&amp;col=6&amp;number=4&amp;sourceID=28","4")</f>
        <v>4</v>
      </c>
      <c r="G1524" s="4" t="str">
        <f>HYPERLINK("http://141.218.60.56/~jnz1568/getInfo.php?workbook=02_02.xlsx&amp;sheet=U0&amp;row=1524&amp;col=7&amp;number=0.05476&amp;sourceID=1","0.05476")</f>
        <v>0.05476</v>
      </c>
      <c r="H1524" s="4" t="str">
        <f>HYPERLINK("http://141.218.60.56/~jnz1568/getInfo.php?workbook=02_02.xlsx&amp;sheet=U0&amp;row=1524&amp;col=8&amp;number=&amp;sourceID=29","")</f>
        <v/>
      </c>
      <c r="I1524" s="4" t="str">
        <f>HYPERLINK("http://141.218.60.56/~jnz1568/getInfo.php?workbook=02_02.xlsx&amp;sheet=U0&amp;row=1524&amp;col=9&amp;number=&amp;sourceID=1","")</f>
        <v/>
      </c>
    </row>
    <row r="1525" spans="1:9">
      <c r="A1525" s="3"/>
      <c r="B1525" s="3"/>
      <c r="C1525" s="3"/>
      <c r="D1525" s="3"/>
      <c r="E1525" s="3">
        <v>3</v>
      </c>
      <c r="F1525" s="4" t="str">
        <f>HYPERLINK("http://141.218.60.56/~jnz1568/getInfo.php?workbook=02_02.xlsx&amp;sheet=U0&amp;row=1525&amp;col=6&amp;number=4.25&amp;sourceID=28","4.25")</f>
        <v>4.25</v>
      </c>
      <c r="G1525" s="4" t="str">
        <f>HYPERLINK("http://141.218.60.56/~jnz1568/getInfo.php?workbook=02_02.xlsx&amp;sheet=U0&amp;row=1525&amp;col=7&amp;number=0.06919&amp;sourceID=1","0.06919")</f>
        <v>0.06919</v>
      </c>
      <c r="H1525" s="4" t="str">
        <f>HYPERLINK("http://141.218.60.56/~jnz1568/getInfo.php?workbook=02_02.xlsx&amp;sheet=U0&amp;row=1525&amp;col=8&amp;number=&amp;sourceID=29","")</f>
        <v/>
      </c>
      <c r="I1525" s="4" t="str">
        <f>HYPERLINK("http://141.218.60.56/~jnz1568/getInfo.php?workbook=02_02.xlsx&amp;sheet=U0&amp;row=1525&amp;col=9&amp;number=&amp;sourceID=1","")</f>
        <v/>
      </c>
    </row>
    <row r="1526" spans="1:9">
      <c r="A1526" s="3"/>
      <c r="B1526" s="3"/>
      <c r="C1526" s="3"/>
      <c r="D1526" s="3"/>
      <c r="E1526" s="3">
        <v>4</v>
      </c>
      <c r="F1526" s="4" t="str">
        <f>HYPERLINK("http://141.218.60.56/~jnz1568/getInfo.php?workbook=02_02.xlsx&amp;sheet=U0&amp;row=1526&amp;col=6&amp;number=4.5&amp;sourceID=28","4.5")</f>
        <v>4.5</v>
      </c>
      <c r="G1526" s="4" t="str">
        <f>HYPERLINK("http://141.218.60.56/~jnz1568/getInfo.php?workbook=02_02.xlsx&amp;sheet=U0&amp;row=1526&amp;col=7&amp;number=0.08892&amp;sourceID=1","0.08892")</f>
        <v>0.08892</v>
      </c>
      <c r="H1526" s="4" t="str">
        <f>HYPERLINK("http://141.218.60.56/~jnz1568/getInfo.php?workbook=02_02.xlsx&amp;sheet=U0&amp;row=1526&amp;col=8&amp;number=&amp;sourceID=29","")</f>
        <v/>
      </c>
      <c r="I1526" s="4" t="str">
        <f>HYPERLINK("http://141.218.60.56/~jnz1568/getInfo.php?workbook=02_02.xlsx&amp;sheet=U0&amp;row=1526&amp;col=9&amp;number=&amp;sourceID=1","")</f>
        <v/>
      </c>
    </row>
    <row r="1527" spans="1:9">
      <c r="A1527" s="3"/>
      <c r="B1527" s="3"/>
      <c r="C1527" s="3"/>
      <c r="D1527" s="3"/>
      <c r="E1527" s="3">
        <v>5</v>
      </c>
      <c r="F1527" s="4" t="str">
        <f>HYPERLINK("http://141.218.60.56/~jnz1568/getInfo.php?workbook=02_02.xlsx&amp;sheet=U0&amp;row=1527&amp;col=6&amp;number=4.75&amp;sourceID=28","4.75")</f>
        <v>4.75</v>
      </c>
      <c r="G1527" s="4" t="str">
        <f>HYPERLINK("http://141.218.60.56/~jnz1568/getInfo.php?workbook=02_02.xlsx&amp;sheet=U0&amp;row=1527&amp;col=7&amp;number=0.1208&amp;sourceID=1","0.1208")</f>
        <v>0.1208</v>
      </c>
      <c r="H1527" s="4" t="str">
        <f>HYPERLINK("http://141.218.60.56/~jnz1568/getInfo.php?workbook=02_02.xlsx&amp;sheet=U0&amp;row=1527&amp;col=8&amp;number=&amp;sourceID=29","")</f>
        <v/>
      </c>
      <c r="I1527" s="4" t="str">
        <f>HYPERLINK("http://141.218.60.56/~jnz1568/getInfo.php?workbook=02_02.xlsx&amp;sheet=U0&amp;row=1527&amp;col=9&amp;number=&amp;sourceID=1","")</f>
        <v/>
      </c>
    </row>
    <row r="1528" spans="1:9">
      <c r="A1528" s="3"/>
      <c r="B1528" s="3"/>
      <c r="C1528" s="3"/>
      <c r="D1528" s="3"/>
      <c r="E1528" s="3">
        <v>6</v>
      </c>
      <c r="F1528" s="4" t="str">
        <f>HYPERLINK("http://141.218.60.56/~jnz1568/getInfo.php?workbook=02_02.xlsx&amp;sheet=U0&amp;row=1528&amp;col=6&amp;number=5&amp;sourceID=28","5")</f>
        <v>5</v>
      </c>
      <c r="G1528" s="4" t="str">
        <f>HYPERLINK("http://141.218.60.56/~jnz1568/getInfo.php?workbook=02_02.xlsx&amp;sheet=U0&amp;row=1528&amp;col=7&amp;number=0.1769&amp;sourceID=1","0.1769")</f>
        <v>0.1769</v>
      </c>
      <c r="H1528" s="4" t="str">
        <f>HYPERLINK("http://141.218.60.56/~jnz1568/getInfo.php?workbook=02_02.xlsx&amp;sheet=U0&amp;row=1528&amp;col=8&amp;number=&amp;sourceID=29","")</f>
        <v/>
      </c>
      <c r="I1528" s="4" t="str">
        <f>HYPERLINK("http://141.218.60.56/~jnz1568/getInfo.php?workbook=02_02.xlsx&amp;sheet=U0&amp;row=1528&amp;col=9&amp;number=&amp;sourceID=1","")</f>
        <v/>
      </c>
    </row>
    <row r="1529" spans="1:9">
      <c r="A1529" s="3"/>
      <c r="B1529" s="3"/>
      <c r="C1529" s="3"/>
      <c r="D1529" s="3"/>
      <c r="E1529" s="3">
        <v>7</v>
      </c>
      <c r="F1529" s="4" t="str">
        <f>HYPERLINK("http://141.218.60.56/~jnz1568/getInfo.php?workbook=02_02.xlsx&amp;sheet=U0&amp;row=1529&amp;col=6&amp;number=5.25&amp;sourceID=28","5.25")</f>
        <v>5.25</v>
      </c>
      <c r="G1529" s="4" t="str">
        <f>HYPERLINK("http://141.218.60.56/~jnz1568/getInfo.php?workbook=02_02.xlsx&amp;sheet=U0&amp;row=1529&amp;col=7&amp;number=0.2685&amp;sourceID=1","0.2685")</f>
        <v>0.2685</v>
      </c>
      <c r="H1529" s="4" t="str">
        <f>HYPERLINK("http://141.218.60.56/~jnz1568/getInfo.php?workbook=02_02.xlsx&amp;sheet=U0&amp;row=1529&amp;col=8&amp;number=&amp;sourceID=29","")</f>
        <v/>
      </c>
      <c r="I1529" s="4" t="str">
        <f>HYPERLINK("http://141.218.60.56/~jnz1568/getInfo.php?workbook=02_02.xlsx&amp;sheet=U0&amp;row=1529&amp;col=9&amp;number=&amp;sourceID=1","")</f>
        <v/>
      </c>
    </row>
    <row r="1530" spans="1:9">
      <c r="A1530" s="3"/>
      <c r="B1530" s="3"/>
      <c r="C1530" s="3"/>
      <c r="D1530" s="3"/>
      <c r="E1530" s="3">
        <v>8</v>
      </c>
      <c r="F1530" s="4" t="str">
        <f>HYPERLINK("http://141.218.60.56/~jnz1568/getInfo.php?workbook=02_02.xlsx&amp;sheet=U0&amp;row=1530&amp;col=6&amp;number=5.5&amp;sourceID=28","5.5")</f>
        <v>5.5</v>
      </c>
      <c r="G1530" s="4" t="str">
        <f>HYPERLINK("http://141.218.60.56/~jnz1568/getInfo.php?workbook=02_02.xlsx&amp;sheet=U0&amp;row=1530&amp;col=7&amp;number=0.3996&amp;sourceID=1","0.3996")</f>
        <v>0.3996</v>
      </c>
      <c r="H1530" s="4" t="str">
        <f>HYPERLINK("http://141.218.60.56/~jnz1568/getInfo.php?workbook=02_02.xlsx&amp;sheet=U0&amp;row=1530&amp;col=8&amp;number=&amp;sourceID=29","")</f>
        <v/>
      </c>
      <c r="I1530" s="4" t="str">
        <f>HYPERLINK("http://141.218.60.56/~jnz1568/getInfo.php?workbook=02_02.xlsx&amp;sheet=U0&amp;row=1530&amp;col=9&amp;number=&amp;sourceID=1","")</f>
        <v/>
      </c>
    </row>
    <row r="1531" spans="1:9">
      <c r="A1531" s="3"/>
      <c r="B1531" s="3"/>
      <c r="C1531" s="3"/>
      <c r="D1531" s="3"/>
      <c r="E1531" s="3">
        <v>9</v>
      </c>
      <c r="F1531" s="4" t="str">
        <f>HYPERLINK("http://141.218.60.56/~jnz1568/getInfo.php?workbook=02_02.xlsx&amp;sheet=U0&amp;row=1531&amp;col=6&amp;number=5.75&amp;sourceID=28","5.75")</f>
        <v>5.75</v>
      </c>
      <c r="G1531" s="4" t="str">
        <f>HYPERLINK("http://141.218.60.56/~jnz1568/getInfo.php?workbook=02_02.xlsx&amp;sheet=U0&amp;row=1531&amp;col=7&amp;number=0.5658&amp;sourceID=1","0.5658")</f>
        <v>0.5658</v>
      </c>
      <c r="H1531" s="4" t="str">
        <f>HYPERLINK("http://141.218.60.56/~jnz1568/getInfo.php?workbook=02_02.xlsx&amp;sheet=U0&amp;row=1531&amp;col=8&amp;number=&amp;sourceID=29","")</f>
        <v/>
      </c>
      <c r="I1531" s="4" t="str">
        <f>HYPERLINK("http://141.218.60.56/~jnz1568/getInfo.php?workbook=02_02.xlsx&amp;sheet=U0&amp;row=1531&amp;col=9&amp;number=&amp;sourceID=1","")</f>
        <v/>
      </c>
    </row>
    <row r="1532" spans="1:9">
      <c r="A1532" s="3">
        <v>2</v>
      </c>
      <c r="B1532" s="3">
        <v>2</v>
      </c>
      <c r="C1532" s="3">
        <v>29</v>
      </c>
      <c r="D1532" s="3">
        <v>4</v>
      </c>
      <c r="E1532" s="3">
        <v>1</v>
      </c>
      <c r="F1532" s="4" t="str">
        <f>HYPERLINK("http://141.218.60.56/~jnz1568/getInfo.php?workbook=02_02.xlsx&amp;sheet=U0&amp;row=1532&amp;col=6&amp;number=3.75&amp;sourceID=28","3.75")</f>
        <v>3.75</v>
      </c>
      <c r="G1532" s="4" t="str">
        <f>HYPERLINK("http://141.218.60.56/~jnz1568/getInfo.php?workbook=02_02.xlsx&amp;sheet=U0&amp;row=1532&amp;col=7&amp;number=0.1246&amp;sourceID=1","0.1246")</f>
        <v>0.1246</v>
      </c>
      <c r="H1532" s="4" t="str">
        <f>HYPERLINK("http://141.218.60.56/~jnz1568/getInfo.php?workbook=02_02.xlsx&amp;sheet=U0&amp;row=1532&amp;col=8&amp;number=&amp;sourceID=29","")</f>
        <v/>
      </c>
      <c r="I1532" s="4" t="str">
        <f>HYPERLINK("http://141.218.60.56/~jnz1568/getInfo.php?workbook=02_02.xlsx&amp;sheet=U0&amp;row=1532&amp;col=9&amp;number=&amp;sourceID=1","")</f>
        <v/>
      </c>
    </row>
    <row r="1533" spans="1:9">
      <c r="A1533" s="3"/>
      <c r="B1533" s="3"/>
      <c r="C1533" s="3"/>
      <c r="D1533" s="3"/>
      <c r="E1533" s="3">
        <v>2</v>
      </c>
      <c r="F1533" s="4" t="str">
        <f>HYPERLINK("http://141.218.60.56/~jnz1568/getInfo.php?workbook=02_02.xlsx&amp;sheet=U0&amp;row=1533&amp;col=6&amp;number=4&amp;sourceID=28","4")</f>
        <v>4</v>
      </c>
      <c r="G1533" s="4" t="str">
        <f>HYPERLINK("http://141.218.60.56/~jnz1568/getInfo.php?workbook=02_02.xlsx&amp;sheet=U0&amp;row=1533&amp;col=7&amp;number=0.137&amp;sourceID=1","0.137")</f>
        <v>0.137</v>
      </c>
      <c r="H1533" s="4" t="str">
        <f>HYPERLINK("http://141.218.60.56/~jnz1568/getInfo.php?workbook=02_02.xlsx&amp;sheet=U0&amp;row=1533&amp;col=8&amp;number=&amp;sourceID=29","")</f>
        <v/>
      </c>
      <c r="I1533" s="4" t="str">
        <f>HYPERLINK("http://141.218.60.56/~jnz1568/getInfo.php?workbook=02_02.xlsx&amp;sheet=U0&amp;row=1533&amp;col=9&amp;number=&amp;sourceID=1","")</f>
        <v/>
      </c>
    </row>
    <row r="1534" spans="1:9">
      <c r="A1534" s="3"/>
      <c r="B1534" s="3"/>
      <c r="C1534" s="3"/>
      <c r="D1534" s="3"/>
      <c r="E1534" s="3">
        <v>3</v>
      </c>
      <c r="F1534" s="4" t="str">
        <f>HYPERLINK("http://141.218.60.56/~jnz1568/getInfo.php?workbook=02_02.xlsx&amp;sheet=U0&amp;row=1534&amp;col=6&amp;number=4.25&amp;sourceID=28","4.25")</f>
        <v>4.25</v>
      </c>
      <c r="G1534" s="4" t="str">
        <f>HYPERLINK("http://141.218.60.56/~jnz1568/getInfo.php?workbook=02_02.xlsx&amp;sheet=U0&amp;row=1534&amp;col=7&amp;number=0.1374&amp;sourceID=1","0.1374")</f>
        <v>0.1374</v>
      </c>
      <c r="H1534" s="4" t="str">
        <f>HYPERLINK("http://141.218.60.56/~jnz1568/getInfo.php?workbook=02_02.xlsx&amp;sheet=U0&amp;row=1534&amp;col=8&amp;number=&amp;sourceID=29","")</f>
        <v/>
      </c>
      <c r="I1534" s="4" t="str">
        <f>HYPERLINK("http://141.218.60.56/~jnz1568/getInfo.php?workbook=02_02.xlsx&amp;sheet=U0&amp;row=1534&amp;col=9&amp;number=&amp;sourceID=1","")</f>
        <v/>
      </c>
    </row>
    <row r="1535" spans="1:9">
      <c r="A1535" s="3"/>
      <c r="B1535" s="3"/>
      <c r="C1535" s="3"/>
      <c r="D1535" s="3"/>
      <c r="E1535" s="3">
        <v>4</v>
      </c>
      <c r="F1535" s="4" t="str">
        <f>HYPERLINK("http://141.218.60.56/~jnz1568/getInfo.php?workbook=02_02.xlsx&amp;sheet=U0&amp;row=1535&amp;col=6&amp;number=4.5&amp;sourceID=28","4.5")</f>
        <v>4.5</v>
      </c>
      <c r="G1535" s="4" t="str">
        <f>HYPERLINK("http://141.218.60.56/~jnz1568/getInfo.php?workbook=02_02.xlsx&amp;sheet=U0&amp;row=1535&amp;col=7&amp;number=0.1253&amp;sourceID=1","0.1253")</f>
        <v>0.1253</v>
      </c>
      <c r="H1535" s="4" t="str">
        <f>HYPERLINK("http://141.218.60.56/~jnz1568/getInfo.php?workbook=02_02.xlsx&amp;sheet=U0&amp;row=1535&amp;col=8&amp;number=&amp;sourceID=29","")</f>
        <v/>
      </c>
      <c r="I1535" s="4" t="str">
        <f>HYPERLINK("http://141.218.60.56/~jnz1568/getInfo.php?workbook=02_02.xlsx&amp;sheet=U0&amp;row=1535&amp;col=9&amp;number=&amp;sourceID=1","")</f>
        <v/>
      </c>
    </row>
    <row r="1536" spans="1:9">
      <c r="A1536" s="3"/>
      <c r="B1536" s="3"/>
      <c r="C1536" s="3"/>
      <c r="D1536" s="3"/>
      <c r="E1536" s="3">
        <v>5</v>
      </c>
      <c r="F1536" s="4" t="str">
        <f>HYPERLINK("http://141.218.60.56/~jnz1568/getInfo.php?workbook=02_02.xlsx&amp;sheet=U0&amp;row=1536&amp;col=6&amp;number=4.75&amp;sourceID=28","4.75")</f>
        <v>4.75</v>
      </c>
      <c r="G1536" s="4" t="str">
        <f>HYPERLINK("http://141.218.60.56/~jnz1568/getInfo.php?workbook=02_02.xlsx&amp;sheet=U0&amp;row=1536&amp;col=7&amp;number=0.1051&amp;sourceID=1","0.1051")</f>
        <v>0.1051</v>
      </c>
      <c r="H1536" s="4" t="str">
        <f>HYPERLINK("http://141.218.60.56/~jnz1568/getInfo.php?workbook=02_02.xlsx&amp;sheet=U0&amp;row=1536&amp;col=8&amp;number=&amp;sourceID=29","")</f>
        <v/>
      </c>
      <c r="I1536" s="4" t="str">
        <f>HYPERLINK("http://141.218.60.56/~jnz1568/getInfo.php?workbook=02_02.xlsx&amp;sheet=U0&amp;row=1536&amp;col=9&amp;number=&amp;sourceID=1","")</f>
        <v/>
      </c>
    </row>
    <row r="1537" spans="1:9">
      <c r="A1537" s="3"/>
      <c r="B1537" s="3"/>
      <c r="C1537" s="3"/>
      <c r="D1537" s="3"/>
      <c r="E1537" s="3">
        <v>6</v>
      </c>
      <c r="F1537" s="4" t="str">
        <f>HYPERLINK("http://141.218.60.56/~jnz1568/getInfo.php?workbook=02_02.xlsx&amp;sheet=U0&amp;row=1537&amp;col=6&amp;number=5&amp;sourceID=28","5")</f>
        <v>5</v>
      </c>
      <c r="G1537" s="4" t="str">
        <f>HYPERLINK("http://141.218.60.56/~jnz1568/getInfo.php?workbook=02_02.xlsx&amp;sheet=U0&amp;row=1537&amp;col=7&amp;number=0.08244&amp;sourceID=1","0.08244")</f>
        <v>0.08244</v>
      </c>
      <c r="H1537" s="4" t="str">
        <f>HYPERLINK("http://141.218.60.56/~jnz1568/getInfo.php?workbook=02_02.xlsx&amp;sheet=U0&amp;row=1537&amp;col=8&amp;number=&amp;sourceID=29","")</f>
        <v/>
      </c>
      <c r="I1537" s="4" t="str">
        <f>HYPERLINK("http://141.218.60.56/~jnz1568/getInfo.php?workbook=02_02.xlsx&amp;sheet=U0&amp;row=1537&amp;col=9&amp;number=&amp;sourceID=1","")</f>
        <v/>
      </c>
    </row>
    <row r="1538" spans="1:9">
      <c r="A1538" s="3"/>
      <c r="B1538" s="3"/>
      <c r="C1538" s="3"/>
      <c r="D1538" s="3"/>
      <c r="E1538" s="3">
        <v>7</v>
      </c>
      <c r="F1538" s="4" t="str">
        <f>HYPERLINK("http://141.218.60.56/~jnz1568/getInfo.php?workbook=02_02.xlsx&amp;sheet=U0&amp;row=1538&amp;col=6&amp;number=5.25&amp;sourceID=28","5.25")</f>
        <v>5.25</v>
      </c>
      <c r="G1538" s="4" t="str">
        <f>HYPERLINK("http://141.218.60.56/~jnz1568/getInfo.php?workbook=02_02.xlsx&amp;sheet=U0&amp;row=1538&amp;col=7&amp;number=0.06106&amp;sourceID=1","0.06106")</f>
        <v>0.06106</v>
      </c>
      <c r="H1538" s="4" t="str">
        <f>HYPERLINK("http://141.218.60.56/~jnz1568/getInfo.php?workbook=02_02.xlsx&amp;sheet=U0&amp;row=1538&amp;col=8&amp;number=&amp;sourceID=29","")</f>
        <v/>
      </c>
      <c r="I1538" s="4" t="str">
        <f>HYPERLINK("http://141.218.60.56/~jnz1568/getInfo.php?workbook=02_02.xlsx&amp;sheet=U0&amp;row=1538&amp;col=9&amp;number=&amp;sourceID=1","")</f>
        <v/>
      </c>
    </row>
    <row r="1539" spans="1:9">
      <c r="A1539" s="3"/>
      <c r="B1539" s="3"/>
      <c r="C1539" s="3"/>
      <c r="D1539" s="3"/>
      <c r="E1539" s="3">
        <v>8</v>
      </c>
      <c r="F1539" s="4" t="str">
        <f>HYPERLINK("http://141.218.60.56/~jnz1568/getInfo.php?workbook=02_02.xlsx&amp;sheet=U0&amp;row=1539&amp;col=6&amp;number=5.5&amp;sourceID=28","5.5")</f>
        <v>5.5</v>
      </c>
      <c r="G1539" s="4" t="str">
        <f>HYPERLINK("http://141.218.60.56/~jnz1568/getInfo.php?workbook=02_02.xlsx&amp;sheet=U0&amp;row=1539&amp;col=7&amp;number=0.04297&amp;sourceID=1","0.04297")</f>
        <v>0.04297</v>
      </c>
      <c r="H1539" s="4" t="str">
        <f>HYPERLINK("http://141.218.60.56/~jnz1568/getInfo.php?workbook=02_02.xlsx&amp;sheet=U0&amp;row=1539&amp;col=8&amp;number=&amp;sourceID=29","")</f>
        <v/>
      </c>
      <c r="I1539" s="4" t="str">
        <f>HYPERLINK("http://141.218.60.56/~jnz1568/getInfo.php?workbook=02_02.xlsx&amp;sheet=U0&amp;row=1539&amp;col=9&amp;number=&amp;sourceID=1","")</f>
        <v/>
      </c>
    </row>
    <row r="1540" spans="1:9">
      <c r="A1540" s="3"/>
      <c r="B1540" s="3"/>
      <c r="C1540" s="3"/>
      <c r="D1540" s="3"/>
      <c r="E1540" s="3">
        <v>9</v>
      </c>
      <c r="F1540" s="4" t="str">
        <f>HYPERLINK("http://141.218.60.56/~jnz1568/getInfo.php?workbook=02_02.xlsx&amp;sheet=U0&amp;row=1540&amp;col=6&amp;number=5.75&amp;sourceID=28","5.75")</f>
        <v>5.75</v>
      </c>
      <c r="G1540" s="4" t="str">
        <f>HYPERLINK("http://141.218.60.56/~jnz1568/getInfo.php?workbook=02_02.xlsx&amp;sheet=U0&amp;row=1540&amp;col=7&amp;number=0.02886&amp;sourceID=1","0.02886")</f>
        <v>0.02886</v>
      </c>
      <c r="H1540" s="4" t="str">
        <f>HYPERLINK("http://141.218.60.56/~jnz1568/getInfo.php?workbook=02_02.xlsx&amp;sheet=U0&amp;row=1540&amp;col=8&amp;number=&amp;sourceID=29","")</f>
        <v/>
      </c>
      <c r="I1540" s="4" t="str">
        <f>HYPERLINK("http://141.218.60.56/~jnz1568/getInfo.php?workbook=02_02.xlsx&amp;sheet=U0&amp;row=1540&amp;col=9&amp;number=&amp;sourceID=1","")</f>
        <v/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E0</vt:lpstr>
      <vt:lpstr>E1</vt:lpstr>
      <vt:lpstr>A0</vt:lpstr>
      <vt:lpstr>A1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2015-04-13T05:01:01Z</dcterms:created>
  <dcterms:modified xsi:type="dcterms:W3CDTF">2015-04-13T05:01:01Z</dcterms:modified>
</cp:coreProperties>
</file>