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</sheets>
  <calcPr calcId="124519" fullCalcOnLoad="1"/>
</workbook>
</file>

<file path=xl/sharedStrings.xml><?xml version="1.0" encoding="utf-8"?>
<sst xmlns="http://schemas.openxmlformats.org/spreadsheetml/2006/main" count="138" uniqueCount="48">
  <si>
    <t>Fine Structure Energy Levels for  Li II</t>
  </si>
  <si>
    <t>S2</t>
  </si>
  <si>
    <t>S30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</si>
  <si>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</si>
  <si>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</si>
  <si>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</si>
  <si>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</si>
  <si>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</si>
  <si>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</si>
  <si>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</si>
  <si>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</si>
  <si>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</si>
  <si>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</si>
  <si>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1s2</t>
  </si>
  <si>
    <t>1S</t>
  </si>
  <si>
    <t>1s.2s</t>
  </si>
  <si>
    <t>3S</t>
  </si>
  <si>
    <t>1s.2p</t>
  </si>
  <si>
    <t>3P*</t>
  </si>
  <si>
    <t>1P*</t>
  </si>
  <si>
    <t>1s.3s</t>
  </si>
  <si>
    <t>1s.3p</t>
  </si>
  <si>
    <t>1s.3d</t>
  </si>
  <si>
    <t>3D</t>
  </si>
  <si>
    <t>1D</t>
  </si>
  <si>
    <t>1s.4s</t>
  </si>
  <si>
    <t>1s.4p</t>
  </si>
  <si>
    <t>1s.4d</t>
  </si>
  <si>
    <t>1s.4f</t>
  </si>
  <si>
    <t>3F*</t>
  </si>
  <si>
    <t>1F*</t>
  </si>
  <si>
    <t>1s.5s</t>
  </si>
  <si>
    <t>1s.5p</t>
  </si>
  <si>
    <t>1s.5d</t>
  </si>
  <si>
    <t>1s.5f</t>
  </si>
  <si>
    <t>1s.5g</t>
  </si>
  <si>
    <t>3G</t>
  </si>
  <si>
    <t>1G</t>
  </si>
  <si>
    <t>A-values for  fine-structure transitions in Li II</t>
  </si>
  <si>
    <t>S27</t>
  </si>
  <si>
    <t>S15</t>
  </si>
  <si>
    <t>k</t>
  </si>
  <si>
    <t>WLVac (A)</t>
  </si>
  <si>
    <t>A2E1 (s-1)</t>
  </si>
  <si>
    <t>AE1 (s-1)</t>
  </si>
  <si>
    <t>AE2 (s-1)</t>
  </si>
  <si>
    <t>AM1 (s-1)</t>
  </si>
  <si>
    <t>AM2 (s-1)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</si>
</sst>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2"/>
  <sheetViews>
    <sheetView tabSelected="1" workbookViewId="0"/>
  </sheetViews>
  <sheetFormatPr defaultRowHeight="15"/>
  <cols>
    <col min="1" max="1" width="2.7109375" customWidth="1"/>
    <col min="2" max="2" width="2.7109375" customWidth="1"/>
    <col min="3" max="3" width="15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10.7109375" customWidth="1"/>
    <col min="11" max="11" width="14.7109375" customWidth="1"/>
    <col min="12" max="12" width="14.7109375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  <c r="K2" s="2" t="s">
        <v>2</v>
      </c>
      <c r="L2" s="2" t="s">
        <v>2</v>
      </c>
    </row>
    <row r="3" spans="1:12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12</v>
      </c>
      <c r="L3" s="2" t="s">
        <v>12</v>
      </c>
    </row>
    <row r="4" spans="1:12">
      <c r="A4" s="3">
        <v>3</v>
      </c>
      <c r="B4" s="3">
        <v>2</v>
      </c>
      <c r="C4" s="3">
        <v>1</v>
      </c>
      <c r="D4" s="3" t="s">
        <v>13</v>
      </c>
      <c r="E4" s="3" t="s">
        <v>14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HYPERLINK("http://141.218.60.56/~jnz1568/getInfo.php?workbook=03_02.xlsx&amp;sheet=E0&amp;row=4&amp;col=10&amp;number=0&amp;sourceID=2","0")</f>
        <v>0</v>
      </c>
      <c r="K4" s="4" t="str">
        <f>HYPERLINK("http://141.218.60.56/~jnz1568/getInfo.php?workbook=03_02.xlsx&amp;sheet=E0&amp;row=4&amp;col=11&amp;number=0&amp;sourceID=30","0")</f>
        <v>0</v>
      </c>
      <c r="L4" s="4" t="str">
        <f>HYPERLINK("http://141.218.60.56/~jnz1568/getInfo.php?workbook=03_02.xlsx&amp;sheet=E0&amp;row=4&amp;col=12&amp;number=0&amp;sourceID=30","0")</f>
        <v>0</v>
      </c>
    </row>
    <row r="5" spans="1:12">
      <c r="A5" s="3">
        <v>3</v>
      </c>
      <c r="B5" s="3">
        <v>2</v>
      </c>
      <c r="C5" s="3">
        <f>+C4+1</f>
        <v>0</v>
      </c>
      <c r="D5" s="3" t="s">
        <v>15</v>
      </c>
      <c r="E5" s="3" t="s">
        <v>16</v>
      </c>
      <c r="F5" s="3">
        <v>3</v>
      </c>
      <c r="G5" s="3">
        <v>0</v>
      </c>
      <c r="H5" s="3">
        <v>0</v>
      </c>
      <c r="I5" s="3">
        <v>1</v>
      </c>
      <c r="J5" s="4" t="str">
        <f>HYPERLINK("http://141.218.60.56/~jnz1568/getInfo.php?workbook=03_02.xlsx&amp;sheet=E0&amp;row=5&amp;col=10&amp;number=476034.98&amp;sourceID=2","476034.98")</f>
        <v>476034.98</v>
      </c>
      <c r="K5" s="4" t="str">
        <f>HYPERLINK("http://141.218.60.56/~jnz1568/getInfo.php?workbook=03_02.xlsx&amp;sheet=E0&amp;row=5&amp;col=11&amp;number=452429.3946&amp;sourceID=30","452429.3946")</f>
        <v>452429.3946</v>
      </c>
      <c r="L5" s="4" t="str">
        <f>HYPERLINK("http://141.218.60.56/~jnz1568/getInfo.php?workbook=03_02.xlsx&amp;sheet=E0&amp;row=5&amp;col=12&amp;number=452345.99424&amp;sourceID=30","452345.99424")</f>
        <v>452345.99424</v>
      </c>
    </row>
    <row r="6" spans="1:12">
      <c r="A6" s="3">
        <v>3</v>
      </c>
      <c r="B6" s="3">
        <v>2</v>
      </c>
      <c r="C6" s="3">
        <f/>
        <v>0</v>
      </c>
      <c r="D6" s="3" t="s">
        <v>15</v>
      </c>
      <c r="E6" s="3" t="s">
        <v>14</v>
      </c>
      <c r="F6" s="3">
        <v>1</v>
      </c>
      <c r="G6" s="3">
        <v>0</v>
      </c>
      <c r="H6" s="3">
        <v>0</v>
      </c>
      <c r="I6" s="3">
        <v>0</v>
      </c>
      <c r="J6" s="4" t="str">
        <f>HYPERLINK("http://141.218.60.56/~jnz1568/getInfo.php?workbook=03_02.xlsx&amp;sheet=E0&amp;row=6&amp;col=10&amp;number=491374.6&amp;sourceID=2","491374.6")</f>
        <v>491374.6</v>
      </c>
      <c r="K6" s="4" t="str">
        <f>HYPERLINK("http://141.218.60.56/~jnz1568/getInfo.php?workbook=03_02.xlsx&amp;sheet=E0&amp;row=6&amp;col=11&amp;number=471133.022686&amp;sourceID=30","471133.022686")</f>
        <v>471133.022686</v>
      </c>
      <c r="L6" s="4" t="str">
        <f>HYPERLINK("http://141.218.60.56/~jnz1568/getInfo.php?workbook=03_02.xlsx&amp;sheet=E0&amp;row=6&amp;col=12&amp;number=471059.498684&amp;sourceID=30","471059.498684")</f>
        <v>471059.498684</v>
      </c>
    </row>
    <row r="7" spans="1:12">
      <c r="A7" s="3">
        <v>3</v>
      </c>
      <c r="B7" s="3">
        <v>2</v>
      </c>
      <c r="C7" s="3">
        <f/>
        <v>0</v>
      </c>
      <c r="D7" s="3" t="s">
        <v>17</v>
      </c>
      <c r="E7" s="3" t="s">
        <v>18</v>
      </c>
      <c r="F7" s="3">
        <v>3</v>
      </c>
      <c r="G7" s="3">
        <v>1</v>
      </c>
      <c r="H7" s="3">
        <v>1</v>
      </c>
      <c r="I7" s="3">
        <v>1</v>
      </c>
      <c r="J7" s="4" t="str">
        <f>HYPERLINK("http://141.218.60.56/~jnz1568/getInfo.php?workbook=03_02.xlsx&amp;sheet=E0&amp;row=7&amp;col=10&amp;number=494261.17&amp;sourceID=2","494261.17")</f>
        <v>494261.17</v>
      </c>
      <c r="K7" s="4" t="str">
        <f>HYPERLINK("http://141.218.60.56/~jnz1568/getInfo.php?workbook=03_02.xlsx&amp;sheet=E0&amp;row=7&amp;col=11&amp;number=471010.116892&amp;sourceID=30","471010.116892")</f>
        <v>471010.116892</v>
      </c>
      <c r="L7" s="4" t="str">
        <f>HYPERLINK("http://141.218.60.56/~jnz1568/getInfo.php?workbook=03_02.xlsx&amp;sheet=E0&amp;row=7&amp;col=12&amp;number=470937.690264&amp;sourceID=30","470937.690264")</f>
        <v>470937.690264</v>
      </c>
    </row>
    <row r="8" spans="1:12">
      <c r="A8" s="3">
        <v>3</v>
      </c>
      <c r="B8" s="3">
        <v>2</v>
      </c>
      <c r="C8" s="3">
        <f/>
        <v>0</v>
      </c>
      <c r="D8" s="3" t="s">
        <v>17</v>
      </c>
      <c r="E8" s="3" t="s">
        <v>18</v>
      </c>
      <c r="F8" s="3">
        <v>3</v>
      </c>
      <c r="G8" s="3">
        <v>1</v>
      </c>
      <c r="H8" s="3">
        <v>1</v>
      </c>
      <c r="I8" s="3">
        <v>2</v>
      </c>
      <c r="J8" s="4" t="str">
        <f>HYPERLINK("http://141.218.60.56/~jnz1568/getInfo.php?workbook=03_02.xlsx&amp;sheet=E0&amp;row=8&amp;col=10&amp;number=494263.44&amp;sourceID=2","494263.44")</f>
        <v>494263.44</v>
      </c>
      <c r="K8" s="4" t="str">
        <f>HYPERLINK("http://141.218.60.56/~jnz1568/getInfo.php?workbook=03_02.xlsx&amp;sheet=E0&amp;row=8&amp;col=11&amp;number=471012.311639&amp;sourceID=30","471012.311639")</f>
        <v>471012.311639</v>
      </c>
      <c r="L8" s="4" t="str">
        <f>HYPERLINK("http://141.218.60.56/~jnz1568/getInfo.php?workbook=03_02.xlsx&amp;sheet=E0&amp;row=8&amp;col=12&amp;number=470932.203398&amp;sourceID=30","470932.203398")</f>
        <v>470932.203398</v>
      </c>
    </row>
    <row r="9" spans="1:12">
      <c r="A9" s="3">
        <v>3</v>
      </c>
      <c r="B9" s="3">
        <v>2</v>
      </c>
      <c r="C9" s="3">
        <f/>
        <v>0</v>
      </c>
      <c r="D9" s="3" t="s">
        <v>17</v>
      </c>
      <c r="E9" s="3" t="s">
        <v>18</v>
      </c>
      <c r="F9" s="3">
        <v>3</v>
      </c>
      <c r="G9" s="3">
        <v>1</v>
      </c>
      <c r="H9" s="3">
        <v>1</v>
      </c>
      <c r="I9" s="3">
        <v>0</v>
      </c>
      <c r="J9" s="4" t="str">
        <f>HYPERLINK("http://141.218.60.56/~jnz1568/getInfo.php?workbook=03_02.xlsx&amp;sheet=E0&amp;row=9&amp;col=10&amp;number=494266.57&amp;sourceID=2","494266.57")</f>
        <v>494266.57</v>
      </c>
      <c r="K9" s="4" t="str">
        <f>HYPERLINK("http://141.218.60.56/~jnz1568/getInfo.php?workbook=03_02.xlsx&amp;sheet=E0&amp;row=9&amp;col=11&amp;number=471017.798504&amp;sourceID=30","471017.798504")</f>
        <v>471017.798504</v>
      </c>
      <c r="L9" s="4" t="str">
        <f>HYPERLINK("http://141.218.60.56/~jnz1568/getInfo.php?workbook=03_02.xlsx&amp;sheet=E0&amp;row=9&amp;col=12&amp;number=470934.398144&amp;sourceID=30","470934.398144")</f>
        <v>470934.398144</v>
      </c>
    </row>
    <row r="10" spans="1:12">
      <c r="A10" s="3">
        <v>3</v>
      </c>
      <c r="B10" s="3">
        <v>2</v>
      </c>
      <c r="C10" s="3">
        <f/>
        <v>0</v>
      </c>
      <c r="D10" s="3" t="s">
        <v>17</v>
      </c>
      <c r="E10" s="3" t="s">
        <v>19</v>
      </c>
      <c r="F10" s="3">
        <v>1</v>
      </c>
      <c r="G10" s="3">
        <v>1</v>
      </c>
      <c r="H10" s="3">
        <v>1</v>
      </c>
      <c r="I10" s="3">
        <v>1</v>
      </c>
      <c r="J10" s="4" t="str">
        <f>HYPERLINK("http://141.218.60.56/~jnz1568/getInfo.php?workbook=03_02.xlsx&amp;sheet=E0&amp;row=10&amp;col=10&amp;number=501808.59&amp;sourceID=2","501808.59")</f>
        <v>501808.59</v>
      </c>
      <c r="K10" s="4" t="str">
        <f>HYPERLINK("http://141.218.60.56/~jnz1568/getInfo.php?workbook=03_02.xlsx&amp;sheet=E0&amp;row=10&amp;col=11&amp;number=479090.075446&amp;sourceID=30","479090.075446")</f>
        <v>479090.075446</v>
      </c>
      <c r="L10" s="4" t="str">
        <f>HYPERLINK("http://141.218.60.56/~jnz1568/getInfo.php?workbook=03_02.xlsx&amp;sheet=E0&amp;row=10&amp;col=12&amp;number=479004.48034&amp;sourceID=30","479004.48034")</f>
        <v>479004.48034</v>
      </c>
    </row>
    <row r="11" spans="1:12">
      <c r="A11" s="3">
        <v>3</v>
      </c>
      <c r="B11" s="3">
        <v>2</v>
      </c>
      <c r="C11" s="3">
        <f/>
        <v>0</v>
      </c>
      <c r="D11" s="3" t="s">
        <v>20</v>
      </c>
      <c r="E11" s="3" t="s">
        <v>16</v>
      </c>
      <c r="F11" s="3">
        <v>3</v>
      </c>
      <c r="G11" s="3">
        <v>0</v>
      </c>
      <c r="H11" s="3">
        <v>0</v>
      </c>
      <c r="I11" s="3">
        <v>1</v>
      </c>
      <c r="J11" s="4" t="str">
        <f>HYPERLINK("http://141.218.60.56/~jnz1568/getInfo.php?workbook=03_02.xlsx&amp;sheet=E0&amp;row=11&amp;col=10&amp;number=554754.45&amp;sourceID=2","554754.45")</f>
        <v>554754.45</v>
      </c>
      <c r="K11" s="4" t="str">
        <f>HYPERLINK("http://141.218.60.56/~jnz1568/getInfo.php?workbook=03_02.xlsx&amp;sheet=E0&amp;row=11&amp;col=11&amp;number=530798.298597&amp;sourceID=30","530798.298597")</f>
        <v>530798.298597</v>
      </c>
      <c r="L11" s="4" t="str">
        <f>HYPERLINK("http://141.218.60.56/~jnz1568/getInfo.php?workbook=03_02.xlsx&amp;sheet=E0&amp;row=11&amp;col=12&amp;number=530713.800864&amp;sourceID=30","530713.800864")</f>
        <v>530713.800864</v>
      </c>
    </row>
    <row r="12" spans="1:12">
      <c r="A12" s="3">
        <v>3</v>
      </c>
      <c r="B12" s="3">
        <v>2</v>
      </c>
      <c r="C12" s="3">
        <f/>
        <v>0</v>
      </c>
      <c r="D12" s="3" t="s">
        <v>20</v>
      </c>
      <c r="E12" s="3" t="s">
        <v>14</v>
      </c>
      <c r="F12" s="3">
        <v>1</v>
      </c>
      <c r="G12" s="3">
        <v>0</v>
      </c>
      <c r="H12" s="3">
        <v>0</v>
      </c>
      <c r="I12" s="3">
        <v>0</v>
      </c>
      <c r="J12" s="4" t="str">
        <f>HYPERLINK("http://141.218.60.56/~jnz1568/getInfo.php?workbook=03_02.xlsx&amp;sheet=E0&amp;row=12&amp;col=10&amp;number=558777.88&amp;sourceID=2","558777.88")</f>
        <v>558777.88</v>
      </c>
      <c r="K12" s="4" t="str">
        <f>HYPERLINK("http://141.218.60.56/~jnz1568/getInfo.php?workbook=03_02.xlsx&amp;sheet=E0&amp;row=12&amp;col=11&amp;number=536222.614111&amp;sourceID=30","536222.614111")</f>
        <v>536222.614111</v>
      </c>
      <c r="L12" s="4" t="str">
        <f>HYPERLINK("http://141.218.60.56/~jnz1568/getInfo.php?workbook=03_02.xlsx&amp;sheet=E0&amp;row=12&amp;col=12&amp;number=536141.408498&amp;sourceID=30","536141.408498")</f>
        <v>536141.408498</v>
      </c>
    </row>
    <row r="13" spans="1:12">
      <c r="A13" s="3">
        <v>3</v>
      </c>
      <c r="B13" s="3">
        <v>2</v>
      </c>
      <c r="C13" s="3">
        <f/>
        <v>0</v>
      </c>
      <c r="D13" s="3" t="s">
        <v>21</v>
      </c>
      <c r="E13" s="3" t="s">
        <v>18</v>
      </c>
      <c r="F13" s="3">
        <v>3</v>
      </c>
      <c r="G13" s="3">
        <v>1</v>
      </c>
      <c r="H13" s="3">
        <v>1</v>
      </c>
      <c r="I13" s="3">
        <v>1</v>
      </c>
      <c r="J13" s="4" t="str">
        <f>HYPERLINK("http://141.218.60.56/~jnz1568/getInfo.php?workbook=03_02.xlsx&amp;sheet=E0&amp;row=13&amp;col=10&amp;number=559500.35&amp;sourceID=2","559500.35")</f>
        <v>559500.35</v>
      </c>
      <c r="K13" s="4" t="str">
        <f>HYPERLINK("http://141.218.60.56/~jnz1568/getInfo.php?workbook=03_02.xlsx&amp;sheet=E0&amp;row=13&amp;col=11&amp;number=535637.714219&amp;sourceID=30","535637.714219")</f>
        <v>535637.714219</v>
      </c>
      <c r="L13" s="4" t="str">
        <f>HYPERLINK("http://141.218.60.56/~jnz1568/getInfo.php?workbook=03_02.xlsx&amp;sheet=E0&amp;row=13&amp;col=12&amp;number=535554.313859&amp;sourceID=30","535554.313859")</f>
        <v>535554.313859</v>
      </c>
    </row>
    <row r="14" spans="1:12">
      <c r="A14" s="3">
        <v>3</v>
      </c>
      <c r="B14" s="3">
        <v>2</v>
      </c>
      <c r="C14" s="3">
        <f/>
        <v>0</v>
      </c>
      <c r="D14" s="3" t="s">
        <v>21</v>
      </c>
      <c r="E14" s="3" t="s">
        <v>18</v>
      </c>
      <c r="F14" s="3">
        <v>3</v>
      </c>
      <c r="G14" s="3">
        <v>1</v>
      </c>
      <c r="H14" s="3">
        <v>1</v>
      </c>
      <c r="I14" s="3">
        <v>2</v>
      </c>
      <c r="J14" s="4" t="str">
        <f>HYPERLINK("http://141.218.60.56/~jnz1568/getInfo.php?workbook=03_02.xlsx&amp;sheet=E0&amp;row=14&amp;col=10&amp;number=559501.42&amp;sourceID=2","559501.42")</f>
        <v>559501.42</v>
      </c>
      <c r="K14" s="4" t="str">
        <f>HYPERLINK("http://141.218.60.56/~jnz1568/getInfo.php?workbook=03_02.xlsx&amp;sheet=E0&amp;row=14&amp;col=11&amp;number=535638.811592&amp;sourceID=30","535638.811592")</f>
        <v>535638.811592</v>
      </c>
      <c r="L14" s="4" t="str">
        <f>HYPERLINK("http://141.218.60.56/~jnz1568/getInfo.php?workbook=03_02.xlsx&amp;sheet=E0&amp;row=14&amp;col=12&amp;number=535555.411232&amp;sourceID=30","535555.411232")</f>
        <v>535555.411232</v>
      </c>
    </row>
    <row r="15" spans="1:12">
      <c r="A15" s="3">
        <v>3</v>
      </c>
      <c r="B15" s="3">
        <v>2</v>
      </c>
      <c r="C15" s="3">
        <f/>
        <v>0</v>
      </c>
      <c r="D15" s="3" t="s">
        <v>21</v>
      </c>
      <c r="E15" s="3" t="s">
        <v>18</v>
      </c>
      <c r="F15" s="3">
        <v>3</v>
      </c>
      <c r="G15" s="3">
        <v>1</v>
      </c>
      <c r="H15" s="3">
        <v>1</v>
      </c>
      <c r="I15" s="3">
        <v>0</v>
      </c>
      <c r="J15" s="4" t="str">
        <f>HYPERLINK("http://141.218.60.56/~jnz1568/getInfo.php?workbook=03_02.xlsx&amp;sheet=E0&amp;row=15&amp;col=10&amp;number=559502.32&amp;sourceID=2","559502.32")</f>
        <v>559502.32</v>
      </c>
      <c r="K15" s="4" t="str">
        <f>HYPERLINK("http://141.218.60.56/~jnz1568/getInfo.php?workbook=03_02.xlsx&amp;sheet=E0&amp;row=15&amp;col=11&amp;number=535636.616846&amp;sourceID=30","535636.616846")</f>
        <v>535636.616846</v>
      </c>
      <c r="L15" s="4" t="str">
        <f>HYPERLINK("http://141.218.60.56/~jnz1568/getInfo.php?workbook=03_02.xlsx&amp;sheet=E0&amp;row=15&amp;col=12&amp;number=535555.411232&amp;sourceID=30","535555.411232")</f>
        <v>535555.411232</v>
      </c>
    </row>
    <row r="16" spans="1:12">
      <c r="A16" s="3">
        <v>3</v>
      </c>
      <c r="B16" s="3">
        <v>2</v>
      </c>
      <c r="C16" s="3">
        <f/>
        <v>0</v>
      </c>
      <c r="D16" s="3" t="s">
        <v>22</v>
      </c>
      <c r="E16" s="3" t="s">
        <v>23</v>
      </c>
      <c r="F16" s="3">
        <v>3</v>
      </c>
      <c r="G16" s="3">
        <v>2</v>
      </c>
      <c r="H16" s="3">
        <v>0</v>
      </c>
      <c r="I16" s="3">
        <v>2</v>
      </c>
      <c r="J16" s="4" t="str">
        <f>HYPERLINK("http://141.218.60.56/~jnz1568/getInfo.php?workbook=03_02.xlsx&amp;sheet=E0&amp;row=16&amp;col=10&amp;number=561243.15&amp;sourceID=2","561243.15")</f>
        <v>561243.15</v>
      </c>
      <c r="K16" s="4" t="str">
        <f>HYPERLINK("http://141.218.60.56/~jnz1568/getInfo.php?workbook=03_02.xlsx&amp;sheet=E0&amp;row=16&amp;col=11&amp;number=537192.691982&amp;sourceID=30","537192.691982")</f>
        <v>537192.691982</v>
      </c>
      <c r="L16" s="4" t="str">
        <f>HYPERLINK("http://141.218.60.56/~jnz1568/getInfo.php?workbook=03_02.xlsx&amp;sheet=E0&amp;row=16&amp;col=12&amp;number=537108.194249&amp;sourceID=30","537108.194249")</f>
        <v>537108.194249</v>
      </c>
    </row>
    <row r="17" spans="1:12">
      <c r="A17" s="3">
        <v>3</v>
      </c>
      <c r="B17" s="3">
        <v>2</v>
      </c>
      <c r="C17" s="3">
        <f/>
        <v>0</v>
      </c>
      <c r="D17" s="3" t="s">
        <v>22</v>
      </c>
      <c r="E17" s="3" t="s">
        <v>23</v>
      </c>
      <c r="F17" s="3">
        <v>3</v>
      </c>
      <c r="G17" s="3">
        <v>2</v>
      </c>
      <c r="H17" s="3">
        <v>0</v>
      </c>
      <c r="I17" s="3">
        <v>3</v>
      </c>
      <c r="J17" s="4" t="str">
        <f>HYPERLINK("http://141.218.60.56/~jnz1568/getInfo.php?workbook=03_02.xlsx&amp;sheet=E0&amp;row=17&amp;col=10&amp;number=561243.77&amp;sourceID=2","561243.77")</f>
        <v>561243.77</v>
      </c>
      <c r="K17" s="4" t="str">
        <f>HYPERLINK("http://141.218.60.56/~jnz1568/getInfo.php?workbook=03_02.xlsx&amp;sheet=E0&amp;row=17&amp;col=11&amp;number=537193.789355&amp;sourceID=30","537193.789355")</f>
        <v>537193.789355</v>
      </c>
      <c r="L17" s="4" t="str">
        <f>HYPERLINK("http://141.218.60.56/~jnz1568/getInfo.php?workbook=03_02.xlsx&amp;sheet=E0&amp;row=17&amp;col=12&amp;number=537109.291622&amp;sourceID=30","537109.291622")</f>
        <v>537109.291622</v>
      </c>
    </row>
    <row r="18" spans="1:12">
      <c r="A18" s="3">
        <v>3</v>
      </c>
      <c r="B18" s="3">
        <v>2</v>
      </c>
      <c r="C18" s="3">
        <f/>
        <v>0</v>
      </c>
      <c r="D18" s="3" t="s">
        <v>22</v>
      </c>
      <c r="E18" s="3" t="s">
        <v>23</v>
      </c>
      <c r="F18" s="3">
        <v>3</v>
      </c>
      <c r="G18" s="3">
        <v>2</v>
      </c>
      <c r="H18" s="3">
        <v>0</v>
      </c>
      <c r="I18" s="3">
        <v>1</v>
      </c>
      <c r="J18" s="4" t="str">
        <f>HYPERLINK("http://141.218.60.56/~jnz1568/getInfo.php?workbook=03_02.xlsx&amp;sheet=E0&amp;row=18&amp;col=10&amp;number=561244.3&amp;sourceID=2","561244.3")</f>
        <v>561244.3</v>
      </c>
      <c r="K18" s="4" t="str">
        <f>HYPERLINK("http://141.218.60.56/~jnz1568/getInfo.php?workbook=03_02.xlsx&amp;sheet=E0&amp;row=18&amp;col=11&amp;number=537192.691982&amp;sourceID=30","537192.691982")</f>
        <v>537192.691982</v>
      </c>
      <c r="L18" s="4" t="str">
        <f>HYPERLINK("http://141.218.60.56/~jnz1568/getInfo.php?workbook=03_02.xlsx&amp;sheet=E0&amp;row=18&amp;col=12&amp;number=537109.291622&amp;sourceID=30","537109.291622")</f>
        <v>537109.291622</v>
      </c>
    </row>
    <row r="19" spans="1:12">
      <c r="A19" s="3">
        <v>3</v>
      </c>
      <c r="B19" s="3">
        <v>2</v>
      </c>
      <c r="C19" s="3">
        <f/>
        <v>0</v>
      </c>
      <c r="D19" s="3" t="s">
        <v>22</v>
      </c>
      <c r="E19" s="3" t="s">
        <v>24</v>
      </c>
      <c r="F19" s="3">
        <v>1</v>
      </c>
      <c r="G19" s="3">
        <v>2</v>
      </c>
      <c r="H19" s="3">
        <v>0</v>
      </c>
      <c r="I19" s="3">
        <v>2</v>
      </c>
      <c r="J19" s="4" t="str">
        <f>HYPERLINK("http://141.218.60.56/~jnz1568/getInfo.php?workbook=03_02.xlsx&amp;sheet=E0&amp;row=19&amp;col=10&amp;number=561273.62&amp;sourceID=2","561273.62")</f>
        <v>561273.62</v>
      </c>
      <c r="K19" s="4" t="str">
        <f>HYPERLINK("http://141.218.60.56/~jnz1568/getInfo.php?workbook=03_02.xlsx&amp;sheet=E0&amp;row=19&amp;col=11&amp;number=537236.586908&amp;sourceID=30","537236.586908")</f>
        <v>537236.586908</v>
      </c>
      <c r="L19" s="4" t="str">
        <f>HYPERLINK("http://141.218.60.56/~jnz1568/getInfo.php?workbook=03_02.xlsx&amp;sheet=E0&amp;row=19&amp;col=12&amp;number=537152.089175&amp;sourceID=30","537152.089175")</f>
        <v>537152.089175</v>
      </c>
    </row>
    <row r="20" spans="1:12">
      <c r="A20" s="3">
        <v>3</v>
      </c>
      <c r="B20" s="3">
        <v>2</v>
      </c>
      <c r="C20" s="3">
        <f/>
        <v>0</v>
      </c>
      <c r="D20" s="3" t="s">
        <v>21</v>
      </c>
      <c r="E20" s="3" t="s">
        <v>19</v>
      </c>
      <c r="F20" s="3">
        <v>1</v>
      </c>
      <c r="G20" s="3">
        <v>1</v>
      </c>
      <c r="H20" s="3">
        <v>1</v>
      </c>
      <c r="I20" s="3">
        <v>1</v>
      </c>
      <c r="J20" s="4" t="str">
        <f>HYPERLINK("http://141.218.60.56/~jnz1568/getInfo.php?workbook=03_02.xlsx&amp;sheet=E0&amp;row=20&amp;col=10&amp;number=561752.82&amp;sourceID=2","561752.82")</f>
        <v>561752.82</v>
      </c>
      <c r="K20" s="4" t="str">
        <f>HYPERLINK("http://141.218.60.56/~jnz1568/getInfo.php?workbook=03_02.xlsx&amp;sheet=E0&amp;row=20&amp;col=11&amp;number=538179.23045&amp;sourceID=30","538179.23045")</f>
        <v>538179.23045</v>
      </c>
      <c r="L20" s="4" t="str">
        <f>HYPERLINK("http://141.218.60.56/~jnz1568/getInfo.php?workbook=03_02.xlsx&amp;sheet=E0&amp;row=20&amp;col=12&amp;number=538094.732717&amp;sourceID=30","538094.732717")</f>
        <v>538094.732717</v>
      </c>
    </row>
    <row r="21" spans="1:12">
      <c r="A21" s="3">
        <v>3</v>
      </c>
      <c r="B21" s="3">
        <v>2</v>
      </c>
      <c r="C21" s="3">
        <f/>
        <v>0</v>
      </c>
      <c r="D21" s="3" t="s">
        <v>25</v>
      </c>
      <c r="E21" s="3" t="s">
        <v>16</v>
      </c>
      <c r="F21" s="3">
        <v>3</v>
      </c>
      <c r="G21" s="3">
        <v>0</v>
      </c>
      <c r="H21" s="3">
        <v>0</v>
      </c>
      <c r="I21" s="3">
        <v>1</v>
      </c>
      <c r="J21" s="4" t="str">
        <f>HYPERLINK("http://141.218.60.56/~jnz1568/getInfo.php?workbook=03_02.xlsx&amp;sheet=E0&amp;row=21&amp;col=10&amp;number=579981.33&amp;sourceID=2","579981.33")</f>
        <v>579981.33</v>
      </c>
      <c r="K21" s="4" t="str">
        <f>HYPERLINK("http://141.218.60.56/~jnz1568/getInfo.php?workbook=03_02.xlsx&amp;sheet=E0&amp;row=21&amp;col=11&amp;number=555952.286098&amp;sourceID=30","555952.286098")</f>
        <v>555952.286098</v>
      </c>
      <c r="L21" s="4" t="str">
        <f>HYPERLINK("http://141.218.60.56/~jnz1568/getInfo.php?workbook=03_02.xlsx&amp;sheet=E0&amp;row=21&amp;col=12&amp;number=555867.788365&amp;sourceID=30","555867.788365")</f>
        <v>555867.788365</v>
      </c>
    </row>
    <row r="22" spans="1:12">
      <c r="A22" s="3">
        <v>3</v>
      </c>
      <c r="B22" s="3">
        <v>2</v>
      </c>
      <c r="C22" s="3">
        <f/>
        <v>0</v>
      </c>
      <c r="D22" s="3" t="s">
        <v>25</v>
      </c>
      <c r="E22" s="3" t="s">
        <v>14</v>
      </c>
      <c r="F22" s="3">
        <v>1</v>
      </c>
      <c r="G22" s="3">
        <v>0</v>
      </c>
      <c r="H22" s="3">
        <v>0</v>
      </c>
      <c r="I22" s="3">
        <v>0</v>
      </c>
      <c r="J22" s="4" t="str">
        <f>HYPERLINK("http://141.218.60.56/~jnz1568/getInfo.php?workbook=03_02.xlsx&amp;sheet=E0&amp;row=22&amp;col=10&amp;number=581596.77&amp;sourceID=2","581596.77")</f>
        <v>581596.77</v>
      </c>
      <c r="K22" s="4" t="str">
        <f>HYPERLINK("http://141.218.60.56/~jnz1568/getInfo.php?workbook=03_02.xlsx&amp;sheet=E0&amp;row=22&amp;col=11&amp;number=558371.993909&amp;sourceID=30","558371.993909")</f>
        <v>558371.993909</v>
      </c>
      <c r="L22" s="4" t="str">
        <f>HYPERLINK("http://141.218.60.56/~jnz1568/getInfo.php?workbook=03_02.xlsx&amp;sheet=E0&amp;row=22&amp;col=12&amp;number=558289.690923&amp;sourceID=30","558289.690923")</f>
        <v>558289.690923</v>
      </c>
    </row>
    <row r="23" spans="1:12">
      <c r="A23" s="3">
        <v>3</v>
      </c>
      <c r="B23" s="3">
        <v>2</v>
      </c>
      <c r="C23" s="3">
        <f/>
        <v>0</v>
      </c>
      <c r="D23" s="3" t="s">
        <v>26</v>
      </c>
      <c r="E23" s="3" t="s">
        <v>18</v>
      </c>
      <c r="F23" s="3">
        <v>3</v>
      </c>
      <c r="G23" s="3">
        <v>1</v>
      </c>
      <c r="H23" s="3">
        <v>1</v>
      </c>
      <c r="I23" s="3">
        <v>0</v>
      </c>
      <c r="J23" s="4" t="str">
        <f>HYPERLINK("http://141.218.60.56/~jnz1568/getInfo.php?workbook=03_02.xlsx&amp;sheet=E0&amp;row=23&amp;col=10&amp;number=581885.58&amp;sourceID=2","581885.58")</f>
        <v>581885.58</v>
      </c>
      <c r="K23" s="4" t="str">
        <f>HYPERLINK("http://141.218.60.56/~jnz1568/getInfo.php?workbook=03_02.xlsx&amp;sheet=E0&amp;row=23&amp;col=11&amp;number=557892.44184&amp;sourceID=30","557892.44184")</f>
        <v>557892.44184</v>
      </c>
      <c r="L23" s="4" t="str">
        <f>HYPERLINK("http://141.218.60.56/~jnz1568/getInfo.php?workbook=03_02.xlsx&amp;sheet=E0&amp;row=23&amp;col=12&amp;number=557810.138853&amp;sourceID=30","557810.138853")</f>
        <v>557810.138853</v>
      </c>
    </row>
    <row r="24" spans="1:12">
      <c r="A24" s="3">
        <v>3</v>
      </c>
      <c r="B24" s="3">
        <v>2</v>
      </c>
      <c r="C24" s="3">
        <f/>
        <v>0</v>
      </c>
      <c r="D24" s="3" t="s">
        <v>26</v>
      </c>
      <c r="E24" s="3" t="s">
        <v>18</v>
      </c>
      <c r="F24" s="3">
        <v>3</v>
      </c>
      <c r="G24" s="3">
        <v>1</v>
      </c>
      <c r="H24" s="3">
        <v>1</v>
      </c>
      <c r="I24" s="3">
        <v>1</v>
      </c>
      <c r="J24" s="4" t="str">
        <f>HYPERLINK("http://141.218.60.56/~jnz1568/getInfo.php?workbook=03_02.xlsx&amp;sheet=E0&amp;row=24&amp;col=10&amp;number=581885.98&amp;sourceID=2","581885.98")</f>
        <v>581885.98</v>
      </c>
      <c r="K24" s="4" t="str">
        <f>HYPERLINK("http://141.218.60.56/~jnz1568/getInfo.php?workbook=03_02.xlsx&amp;sheet=E0&amp;row=24&amp;col=11&amp;number=557893.539213&amp;sourceID=30","557893.539213")</f>
        <v>557893.539213</v>
      </c>
      <c r="L24" s="4" t="str">
        <f>HYPERLINK("http://141.218.60.56/~jnz1568/getInfo.php?workbook=03_02.xlsx&amp;sheet=E0&amp;row=24&amp;col=12&amp;number=557809.04148&amp;sourceID=30","557809.04148")</f>
        <v>557809.04148</v>
      </c>
    </row>
    <row r="25" spans="1:12">
      <c r="A25" s="3">
        <v>3</v>
      </c>
      <c r="B25" s="3">
        <v>2</v>
      </c>
      <c r="C25" s="3">
        <f/>
        <v>0</v>
      </c>
      <c r="D25" s="3" t="s">
        <v>26</v>
      </c>
      <c r="E25" s="3" t="s">
        <v>18</v>
      </c>
      <c r="F25" s="3">
        <v>3</v>
      </c>
      <c r="G25" s="3">
        <v>1</v>
      </c>
      <c r="H25" s="3">
        <v>1</v>
      </c>
      <c r="I25" s="3">
        <v>2</v>
      </c>
      <c r="J25" s="4" t="str">
        <f>HYPERLINK("http://141.218.60.56/~jnz1568/getInfo.php?workbook=03_02.xlsx&amp;sheet=E0&amp;row=25&amp;col=10&amp;number=581886.7&amp;sourceID=2","581886.7")</f>
        <v>581886.7</v>
      </c>
      <c r="K25" s="4" t="str">
        <f>HYPERLINK("http://141.218.60.56/~jnz1568/getInfo.php?workbook=03_02.xlsx&amp;sheet=E0&amp;row=25&amp;col=11&amp;number=557893.539213&amp;sourceID=30","557893.539213")</f>
        <v>557893.539213</v>
      </c>
      <c r="L25" s="4" t="str">
        <f>HYPERLINK("http://141.218.60.56/~jnz1568/getInfo.php?workbook=03_02.xlsx&amp;sheet=E0&amp;row=25&amp;col=12&amp;number=557809.04148&amp;sourceID=30","557809.04148")</f>
        <v>557809.04148</v>
      </c>
    </row>
    <row r="26" spans="1:12">
      <c r="A26" s="3">
        <v>3</v>
      </c>
      <c r="B26" s="3">
        <v>2</v>
      </c>
      <c r="C26" s="3">
        <f/>
        <v>0</v>
      </c>
      <c r="D26" s="3" t="s">
        <v>27</v>
      </c>
      <c r="E26" s="3" t="s">
        <v>23</v>
      </c>
      <c r="F26" s="3">
        <v>3</v>
      </c>
      <c r="G26" s="3">
        <v>2</v>
      </c>
      <c r="H26" s="3">
        <v>0</v>
      </c>
      <c r="I26" s="3">
        <v>1</v>
      </c>
      <c r="J26" s="4" t="str">
        <f>HYPERLINK("http://141.218.60.56/~jnz1568/getInfo.php?workbook=03_02.xlsx&amp;sheet=E0&amp;row=26&amp;col=10&amp;number=582613.02&amp;sourceID=2","582613.02")</f>
        <v>582613.02</v>
      </c>
      <c r="K26" s="4" t="str">
        <f>HYPERLINK("http://141.218.60.56/~jnz1568/getInfo.php?workbook=03_02.xlsx&amp;sheet=E0&amp;row=26&amp;col=11&amp;number=558543.184122&amp;sourceID=30","558543.184122")</f>
        <v>558543.184122</v>
      </c>
      <c r="L26" s="4" t="str">
        <f>HYPERLINK("http://141.218.60.56/~jnz1568/getInfo.php?workbook=03_02.xlsx&amp;sheet=E0&amp;row=26&amp;col=12&amp;number=558458.686389&amp;sourceID=30","558458.686389")</f>
        <v>558458.686389</v>
      </c>
    </row>
    <row r="27" spans="1:12">
      <c r="A27" s="3">
        <v>3</v>
      </c>
      <c r="B27" s="3">
        <v>2</v>
      </c>
      <c r="C27" s="3">
        <f/>
        <v>0</v>
      </c>
      <c r="D27" s="3" t="s">
        <v>27</v>
      </c>
      <c r="E27" s="3" t="s">
        <v>23</v>
      </c>
      <c r="F27" s="3">
        <v>3</v>
      </c>
      <c r="G27" s="3">
        <v>2</v>
      </c>
      <c r="H27" s="3">
        <v>0</v>
      </c>
      <c r="I27" s="3">
        <v>2</v>
      </c>
      <c r="J27" s="4" t="str">
        <f>HYPERLINK("http://141.218.60.56/~jnz1568/getInfo.php?workbook=03_02.xlsx&amp;sheet=E0&amp;row=27&amp;col=10&amp;number=582613.41&amp;sourceID=2","582613.41")</f>
        <v>582613.41</v>
      </c>
      <c r="K27" s="4" t="str">
        <f>HYPERLINK("http://141.218.60.56/~jnz1568/getInfo.php?workbook=03_02.xlsx&amp;sheet=E0&amp;row=27&amp;col=11&amp;number=558543.184122&amp;sourceID=30","558543.184122")</f>
        <v>558543.184122</v>
      </c>
      <c r="L27" s="4" t="str">
        <f>HYPERLINK("http://141.218.60.56/~jnz1568/getInfo.php?workbook=03_02.xlsx&amp;sheet=E0&amp;row=27&amp;col=12&amp;number=558458.686389&amp;sourceID=30","558458.686389")</f>
        <v>558458.686389</v>
      </c>
    </row>
    <row r="28" spans="1:12">
      <c r="A28" s="3">
        <v>3</v>
      </c>
      <c r="B28" s="3">
        <v>2</v>
      </c>
      <c r="C28" s="3">
        <f/>
        <v>0</v>
      </c>
      <c r="D28" s="3" t="s">
        <v>27</v>
      </c>
      <c r="E28" s="3" t="s">
        <v>23</v>
      </c>
      <c r="F28" s="3">
        <v>3</v>
      </c>
      <c r="G28" s="3">
        <v>2</v>
      </c>
      <c r="H28" s="3">
        <v>0</v>
      </c>
      <c r="I28" s="3">
        <v>3</v>
      </c>
      <c r="J28" s="4" t="str">
        <f>HYPERLINK("http://141.218.60.56/~jnz1568/getInfo.php?workbook=03_02.xlsx&amp;sheet=E0&amp;row=28&amp;col=10&amp;number=582614.07&amp;sourceID=2","582614.07")</f>
        <v>582614.07</v>
      </c>
      <c r="K28" s="4" t="str">
        <f>HYPERLINK("http://141.218.60.56/~jnz1568/getInfo.php?workbook=03_02.xlsx&amp;sheet=E0&amp;row=28&amp;col=11&amp;number=558543.184122&amp;sourceID=30","558543.184122")</f>
        <v>558543.184122</v>
      </c>
      <c r="L28" s="4" t="str">
        <f>HYPERLINK("http://141.218.60.56/~jnz1568/getInfo.php?workbook=03_02.xlsx&amp;sheet=E0&amp;row=28&amp;col=12&amp;number=558458.686389&amp;sourceID=30","558458.686389")</f>
        <v>558458.686389</v>
      </c>
    </row>
    <row r="29" spans="1:12">
      <c r="A29" s="3">
        <v>3</v>
      </c>
      <c r="B29" s="3">
        <v>2</v>
      </c>
      <c r="C29" s="3">
        <f/>
        <v>0</v>
      </c>
      <c r="D29" s="3" t="s">
        <v>27</v>
      </c>
      <c r="E29" s="3" t="s">
        <v>24</v>
      </c>
      <c r="F29" s="3">
        <v>1</v>
      </c>
      <c r="G29" s="3">
        <v>2</v>
      </c>
      <c r="H29" s="3">
        <v>0</v>
      </c>
      <c r="I29" s="3">
        <v>2</v>
      </c>
      <c r="J29" s="4" t="str">
        <f>HYPERLINK("http://141.218.60.56/~jnz1568/getInfo.php?workbook=03_02.xlsx&amp;sheet=E0&amp;row=29&amp;col=10&amp;number=582630.95&amp;sourceID=2","582630.95")</f>
        <v>582630.95</v>
      </c>
      <c r="K29" s="4" t="str">
        <f>HYPERLINK("http://141.218.60.56/~jnz1568/getInfo.php?workbook=03_02.xlsx&amp;sheet=E0&amp;row=29&amp;col=11&amp;number=558567.326331&amp;sourceID=30","558567.326331")</f>
        <v>558567.326331</v>
      </c>
      <c r="L29" s="4" t="str">
        <f>HYPERLINK("http://141.218.60.56/~jnz1568/getInfo.php?workbook=03_02.xlsx&amp;sheet=E0&amp;row=29&amp;col=12&amp;number=558482.828598&amp;sourceID=30","558482.828598")</f>
        <v>558482.828598</v>
      </c>
    </row>
    <row r="30" spans="1:12">
      <c r="A30" s="3">
        <v>3</v>
      </c>
      <c r="B30" s="3">
        <v>2</v>
      </c>
      <c r="C30" s="3">
        <f/>
        <v>0</v>
      </c>
      <c r="D30" s="3" t="s">
        <v>28</v>
      </c>
      <c r="E30" s="3" t="s">
        <v>29</v>
      </c>
      <c r="F30" s="3">
        <v>3</v>
      </c>
      <c r="G30" s="3">
        <v>3</v>
      </c>
      <c r="H30" s="3">
        <v>1</v>
      </c>
      <c r="I30" s="3">
        <v>2</v>
      </c>
      <c r="J30" s="4" t="str">
        <f>HYPERLINK("http://141.218.60.56/~jnz1568/getInfo.php?workbook=03_02.xlsx&amp;sheet=E0&amp;row=30&amp;col=10&amp;number=582642.97&amp;sourceID=2","582642.97")</f>
        <v>582642.97</v>
      </c>
      <c r="K30" s="4" t="str">
        <f>HYPERLINK("http://141.218.60.56/~jnz1568/getInfo.php?workbook=03_02.xlsx&amp;sheet=E0&amp;row=30&amp;col=11&amp;number=558558.547346&amp;sourceID=30","558558.547346")</f>
        <v>558558.547346</v>
      </c>
      <c r="L30" s="4" t="str">
        <f>HYPERLINK("http://141.218.60.56/~jnz1568/getInfo.php?workbook=03_02.xlsx&amp;sheet=E0&amp;row=30&amp;col=12&amp;number=558474.049613&amp;sourceID=30","558474.049613")</f>
        <v>558474.049613</v>
      </c>
    </row>
    <row r="31" spans="1:12">
      <c r="A31" s="3">
        <v>3</v>
      </c>
      <c r="B31" s="3">
        <v>2</v>
      </c>
      <c r="C31" s="3">
        <f/>
        <v>0</v>
      </c>
      <c r="D31" s="3" t="s">
        <v>28</v>
      </c>
      <c r="E31" s="3" t="s">
        <v>29</v>
      </c>
      <c r="F31" s="3">
        <v>3</v>
      </c>
      <c r="G31" s="3">
        <v>3</v>
      </c>
      <c r="H31" s="3">
        <v>1</v>
      </c>
      <c r="I31" s="3">
        <v>3</v>
      </c>
      <c r="J31" s="4" t="str">
        <f>HYPERLINK("http://141.218.60.56/~jnz1568/getInfo.php?workbook=03_02.xlsx&amp;sheet=E0&amp;row=31&amp;col=10&amp;number=582642.97&amp;sourceID=2","582642.97")</f>
        <v>582642.97</v>
      </c>
      <c r="K31" s="4" t="str">
        <f>HYPERLINK("http://141.218.60.56/~jnz1568/getInfo.php?workbook=03_02.xlsx&amp;sheet=E0&amp;row=31&amp;col=11&amp;number=558558.547346&amp;sourceID=30","558558.547346")</f>
        <v>558558.547346</v>
      </c>
      <c r="L31" s="4" t="str">
        <f>HYPERLINK("http://141.218.60.56/~jnz1568/getInfo.php?workbook=03_02.xlsx&amp;sheet=E0&amp;row=31&amp;col=12&amp;number=558474.049613&amp;sourceID=30","558474.049613")</f>
        <v>558474.049613</v>
      </c>
    </row>
    <row r="32" spans="1:12">
      <c r="A32" s="3">
        <v>3</v>
      </c>
      <c r="B32" s="3">
        <v>2</v>
      </c>
      <c r="C32" s="3">
        <f/>
        <v>0</v>
      </c>
      <c r="D32" s="3" t="s">
        <v>28</v>
      </c>
      <c r="E32" s="3" t="s">
        <v>29</v>
      </c>
      <c r="F32" s="3">
        <v>3</v>
      </c>
      <c r="G32" s="3">
        <v>3</v>
      </c>
      <c r="H32" s="3">
        <v>1</v>
      </c>
      <c r="I32" s="3">
        <v>4</v>
      </c>
      <c r="J32" s="4" t="str">
        <f>HYPERLINK("http://141.218.60.56/~jnz1568/getInfo.php?workbook=03_02.xlsx&amp;sheet=E0&amp;row=32&amp;col=10&amp;number=582642.97&amp;sourceID=2","582642.97")</f>
        <v>582642.97</v>
      </c>
      <c r="K32" s="4" t="str">
        <f>HYPERLINK("http://141.218.60.56/~jnz1568/getInfo.php?workbook=03_02.xlsx&amp;sheet=E0&amp;row=32&amp;col=11&amp;number=558558.547346&amp;sourceID=30","558558.547346")</f>
        <v>558558.547346</v>
      </c>
      <c r="L32" s="4" t="str">
        <f>HYPERLINK("http://141.218.60.56/~jnz1568/getInfo.php?workbook=03_02.xlsx&amp;sheet=E0&amp;row=32&amp;col=12&amp;number=558474.049613&amp;sourceID=30","558474.049613")</f>
        <v>558474.049613</v>
      </c>
    </row>
    <row r="33" spans="1:12">
      <c r="A33" s="3">
        <v>3</v>
      </c>
      <c r="B33" s="3">
        <v>2</v>
      </c>
      <c r="C33" s="3">
        <f/>
        <v>0</v>
      </c>
      <c r="D33" s="3" t="s">
        <v>28</v>
      </c>
      <c r="E33" s="3" t="s">
        <v>30</v>
      </c>
      <c r="F33" s="3">
        <v>1</v>
      </c>
      <c r="G33" s="3">
        <v>3</v>
      </c>
      <c r="H33" s="3">
        <v>1</v>
      </c>
      <c r="I33" s="3">
        <v>3</v>
      </c>
      <c r="J33" s="4" t="str">
        <f>HYPERLINK("http://141.218.60.56/~jnz1568/getInfo.php?workbook=03_02.xlsx&amp;sheet=E0&amp;row=33&amp;col=10&amp;number=582644.04&amp;sourceID=2","582644.04")</f>
        <v>582644.04</v>
      </c>
      <c r="K33" s="4" t="str">
        <f>HYPERLINK("http://141.218.60.56/~jnz1568/getInfo.php?workbook=03_02.xlsx&amp;sheet=E0&amp;row=33&amp;col=11&amp;number=558558.547346&amp;sourceID=30","558558.547346")</f>
        <v>558558.547346</v>
      </c>
      <c r="L33" s="4" t="str">
        <f>HYPERLINK("http://141.218.60.56/~jnz1568/getInfo.php?workbook=03_02.xlsx&amp;sheet=E0&amp;row=33&amp;col=12&amp;number=558475.146986&amp;sourceID=30","558475.146986")</f>
        <v>558475.146986</v>
      </c>
    </row>
    <row r="34" spans="1:12">
      <c r="A34" s="3">
        <v>3</v>
      </c>
      <c r="B34" s="3">
        <v>2</v>
      </c>
      <c r="C34" s="3">
        <f/>
        <v>0</v>
      </c>
      <c r="D34" s="3" t="s">
        <v>26</v>
      </c>
      <c r="E34" s="3" t="s">
        <v>19</v>
      </c>
      <c r="F34" s="3">
        <v>1</v>
      </c>
      <c r="G34" s="3">
        <v>1</v>
      </c>
      <c r="H34" s="3">
        <v>1</v>
      </c>
      <c r="I34" s="3">
        <v>1</v>
      </c>
      <c r="J34" s="4" t="str">
        <f>HYPERLINK("http://141.218.60.56/~jnz1568/getInfo.php?workbook=03_02.xlsx&amp;sheet=E0&amp;row=34&amp;col=10&amp;number=582830.11&amp;sourceID=2","582830.11")</f>
        <v>582830.11</v>
      </c>
      <c r="K34" s="4" t="str">
        <f>HYPERLINK("http://141.218.60.56/~jnz1568/getInfo.php?workbook=03_02.xlsx&amp;sheet=E0&amp;row=34&amp;col=11&amp;number=559013.957206&amp;sourceID=30","559013.957206")</f>
        <v>559013.957206</v>
      </c>
      <c r="L34" s="4" t="str">
        <f>HYPERLINK("http://141.218.60.56/~jnz1568/getInfo.php?workbook=03_02.xlsx&amp;sheet=E0&amp;row=34&amp;col=12&amp;number=558929.459473&amp;sourceID=30","558929.459473")</f>
        <v>558929.459473</v>
      </c>
    </row>
    <row r="35" spans="1:12">
      <c r="A35" s="3">
        <v>3</v>
      </c>
      <c r="B35" s="3">
        <v>2</v>
      </c>
      <c r="C35" s="3">
        <f/>
        <v>0</v>
      </c>
      <c r="D35" s="3" t="s">
        <v>31</v>
      </c>
      <c r="E35" s="3" t="s">
        <v>16</v>
      </c>
      <c r="F35" s="3">
        <v>3</v>
      </c>
      <c r="G35" s="3">
        <v>0</v>
      </c>
      <c r="H35" s="3">
        <v>0</v>
      </c>
      <c r="I35" s="3">
        <v>1</v>
      </c>
      <c r="J35" s="4" t="str">
        <f>HYPERLINK("http://141.218.60.56/~jnz1568/getInfo.php?workbook=03_02.xlsx&amp;sheet=E0&amp;row=35&amp;col=10&amp;number=591184.26&amp;sourceID=2","591184.26")</f>
        <v>591184.26</v>
      </c>
      <c r="K35" s="4" t="str">
        <f>HYPERLINK("http://141.218.60.56/~jnz1568/getInfo.php?workbook=03_02.xlsx&amp;sheet=E0&amp;row=35&amp;col=11&amp;number=567130.129074&amp;sourceID=30","567130.129074")</f>
        <v>567130.129074</v>
      </c>
      <c r="L35" s="4" t="str">
        <f>HYPERLINK("http://141.218.60.56/~jnz1568/getInfo.php?workbook=03_02.xlsx&amp;sheet=E0&amp;row=35&amp;col=12&amp;number=567045.631341&amp;sourceID=30","567045.631341")</f>
        <v>567045.631341</v>
      </c>
    </row>
    <row r="36" spans="1:12">
      <c r="A36" s="3">
        <v>3</v>
      </c>
      <c r="B36" s="3">
        <v>2</v>
      </c>
      <c r="C36" s="3">
        <f/>
        <v>0</v>
      </c>
      <c r="D36" s="3" t="s">
        <v>31</v>
      </c>
      <c r="E36" s="3" t="s">
        <v>14</v>
      </c>
      <c r="F36" s="3">
        <v>1</v>
      </c>
      <c r="G36" s="3">
        <v>0</v>
      </c>
      <c r="H36" s="3">
        <v>0</v>
      </c>
      <c r="I36" s="3">
        <v>0</v>
      </c>
      <c r="J36" s="4" t="str">
        <f>HYPERLINK("http://141.218.60.56/~jnz1568/getInfo.php?workbook=03_02.xlsx&amp;sheet=E0&amp;row=36&amp;col=10&amp;number=591989.55&amp;sourceID=2","591989.55")</f>
        <v>591989.55</v>
      </c>
      <c r="K36" s="4" t="str">
        <f>HYPERLINK("http://141.218.60.56/~jnz1568/getInfo.php?workbook=03_02.xlsx&amp;sheet=E0&amp;row=36&amp;col=11&amp;number=568596.219612&amp;sourceID=30","568596.219612")</f>
        <v>568596.219612</v>
      </c>
      <c r="L36" s="4" t="str">
        <f>HYPERLINK("http://141.218.60.56/~jnz1568/getInfo.php?workbook=03_02.xlsx&amp;sheet=E0&amp;row=36&amp;col=12&amp;number=568513.916625&amp;sourceID=30","568513.916625")</f>
        <v>568513.916625</v>
      </c>
    </row>
    <row r="37" spans="1:12">
      <c r="A37" s="3">
        <v>3</v>
      </c>
      <c r="B37" s="3">
        <v>2</v>
      </c>
      <c r="C37" s="3">
        <f/>
        <v>0</v>
      </c>
      <c r="D37" s="3" t="s">
        <v>32</v>
      </c>
      <c r="E37" s="3" t="s">
        <v>18</v>
      </c>
      <c r="F37" s="3">
        <v>3</v>
      </c>
      <c r="G37" s="3">
        <v>1</v>
      </c>
      <c r="H37" s="3">
        <v>1</v>
      </c>
      <c r="I37" s="3">
        <v>0</v>
      </c>
      <c r="J37" s="4" t="str">
        <f>HYPERLINK("http://141.218.60.56/~jnz1568/getInfo.php?workbook=03_02.xlsx&amp;sheet=E0&amp;row=37&amp;col=10&amp;number=592133.65&amp;sourceID=2","592133.65")</f>
        <v>592133.65</v>
      </c>
      <c r="K37" s="4" t="str">
        <f>HYPERLINK("http://141.218.60.56/~jnz1568/getInfo.php?workbook=03_02.xlsx&amp;sheet=E0&amp;row=37&amp;col=11&amp;number=568096.914825&amp;sourceID=30","568096.914825")</f>
        <v>568096.914825</v>
      </c>
      <c r="L37" s="4" t="str">
        <f>HYPERLINK("http://141.218.60.56/~jnz1568/getInfo.php?workbook=03_02.xlsx&amp;sheet=E0&amp;row=37&amp;col=12&amp;number=568013.514465&amp;sourceID=30","568013.514465")</f>
        <v>568013.514465</v>
      </c>
    </row>
    <row r="38" spans="1:12">
      <c r="A38" s="3">
        <v>3</v>
      </c>
      <c r="B38" s="3">
        <v>2</v>
      </c>
      <c r="C38" s="3">
        <f/>
        <v>0</v>
      </c>
      <c r="D38" s="3" t="s">
        <v>32</v>
      </c>
      <c r="E38" s="3" t="s">
        <v>18</v>
      </c>
      <c r="F38" s="3">
        <v>3</v>
      </c>
      <c r="G38" s="3">
        <v>1</v>
      </c>
      <c r="H38" s="3">
        <v>1</v>
      </c>
      <c r="I38" s="3">
        <v>1</v>
      </c>
      <c r="J38" s="4" t="str">
        <f>HYPERLINK("http://141.218.60.56/~jnz1568/getInfo.php?workbook=03_02.xlsx&amp;sheet=E0&amp;row=38&amp;col=10&amp;number=592134.03&amp;sourceID=2","592134.03")</f>
        <v>592134.03</v>
      </c>
      <c r="K38" s="4" t="str">
        <f>HYPERLINK("http://141.218.60.56/~jnz1568/getInfo.php?workbook=03_02.xlsx&amp;sheet=E0&amp;row=38&amp;col=11&amp;number=568096.914825&amp;sourceID=30","568096.914825")</f>
        <v>568096.914825</v>
      </c>
      <c r="L38" s="4" t="str">
        <f>HYPERLINK("http://141.218.60.56/~jnz1568/getInfo.php?workbook=03_02.xlsx&amp;sheet=E0&amp;row=38&amp;col=12&amp;number=568013.514465&amp;sourceID=30","568013.514465")</f>
        <v>568013.514465</v>
      </c>
    </row>
    <row r="39" spans="1:12">
      <c r="A39" s="3">
        <v>3</v>
      </c>
      <c r="B39" s="3">
        <v>2</v>
      </c>
      <c r="C39" s="3">
        <f/>
        <v>0</v>
      </c>
      <c r="D39" s="3" t="s">
        <v>32</v>
      </c>
      <c r="E39" s="3" t="s">
        <v>18</v>
      </c>
      <c r="F39" s="3">
        <v>3</v>
      </c>
      <c r="G39" s="3">
        <v>1</v>
      </c>
      <c r="H39" s="3">
        <v>1</v>
      </c>
      <c r="I39" s="3">
        <v>2</v>
      </c>
      <c r="J39" s="4" t="str">
        <f>HYPERLINK("http://141.218.60.56/~jnz1568/getInfo.php?workbook=03_02.xlsx&amp;sheet=E0&amp;row=39&amp;col=10&amp;number=592134.7&amp;sourceID=2","592134.7")</f>
        <v>592134.7</v>
      </c>
      <c r="K39" s="4" t="str">
        <f>HYPERLINK("http://141.218.60.56/~jnz1568/getInfo.php?workbook=03_02.xlsx&amp;sheet=E0&amp;row=39&amp;col=11&amp;number=568098.012199&amp;sourceID=30","568098.012199")</f>
        <v>568098.012199</v>
      </c>
      <c r="L39" s="4" t="str">
        <f>HYPERLINK("http://141.218.60.56/~jnz1568/getInfo.php?workbook=03_02.xlsx&amp;sheet=E0&amp;row=39&amp;col=12&amp;number=568013.514465&amp;sourceID=30","568013.514465")</f>
        <v>568013.514465</v>
      </c>
    </row>
    <row r="40" spans="1:12">
      <c r="A40" s="3">
        <v>3</v>
      </c>
      <c r="B40" s="3">
        <v>2</v>
      </c>
      <c r="C40" s="3">
        <f/>
        <v>0</v>
      </c>
      <c r="D40" s="3" t="s">
        <v>33</v>
      </c>
      <c r="E40" s="3" t="s">
        <v>23</v>
      </c>
      <c r="F40" s="3">
        <v>3</v>
      </c>
      <c r="G40" s="3">
        <v>2</v>
      </c>
      <c r="H40" s="3">
        <v>0</v>
      </c>
      <c r="I40" s="3">
        <v>1</v>
      </c>
      <c r="J40" s="4" t="str">
        <f>HYPERLINK("http://141.218.60.56/~jnz1568/getInfo.php?workbook=03_02.xlsx&amp;sheet=E0&amp;row=40&amp;col=10&amp;number=592503.7&amp;sourceID=2","592503.7")</f>
        <v>592503.7</v>
      </c>
      <c r="K40" s="4" t="str">
        <f>HYPERLINK("http://141.218.60.56/~jnz1568/getInfo.php?workbook=03_02.xlsx&amp;sheet=E0&amp;row=40&amp;col=11&amp;number=568426.126772&amp;sourceID=30","568426.126772")</f>
        <v>568426.126772</v>
      </c>
      <c r="L40" s="4" t="str">
        <f>HYPERLINK("http://141.218.60.56/~jnz1568/getInfo.php?workbook=03_02.xlsx&amp;sheet=E0&amp;row=40&amp;col=12&amp;number=568341.629039&amp;sourceID=30","568341.629039")</f>
        <v>568341.629039</v>
      </c>
    </row>
    <row r="41" spans="1:12">
      <c r="A41" s="3">
        <v>3</v>
      </c>
      <c r="B41" s="3">
        <v>2</v>
      </c>
      <c r="C41" s="3">
        <f/>
        <v>0</v>
      </c>
      <c r="D41" s="3" t="s">
        <v>33</v>
      </c>
      <c r="E41" s="3" t="s">
        <v>23</v>
      </c>
      <c r="F41" s="3">
        <v>3</v>
      </c>
      <c r="G41" s="3">
        <v>2</v>
      </c>
      <c r="H41" s="3">
        <v>0</v>
      </c>
      <c r="I41" s="3">
        <v>2</v>
      </c>
      <c r="J41" s="4" t="str">
        <f>HYPERLINK("http://141.218.60.56/~jnz1568/getInfo.php?workbook=03_02.xlsx&amp;sheet=E0&amp;row=41&amp;col=10&amp;number=592504.09&amp;sourceID=2","592504.09")</f>
        <v>592504.09</v>
      </c>
      <c r="K41" s="4" t="str">
        <f>HYPERLINK("http://141.218.60.56/~jnz1568/getInfo.php?workbook=03_02.xlsx&amp;sheet=E0&amp;row=41&amp;col=11&amp;number=568426.126772&amp;sourceID=30","568426.126772")</f>
        <v>568426.126772</v>
      </c>
      <c r="L41" s="4" t="str">
        <f>HYPERLINK("http://141.218.60.56/~jnz1568/getInfo.php?workbook=03_02.xlsx&amp;sheet=E0&amp;row=41&amp;col=12&amp;number=568341.629039&amp;sourceID=30","568341.629039")</f>
        <v>568341.629039</v>
      </c>
    </row>
    <row r="42" spans="1:12">
      <c r="A42" s="3">
        <v>3</v>
      </c>
      <c r="B42" s="3">
        <v>2</v>
      </c>
      <c r="C42" s="3">
        <f/>
        <v>0</v>
      </c>
      <c r="D42" s="3" t="s">
        <v>33</v>
      </c>
      <c r="E42" s="3" t="s">
        <v>23</v>
      </c>
      <c r="F42" s="3">
        <v>3</v>
      </c>
      <c r="G42" s="3">
        <v>2</v>
      </c>
      <c r="H42" s="3">
        <v>0</v>
      </c>
      <c r="I42" s="3">
        <v>3</v>
      </c>
      <c r="J42" s="4" t="str">
        <f>HYPERLINK("http://141.218.60.56/~jnz1568/getInfo.php?workbook=03_02.xlsx&amp;sheet=E0&amp;row=42&amp;col=10&amp;number=592504.75&amp;sourceID=2","592504.75")</f>
        <v>592504.75</v>
      </c>
      <c r="K42" s="4" t="str">
        <f>HYPERLINK("http://141.218.60.56/~jnz1568/getInfo.php?workbook=03_02.xlsx&amp;sheet=E0&amp;row=42&amp;col=11&amp;number=568426.126772&amp;sourceID=30","568426.126772")</f>
        <v>568426.126772</v>
      </c>
      <c r="L42" s="4" t="str">
        <f>HYPERLINK("http://141.218.60.56/~jnz1568/getInfo.php?workbook=03_02.xlsx&amp;sheet=E0&amp;row=42&amp;col=12&amp;number=568341.629039&amp;sourceID=30","568341.629039")</f>
        <v>568341.629039</v>
      </c>
    </row>
    <row r="43" spans="1:12">
      <c r="A43" s="3">
        <v>3</v>
      </c>
      <c r="B43" s="3">
        <v>2</v>
      </c>
      <c r="C43" s="3">
        <f/>
        <v>0</v>
      </c>
      <c r="D43" s="3" t="s">
        <v>33</v>
      </c>
      <c r="E43" s="3" t="s">
        <v>24</v>
      </c>
      <c r="F43" s="3">
        <v>1</v>
      </c>
      <c r="G43" s="3">
        <v>2</v>
      </c>
      <c r="H43" s="3">
        <v>0</v>
      </c>
      <c r="I43" s="3">
        <v>2</v>
      </c>
      <c r="J43" s="4" t="str">
        <f>HYPERLINK("http://141.218.60.56/~jnz1568/getInfo.php?workbook=03_02.xlsx&amp;sheet=E0&amp;row=43&amp;col=10&amp;number=592514.43&amp;sourceID=2","592514.43")</f>
        <v>592514.43</v>
      </c>
      <c r="K43" s="4" t="str">
        <f>HYPERLINK("http://141.218.60.56/~jnz1568/getInfo.php?workbook=03_02.xlsx&amp;sheet=E0&amp;row=43&amp;col=11&amp;number=568440.392623&amp;sourceID=30","568440.392623")</f>
        <v>568440.392623</v>
      </c>
      <c r="L43" s="4" t="str">
        <f>HYPERLINK("http://141.218.60.56/~jnz1568/getInfo.php?workbook=03_02.xlsx&amp;sheet=E0&amp;row=43&amp;col=12&amp;number=568355.89489&amp;sourceID=30","568355.89489")</f>
        <v>568355.89489</v>
      </c>
    </row>
    <row r="44" spans="1:12">
      <c r="A44" s="3">
        <v>3</v>
      </c>
      <c r="B44" s="3">
        <v>2</v>
      </c>
      <c r="C44" s="3">
        <f/>
        <v>0</v>
      </c>
      <c r="D44" s="3" t="s">
        <v>34</v>
      </c>
      <c r="E44" s="3" t="s">
        <v>29</v>
      </c>
      <c r="F44" s="3">
        <v>3</v>
      </c>
      <c r="G44" s="3">
        <v>3</v>
      </c>
      <c r="H44" s="3">
        <v>1</v>
      </c>
      <c r="I44" s="3">
        <v>2</v>
      </c>
      <c r="J44" s="4" t="str">
        <f>HYPERLINK("http://141.218.60.56/~jnz1568/getInfo.php?workbook=03_02.xlsx&amp;sheet=E0&amp;row=44&amp;col=10&amp;number=592520.11&amp;sourceID=2","592520.11")</f>
        <v>592520.11</v>
      </c>
      <c r="K44" s="4" t="str">
        <f>HYPERLINK("http://141.218.60.56/~jnz1568/getInfo.php?workbook=03_02.xlsx&amp;sheet=E0&amp;row=44&amp;col=11&amp;number=568434.905758&amp;sourceID=30","568434.905758")</f>
        <v>568434.905758</v>
      </c>
      <c r="L44" s="4" t="str">
        <f>HYPERLINK("http://141.218.60.56/~jnz1568/getInfo.php?workbook=03_02.xlsx&amp;sheet=E0&amp;row=44&amp;col=12&amp;number=568350.408025&amp;sourceID=30","568350.408025")</f>
        <v>568350.408025</v>
      </c>
    </row>
    <row r="45" spans="1:12">
      <c r="A45" s="3">
        <v>3</v>
      </c>
      <c r="B45" s="3">
        <v>2</v>
      </c>
      <c r="C45" s="3">
        <f/>
        <v>0</v>
      </c>
      <c r="D45" s="3" t="s">
        <v>34</v>
      </c>
      <c r="E45" s="3" t="s">
        <v>29</v>
      </c>
      <c r="F45" s="3">
        <v>3</v>
      </c>
      <c r="G45" s="3">
        <v>3</v>
      </c>
      <c r="H45" s="3">
        <v>1</v>
      </c>
      <c r="I45" s="3">
        <v>3</v>
      </c>
      <c r="J45" s="4" t="str">
        <f>HYPERLINK("http://141.218.60.56/~jnz1568/getInfo.php?workbook=03_02.xlsx&amp;sheet=E0&amp;row=45&amp;col=10&amp;number=592520.11&amp;sourceID=2","592520.11")</f>
        <v>592520.11</v>
      </c>
      <c r="K45" s="4" t="str">
        <f>HYPERLINK("http://141.218.60.56/~jnz1568/getInfo.php?workbook=03_02.xlsx&amp;sheet=E0&amp;row=45&amp;col=11&amp;number=568434.905758&amp;sourceID=30","568434.905758")</f>
        <v>568434.905758</v>
      </c>
      <c r="L45" s="4" t="str">
        <f>HYPERLINK("http://141.218.60.56/~jnz1568/getInfo.php?workbook=03_02.xlsx&amp;sheet=E0&amp;row=45&amp;col=12&amp;number=568350.408025&amp;sourceID=30","568350.408025")</f>
        <v>568350.408025</v>
      </c>
    </row>
    <row r="46" spans="1:12">
      <c r="A46" s="3">
        <v>3</v>
      </c>
      <c r="B46" s="3">
        <v>2</v>
      </c>
      <c r="C46" s="3">
        <f/>
        <v>0</v>
      </c>
      <c r="D46" s="3" t="s">
        <v>34</v>
      </c>
      <c r="E46" s="3" t="s">
        <v>29</v>
      </c>
      <c r="F46" s="3">
        <v>3</v>
      </c>
      <c r="G46" s="3">
        <v>3</v>
      </c>
      <c r="H46" s="3">
        <v>1</v>
      </c>
      <c r="I46" s="3">
        <v>4</v>
      </c>
      <c r="J46" s="4" t="str">
        <f>HYPERLINK("http://141.218.60.56/~jnz1568/getInfo.php?workbook=03_02.xlsx&amp;sheet=E0&amp;row=46&amp;col=10&amp;number=592520.11&amp;sourceID=2","592520.11")</f>
        <v>592520.11</v>
      </c>
      <c r="K46" s="4" t="str">
        <f>HYPERLINK("http://141.218.60.56/~jnz1568/getInfo.php?workbook=03_02.xlsx&amp;sheet=E0&amp;row=46&amp;col=11&amp;number=568434.905758&amp;sourceID=30","568434.905758")</f>
        <v>568434.905758</v>
      </c>
      <c r="L46" s="4" t="str">
        <f>HYPERLINK("http://141.218.60.56/~jnz1568/getInfo.php?workbook=03_02.xlsx&amp;sheet=E0&amp;row=46&amp;col=12&amp;number=568350.408025&amp;sourceID=30","568350.408025")</f>
        <v>568350.408025</v>
      </c>
    </row>
    <row r="47" spans="1:12">
      <c r="A47" s="3">
        <v>3</v>
      </c>
      <c r="B47" s="3">
        <v>2</v>
      </c>
      <c r="C47" s="3">
        <f/>
        <v>0</v>
      </c>
      <c r="D47" s="3" t="s">
        <v>35</v>
      </c>
      <c r="E47" s="3" t="s">
        <v>36</v>
      </c>
      <c r="F47" s="3">
        <v>3</v>
      </c>
      <c r="G47" s="3">
        <v>4</v>
      </c>
      <c r="H47" s="3">
        <v>0</v>
      </c>
      <c r="I47" s="3">
        <v>3</v>
      </c>
      <c r="J47" s="4" t="str">
        <f>HYPERLINK("http://141.218.60.56/~jnz1568/getInfo.php?workbook=03_02.xlsx&amp;sheet=E0&amp;row=47&amp;col=10&amp;number=&amp;sourceID=2","")</f>
        <v/>
      </c>
      <c r="K47" s="4" t="str">
        <f>HYPERLINK("http://141.218.60.56/~jnz1568/getInfo.php?workbook=03_02.xlsx&amp;sheet=E0&amp;row=47&amp;col=11&amp;number=568350.408025&amp;sourceID=30","568350.408025")</f>
        <v>568350.408025</v>
      </c>
      <c r="L47" s="4" t="str">
        <f>HYPERLINK("http://141.218.60.56/~jnz1568/getInfo.php?workbook=03_02.xlsx&amp;sheet=E0&amp;row=47&amp;col=12&amp;number=583011.3134&amp;sourceID=30","583011.3134")</f>
        <v>583011.3134</v>
      </c>
    </row>
    <row r="48" spans="1:12">
      <c r="A48" s="3">
        <v>3</v>
      </c>
      <c r="B48" s="3">
        <v>2</v>
      </c>
      <c r="C48" s="3">
        <f/>
        <v>0</v>
      </c>
      <c r="D48" s="3" t="s">
        <v>35</v>
      </c>
      <c r="E48" s="3" t="s">
        <v>36</v>
      </c>
      <c r="F48" s="3">
        <v>3</v>
      </c>
      <c r="G48" s="3">
        <v>4</v>
      </c>
      <c r="H48" s="3">
        <v>0</v>
      </c>
      <c r="I48" s="3">
        <v>4</v>
      </c>
      <c r="J48" s="4" t="str">
        <f>HYPERLINK("http://141.218.60.56/~jnz1568/getInfo.php?workbook=03_02.xlsx&amp;sheet=E0&amp;row=48&amp;col=10&amp;number=&amp;sourceID=2","")</f>
        <v/>
      </c>
      <c r="K48" s="4" t="str">
        <f>HYPERLINK("http://141.218.60.56/~jnz1568/getInfo.php?workbook=03_02.xlsx&amp;sheet=E0&amp;row=48&amp;col=11&amp;number=568350.408025&amp;sourceID=30","568350.408025")</f>
        <v>568350.408025</v>
      </c>
      <c r="L48" s="4" t="str">
        <f>HYPERLINK("http://141.218.60.56/~jnz1568/getInfo.php?workbook=03_02.xlsx&amp;sheet=E0&amp;row=48&amp;col=12&amp;number=583011.3134&amp;sourceID=30","583011.3134")</f>
        <v>583011.3134</v>
      </c>
    </row>
    <row r="49" spans="1:12">
      <c r="A49" s="3">
        <v>3</v>
      </c>
      <c r="B49" s="3">
        <v>2</v>
      </c>
      <c r="C49" s="3">
        <f/>
        <v>0</v>
      </c>
      <c r="D49" s="3" t="s">
        <v>35</v>
      </c>
      <c r="E49" s="3" t="s">
        <v>36</v>
      </c>
      <c r="F49" s="3">
        <v>3</v>
      </c>
      <c r="G49" s="3">
        <v>4</v>
      </c>
      <c r="H49" s="3">
        <v>0</v>
      </c>
      <c r="I49" s="3">
        <v>5</v>
      </c>
      <c r="J49" s="4" t="str">
        <f>HYPERLINK("http://141.218.60.56/~jnz1568/getInfo.php?workbook=03_02.xlsx&amp;sheet=E0&amp;row=49&amp;col=10&amp;number=&amp;sourceID=2","")</f>
        <v/>
      </c>
      <c r="K49" s="4" t="str">
        <f>HYPERLINK("http://141.218.60.56/~jnz1568/getInfo.php?workbook=03_02.xlsx&amp;sheet=E0&amp;row=49&amp;col=11&amp;number=568351.505398&amp;sourceID=30","568351.505398")</f>
        <v>568351.505398</v>
      </c>
      <c r="L49" s="4" t="str">
        <f>HYPERLINK("http://141.218.60.56/~jnz1568/getInfo.php?workbook=03_02.xlsx&amp;sheet=E0&amp;row=49&amp;col=12&amp;number=583011.3134&amp;sourceID=30","583011.3134")</f>
        <v>583011.3134</v>
      </c>
    </row>
    <row r="50" spans="1:12">
      <c r="A50" s="3">
        <v>3</v>
      </c>
      <c r="B50" s="3">
        <v>2</v>
      </c>
      <c r="C50" s="3">
        <f/>
        <v>0</v>
      </c>
      <c r="D50" s="3" t="s">
        <v>35</v>
      </c>
      <c r="E50" s="3" t="s">
        <v>37</v>
      </c>
      <c r="F50" s="3">
        <v>1</v>
      </c>
      <c r="G50" s="3">
        <v>4</v>
      </c>
      <c r="H50" s="3">
        <v>0</v>
      </c>
      <c r="I50" s="3">
        <v>4</v>
      </c>
      <c r="J50" s="4" t="str">
        <f>HYPERLINK("http://141.218.60.56/~jnz1568/getInfo.php?workbook=03_02.xlsx&amp;sheet=E0&amp;row=50&amp;col=10&amp;number=&amp;sourceID=2","")</f>
        <v/>
      </c>
      <c r="K50" s="4" t="str">
        <f>HYPERLINK("http://141.218.60.56/~jnz1568/getInfo.php?workbook=03_02.xlsx&amp;sheet=E0&amp;row=50&amp;col=11&amp;number=568350.408025&amp;sourceID=30","568350.408025")</f>
        <v>568350.408025</v>
      </c>
      <c r="L50" s="4" t="str">
        <f>HYPERLINK("http://141.218.60.56/~jnz1568/getInfo.php?workbook=03_02.xlsx&amp;sheet=E0&amp;row=50&amp;col=12&amp;number=583011.3134&amp;sourceID=30","583011.3134")</f>
        <v>583011.3134</v>
      </c>
    </row>
    <row r="51" spans="1:12">
      <c r="A51" s="3">
        <v>3</v>
      </c>
      <c r="B51" s="3">
        <v>2</v>
      </c>
      <c r="C51" s="3">
        <f/>
        <v>0</v>
      </c>
      <c r="D51" s="3" t="s">
        <v>34</v>
      </c>
      <c r="E51" s="3" t="s">
        <v>30</v>
      </c>
      <c r="F51" s="3">
        <v>1</v>
      </c>
      <c r="G51" s="3">
        <v>3</v>
      </c>
      <c r="H51" s="3">
        <v>1</v>
      </c>
      <c r="I51" s="3">
        <v>3</v>
      </c>
      <c r="J51" s="4" t="str">
        <f>HYPERLINK("http://141.218.60.56/~jnz1568/getInfo.php?workbook=03_02.xlsx&amp;sheet=E0&amp;row=51&amp;col=10&amp;number=592521.11&amp;sourceID=2","592521.11")</f>
        <v>592521.11</v>
      </c>
      <c r="K51" s="4" t="str">
        <f>HYPERLINK("http://141.218.60.56/~jnz1568/getInfo.php?workbook=03_02.xlsx&amp;sheet=E0&amp;row=51&amp;col=11&amp;number=568434.905758&amp;sourceID=30","568434.905758")</f>
        <v>568434.905758</v>
      </c>
      <c r="L51" s="4" t="str">
        <f>HYPERLINK("http://141.218.60.56/~jnz1568/getInfo.php?workbook=03_02.xlsx&amp;sheet=E0&amp;row=51&amp;col=12&amp;number=568350.408025&amp;sourceID=30","568350.408025")</f>
        <v>568350.408025</v>
      </c>
    </row>
    <row r="52" spans="1:12">
      <c r="A52" s="3">
        <v>3</v>
      </c>
      <c r="B52" s="3">
        <v>2</v>
      </c>
      <c r="C52" s="3">
        <f/>
        <v>0</v>
      </c>
      <c r="D52" s="3" t="s">
        <v>32</v>
      </c>
      <c r="E52" s="3" t="s">
        <v>19</v>
      </c>
      <c r="F52" s="3">
        <v>1</v>
      </c>
      <c r="G52" s="3">
        <v>1</v>
      </c>
      <c r="H52" s="3">
        <v>1</v>
      </c>
      <c r="I52" s="3">
        <v>1</v>
      </c>
      <c r="J52" s="4" t="str">
        <f>HYPERLINK("http://141.218.60.56/~jnz1568/getInfo.php?workbook=03_02.xlsx&amp;sheet=E0&amp;row=52&amp;col=10&amp;number=592634.91&amp;sourceID=2","592634.91")</f>
        <v>592634.91</v>
      </c>
      <c r="K52" s="4" t="str">
        <f>HYPERLINK("http://141.218.60.56/~jnz1568/getInfo.php?workbook=03_02.xlsx&amp;sheet=E0&amp;row=52&amp;col=11&amp;number=568711.443793&amp;sourceID=30","568711.443793")</f>
        <v>568711.443793</v>
      </c>
      <c r="L52" s="4" t="str">
        <f>HYPERLINK("http://141.218.60.56/~jnz1568/getInfo.php?workbook=03_02.xlsx&amp;sheet=E0&amp;row=52&amp;col=12&amp;number=568626.94606&amp;sourceID=30","568626.94606")</f>
        <v>568626.94606</v>
      </c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909"/>
  <sheetViews>
    <sheetView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3.7109375" customWidth="1"/>
    <col min="5" max="5" width="15.7109375" customWidth="1"/>
    <col min="6" max="6" width="11.7109375" customWidth="1"/>
    <col min="7" max="7" width="12.7109375" customWidth="1"/>
    <col min="8" max="8" width="11.7109375" customWidth="1"/>
    <col min="9" max="9" width="10.7109375" customWidth="1"/>
    <col min="10" max="10" width="10.7109375" customWidth="1"/>
    <col min="11" max="11" width="12.7109375" customWidth="1"/>
    <col min="12" max="12" width="10.7109375" customWidth="1"/>
    <col min="13" max="13" width="10.7109375" customWidth="1"/>
    <col min="14" max="14" width="10.7109375" customWidth="1"/>
  </cols>
  <sheetData>
    <row r="1" spans="1:14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2"/>
      <c r="B2" s="2"/>
      <c r="C2" s="2"/>
      <c r="D2" s="2"/>
      <c r="E2" s="2"/>
      <c r="F2" s="2" t="s">
        <v>39</v>
      </c>
      <c r="G2" s="2" t="s">
        <v>40</v>
      </c>
      <c r="H2" s="2" t="s">
        <v>40</v>
      </c>
      <c r="I2" s="2" t="s">
        <v>40</v>
      </c>
      <c r="J2" s="2" t="s">
        <v>40</v>
      </c>
      <c r="K2" s="2" t="s">
        <v>2</v>
      </c>
      <c r="L2" s="2" t="s">
        <v>2</v>
      </c>
      <c r="M2" s="2" t="s">
        <v>2</v>
      </c>
      <c r="N2" s="2" t="s">
        <v>2</v>
      </c>
    </row>
    <row r="3" spans="1:14">
      <c r="A3" s="2" t="s">
        <v>3</v>
      </c>
      <c r="B3" s="2" t="s">
        <v>4</v>
      </c>
      <c r="C3" s="2" t="s">
        <v>41</v>
      </c>
      <c r="D3" s="2" t="s">
        <v>5</v>
      </c>
      <c r="E3" s="2" t="s">
        <v>42</v>
      </c>
      <c r="F3" s="2" t="s">
        <v>43</v>
      </c>
      <c r="G3" s="2" t="s">
        <v>44</v>
      </c>
      <c r="H3" s="2" t="s">
        <v>45</v>
      </c>
      <c r="I3" s="2" t="s">
        <v>46</v>
      </c>
      <c r="J3" s="2" t="s">
        <v>47</v>
      </c>
      <c r="K3" s="2" t="s">
        <v>44</v>
      </c>
      <c r="L3" s="2" t="s">
        <v>45</v>
      </c>
      <c r="M3" s="2" t="s">
        <v>46</v>
      </c>
      <c r="N3" s="2" t="s">
        <v>47</v>
      </c>
    </row>
    <row r="4" spans="1:14">
      <c r="A4" s="3">
        <v>3</v>
      </c>
      <c r="B4" s="3">
        <v>2</v>
      </c>
      <c r="C4" s="3">
        <v>2</v>
      </c>
      <c r="D4" s="3">
        <v>1</v>
      </c>
      <c r="E4" s="3">
        <f>((1/(INDEX(E0!J$4:J$52,C4,1)-INDEX(E0!J$4:J$52,D4,1))))*100000000</f>
        <v>0</v>
      </c>
      <c r="F4" s="4" t="str">
        <f>HYPERLINK("http://141.218.60.56/~jnz1568/getInfo.php?workbook=03_02.xlsx&amp;sheet=A0&amp;row=4&amp;col=6&amp;number=&amp;sourceID=27","")</f>
        <v/>
      </c>
      <c r="G4" s="4" t="str">
        <f>HYPERLINK("http://141.218.60.56/~jnz1568/getInfo.php?workbook=03_02.xlsx&amp;sheet=A0&amp;row=4&amp;col=7&amp;number=&amp;sourceID=15","")</f>
        <v/>
      </c>
      <c r="H4" s="4" t="str">
        <f>HYPERLINK("http://141.218.60.56/~jnz1568/getInfo.php?workbook=03_02.xlsx&amp;sheet=A0&amp;row=4&amp;col=8&amp;number=&amp;sourceID=15","")</f>
        <v/>
      </c>
      <c r="I4" s="4" t="str">
        <f>HYPERLINK("http://141.218.60.56/~jnz1568/getInfo.php?workbook=03_02.xlsx&amp;sheet=A0&amp;row=4&amp;col=9&amp;number=0.02039&amp;sourceID=15","0.02039")</f>
        <v>0.02039</v>
      </c>
      <c r="J4" s="4" t="str">
        <f>HYPERLINK("http://141.218.60.56/~jnz1568/getInfo.php?workbook=03_02.xlsx&amp;sheet=A0&amp;row=4&amp;col=10&amp;number=&amp;sourceID=15","")</f>
        <v/>
      </c>
      <c r="K4" s="4" t="str">
        <f>HYPERLINK("http://141.218.60.56/~jnz1568/getInfo.php?workbook=03_02.xlsx&amp;sheet=A0&amp;row=4&amp;col=11&amp;number=&amp;sourceID=30","")</f>
        <v/>
      </c>
      <c r="L4" s="4" t="str">
        <f>HYPERLINK("http://141.218.60.56/~jnz1568/getInfo.php?workbook=03_02.xlsx&amp;sheet=A0&amp;row=4&amp;col=12&amp;number=&amp;sourceID=30","")</f>
        <v/>
      </c>
      <c r="M4" s="4" t="str">
        <f>HYPERLINK("http://141.218.60.56/~jnz1568/getInfo.php?workbook=03_02.xlsx&amp;sheet=A0&amp;row=4&amp;col=13&amp;number=0.0139&amp;sourceID=30","0.0139")</f>
        <v>0.0139</v>
      </c>
      <c r="N4" s="4" t="str">
        <f>HYPERLINK("http://141.218.60.56/~jnz1568/getInfo.php?workbook=03_02.xlsx&amp;sheet=A0&amp;row=4&amp;col=14&amp;number=&amp;sourceID=30","")</f>
        <v/>
      </c>
    </row>
    <row r="5" spans="1:14">
      <c r="A5" s="3">
        <v>3</v>
      </c>
      <c r="B5" s="3">
        <v>2</v>
      </c>
      <c r="C5" s="3">
        <v>3</v>
      </c>
      <c r="D5" s="3">
        <v>1</v>
      </c>
      <c r="E5" s="3"/>
      <c r="F5" s="4" t="str">
        <f>HYPERLINK("http://141.218.60.56/~jnz1568/getInfo.php?workbook=03_02.xlsx&amp;sheet=A0&amp;row=5&amp;col=6&amp;number=1938.556&amp;sourceID=27","1938.556")</f>
        <v>1938.556</v>
      </c>
      <c r="G5" s="4" t="str">
        <f>HYPERLINK("http://141.218.60.56/~jnz1568/getInfo.php?workbook=03_02.xlsx&amp;sheet=A0&amp;row=5&amp;col=7&amp;number=&amp;sourceID=15","")</f>
        <v/>
      </c>
      <c r="H5" s="4" t="str">
        <f>HYPERLINK("http://141.218.60.56/~jnz1568/getInfo.php?workbook=03_02.xlsx&amp;sheet=A0&amp;row=5&amp;col=8&amp;number=&amp;sourceID=15","")</f>
        <v/>
      </c>
      <c r="I5" s="4" t="str">
        <f>HYPERLINK("http://141.218.60.56/~jnz1568/getInfo.php?workbook=03_02.xlsx&amp;sheet=A0&amp;row=5&amp;col=9&amp;number=&amp;sourceID=15","")</f>
        <v/>
      </c>
      <c r="J5" s="4" t="str">
        <f>HYPERLINK("http://141.218.60.56/~jnz1568/getInfo.php?workbook=03_02.xlsx&amp;sheet=A0&amp;row=5&amp;col=10&amp;number=&amp;sourceID=15","")</f>
        <v/>
      </c>
      <c r="K5" s="4" t="str">
        <f>HYPERLINK("http://141.218.60.56/~jnz1568/getInfo.php?workbook=03_02.xlsx&amp;sheet=A0&amp;row=5&amp;col=11&amp;number=&amp;sourceID=30","")</f>
        <v/>
      </c>
      <c r="L5" s="4" t="str">
        <f>HYPERLINK("http://141.218.60.56/~jnz1568/getInfo.php?workbook=03_02.xlsx&amp;sheet=A0&amp;row=5&amp;col=12&amp;number=&amp;sourceID=30","")</f>
        <v/>
      </c>
      <c r="M5" s="4" t="str">
        <f>HYPERLINK("http://141.218.60.56/~jnz1568/getInfo.php?workbook=03_02.xlsx&amp;sheet=A0&amp;row=5&amp;col=13&amp;number=&amp;sourceID=30","")</f>
        <v/>
      </c>
      <c r="N5" s="4" t="str">
        <f>HYPERLINK("http://141.218.60.56/~jnz1568/getInfo.php?workbook=03_02.xlsx&amp;sheet=A0&amp;row=5&amp;col=14&amp;number=&amp;sourceID=30","")</f>
        <v/>
      </c>
    </row>
    <row r="6" spans="1:14">
      <c r="A6" s="3">
        <v>3</v>
      </c>
      <c r="B6" s="3">
        <v>2</v>
      </c>
      <c r="C6" s="3">
        <v>3</v>
      </c>
      <c r="D6" s="3">
        <v>2</v>
      </c>
      <c r="E6" s="3">
        <f>((1/(INDEX(E0!J$4:J$52,C6,1)-INDEX(E0!J$4:J$52,D6,1))))*100000000</f>
        <v>0</v>
      </c>
      <c r="F6" s="4" t="str">
        <f>HYPERLINK("http://141.218.60.56/~jnz1568/getInfo.php?workbook=03_02.xlsx&amp;sheet=A0&amp;row=6&amp;col=6&amp;number=&amp;sourceID=27","")</f>
        <v/>
      </c>
      <c r="G6" s="4" t="str">
        <f>HYPERLINK("http://141.218.60.56/~jnz1568/getInfo.php?workbook=03_02.xlsx&amp;sheet=A0&amp;row=6&amp;col=7&amp;number=&amp;sourceID=15","")</f>
        <v/>
      </c>
      <c r="H6" s="4" t="str">
        <f>HYPERLINK("http://141.218.60.56/~jnz1568/getInfo.php?workbook=03_02.xlsx&amp;sheet=A0&amp;row=6&amp;col=8&amp;number=&amp;sourceID=15","")</f>
        <v/>
      </c>
      <c r="I6" s="4" t="str">
        <f>HYPERLINK("http://141.218.60.56/~jnz1568/getInfo.php?workbook=03_02.xlsx&amp;sheet=A0&amp;row=6&amp;col=9&amp;number=&amp;sourceID=15","")</f>
        <v/>
      </c>
      <c r="J6" s="4" t="str">
        <f>HYPERLINK("http://141.218.60.56/~jnz1568/getInfo.php?workbook=03_02.xlsx&amp;sheet=A0&amp;row=6&amp;col=10&amp;number=&amp;sourceID=15","")</f>
        <v/>
      </c>
      <c r="K6" s="4" t="str">
        <f>HYPERLINK("http://141.218.60.56/~jnz1568/getInfo.php?workbook=03_02.xlsx&amp;sheet=A0&amp;row=6&amp;col=11&amp;number=&amp;sourceID=30","")</f>
        <v/>
      </c>
      <c r="L6" s="4" t="str">
        <f>HYPERLINK("http://141.218.60.56/~jnz1568/getInfo.php?workbook=03_02.xlsx&amp;sheet=A0&amp;row=6&amp;col=12&amp;number=&amp;sourceID=30","")</f>
        <v/>
      </c>
      <c r="M6" s="4" t="str">
        <f>HYPERLINK("http://141.218.60.56/~jnz1568/getInfo.php?workbook=03_02.xlsx&amp;sheet=A0&amp;row=6&amp;col=13&amp;number=9.049e-06&amp;sourceID=30","9.049e-06")</f>
        <v>9.049e-06</v>
      </c>
      <c r="N6" s="4" t="str">
        <f>HYPERLINK("http://141.218.60.56/~jnz1568/getInfo.php?workbook=03_02.xlsx&amp;sheet=A0&amp;row=6&amp;col=14&amp;number=&amp;sourceID=30","")</f>
        <v/>
      </c>
    </row>
    <row r="7" spans="1:14">
      <c r="A7" s="3">
        <v>3</v>
      </c>
      <c r="B7" s="3">
        <v>2</v>
      </c>
      <c r="C7" s="3">
        <v>4</v>
      </c>
      <c r="D7" s="3">
        <v>1</v>
      </c>
      <c r="E7" s="3">
        <f>((1/(INDEX(E0!J$4:J$52,C7,1)-INDEX(E0!J$4:J$52,D7,1))))*100000000</f>
        <v>0</v>
      </c>
      <c r="F7" s="4" t="str">
        <f>HYPERLINK("http://141.218.60.56/~jnz1568/getInfo.php?workbook=03_02.xlsx&amp;sheet=A0&amp;row=7&amp;col=6&amp;number=&amp;sourceID=27","")</f>
        <v/>
      </c>
      <c r="G7" s="4" t="str">
        <f>HYPERLINK("http://141.218.60.56/~jnz1568/getInfo.php?workbook=03_02.xlsx&amp;sheet=A0&amp;row=7&amp;col=7&amp;number=&amp;sourceID=15","")</f>
        <v/>
      </c>
      <c r="H7" s="4" t="str">
        <f>HYPERLINK("http://141.218.60.56/~jnz1568/getInfo.php?workbook=03_02.xlsx&amp;sheet=A0&amp;row=7&amp;col=8&amp;number=&amp;sourceID=15","")</f>
        <v/>
      </c>
      <c r="I7" s="4" t="str">
        <f>HYPERLINK("http://141.218.60.56/~jnz1568/getInfo.php?workbook=03_02.xlsx&amp;sheet=A0&amp;row=7&amp;col=9&amp;number=&amp;sourceID=15","")</f>
        <v/>
      </c>
      <c r="J7" s="4" t="str">
        <f>HYPERLINK("http://141.218.60.56/~jnz1568/getInfo.php?workbook=03_02.xlsx&amp;sheet=A0&amp;row=7&amp;col=10&amp;number=&amp;sourceID=15","")</f>
        <v/>
      </c>
      <c r="K7" s="4" t="str">
        <f>HYPERLINK("http://141.218.60.56/~jnz1568/getInfo.php?workbook=03_02.xlsx&amp;sheet=A0&amp;row=7&amp;col=11&amp;number=17330&amp;sourceID=30","17330")</f>
        <v>17330</v>
      </c>
      <c r="L7" s="4" t="str">
        <f>HYPERLINK("http://141.218.60.56/~jnz1568/getInfo.php?workbook=03_02.xlsx&amp;sheet=A0&amp;row=7&amp;col=12&amp;number=&amp;sourceID=30","")</f>
        <v/>
      </c>
      <c r="M7" s="4" t="str">
        <f>HYPERLINK("http://141.218.60.56/~jnz1568/getInfo.php?workbook=03_02.xlsx&amp;sheet=A0&amp;row=7&amp;col=13&amp;number=&amp;sourceID=30","")</f>
        <v/>
      </c>
      <c r="N7" s="4" t="str">
        <f>HYPERLINK("http://141.218.60.56/~jnz1568/getInfo.php?workbook=03_02.xlsx&amp;sheet=A0&amp;row=7&amp;col=14&amp;number=&amp;sourceID=30","")</f>
        <v/>
      </c>
    </row>
    <row r="8" spans="1:14">
      <c r="A8" s="3">
        <v>3</v>
      </c>
      <c r="B8" s="3">
        <v>2</v>
      </c>
      <c r="C8" s="3">
        <v>4</v>
      </c>
      <c r="D8" s="3">
        <v>2</v>
      </c>
      <c r="E8" s="3">
        <f>((1/(INDEX(E0!J$4:J$52,C8,1)-INDEX(E0!J$4:J$52,D8,1))))*100000000</f>
        <v>0</v>
      </c>
      <c r="F8" s="4" t="str">
        <f>HYPERLINK("http://141.218.60.56/~jnz1568/getInfo.php?workbook=03_02.xlsx&amp;sheet=A0&amp;row=8&amp;col=6&amp;number=&amp;sourceID=27","")</f>
        <v/>
      </c>
      <c r="G8" s="4" t="str">
        <f>HYPERLINK("http://141.218.60.56/~jnz1568/getInfo.php?workbook=03_02.xlsx&amp;sheet=A0&amp;row=8&amp;col=7&amp;number=22727000&amp;sourceID=15","22727000")</f>
        <v>22727000</v>
      </c>
      <c r="H8" s="4" t="str">
        <f>HYPERLINK("http://141.218.60.56/~jnz1568/getInfo.php?workbook=03_02.xlsx&amp;sheet=A0&amp;row=8&amp;col=8&amp;number=&amp;sourceID=15","")</f>
        <v/>
      </c>
      <c r="I8" s="4" t="str">
        <f>HYPERLINK("http://141.218.60.56/~jnz1568/getInfo.php?workbook=03_02.xlsx&amp;sheet=A0&amp;row=8&amp;col=9&amp;number=&amp;sourceID=15","")</f>
        <v/>
      </c>
      <c r="J8" s="4" t="str">
        <f>HYPERLINK("http://141.218.60.56/~jnz1568/getInfo.php?workbook=03_02.xlsx&amp;sheet=A0&amp;row=8&amp;col=10&amp;number=&amp;sourceID=15","")</f>
        <v/>
      </c>
      <c r="K8" s="4" t="str">
        <f>HYPERLINK("http://141.218.60.56/~jnz1568/getInfo.php?workbook=03_02.xlsx&amp;sheet=A0&amp;row=8&amp;col=11&amp;number=25170000&amp;sourceID=30","25170000")</f>
        <v>25170000</v>
      </c>
      <c r="L8" s="4" t="str">
        <f>HYPERLINK("http://141.218.60.56/~jnz1568/getInfo.php?workbook=03_02.xlsx&amp;sheet=A0&amp;row=8&amp;col=12&amp;number=&amp;sourceID=30","")</f>
        <v/>
      </c>
      <c r="M8" s="4" t="str">
        <f>HYPERLINK("http://141.218.60.56/~jnz1568/getInfo.php?workbook=03_02.xlsx&amp;sheet=A0&amp;row=8&amp;col=13&amp;number=&amp;sourceID=30","")</f>
        <v/>
      </c>
      <c r="N8" s="4" t="str">
        <f>HYPERLINK("http://141.218.60.56/~jnz1568/getInfo.php?workbook=03_02.xlsx&amp;sheet=A0&amp;row=8&amp;col=14&amp;number=3.193e-05&amp;sourceID=30","3.193e-05")</f>
        <v>3.193e-05</v>
      </c>
    </row>
    <row r="9" spans="1:14">
      <c r="A9" s="3">
        <v>3</v>
      </c>
      <c r="B9" s="3">
        <v>2</v>
      </c>
      <c r="C9" s="3">
        <v>4</v>
      </c>
      <c r="D9" s="3">
        <v>3</v>
      </c>
      <c r="E9" s="3">
        <f>((1/(INDEX(E0!J$4:J$52,C9,1)-INDEX(E0!J$4:J$52,D9,1))))*100000000</f>
        <v>0</v>
      </c>
      <c r="F9" s="4" t="str">
        <f>HYPERLINK("http://141.218.60.56/~jnz1568/getInfo.php?workbook=03_02.xlsx&amp;sheet=A0&amp;row=9&amp;col=6&amp;number=&amp;sourceID=27","")</f>
        <v/>
      </c>
      <c r="G9" s="4" t="str">
        <f>HYPERLINK("http://141.218.60.56/~jnz1568/getInfo.php?workbook=03_02.xlsx&amp;sheet=A0&amp;row=9&amp;col=7&amp;number=0.06481&amp;sourceID=15","0.06481")</f>
        <v>0.06481</v>
      </c>
      <c r="H9" s="4" t="str">
        <f>HYPERLINK("http://141.218.60.56/~jnz1568/getInfo.php?workbook=03_02.xlsx&amp;sheet=A0&amp;row=9&amp;col=8&amp;number=&amp;sourceID=15","")</f>
        <v/>
      </c>
      <c r="I9" s="4" t="str">
        <f>HYPERLINK("http://141.218.60.56/~jnz1568/getInfo.php?workbook=03_02.xlsx&amp;sheet=A0&amp;row=9&amp;col=9&amp;number=&amp;sourceID=15","")</f>
        <v/>
      </c>
      <c r="J9" s="4" t="str">
        <f>HYPERLINK("http://141.218.60.56/~jnz1568/getInfo.php?workbook=03_02.xlsx&amp;sheet=A0&amp;row=9&amp;col=10&amp;number=&amp;sourceID=15","")</f>
        <v/>
      </c>
      <c r="K9" s="4" t="str">
        <f>HYPERLINK("http://141.218.60.56/~jnz1568/getInfo.php?workbook=03_02.xlsx&amp;sheet=A0&amp;row=9&amp;col=11&amp;number=&amp;sourceID=30","")</f>
        <v/>
      </c>
      <c r="L9" s="4" t="str">
        <f>HYPERLINK("http://141.218.60.56/~jnz1568/getInfo.php?workbook=03_02.xlsx&amp;sheet=A0&amp;row=9&amp;col=12&amp;number=&amp;sourceID=30","")</f>
        <v/>
      </c>
      <c r="M9" s="4" t="str">
        <f>HYPERLINK("http://141.218.60.56/~jnz1568/getInfo.php?workbook=03_02.xlsx&amp;sheet=A0&amp;row=9&amp;col=13&amp;number=&amp;sourceID=30","")</f>
        <v/>
      </c>
      <c r="N9" s="4" t="str">
        <f>HYPERLINK("http://141.218.60.56/~jnz1568/getInfo.php?workbook=03_02.xlsx&amp;sheet=A0&amp;row=9&amp;col=14&amp;number=&amp;sourceID=30","")</f>
        <v/>
      </c>
    </row>
    <row r="10" spans="1:14">
      <c r="A10" s="3">
        <v>3</v>
      </c>
      <c r="B10" s="3">
        <v>2</v>
      </c>
      <c r="C10" s="3">
        <v>5</v>
      </c>
      <c r="D10" s="3">
        <v>1</v>
      </c>
      <c r="E10" s="3">
        <f>((1/(INDEX(E0!J$4:J$52,C10,1)-INDEX(E0!J$4:J$52,D10,1))))*100000000</f>
        <v>0</v>
      </c>
      <c r="F10" s="4" t="str">
        <f>HYPERLINK("http://141.218.60.56/~jnz1568/getInfo.php?workbook=03_02.xlsx&amp;sheet=A0&amp;row=10&amp;col=6&amp;number=&amp;sourceID=27","")</f>
        <v/>
      </c>
      <c r="G10" s="4" t="str">
        <f>HYPERLINK("http://141.218.60.56/~jnz1568/getInfo.php?workbook=03_02.xlsx&amp;sheet=A0&amp;row=10&amp;col=7&amp;number=&amp;sourceID=15","")</f>
        <v/>
      </c>
      <c r="H10" s="4" t="str">
        <f>HYPERLINK("http://141.218.60.56/~jnz1568/getInfo.php?workbook=03_02.xlsx&amp;sheet=A0&amp;row=10&amp;col=8&amp;number=&amp;sourceID=15","")</f>
        <v/>
      </c>
      <c r="I10" s="4" t="str">
        <f>HYPERLINK("http://141.218.60.56/~jnz1568/getInfo.php?workbook=03_02.xlsx&amp;sheet=A0&amp;row=10&amp;col=9&amp;number=&amp;sourceID=15","")</f>
        <v/>
      </c>
      <c r="J10" s="4" t="str">
        <f>HYPERLINK("http://141.218.60.56/~jnz1568/getInfo.php?workbook=03_02.xlsx&amp;sheet=A0&amp;row=10&amp;col=10&amp;number=35&amp;sourceID=15","35")</f>
        <v>35</v>
      </c>
      <c r="K10" s="4" t="str">
        <f>HYPERLINK("http://141.218.60.56/~jnz1568/getInfo.php?workbook=03_02.xlsx&amp;sheet=A0&amp;row=10&amp;col=11&amp;number=&amp;sourceID=30","")</f>
        <v/>
      </c>
      <c r="L10" s="4" t="str">
        <f>HYPERLINK("http://141.218.60.56/~jnz1568/getInfo.php?workbook=03_02.xlsx&amp;sheet=A0&amp;row=10&amp;col=12&amp;number=&amp;sourceID=30","")</f>
        <v/>
      </c>
      <c r="M10" s="4" t="str">
        <f>HYPERLINK("http://141.218.60.56/~jnz1568/getInfo.php?workbook=03_02.xlsx&amp;sheet=A0&amp;row=10&amp;col=13&amp;number=&amp;sourceID=30","")</f>
        <v/>
      </c>
      <c r="N10" s="4" t="str">
        <f>HYPERLINK("http://141.218.60.56/~jnz1568/getInfo.php?workbook=03_02.xlsx&amp;sheet=A0&amp;row=10&amp;col=14&amp;number=31.17&amp;sourceID=30","31.17")</f>
        <v>31.17</v>
      </c>
    </row>
    <row r="11" spans="1:14">
      <c r="A11" s="3">
        <v>3</v>
      </c>
      <c r="B11" s="3">
        <v>2</v>
      </c>
      <c r="C11" s="3">
        <v>5</v>
      </c>
      <c r="D11" s="3">
        <v>2</v>
      </c>
      <c r="E11" s="3">
        <f>((1/(INDEX(E0!J$4:J$52,C11,1)-INDEX(E0!J$4:J$52,D11,1))))*100000000</f>
        <v>0</v>
      </c>
      <c r="F11" s="4" t="str">
        <f>HYPERLINK("http://141.218.60.56/~jnz1568/getInfo.php?workbook=03_02.xlsx&amp;sheet=A0&amp;row=11&amp;col=6&amp;number=&amp;sourceID=27","")</f>
        <v/>
      </c>
      <c r="G11" s="4" t="str">
        <f>HYPERLINK("http://141.218.60.56/~jnz1568/getInfo.php?workbook=03_02.xlsx&amp;sheet=A0&amp;row=11&amp;col=7&amp;number=22727000&amp;sourceID=15","22727000")</f>
        <v>22727000</v>
      </c>
      <c r="H11" s="4" t="str">
        <f>HYPERLINK("http://141.218.60.56/~jnz1568/getInfo.php?workbook=03_02.xlsx&amp;sheet=A0&amp;row=11&amp;col=8&amp;number=&amp;sourceID=15","")</f>
        <v/>
      </c>
      <c r="I11" s="4" t="str">
        <f>HYPERLINK("http://141.218.60.56/~jnz1568/getInfo.php?workbook=03_02.xlsx&amp;sheet=A0&amp;row=11&amp;col=9&amp;number=&amp;sourceID=15","")</f>
        <v/>
      </c>
      <c r="J11" s="4" t="str">
        <f>HYPERLINK("http://141.218.60.56/~jnz1568/getInfo.php?workbook=03_02.xlsx&amp;sheet=A0&amp;row=11&amp;col=10&amp;number=&amp;sourceID=15","")</f>
        <v/>
      </c>
      <c r="K11" s="4" t="str">
        <f>HYPERLINK("http://141.218.60.56/~jnz1568/getInfo.php?workbook=03_02.xlsx&amp;sheet=A0&amp;row=11&amp;col=11&amp;number=25180000&amp;sourceID=30","25180000")</f>
        <v>25180000</v>
      </c>
      <c r="L11" s="4" t="str">
        <f>HYPERLINK("http://141.218.60.56/~jnz1568/getInfo.php?workbook=03_02.xlsx&amp;sheet=A0&amp;row=11&amp;col=12&amp;number=&amp;sourceID=30","")</f>
        <v/>
      </c>
      <c r="M11" s="4" t="str">
        <f>HYPERLINK("http://141.218.60.56/~jnz1568/getInfo.php?workbook=03_02.xlsx&amp;sheet=A0&amp;row=11&amp;col=13&amp;number=&amp;sourceID=30","")</f>
        <v/>
      </c>
      <c r="N11" s="4" t="str">
        <f>HYPERLINK("http://141.218.60.56/~jnz1568/getInfo.php?workbook=03_02.xlsx&amp;sheet=A0&amp;row=11&amp;col=14&amp;number=5.762e-05&amp;sourceID=30","5.762e-05")</f>
        <v>5.762e-05</v>
      </c>
    </row>
    <row r="12" spans="1:14">
      <c r="A12" s="3">
        <v>3</v>
      </c>
      <c r="B12" s="3">
        <v>2</v>
      </c>
      <c r="C12" s="3">
        <v>5</v>
      </c>
      <c r="D12" s="3">
        <v>4</v>
      </c>
      <c r="E12" s="3">
        <f>((1/(INDEX(E0!J$4:J$52,C12,1)-INDEX(E0!J$4:J$52,D12,1))))*100000000</f>
        <v>0</v>
      </c>
      <c r="F12" s="4" t="str">
        <f>HYPERLINK("http://141.218.60.56/~jnz1568/getInfo.php?workbook=03_02.xlsx&amp;sheet=A0&amp;row=12&amp;col=6&amp;number=&amp;sourceID=27","")</f>
        <v/>
      </c>
      <c r="G12" s="4" t="str">
        <f>HYPERLINK("http://141.218.60.56/~jnz1568/getInfo.php?workbook=03_02.xlsx&amp;sheet=A0&amp;row=12&amp;col=7&amp;number=&amp;sourceID=15","")</f>
        <v/>
      </c>
      <c r="H12" s="4" t="str">
        <f>HYPERLINK("http://141.218.60.56/~jnz1568/getInfo.php?workbook=03_02.xlsx&amp;sheet=A0&amp;row=12&amp;col=8&amp;number=&amp;sourceID=15","")</f>
        <v/>
      </c>
      <c r="I12" s="4" t="str">
        <f>HYPERLINK("http://141.218.60.56/~jnz1568/getInfo.php?workbook=03_02.xlsx&amp;sheet=A0&amp;row=12&amp;col=9&amp;number=&amp;sourceID=15","")</f>
        <v/>
      </c>
      <c r="J12" s="4" t="str">
        <f>HYPERLINK("http://141.218.60.56/~jnz1568/getInfo.php?workbook=03_02.xlsx&amp;sheet=A0&amp;row=12&amp;col=10&amp;number=&amp;sourceID=15","")</f>
        <v/>
      </c>
      <c r="K12" s="4" t="str">
        <f>HYPERLINK("http://141.218.60.56/~jnz1568/getInfo.php?workbook=03_02.xlsx&amp;sheet=A0&amp;row=12&amp;col=11&amp;number=&amp;sourceID=30","")</f>
        <v/>
      </c>
      <c r="L12" s="4" t="str">
        <f>HYPERLINK("http://141.218.60.56/~jnz1568/getInfo.php?workbook=03_02.xlsx&amp;sheet=A0&amp;row=12&amp;col=12&amp;number=0&amp;sourceID=30","0")</f>
        <v>0</v>
      </c>
      <c r="M12" s="4" t="str">
        <f>HYPERLINK("http://141.218.60.56/~jnz1568/getInfo.php?workbook=03_02.xlsx&amp;sheet=A0&amp;row=12&amp;col=13&amp;number=8.851e-11&amp;sourceID=30","8.851e-11")</f>
        <v>8.851e-11</v>
      </c>
      <c r="N12" s="4" t="str">
        <f>HYPERLINK("http://141.218.60.56/~jnz1568/getInfo.php?workbook=03_02.xlsx&amp;sheet=A0&amp;row=12&amp;col=14&amp;number=&amp;sourceID=30","")</f>
        <v/>
      </c>
    </row>
    <row r="13" spans="1:14">
      <c r="A13" s="3">
        <v>3</v>
      </c>
      <c r="B13" s="3">
        <v>2</v>
      </c>
      <c r="C13" s="3">
        <v>6</v>
      </c>
      <c r="D13" s="3">
        <v>2</v>
      </c>
      <c r="E13" s="3">
        <f>((1/(INDEX(E0!J$4:J$52,C13,1)-INDEX(E0!J$4:J$52,D13,1))))*100000000</f>
        <v>0</v>
      </c>
      <c r="F13" s="4" t="str">
        <f>HYPERLINK("http://141.218.60.56/~jnz1568/getInfo.php?workbook=03_02.xlsx&amp;sheet=A0&amp;row=13&amp;col=6&amp;number=&amp;sourceID=27","")</f>
        <v/>
      </c>
      <c r="G13" s="4" t="str">
        <f>HYPERLINK("http://141.218.60.56/~jnz1568/getInfo.php?workbook=03_02.xlsx&amp;sheet=A0&amp;row=13&amp;col=7&amp;number=22727000&amp;sourceID=15","22727000")</f>
        <v>22727000</v>
      </c>
      <c r="H13" s="4" t="str">
        <f>HYPERLINK("http://141.218.60.56/~jnz1568/getInfo.php?workbook=03_02.xlsx&amp;sheet=A0&amp;row=13&amp;col=8&amp;number=&amp;sourceID=15","")</f>
        <v/>
      </c>
      <c r="I13" s="4" t="str">
        <f>HYPERLINK("http://141.218.60.56/~jnz1568/getInfo.php?workbook=03_02.xlsx&amp;sheet=A0&amp;row=13&amp;col=9&amp;number=&amp;sourceID=15","")</f>
        <v/>
      </c>
      <c r="J13" s="4" t="str">
        <f>HYPERLINK("http://141.218.60.56/~jnz1568/getInfo.php?workbook=03_02.xlsx&amp;sheet=A0&amp;row=13&amp;col=10&amp;number=&amp;sourceID=15","")</f>
        <v/>
      </c>
      <c r="K13" s="4" t="str">
        <f>HYPERLINK("http://141.218.60.56/~jnz1568/getInfo.php?workbook=03_02.xlsx&amp;sheet=A0&amp;row=13&amp;col=11&amp;number=25190000&amp;sourceID=30","25190000")</f>
        <v>25190000</v>
      </c>
      <c r="L13" s="4" t="str">
        <f>HYPERLINK("http://141.218.60.56/~jnz1568/getInfo.php?workbook=03_02.xlsx&amp;sheet=A0&amp;row=13&amp;col=12&amp;number=&amp;sourceID=30","")</f>
        <v/>
      </c>
      <c r="M13" s="4" t="str">
        <f>HYPERLINK("http://141.218.60.56/~jnz1568/getInfo.php?workbook=03_02.xlsx&amp;sheet=A0&amp;row=13&amp;col=13&amp;number=&amp;sourceID=30","")</f>
        <v/>
      </c>
      <c r="N13" s="4" t="str">
        <f>HYPERLINK("http://141.218.60.56/~jnz1568/getInfo.php?workbook=03_02.xlsx&amp;sheet=A0&amp;row=13&amp;col=14&amp;number=&amp;sourceID=30","")</f>
        <v/>
      </c>
    </row>
    <row r="14" spans="1:14">
      <c r="A14" s="3">
        <v>3</v>
      </c>
      <c r="B14" s="3">
        <v>2</v>
      </c>
      <c r="C14" s="3">
        <v>7</v>
      </c>
      <c r="D14" s="3">
        <v>1</v>
      </c>
      <c r="E14" s="3">
        <f>((1/(INDEX(E0!J$4:J$52,C14,1)-INDEX(E0!J$4:J$52,D14,1))))*100000000</f>
        <v>0</v>
      </c>
      <c r="F14" s="4" t="str">
        <f>HYPERLINK("http://141.218.60.56/~jnz1568/getInfo.php?workbook=03_02.xlsx&amp;sheet=A0&amp;row=14&amp;col=6&amp;number=&amp;sourceID=27","")</f>
        <v/>
      </c>
      <c r="G14" s="4" t="str">
        <f>HYPERLINK("http://141.218.60.56/~jnz1568/getInfo.php?workbook=03_02.xlsx&amp;sheet=A0&amp;row=14&amp;col=7&amp;number=25569000000&amp;sourceID=15","25569000000")</f>
        <v>25569000000</v>
      </c>
      <c r="H14" s="4" t="str">
        <f>HYPERLINK("http://141.218.60.56/~jnz1568/getInfo.php?workbook=03_02.xlsx&amp;sheet=A0&amp;row=14&amp;col=8&amp;number=&amp;sourceID=15","")</f>
        <v/>
      </c>
      <c r="I14" s="4" t="str">
        <f>HYPERLINK("http://141.218.60.56/~jnz1568/getInfo.php?workbook=03_02.xlsx&amp;sheet=A0&amp;row=14&amp;col=9&amp;number=&amp;sourceID=15","")</f>
        <v/>
      </c>
      <c r="J14" s="4" t="str">
        <f>HYPERLINK("http://141.218.60.56/~jnz1568/getInfo.php?workbook=03_02.xlsx&amp;sheet=A0&amp;row=14&amp;col=10&amp;number=&amp;sourceID=15","")</f>
        <v/>
      </c>
      <c r="K14" s="4" t="str">
        <f>HYPERLINK("http://141.218.60.56/~jnz1568/getInfo.php?workbook=03_02.xlsx&amp;sheet=A0&amp;row=14&amp;col=11&amp;number=29370000000&amp;sourceID=30","29370000000")</f>
        <v>29370000000</v>
      </c>
      <c r="L14" s="4" t="str">
        <f>HYPERLINK("http://141.218.60.56/~jnz1568/getInfo.php?workbook=03_02.xlsx&amp;sheet=A0&amp;row=14&amp;col=12&amp;number=&amp;sourceID=30","")</f>
        <v/>
      </c>
      <c r="M14" s="4" t="str">
        <f>HYPERLINK("http://141.218.60.56/~jnz1568/getInfo.php?workbook=03_02.xlsx&amp;sheet=A0&amp;row=14&amp;col=13&amp;number=&amp;sourceID=30","")</f>
        <v/>
      </c>
      <c r="N14" s="4" t="str">
        <f>HYPERLINK("http://141.218.60.56/~jnz1568/getInfo.php?workbook=03_02.xlsx&amp;sheet=A0&amp;row=14&amp;col=14&amp;number=&amp;sourceID=30","")</f>
        <v/>
      </c>
    </row>
    <row r="15" spans="1:14">
      <c r="A15" s="3">
        <v>3</v>
      </c>
      <c r="B15" s="3">
        <v>2</v>
      </c>
      <c r="C15" s="3">
        <v>7</v>
      </c>
      <c r="D15" s="3">
        <v>2</v>
      </c>
      <c r="E15" s="3">
        <f>((1/(INDEX(E0!J$4:J$52,C15,1)-INDEX(E0!J$4:J$52,D15,1))))*100000000</f>
        <v>0</v>
      </c>
      <c r="F15" s="4" t="str">
        <f>HYPERLINK("http://141.218.60.56/~jnz1568/getInfo.php?workbook=03_02.xlsx&amp;sheet=A0&amp;row=15&amp;col=6&amp;number=&amp;sourceID=27","")</f>
        <v/>
      </c>
      <c r="G15" s="4" t="str">
        <f>HYPERLINK("http://141.218.60.56/~jnz1568/getInfo.php?workbook=03_02.xlsx&amp;sheet=A0&amp;row=15&amp;col=7&amp;number=38.13&amp;sourceID=15","38.13")</f>
        <v>38.13</v>
      </c>
      <c r="H15" s="4" t="str">
        <f>HYPERLINK("http://141.218.60.56/~jnz1568/getInfo.php?workbook=03_02.xlsx&amp;sheet=A0&amp;row=15&amp;col=8&amp;number=&amp;sourceID=15","")</f>
        <v/>
      </c>
      <c r="I15" s="4" t="str">
        <f>HYPERLINK("http://141.218.60.56/~jnz1568/getInfo.php?workbook=03_02.xlsx&amp;sheet=A0&amp;row=15&amp;col=9&amp;number=&amp;sourceID=15","")</f>
        <v/>
      </c>
      <c r="J15" s="4" t="str">
        <f>HYPERLINK("http://141.218.60.56/~jnz1568/getInfo.php?workbook=03_02.xlsx&amp;sheet=A0&amp;row=15&amp;col=10&amp;number=&amp;sourceID=15","")</f>
        <v/>
      </c>
      <c r="K15" s="4" t="str">
        <f>HYPERLINK("http://141.218.60.56/~jnz1568/getInfo.php?workbook=03_02.xlsx&amp;sheet=A0&amp;row=15&amp;col=11&amp;number=41.47&amp;sourceID=30","41.47")</f>
        <v>41.47</v>
      </c>
      <c r="L15" s="4" t="str">
        <f>HYPERLINK("http://141.218.60.56/~jnz1568/getInfo.php?workbook=03_02.xlsx&amp;sheet=A0&amp;row=15&amp;col=12&amp;number=&amp;sourceID=30","")</f>
        <v/>
      </c>
      <c r="M15" s="4" t="str">
        <f>HYPERLINK("http://141.218.60.56/~jnz1568/getInfo.php?workbook=03_02.xlsx&amp;sheet=A0&amp;row=15&amp;col=13&amp;number=&amp;sourceID=30","")</f>
        <v/>
      </c>
      <c r="N15" s="4" t="str">
        <f>HYPERLINK("http://141.218.60.56/~jnz1568/getInfo.php?workbook=03_02.xlsx&amp;sheet=A0&amp;row=15&amp;col=14&amp;number=0.0004115&amp;sourceID=30","0.0004115")</f>
        <v>0.0004115</v>
      </c>
    </row>
    <row r="16" spans="1:14">
      <c r="A16" s="3">
        <v>3</v>
      </c>
      <c r="B16" s="3">
        <v>2</v>
      </c>
      <c r="C16" s="3">
        <v>7</v>
      </c>
      <c r="D16" s="3">
        <v>3</v>
      </c>
      <c r="E16" s="3">
        <f>((1/(INDEX(E0!J$4:J$52,C16,1)-INDEX(E0!J$4:J$52,D16,1))))*100000000</f>
        <v>0</v>
      </c>
      <c r="F16" s="4" t="str">
        <f>HYPERLINK("http://141.218.60.56/~jnz1568/getInfo.php?workbook=03_02.xlsx&amp;sheet=A0&amp;row=16&amp;col=6&amp;number=&amp;sourceID=27","")</f>
        <v/>
      </c>
      <c r="G16" s="4" t="str">
        <f>HYPERLINK("http://141.218.60.56/~jnz1568/getInfo.php?workbook=03_02.xlsx&amp;sheet=A0&amp;row=16&amp;col=7&amp;number=5142300&amp;sourceID=15","5142300")</f>
        <v>5142300</v>
      </c>
      <c r="H16" s="4" t="str">
        <f>HYPERLINK("http://141.218.60.56/~jnz1568/getInfo.php?workbook=03_02.xlsx&amp;sheet=A0&amp;row=16&amp;col=8&amp;number=&amp;sourceID=15","")</f>
        <v/>
      </c>
      <c r="I16" s="4" t="str">
        <f>HYPERLINK("http://141.218.60.56/~jnz1568/getInfo.php?workbook=03_02.xlsx&amp;sheet=A0&amp;row=16&amp;col=9&amp;number=&amp;sourceID=15","")</f>
        <v/>
      </c>
      <c r="J16" s="4" t="str">
        <f>HYPERLINK("http://141.218.60.56/~jnz1568/getInfo.php?workbook=03_02.xlsx&amp;sheet=A0&amp;row=16&amp;col=10&amp;number=&amp;sourceID=15","")</f>
        <v/>
      </c>
      <c r="K16" s="4" t="str">
        <f>HYPERLINK("http://141.218.60.56/~jnz1568/getInfo.php?workbook=03_02.xlsx&amp;sheet=A0&amp;row=16&amp;col=11&amp;number=2289000&amp;sourceID=30","2289000")</f>
        <v>2289000</v>
      </c>
      <c r="L16" s="4" t="str">
        <f>HYPERLINK("http://141.218.60.56/~jnz1568/getInfo.php?workbook=03_02.xlsx&amp;sheet=A0&amp;row=16&amp;col=12&amp;number=&amp;sourceID=30","")</f>
        <v/>
      </c>
      <c r="M16" s="4" t="str">
        <f>HYPERLINK("http://141.218.60.56/~jnz1568/getInfo.php?workbook=03_02.xlsx&amp;sheet=A0&amp;row=16&amp;col=13&amp;number=&amp;sourceID=30","")</f>
        <v/>
      </c>
      <c r="N16" s="4" t="str">
        <f>HYPERLINK("http://141.218.60.56/~jnz1568/getInfo.php?workbook=03_02.xlsx&amp;sheet=A0&amp;row=16&amp;col=14&amp;number=&amp;sourceID=30","")</f>
        <v/>
      </c>
    </row>
    <row r="17" spans="1:14">
      <c r="A17" s="3">
        <v>3</v>
      </c>
      <c r="B17" s="3">
        <v>2</v>
      </c>
      <c r="C17" s="3">
        <v>7</v>
      </c>
      <c r="D17" s="3">
        <v>4</v>
      </c>
      <c r="E17" s="3">
        <f>((1/(INDEX(E0!J$4:J$52,C17,1)-INDEX(E0!J$4:J$52,D17,1))))*100000000</f>
        <v>0</v>
      </c>
      <c r="F17" s="4" t="str">
        <f>HYPERLINK("http://141.218.60.56/~jnz1568/getInfo.php?workbook=03_02.xlsx&amp;sheet=A0&amp;row=17&amp;col=6&amp;number=&amp;sourceID=27","")</f>
        <v/>
      </c>
      <c r="G17" s="4" t="str">
        <f>HYPERLINK("http://141.218.60.56/~jnz1568/getInfo.php?workbook=03_02.xlsx&amp;sheet=A0&amp;row=17&amp;col=7&amp;number=&amp;sourceID=15","")</f>
        <v/>
      </c>
      <c r="H17" s="4" t="str">
        <f>HYPERLINK("http://141.218.60.56/~jnz1568/getInfo.php?workbook=03_02.xlsx&amp;sheet=A0&amp;row=17&amp;col=8&amp;number=&amp;sourceID=15","")</f>
        <v/>
      </c>
      <c r="I17" s="4" t="str">
        <f>HYPERLINK("http://141.218.60.56/~jnz1568/getInfo.php?workbook=03_02.xlsx&amp;sheet=A0&amp;row=17&amp;col=9&amp;number=&amp;sourceID=15","")</f>
        <v/>
      </c>
      <c r="J17" s="4" t="str">
        <f>HYPERLINK("http://141.218.60.56/~jnz1568/getInfo.php?workbook=03_02.xlsx&amp;sheet=A0&amp;row=17&amp;col=10&amp;number=&amp;sourceID=15","")</f>
        <v/>
      </c>
      <c r="K17" s="4" t="str">
        <f>HYPERLINK("http://141.218.60.56/~jnz1568/getInfo.php?workbook=03_02.xlsx&amp;sheet=A0&amp;row=17&amp;col=11&amp;number=&amp;sourceID=30","")</f>
        <v/>
      </c>
      <c r="L17" s="4" t="str">
        <f>HYPERLINK("http://141.218.60.56/~jnz1568/getInfo.php?workbook=03_02.xlsx&amp;sheet=A0&amp;row=17&amp;col=12&amp;number=9.346e-08&amp;sourceID=30","9.346e-08")</f>
        <v>9.346e-08</v>
      </c>
      <c r="M17" s="4" t="str">
        <f>HYPERLINK("http://141.218.60.56/~jnz1568/getInfo.php?workbook=03_02.xlsx&amp;sheet=A0&amp;row=17&amp;col=13&amp;number=6.025e-06&amp;sourceID=30","6.025e-06")</f>
        <v>6.025e-06</v>
      </c>
      <c r="N17" s="4" t="str">
        <f>HYPERLINK("http://141.218.60.56/~jnz1568/getInfo.php?workbook=03_02.xlsx&amp;sheet=A0&amp;row=17&amp;col=14&amp;number=&amp;sourceID=30","")</f>
        <v/>
      </c>
    </row>
    <row r="18" spans="1:14">
      <c r="A18" s="3">
        <v>3</v>
      </c>
      <c r="B18" s="3">
        <v>2</v>
      </c>
      <c r="C18" s="3">
        <v>7</v>
      </c>
      <c r="D18" s="3">
        <v>5</v>
      </c>
      <c r="E18" s="3">
        <f>((1/(INDEX(E0!J$4:J$52,C18,1)-INDEX(E0!J$4:J$52,D18,1))))*100000000</f>
        <v>0</v>
      </c>
      <c r="F18" s="4" t="str">
        <f>HYPERLINK("http://141.218.60.56/~jnz1568/getInfo.php?workbook=03_02.xlsx&amp;sheet=A0&amp;row=18&amp;col=6&amp;number=&amp;sourceID=27","")</f>
        <v/>
      </c>
      <c r="G18" s="4" t="str">
        <f>HYPERLINK("http://141.218.60.56/~jnz1568/getInfo.php?workbook=03_02.xlsx&amp;sheet=A0&amp;row=18&amp;col=7&amp;number=&amp;sourceID=15","")</f>
        <v/>
      </c>
      <c r="H18" s="4" t="str">
        <f>HYPERLINK("http://141.218.60.56/~jnz1568/getInfo.php?workbook=03_02.xlsx&amp;sheet=A0&amp;row=18&amp;col=8&amp;number=&amp;sourceID=15","")</f>
        <v/>
      </c>
      <c r="I18" s="4" t="str">
        <f>HYPERLINK("http://141.218.60.56/~jnz1568/getInfo.php?workbook=03_02.xlsx&amp;sheet=A0&amp;row=18&amp;col=9&amp;number=&amp;sourceID=15","")</f>
        <v/>
      </c>
      <c r="J18" s="4" t="str">
        <f>HYPERLINK("http://141.218.60.56/~jnz1568/getInfo.php?workbook=03_02.xlsx&amp;sheet=A0&amp;row=18&amp;col=10&amp;number=&amp;sourceID=15","")</f>
        <v/>
      </c>
      <c r="K18" s="4" t="str">
        <f>HYPERLINK("http://141.218.60.56/~jnz1568/getInfo.php?workbook=03_02.xlsx&amp;sheet=A0&amp;row=18&amp;col=11&amp;number=&amp;sourceID=30","")</f>
        <v/>
      </c>
      <c r="L18" s="4" t="str">
        <f>HYPERLINK("http://141.218.60.56/~jnz1568/getInfo.php?workbook=03_02.xlsx&amp;sheet=A0&amp;row=18&amp;col=12&amp;number=3.164e-08&amp;sourceID=30","3.164e-08")</f>
        <v>3.164e-08</v>
      </c>
      <c r="M18" s="4" t="str">
        <f>HYPERLINK("http://141.218.60.56/~jnz1568/getInfo.php?workbook=03_02.xlsx&amp;sheet=A0&amp;row=18&amp;col=13&amp;number=3.216e-06&amp;sourceID=30","3.216e-06")</f>
        <v>3.216e-06</v>
      </c>
      <c r="N18" s="4" t="str">
        <f>HYPERLINK("http://141.218.60.56/~jnz1568/getInfo.php?workbook=03_02.xlsx&amp;sheet=A0&amp;row=18&amp;col=14&amp;number=&amp;sourceID=30","")</f>
        <v/>
      </c>
    </row>
    <row r="19" spans="1:14">
      <c r="A19" s="3">
        <v>3</v>
      </c>
      <c r="B19" s="3">
        <v>2</v>
      </c>
      <c r="C19" s="3">
        <v>7</v>
      </c>
      <c r="D19" s="3">
        <v>6</v>
      </c>
      <c r="E19" s="3">
        <f>((1/(INDEX(E0!J$4:J$52,C19,1)-INDEX(E0!J$4:J$52,D19,1))))*100000000</f>
        <v>0</v>
      </c>
      <c r="F19" s="4" t="str">
        <f>HYPERLINK("http://141.218.60.56/~jnz1568/getInfo.php?workbook=03_02.xlsx&amp;sheet=A0&amp;row=19&amp;col=6&amp;number=&amp;sourceID=27","")</f>
        <v/>
      </c>
      <c r="G19" s="4" t="str">
        <f>HYPERLINK("http://141.218.60.56/~jnz1568/getInfo.php?workbook=03_02.xlsx&amp;sheet=A0&amp;row=19&amp;col=7&amp;number=&amp;sourceID=15","")</f>
        <v/>
      </c>
      <c r="H19" s="4" t="str">
        <f>HYPERLINK("http://141.218.60.56/~jnz1568/getInfo.php?workbook=03_02.xlsx&amp;sheet=A0&amp;row=19&amp;col=8&amp;number=&amp;sourceID=15","")</f>
        <v/>
      </c>
      <c r="I19" s="4" t="str">
        <f>HYPERLINK("http://141.218.60.56/~jnz1568/getInfo.php?workbook=03_02.xlsx&amp;sheet=A0&amp;row=19&amp;col=9&amp;number=&amp;sourceID=15","")</f>
        <v/>
      </c>
      <c r="J19" s="4" t="str">
        <f>HYPERLINK("http://141.218.60.56/~jnz1568/getInfo.php?workbook=03_02.xlsx&amp;sheet=A0&amp;row=19&amp;col=10&amp;number=&amp;sourceID=15","")</f>
        <v/>
      </c>
      <c r="K19" s="4" t="str">
        <f>HYPERLINK("http://141.218.60.56/~jnz1568/getInfo.php?workbook=03_02.xlsx&amp;sheet=A0&amp;row=19&amp;col=11&amp;number=&amp;sourceID=30","")</f>
        <v/>
      </c>
      <c r="L19" s="4" t="str">
        <f>HYPERLINK("http://141.218.60.56/~jnz1568/getInfo.php?workbook=03_02.xlsx&amp;sheet=A0&amp;row=19&amp;col=12&amp;number=&amp;sourceID=30","")</f>
        <v/>
      </c>
      <c r="M19" s="4" t="str">
        <f>HYPERLINK("http://141.218.60.56/~jnz1568/getInfo.php?workbook=03_02.xlsx&amp;sheet=A0&amp;row=19&amp;col=13&amp;number=6.195e-06&amp;sourceID=30","6.195e-06")</f>
        <v>6.195e-06</v>
      </c>
      <c r="N19" s="4" t="str">
        <f>HYPERLINK("http://141.218.60.56/~jnz1568/getInfo.php?workbook=03_02.xlsx&amp;sheet=A0&amp;row=19&amp;col=14&amp;number=&amp;sourceID=30","")</f>
        <v/>
      </c>
    </row>
    <row r="20" spans="1:14">
      <c r="A20" s="3">
        <v>3</v>
      </c>
      <c r="B20" s="3">
        <v>2</v>
      </c>
      <c r="C20" s="3">
        <v>8</v>
      </c>
      <c r="D20" s="3">
        <v>1</v>
      </c>
      <c r="E20" s="3">
        <f>((1/(INDEX(E0!J$4:J$52,C20,1)-INDEX(E0!J$4:J$52,D20,1))))*100000000</f>
        <v>0</v>
      </c>
      <c r="F20" s="4" t="str">
        <f>HYPERLINK("http://141.218.60.56/~jnz1568/getInfo.php?workbook=03_02.xlsx&amp;sheet=A0&amp;row=20&amp;col=6&amp;number=&amp;sourceID=27","")</f>
        <v/>
      </c>
      <c r="G20" s="4" t="str">
        <f>HYPERLINK("http://141.218.60.56/~jnz1568/getInfo.php?workbook=03_02.xlsx&amp;sheet=A0&amp;row=20&amp;col=7&amp;number=&amp;sourceID=15","")</f>
        <v/>
      </c>
      <c r="H20" s="4" t="str">
        <f>HYPERLINK("http://141.218.60.56/~jnz1568/getInfo.php?workbook=03_02.xlsx&amp;sheet=A0&amp;row=20&amp;col=8&amp;number=&amp;sourceID=15","")</f>
        <v/>
      </c>
      <c r="I20" s="4" t="str">
        <f>HYPERLINK("http://141.218.60.56/~jnz1568/getInfo.php?workbook=03_02.xlsx&amp;sheet=A0&amp;row=20&amp;col=9&amp;number=&amp;sourceID=15","")</f>
        <v/>
      </c>
      <c r="J20" s="4" t="str">
        <f>HYPERLINK("http://141.218.60.56/~jnz1568/getInfo.php?workbook=03_02.xlsx&amp;sheet=A0&amp;row=20&amp;col=10&amp;number=&amp;sourceID=15","")</f>
        <v/>
      </c>
      <c r="K20" s="4" t="str">
        <f>HYPERLINK("http://141.218.60.56/~jnz1568/getInfo.php?workbook=03_02.xlsx&amp;sheet=A0&amp;row=20&amp;col=11&amp;number=&amp;sourceID=30","")</f>
        <v/>
      </c>
      <c r="L20" s="4" t="str">
        <f>HYPERLINK("http://141.218.60.56/~jnz1568/getInfo.php?workbook=03_02.xlsx&amp;sheet=A0&amp;row=20&amp;col=12&amp;number=&amp;sourceID=30","")</f>
        <v/>
      </c>
      <c r="M20" s="4" t="str">
        <f>HYPERLINK("http://141.218.60.56/~jnz1568/getInfo.php?workbook=03_02.xlsx&amp;sheet=A0&amp;row=20&amp;col=13&amp;number=0.0006807&amp;sourceID=30","0.0006807")</f>
        <v>0.0006807</v>
      </c>
      <c r="N20" s="4" t="str">
        <f>HYPERLINK("http://141.218.60.56/~jnz1568/getInfo.php?workbook=03_02.xlsx&amp;sheet=A0&amp;row=20&amp;col=14&amp;number=&amp;sourceID=30","")</f>
        <v/>
      </c>
    </row>
    <row r="21" spans="1:14">
      <c r="A21" s="3">
        <v>3</v>
      </c>
      <c r="B21" s="3">
        <v>2</v>
      </c>
      <c r="C21" s="3">
        <v>8</v>
      </c>
      <c r="D21" s="3">
        <v>2</v>
      </c>
      <c r="E21" s="3">
        <f>((1/(INDEX(E0!J$4:J$52,C21,1)-INDEX(E0!J$4:J$52,D21,1))))*100000000</f>
        <v>0</v>
      </c>
      <c r="F21" s="4" t="str">
        <f>HYPERLINK("http://141.218.60.56/~jnz1568/getInfo.php?workbook=03_02.xlsx&amp;sheet=A0&amp;row=21&amp;col=6&amp;number=&amp;sourceID=27","")</f>
        <v/>
      </c>
      <c r="G21" s="4" t="str">
        <f>HYPERLINK("http://141.218.60.56/~jnz1568/getInfo.php?workbook=03_02.xlsx&amp;sheet=A0&amp;row=21&amp;col=7&amp;number=&amp;sourceID=15","")</f>
        <v/>
      </c>
      <c r="H21" s="4" t="str">
        <f>HYPERLINK("http://141.218.60.56/~jnz1568/getInfo.php?workbook=03_02.xlsx&amp;sheet=A0&amp;row=21&amp;col=8&amp;number=&amp;sourceID=15","")</f>
        <v/>
      </c>
      <c r="I21" s="4" t="str">
        <f>HYPERLINK("http://141.218.60.56/~jnz1568/getInfo.php?workbook=03_02.xlsx&amp;sheet=A0&amp;row=21&amp;col=9&amp;number=&amp;sourceID=15","")</f>
        <v/>
      </c>
      <c r="J21" s="4" t="str">
        <f>HYPERLINK("http://141.218.60.56/~jnz1568/getInfo.php?workbook=03_02.xlsx&amp;sheet=A0&amp;row=21&amp;col=10&amp;number=&amp;sourceID=15","")</f>
        <v/>
      </c>
      <c r="K21" s="4" t="str">
        <f>HYPERLINK("http://141.218.60.56/~jnz1568/getInfo.php?workbook=03_02.xlsx&amp;sheet=A0&amp;row=21&amp;col=11&amp;number=&amp;sourceID=30","")</f>
        <v/>
      </c>
      <c r="L21" s="4" t="str">
        <f>HYPERLINK("http://141.218.60.56/~jnz1568/getInfo.php?workbook=03_02.xlsx&amp;sheet=A0&amp;row=21&amp;col=12&amp;number=2.348e-07&amp;sourceID=30","2.348e-07")</f>
        <v>2.348e-07</v>
      </c>
      <c r="M21" s="4" t="str">
        <f>HYPERLINK("http://141.218.60.56/~jnz1568/getInfo.php?workbook=03_02.xlsx&amp;sheet=A0&amp;row=21&amp;col=13&amp;number=2.667e-06&amp;sourceID=30","2.667e-06")</f>
        <v>2.667e-06</v>
      </c>
      <c r="N21" s="4" t="str">
        <f>HYPERLINK("http://141.218.60.56/~jnz1568/getInfo.php?workbook=03_02.xlsx&amp;sheet=A0&amp;row=21&amp;col=14&amp;number=&amp;sourceID=30","")</f>
        <v/>
      </c>
    </row>
    <row r="22" spans="1:14">
      <c r="A22" s="3">
        <v>3</v>
      </c>
      <c r="B22" s="3">
        <v>2</v>
      </c>
      <c r="C22" s="3">
        <v>8</v>
      </c>
      <c r="D22" s="3">
        <v>3</v>
      </c>
      <c r="E22" s="3">
        <f>((1/(INDEX(E0!J$4:J$52,C22,1)-INDEX(E0!J$4:J$52,D22,1))))*100000000</f>
        <v>0</v>
      </c>
      <c r="F22" s="4" t="str">
        <f>HYPERLINK("http://141.218.60.56/~jnz1568/getInfo.php?workbook=03_02.xlsx&amp;sheet=A0&amp;row=22&amp;col=6&amp;number=&amp;sourceID=27","")</f>
        <v/>
      </c>
      <c r="G22" s="4" t="str">
        <f>HYPERLINK("http://141.218.60.56/~jnz1568/getInfo.php?workbook=03_02.xlsx&amp;sheet=A0&amp;row=22&amp;col=7&amp;number=&amp;sourceID=15","")</f>
        <v/>
      </c>
      <c r="H22" s="4" t="str">
        <f>HYPERLINK("http://141.218.60.56/~jnz1568/getInfo.php?workbook=03_02.xlsx&amp;sheet=A0&amp;row=22&amp;col=8&amp;number=&amp;sourceID=15","")</f>
        <v/>
      </c>
      <c r="I22" s="4" t="str">
        <f>HYPERLINK("http://141.218.60.56/~jnz1568/getInfo.php?workbook=03_02.xlsx&amp;sheet=A0&amp;row=22&amp;col=9&amp;number=&amp;sourceID=15","")</f>
        <v/>
      </c>
      <c r="J22" s="4" t="str">
        <f>HYPERLINK("http://141.218.60.56/~jnz1568/getInfo.php?workbook=03_02.xlsx&amp;sheet=A0&amp;row=22&amp;col=10&amp;number=&amp;sourceID=15","")</f>
        <v/>
      </c>
      <c r="K22" s="4" t="str">
        <f>HYPERLINK("http://141.218.60.56/~jnz1568/getInfo.php?workbook=03_02.xlsx&amp;sheet=A0&amp;row=22&amp;col=11&amp;number=&amp;sourceID=30","")</f>
        <v/>
      </c>
      <c r="L22" s="4" t="str">
        <f>HYPERLINK("http://141.218.60.56/~jnz1568/getInfo.php?workbook=03_02.xlsx&amp;sheet=A0&amp;row=22&amp;col=12&amp;number=&amp;sourceID=30","")</f>
        <v/>
      </c>
      <c r="M22" s="4" t="str">
        <f>HYPERLINK("http://141.218.60.56/~jnz1568/getInfo.php?workbook=03_02.xlsx&amp;sheet=A0&amp;row=22&amp;col=13&amp;number=7.742e-06&amp;sourceID=30","7.742e-06")</f>
        <v>7.742e-06</v>
      </c>
      <c r="N22" s="4" t="str">
        <f>HYPERLINK("http://141.218.60.56/~jnz1568/getInfo.php?workbook=03_02.xlsx&amp;sheet=A0&amp;row=22&amp;col=14&amp;number=&amp;sourceID=30","")</f>
        <v/>
      </c>
    </row>
    <row r="23" spans="1:14">
      <c r="A23" s="3">
        <v>3</v>
      </c>
      <c r="B23" s="3">
        <v>2</v>
      </c>
      <c r="C23" s="3">
        <v>8</v>
      </c>
      <c r="D23" s="3">
        <v>4</v>
      </c>
      <c r="E23" s="3">
        <f>((1/(INDEX(E0!J$4:J$52,C23,1)-INDEX(E0!J$4:J$52,D23,1))))*100000000</f>
        <v>0</v>
      </c>
      <c r="F23" s="4" t="str">
        <f>HYPERLINK("http://141.218.60.56/~jnz1568/getInfo.php?workbook=03_02.xlsx&amp;sheet=A0&amp;row=23&amp;col=6&amp;number=&amp;sourceID=27","")</f>
        <v/>
      </c>
      <c r="G23" s="4" t="str">
        <f>HYPERLINK("http://141.218.60.56/~jnz1568/getInfo.php?workbook=03_02.xlsx&amp;sheet=A0&amp;row=23&amp;col=7&amp;number=95283000&amp;sourceID=15","95283000")</f>
        <v>95283000</v>
      </c>
      <c r="H23" s="4" t="str">
        <f>HYPERLINK("http://141.218.60.56/~jnz1568/getInfo.php?workbook=03_02.xlsx&amp;sheet=A0&amp;row=23&amp;col=8&amp;number=&amp;sourceID=15","")</f>
        <v/>
      </c>
      <c r="I23" s="4" t="str">
        <f>HYPERLINK("http://141.218.60.56/~jnz1568/getInfo.php?workbook=03_02.xlsx&amp;sheet=A0&amp;row=23&amp;col=9&amp;number=&amp;sourceID=15","")</f>
        <v/>
      </c>
      <c r="J23" s="4" t="str">
        <f>HYPERLINK("http://141.218.60.56/~jnz1568/getInfo.php?workbook=03_02.xlsx&amp;sheet=A0&amp;row=23&amp;col=10&amp;number=&amp;sourceID=15","")</f>
        <v/>
      </c>
      <c r="K23" s="4" t="str">
        <f>HYPERLINK("http://141.218.60.56/~jnz1568/getInfo.php?workbook=03_02.xlsx&amp;sheet=A0&amp;row=23&amp;col=11&amp;number=88700000&amp;sourceID=30","88700000")</f>
        <v>88700000</v>
      </c>
      <c r="L23" s="4" t="str">
        <f>HYPERLINK("http://141.218.60.56/~jnz1568/getInfo.php?workbook=03_02.xlsx&amp;sheet=A0&amp;row=23&amp;col=12&amp;number=&amp;sourceID=30","")</f>
        <v/>
      </c>
      <c r="M23" s="4" t="str">
        <f>HYPERLINK("http://141.218.60.56/~jnz1568/getInfo.php?workbook=03_02.xlsx&amp;sheet=A0&amp;row=23&amp;col=13&amp;number=&amp;sourceID=30","")</f>
        <v/>
      </c>
      <c r="N23" s="4" t="str">
        <f>HYPERLINK("http://141.218.60.56/~jnz1568/getInfo.php?workbook=03_02.xlsx&amp;sheet=A0&amp;row=23&amp;col=14&amp;number=0.001164&amp;sourceID=30","0.001164")</f>
        <v>0.001164</v>
      </c>
    </row>
    <row r="24" spans="1:14">
      <c r="A24" s="3">
        <v>3</v>
      </c>
      <c r="B24" s="3">
        <v>2</v>
      </c>
      <c r="C24" s="3">
        <v>8</v>
      </c>
      <c r="D24" s="3">
        <v>5</v>
      </c>
      <c r="E24" s="3">
        <f>((1/(INDEX(E0!J$4:J$52,C24,1)-INDEX(E0!J$4:J$52,D24,1))))*100000000</f>
        <v>0</v>
      </c>
      <c r="F24" s="4" t="str">
        <f>HYPERLINK("http://141.218.60.56/~jnz1568/getInfo.php?workbook=03_02.xlsx&amp;sheet=A0&amp;row=24&amp;col=6&amp;number=&amp;sourceID=27","")</f>
        <v/>
      </c>
      <c r="G24" s="4" t="str">
        <f>HYPERLINK("http://141.218.60.56/~jnz1568/getInfo.php?workbook=03_02.xlsx&amp;sheet=A0&amp;row=24&amp;col=7&amp;number=158810000&amp;sourceID=15","158810000")</f>
        <v>158810000</v>
      </c>
      <c r="H24" s="4" t="str">
        <f>HYPERLINK("http://141.218.60.56/~jnz1568/getInfo.php?workbook=03_02.xlsx&amp;sheet=A0&amp;row=24&amp;col=8&amp;number=&amp;sourceID=15","")</f>
        <v/>
      </c>
      <c r="I24" s="4" t="str">
        <f>HYPERLINK("http://141.218.60.56/~jnz1568/getInfo.php?workbook=03_02.xlsx&amp;sheet=A0&amp;row=24&amp;col=9&amp;number=&amp;sourceID=15","")</f>
        <v/>
      </c>
      <c r="J24" s="4" t="str">
        <f>HYPERLINK("http://141.218.60.56/~jnz1568/getInfo.php?workbook=03_02.xlsx&amp;sheet=A0&amp;row=24&amp;col=10&amp;number=&amp;sourceID=15","")</f>
        <v/>
      </c>
      <c r="K24" s="4" t="str">
        <f>HYPERLINK("http://141.218.60.56/~jnz1568/getInfo.php?workbook=03_02.xlsx&amp;sheet=A0&amp;row=24&amp;col=11&amp;number=147800000&amp;sourceID=30","147800000")</f>
        <v>147800000</v>
      </c>
      <c r="L24" s="4" t="str">
        <f>HYPERLINK("http://141.218.60.56/~jnz1568/getInfo.php?workbook=03_02.xlsx&amp;sheet=A0&amp;row=24&amp;col=12&amp;number=&amp;sourceID=30","")</f>
        <v/>
      </c>
      <c r="M24" s="4" t="str">
        <f>HYPERLINK("http://141.218.60.56/~jnz1568/getInfo.php?workbook=03_02.xlsx&amp;sheet=A0&amp;row=24&amp;col=13&amp;number=&amp;sourceID=30","")</f>
        <v/>
      </c>
      <c r="N24" s="4" t="str">
        <f>HYPERLINK("http://141.218.60.56/~jnz1568/getInfo.php?workbook=03_02.xlsx&amp;sheet=A0&amp;row=24&amp;col=14&amp;number=0.003499&amp;sourceID=30","0.003499")</f>
        <v>0.003499</v>
      </c>
    </row>
    <row r="25" spans="1:14">
      <c r="A25" s="3">
        <v>3</v>
      </c>
      <c r="B25" s="3">
        <v>2</v>
      </c>
      <c r="C25" s="3">
        <v>8</v>
      </c>
      <c r="D25" s="3">
        <v>6</v>
      </c>
      <c r="E25" s="3">
        <f>((1/(INDEX(E0!J$4:J$52,C25,1)-INDEX(E0!J$4:J$52,D25,1))))*100000000</f>
        <v>0</v>
      </c>
      <c r="F25" s="4" t="str">
        <f>HYPERLINK("http://141.218.60.56/~jnz1568/getInfo.php?workbook=03_02.xlsx&amp;sheet=A0&amp;row=25&amp;col=6&amp;number=&amp;sourceID=27","")</f>
        <v/>
      </c>
      <c r="G25" s="4" t="str">
        <f>HYPERLINK("http://141.218.60.56/~jnz1568/getInfo.php?workbook=03_02.xlsx&amp;sheet=A0&amp;row=25&amp;col=7&amp;number=31761000&amp;sourceID=15","31761000")</f>
        <v>31761000</v>
      </c>
      <c r="H25" s="4" t="str">
        <f>HYPERLINK("http://141.218.60.56/~jnz1568/getInfo.php?workbook=03_02.xlsx&amp;sheet=A0&amp;row=25&amp;col=8&amp;number=&amp;sourceID=15","")</f>
        <v/>
      </c>
      <c r="I25" s="4" t="str">
        <f>HYPERLINK("http://141.218.60.56/~jnz1568/getInfo.php?workbook=03_02.xlsx&amp;sheet=A0&amp;row=25&amp;col=9&amp;number=&amp;sourceID=15","")</f>
        <v/>
      </c>
      <c r="J25" s="4" t="str">
        <f>HYPERLINK("http://141.218.60.56/~jnz1568/getInfo.php?workbook=03_02.xlsx&amp;sheet=A0&amp;row=25&amp;col=10&amp;number=&amp;sourceID=15","")</f>
        <v/>
      </c>
      <c r="K25" s="4" t="str">
        <f>HYPERLINK("http://141.218.60.56/~jnz1568/getInfo.php?workbook=03_02.xlsx&amp;sheet=A0&amp;row=25&amp;col=11&amp;number=29580000&amp;sourceID=30","29580000")</f>
        <v>29580000</v>
      </c>
      <c r="L25" s="4" t="str">
        <f>HYPERLINK("http://141.218.60.56/~jnz1568/getInfo.php?workbook=03_02.xlsx&amp;sheet=A0&amp;row=25&amp;col=12&amp;number=&amp;sourceID=30","")</f>
        <v/>
      </c>
      <c r="M25" s="4" t="str">
        <f>HYPERLINK("http://141.218.60.56/~jnz1568/getInfo.php?workbook=03_02.xlsx&amp;sheet=A0&amp;row=25&amp;col=13&amp;number=&amp;sourceID=30","")</f>
        <v/>
      </c>
      <c r="N25" s="4" t="str">
        <f>HYPERLINK("http://141.218.60.56/~jnz1568/getInfo.php?workbook=03_02.xlsx&amp;sheet=A0&amp;row=25&amp;col=14&amp;number=&amp;sourceID=30","")</f>
        <v/>
      </c>
    </row>
    <row r="26" spans="1:14">
      <c r="A26" s="3">
        <v>3</v>
      </c>
      <c r="B26" s="3">
        <v>2</v>
      </c>
      <c r="C26" s="3">
        <v>8</v>
      </c>
      <c r="D26" s="3">
        <v>7</v>
      </c>
      <c r="E26" s="3">
        <f>((1/(INDEX(E0!J$4:J$52,C26,1)-INDEX(E0!J$4:J$52,D26,1))))*100000000</f>
        <v>0</v>
      </c>
      <c r="F26" s="4" t="str">
        <f>HYPERLINK("http://141.218.60.56/~jnz1568/getInfo.php?workbook=03_02.xlsx&amp;sheet=A0&amp;row=26&amp;col=6&amp;number=&amp;sourceID=27","")</f>
        <v/>
      </c>
      <c r="G26" s="4" t="str">
        <f>HYPERLINK("http://141.218.60.56/~jnz1568/getInfo.php?workbook=03_02.xlsx&amp;sheet=A0&amp;row=26&amp;col=7&amp;number=&amp;sourceID=15","")</f>
        <v/>
      </c>
      <c r="H26" s="4" t="str">
        <f>HYPERLINK("http://141.218.60.56/~jnz1568/getInfo.php?workbook=03_02.xlsx&amp;sheet=A0&amp;row=26&amp;col=8&amp;number=&amp;sourceID=15","")</f>
        <v/>
      </c>
      <c r="I26" s="4" t="str">
        <f>HYPERLINK("http://141.218.60.56/~jnz1568/getInfo.php?workbook=03_02.xlsx&amp;sheet=A0&amp;row=26&amp;col=9&amp;number=&amp;sourceID=15","")</f>
        <v/>
      </c>
      <c r="J26" s="4" t="str">
        <f>HYPERLINK("http://141.218.60.56/~jnz1568/getInfo.php?workbook=03_02.xlsx&amp;sheet=A0&amp;row=26&amp;col=10&amp;number=&amp;sourceID=15","")</f>
        <v/>
      </c>
      <c r="K26" s="4" t="str">
        <f>HYPERLINK("http://141.218.60.56/~jnz1568/getInfo.php?workbook=03_02.xlsx&amp;sheet=A0&amp;row=26&amp;col=11&amp;number=57.73&amp;sourceID=30","57.73")</f>
        <v>57.73</v>
      </c>
      <c r="L26" s="4" t="str">
        <f>HYPERLINK("http://141.218.60.56/~jnz1568/getInfo.php?workbook=03_02.xlsx&amp;sheet=A0&amp;row=26&amp;col=12&amp;number=&amp;sourceID=30","")</f>
        <v/>
      </c>
      <c r="M26" s="4" t="str">
        <f>HYPERLINK("http://141.218.60.56/~jnz1568/getInfo.php?workbook=03_02.xlsx&amp;sheet=A0&amp;row=26&amp;col=13&amp;number=&amp;sourceID=30","")</f>
        <v/>
      </c>
      <c r="N26" s="4" t="str">
        <f>HYPERLINK("http://141.218.60.56/~jnz1568/getInfo.php?workbook=03_02.xlsx&amp;sheet=A0&amp;row=26&amp;col=14&amp;number=0.002522&amp;sourceID=30","0.002522")</f>
        <v>0.002522</v>
      </c>
    </row>
    <row r="27" spans="1:14">
      <c r="A27" s="3">
        <v>3</v>
      </c>
      <c r="B27" s="3">
        <v>2</v>
      </c>
      <c r="C27" s="3">
        <v>9</v>
      </c>
      <c r="D27" s="3">
        <v>2</v>
      </c>
      <c r="E27" s="3">
        <f>((1/(INDEX(E0!J$4:J$52,C27,1)-INDEX(E0!J$4:J$52,D27,1))))*100000000</f>
        <v>0</v>
      </c>
      <c r="F27" s="4" t="str">
        <f>HYPERLINK("http://141.218.60.56/~jnz1568/getInfo.php?workbook=03_02.xlsx&amp;sheet=A0&amp;row=27&amp;col=6&amp;number=&amp;sourceID=27","")</f>
        <v/>
      </c>
      <c r="G27" s="4" t="str">
        <f>HYPERLINK("http://141.218.60.56/~jnz1568/getInfo.php?workbook=03_02.xlsx&amp;sheet=A0&amp;row=27&amp;col=7&amp;number=&amp;sourceID=15","")</f>
        <v/>
      </c>
      <c r="H27" s="4" t="str">
        <f>HYPERLINK("http://141.218.60.56/~jnz1568/getInfo.php?workbook=03_02.xlsx&amp;sheet=A0&amp;row=27&amp;col=8&amp;number=&amp;sourceID=15","")</f>
        <v/>
      </c>
      <c r="I27" s="4" t="str">
        <f>HYPERLINK("http://141.218.60.56/~jnz1568/getInfo.php?workbook=03_02.xlsx&amp;sheet=A0&amp;row=27&amp;col=9&amp;number=&amp;sourceID=15","")</f>
        <v/>
      </c>
      <c r="J27" s="4" t="str">
        <f>HYPERLINK("http://141.218.60.56/~jnz1568/getInfo.php?workbook=03_02.xlsx&amp;sheet=A0&amp;row=27&amp;col=10&amp;number=&amp;sourceID=15","")</f>
        <v/>
      </c>
      <c r="K27" s="4" t="str">
        <f>HYPERLINK("http://141.218.60.56/~jnz1568/getInfo.php?workbook=03_02.xlsx&amp;sheet=A0&amp;row=27&amp;col=11&amp;number=&amp;sourceID=30","")</f>
        <v/>
      </c>
      <c r="L27" s="4" t="str">
        <f>HYPERLINK("http://141.218.60.56/~jnz1568/getInfo.php?workbook=03_02.xlsx&amp;sheet=A0&amp;row=27&amp;col=12&amp;number=&amp;sourceID=30","")</f>
        <v/>
      </c>
      <c r="M27" s="4" t="str">
        <f>HYPERLINK("http://141.218.60.56/~jnz1568/getInfo.php?workbook=03_02.xlsx&amp;sheet=A0&amp;row=27&amp;col=13&amp;number=7.894e-07&amp;sourceID=30","7.894e-07")</f>
        <v>7.894e-07</v>
      </c>
      <c r="N27" s="4" t="str">
        <f>HYPERLINK("http://141.218.60.56/~jnz1568/getInfo.php?workbook=03_02.xlsx&amp;sheet=A0&amp;row=27&amp;col=14&amp;number=&amp;sourceID=30","")</f>
        <v/>
      </c>
    </row>
    <row r="28" spans="1:14">
      <c r="A28" s="3">
        <v>3</v>
      </c>
      <c r="B28" s="3">
        <v>2</v>
      </c>
      <c r="C28" s="3">
        <v>9</v>
      </c>
      <c r="D28" s="3">
        <v>4</v>
      </c>
      <c r="E28" s="3">
        <f>((1/(INDEX(E0!J$4:J$52,C28,1)-INDEX(E0!J$4:J$52,D28,1))))*100000000</f>
        <v>0</v>
      </c>
      <c r="F28" s="4" t="str">
        <f>HYPERLINK("http://141.218.60.56/~jnz1568/getInfo.php?workbook=03_02.xlsx&amp;sheet=A0&amp;row=28&amp;col=6&amp;number=&amp;sourceID=27","")</f>
        <v/>
      </c>
      <c r="G28" s="4" t="str">
        <f>HYPERLINK("http://141.218.60.56/~jnz1568/getInfo.php?workbook=03_02.xlsx&amp;sheet=A0&amp;row=28&amp;col=7&amp;number=&amp;sourceID=15","")</f>
        <v/>
      </c>
      <c r="H28" s="4" t="str">
        <f>HYPERLINK("http://141.218.60.56/~jnz1568/getInfo.php?workbook=03_02.xlsx&amp;sheet=A0&amp;row=28&amp;col=8&amp;number=&amp;sourceID=15","")</f>
        <v/>
      </c>
      <c r="I28" s="4" t="str">
        <f>HYPERLINK("http://141.218.60.56/~jnz1568/getInfo.php?workbook=03_02.xlsx&amp;sheet=A0&amp;row=28&amp;col=9&amp;number=&amp;sourceID=15","")</f>
        <v/>
      </c>
      <c r="J28" s="4" t="str">
        <f>HYPERLINK("http://141.218.60.56/~jnz1568/getInfo.php?workbook=03_02.xlsx&amp;sheet=A0&amp;row=28&amp;col=10&amp;number=&amp;sourceID=15","")</f>
        <v/>
      </c>
      <c r="K28" s="4" t="str">
        <f>HYPERLINK("http://141.218.60.56/~jnz1568/getInfo.php?workbook=03_02.xlsx&amp;sheet=A0&amp;row=28&amp;col=11&amp;number=67.26&amp;sourceID=30","67.26")</f>
        <v>67.26</v>
      </c>
      <c r="L28" s="4" t="str">
        <f>HYPERLINK("http://141.218.60.56/~jnz1568/getInfo.php?workbook=03_02.xlsx&amp;sheet=A0&amp;row=28&amp;col=12&amp;number=&amp;sourceID=30","")</f>
        <v/>
      </c>
      <c r="M28" s="4" t="str">
        <f>HYPERLINK("http://141.218.60.56/~jnz1568/getInfo.php?workbook=03_02.xlsx&amp;sheet=A0&amp;row=28&amp;col=13&amp;number=&amp;sourceID=30","")</f>
        <v/>
      </c>
      <c r="N28" s="4" t="str">
        <f>HYPERLINK("http://141.218.60.56/~jnz1568/getInfo.php?workbook=03_02.xlsx&amp;sheet=A0&amp;row=28&amp;col=14&amp;number=&amp;sourceID=30","")</f>
        <v/>
      </c>
    </row>
    <row r="29" spans="1:14">
      <c r="A29" s="3">
        <v>3</v>
      </c>
      <c r="B29" s="3">
        <v>2</v>
      </c>
      <c r="C29" s="3">
        <v>9</v>
      </c>
      <c r="D29" s="3">
        <v>5</v>
      </c>
      <c r="E29" s="3">
        <f>((1/(INDEX(E0!J$4:J$52,C29,1)-INDEX(E0!J$4:J$52,D29,1))))*100000000</f>
        <v>0</v>
      </c>
      <c r="F29" s="4" t="str">
        <f>HYPERLINK("http://141.218.60.56/~jnz1568/getInfo.php?workbook=03_02.xlsx&amp;sheet=A0&amp;row=29&amp;col=6&amp;number=&amp;sourceID=27","")</f>
        <v/>
      </c>
      <c r="G29" s="4" t="str">
        <f>HYPERLINK("http://141.218.60.56/~jnz1568/getInfo.php?workbook=03_02.xlsx&amp;sheet=A0&amp;row=29&amp;col=7&amp;number=&amp;sourceID=15","")</f>
        <v/>
      </c>
      <c r="H29" s="4" t="str">
        <f>HYPERLINK("http://141.218.60.56/~jnz1568/getInfo.php?workbook=03_02.xlsx&amp;sheet=A0&amp;row=29&amp;col=8&amp;number=&amp;sourceID=15","")</f>
        <v/>
      </c>
      <c r="I29" s="4" t="str">
        <f>HYPERLINK("http://141.218.60.56/~jnz1568/getInfo.php?workbook=03_02.xlsx&amp;sheet=A0&amp;row=29&amp;col=9&amp;number=&amp;sourceID=15","")</f>
        <v/>
      </c>
      <c r="J29" s="4" t="str">
        <f>HYPERLINK("http://141.218.60.56/~jnz1568/getInfo.php?workbook=03_02.xlsx&amp;sheet=A0&amp;row=29&amp;col=10&amp;number=&amp;sourceID=15","")</f>
        <v/>
      </c>
      <c r="K29" s="4" t="str">
        <f>HYPERLINK("http://141.218.60.56/~jnz1568/getInfo.php?workbook=03_02.xlsx&amp;sheet=A0&amp;row=29&amp;col=11&amp;number=&amp;sourceID=30","")</f>
        <v/>
      </c>
      <c r="L29" s="4" t="str">
        <f>HYPERLINK("http://141.218.60.56/~jnz1568/getInfo.php?workbook=03_02.xlsx&amp;sheet=A0&amp;row=29&amp;col=12&amp;number=&amp;sourceID=30","")</f>
        <v/>
      </c>
      <c r="M29" s="4" t="str">
        <f>HYPERLINK("http://141.218.60.56/~jnz1568/getInfo.php?workbook=03_02.xlsx&amp;sheet=A0&amp;row=29&amp;col=13&amp;number=&amp;sourceID=30","")</f>
        <v/>
      </c>
      <c r="N29" s="4" t="str">
        <f>HYPERLINK("http://141.218.60.56/~jnz1568/getInfo.php?workbook=03_02.xlsx&amp;sheet=A0&amp;row=29&amp;col=14&amp;number=0.003213&amp;sourceID=30","0.003213")</f>
        <v>0.003213</v>
      </c>
    </row>
    <row r="30" spans="1:14">
      <c r="A30" s="3">
        <v>3</v>
      </c>
      <c r="B30" s="3">
        <v>2</v>
      </c>
      <c r="C30" s="3">
        <v>9</v>
      </c>
      <c r="D30" s="3">
        <v>7</v>
      </c>
      <c r="E30" s="3">
        <f>((1/(INDEX(E0!J$4:J$52,C30,1)-INDEX(E0!J$4:J$52,D30,1))))*100000000</f>
        <v>0</v>
      </c>
      <c r="F30" s="4" t="str">
        <f>HYPERLINK("http://141.218.60.56/~jnz1568/getInfo.php?workbook=03_02.xlsx&amp;sheet=A0&amp;row=30&amp;col=6&amp;number=&amp;sourceID=27","")</f>
        <v/>
      </c>
      <c r="G30" s="4" t="str">
        <f>HYPERLINK("http://141.218.60.56/~jnz1568/getInfo.php?workbook=03_02.xlsx&amp;sheet=A0&amp;row=30&amp;col=7&amp;number=&amp;sourceID=15","")</f>
        <v/>
      </c>
      <c r="H30" s="4" t="str">
        <f>HYPERLINK("http://141.218.60.56/~jnz1568/getInfo.php?workbook=03_02.xlsx&amp;sheet=A0&amp;row=30&amp;col=8&amp;number=&amp;sourceID=15","")</f>
        <v/>
      </c>
      <c r="I30" s="4" t="str">
        <f>HYPERLINK("http://141.218.60.56/~jnz1568/getInfo.php?workbook=03_02.xlsx&amp;sheet=A0&amp;row=30&amp;col=9&amp;number=&amp;sourceID=15","")</f>
        <v/>
      </c>
      <c r="J30" s="4" t="str">
        <f>HYPERLINK("http://141.218.60.56/~jnz1568/getInfo.php?workbook=03_02.xlsx&amp;sheet=A0&amp;row=30&amp;col=10&amp;number=&amp;sourceID=15","")</f>
        <v/>
      </c>
      <c r="K30" s="4" t="str">
        <f>HYPERLINK("http://141.218.60.56/~jnz1568/getInfo.php?workbook=03_02.xlsx&amp;sheet=A0&amp;row=30&amp;col=11&amp;number=212200000&amp;sourceID=30","212200000")</f>
        <v>212200000</v>
      </c>
      <c r="L30" s="4" t="str">
        <f>HYPERLINK("http://141.218.60.56/~jnz1568/getInfo.php?workbook=03_02.xlsx&amp;sheet=A0&amp;row=30&amp;col=12&amp;number=&amp;sourceID=30","")</f>
        <v/>
      </c>
      <c r="M30" s="4" t="str">
        <f>HYPERLINK("http://141.218.60.56/~jnz1568/getInfo.php?workbook=03_02.xlsx&amp;sheet=A0&amp;row=30&amp;col=13&amp;number=&amp;sourceID=30","")</f>
        <v/>
      </c>
      <c r="N30" s="4" t="str">
        <f>HYPERLINK("http://141.218.60.56/~jnz1568/getInfo.php?workbook=03_02.xlsx&amp;sheet=A0&amp;row=30&amp;col=14&amp;number=&amp;sourceID=30","")</f>
        <v/>
      </c>
    </row>
    <row r="31" spans="1:14">
      <c r="A31" s="3">
        <v>3</v>
      </c>
      <c r="B31" s="3">
        <v>2</v>
      </c>
      <c r="C31" s="3">
        <v>9</v>
      </c>
      <c r="D31" s="3">
        <v>8</v>
      </c>
      <c r="E31" s="3">
        <f>((1/(INDEX(E0!J$4:J$52,C31,1)-INDEX(E0!J$4:J$52,D31,1))))*100000000</f>
        <v>0</v>
      </c>
      <c r="F31" s="4" t="str">
        <f>HYPERLINK("http://141.218.60.56/~jnz1568/getInfo.php?workbook=03_02.xlsx&amp;sheet=A0&amp;row=31&amp;col=6&amp;number=&amp;sourceID=27","")</f>
        <v/>
      </c>
      <c r="G31" s="4" t="str">
        <f>HYPERLINK("http://141.218.60.56/~jnz1568/getInfo.php?workbook=03_02.xlsx&amp;sheet=A0&amp;row=31&amp;col=7&amp;number=&amp;sourceID=15","")</f>
        <v/>
      </c>
      <c r="H31" s="4" t="str">
        <f>HYPERLINK("http://141.218.60.56/~jnz1568/getInfo.php?workbook=03_02.xlsx&amp;sheet=A0&amp;row=31&amp;col=8&amp;number=&amp;sourceID=15","")</f>
        <v/>
      </c>
      <c r="I31" s="4" t="str">
        <f>HYPERLINK("http://141.218.60.56/~jnz1568/getInfo.php?workbook=03_02.xlsx&amp;sheet=A0&amp;row=31&amp;col=9&amp;number=&amp;sourceID=15","")</f>
        <v/>
      </c>
      <c r="J31" s="4" t="str">
        <f>HYPERLINK("http://141.218.60.56/~jnz1568/getInfo.php?workbook=03_02.xlsx&amp;sheet=A0&amp;row=31&amp;col=10&amp;number=&amp;sourceID=15","")</f>
        <v/>
      </c>
      <c r="K31" s="4" t="str">
        <f>HYPERLINK("http://141.218.60.56/~jnz1568/getInfo.php?workbook=03_02.xlsx&amp;sheet=A0&amp;row=31&amp;col=11&amp;number=&amp;sourceID=30","")</f>
        <v/>
      </c>
      <c r="L31" s="4" t="str">
        <f>HYPERLINK("http://141.218.60.56/~jnz1568/getInfo.php?workbook=03_02.xlsx&amp;sheet=A0&amp;row=31&amp;col=12&amp;number=&amp;sourceID=30","")</f>
        <v/>
      </c>
      <c r="M31" s="4" t="str">
        <f>HYPERLINK("http://141.218.60.56/~jnz1568/getInfo.php?workbook=03_02.xlsx&amp;sheet=A0&amp;row=31&amp;col=13&amp;number=2.695e-07&amp;sourceID=30","2.695e-07")</f>
        <v>2.695e-07</v>
      </c>
      <c r="N31" s="4" t="str">
        <f>HYPERLINK("http://141.218.60.56/~jnz1568/getInfo.php?workbook=03_02.xlsx&amp;sheet=A0&amp;row=31&amp;col=14&amp;number=&amp;sourceID=30","")</f>
        <v/>
      </c>
    </row>
    <row r="32" spans="1:14">
      <c r="A32" s="3">
        <v>3</v>
      </c>
      <c r="B32" s="3">
        <v>2</v>
      </c>
      <c r="C32" s="3">
        <v>10</v>
      </c>
      <c r="D32" s="3">
        <v>1</v>
      </c>
      <c r="E32" s="3">
        <f>((1/(INDEX(E0!J$4:J$52,C32,1)-INDEX(E0!J$4:J$52,D32,1))))*100000000</f>
        <v>0</v>
      </c>
      <c r="F32" s="4" t="str">
        <f>HYPERLINK("http://141.218.60.56/~jnz1568/getInfo.php?workbook=03_02.xlsx&amp;sheet=A0&amp;row=32&amp;col=6&amp;number=&amp;sourceID=27","")</f>
        <v/>
      </c>
      <c r="G32" s="4" t="str">
        <f>HYPERLINK("http://141.218.60.56/~jnz1568/getInfo.php?workbook=03_02.xlsx&amp;sheet=A0&amp;row=32&amp;col=7&amp;number=&amp;sourceID=15","")</f>
        <v/>
      </c>
      <c r="H32" s="4" t="str">
        <f>HYPERLINK("http://141.218.60.56/~jnz1568/getInfo.php?workbook=03_02.xlsx&amp;sheet=A0&amp;row=32&amp;col=8&amp;number=&amp;sourceID=15","")</f>
        <v/>
      </c>
      <c r="I32" s="4" t="str">
        <f>HYPERLINK("http://141.218.60.56/~jnz1568/getInfo.php?workbook=03_02.xlsx&amp;sheet=A0&amp;row=32&amp;col=9&amp;number=&amp;sourceID=15","")</f>
        <v/>
      </c>
      <c r="J32" s="4" t="str">
        <f>HYPERLINK("http://141.218.60.56/~jnz1568/getInfo.php?workbook=03_02.xlsx&amp;sheet=A0&amp;row=32&amp;col=10&amp;number=&amp;sourceID=15","")</f>
        <v/>
      </c>
      <c r="K32" s="4" t="str">
        <f>HYPERLINK("http://141.218.60.56/~jnz1568/getInfo.php?workbook=03_02.xlsx&amp;sheet=A0&amp;row=32&amp;col=11&amp;number=5931&amp;sourceID=30","5931")</f>
        <v>5931</v>
      </c>
      <c r="L32" s="4" t="str">
        <f>HYPERLINK("http://141.218.60.56/~jnz1568/getInfo.php?workbook=03_02.xlsx&amp;sheet=A0&amp;row=32&amp;col=12&amp;number=&amp;sourceID=30","")</f>
        <v/>
      </c>
      <c r="M32" s="4" t="str">
        <f>HYPERLINK("http://141.218.60.56/~jnz1568/getInfo.php?workbook=03_02.xlsx&amp;sheet=A0&amp;row=32&amp;col=13&amp;number=&amp;sourceID=30","")</f>
        <v/>
      </c>
      <c r="N32" s="4" t="str">
        <f>HYPERLINK("http://141.218.60.56/~jnz1568/getInfo.php?workbook=03_02.xlsx&amp;sheet=A0&amp;row=32&amp;col=14&amp;number=&amp;sourceID=30","")</f>
        <v/>
      </c>
    </row>
    <row r="33" spans="1:14">
      <c r="A33" s="3">
        <v>3</v>
      </c>
      <c r="B33" s="3">
        <v>2</v>
      </c>
      <c r="C33" s="3">
        <v>10</v>
      </c>
      <c r="D33" s="3">
        <v>2</v>
      </c>
      <c r="E33" s="3">
        <f>((1/(INDEX(E0!J$4:J$52,C33,1)-INDEX(E0!J$4:J$52,D33,1))))*100000000</f>
        <v>0</v>
      </c>
      <c r="F33" s="4" t="str">
        <f>HYPERLINK("http://141.218.60.56/~jnz1568/getInfo.php?workbook=03_02.xlsx&amp;sheet=A0&amp;row=33&amp;col=6&amp;number=&amp;sourceID=27","")</f>
        <v/>
      </c>
      <c r="G33" s="4" t="str">
        <f>HYPERLINK("http://141.218.60.56/~jnz1568/getInfo.php?workbook=03_02.xlsx&amp;sheet=A0&amp;row=33&amp;col=7&amp;number=&amp;sourceID=15","")</f>
        <v/>
      </c>
      <c r="H33" s="4" t="str">
        <f>HYPERLINK("http://141.218.60.56/~jnz1568/getInfo.php?workbook=03_02.xlsx&amp;sheet=A0&amp;row=33&amp;col=8&amp;number=&amp;sourceID=15","")</f>
        <v/>
      </c>
      <c r="I33" s="4" t="str">
        <f>HYPERLINK("http://141.218.60.56/~jnz1568/getInfo.php?workbook=03_02.xlsx&amp;sheet=A0&amp;row=33&amp;col=9&amp;number=&amp;sourceID=15","")</f>
        <v/>
      </c>
      <c r="J33" s="4" t="str">
        <f>HYPERLINK("http://141.218.60.56/~jnz1568/getInfo.php?workbook=03_02.xlsx&amp;sheet=A0&amp;row=33&amp;col=10&amp;number=&amp;sourceID=15","")</f>
        <v/>
      </c>
      <c r="K33" s="4" t="str">
        <f>HYPERLINK("http://141.218.60.56/~jnz1568/getInfo.php?workbook=03_02.xlsx&amp;sheet=A0&amp;row=33&amp;col=11&amp;number=258600000&amp;sourceID=30","258600000")</f>
        <v>258600000</v>
      </c>
      <c r="L33" s="4" t="str">
        <f>HYPERLINK("http://141.218.60.56/~jnz1568/getInfo.php?workbook=03_02.xlsx&amp;sheet=A0&amp;row=33&amp;col=12&amp;number=&amp;sourceID=30","")</f>
        <v/>
      </c>
      <c r="M33" s="4" t="str">
        <f>HYPERLINK("http://141.218.60.56/~jnz1568/getInfo.php?workbook=03_02.xlsx&amp;sheet=A0&amp;row=33&amp;col=13&amp;number=&amp;sourceID=30","")</f>
        <v/>
      </c>
      <c r="N33" s="4" t="str">
        <f>HYPERLINK("http://141.218.60.56/~jnz1568/getInfo.php?workbook=03_02.xlsx&amp;sheet=A0&amp;row=33&amp;col=14&amp;number=0.006576&amp;sourceID=30","0.006576")</f>
        <v>0.006576</v>
      </c>
    </row>
    <row r="34" spans="1:14">
      <c r="A34" s="3">
        <v>3</v>
      </c>
      <c r="B34" s="3">
        <v>2</v>
      </c>
      <c r="C34" s="3">
        <v>10</v>
      </c>
      <c r="D34" s="3">
        <v>3</v>
      </c>
      <c r="E34" s="3">
        <f>((1/(INDEX(E0!J$4:J$52,C34,1)-INDEX(E0!J$4:J$52,D34,1))))*100000000</f>
        <v>0</v>
      </c>
      <c r="F34" s="4" t="str">
        <f>HYPERLINK("http://141.218.60.56/~jnz1568/getInfo.php?workbook=03_02.xlsx&amp;sheet=A0&amp;row=34&amp;col=6&amp;number=&amp;sourceID=27","")</f>
        <v/>
      </c>
      <c r="G34" s="4" t="str">
        <f>HYPERLINK("http://141.218.60.56/~jnz1568/getInfo.php?workbook=03_02.xlsx&amp;sheet=A0&amp;row=34&amp;col=7&amp;number=&amp;sourceID=15","")</f>
        <v/>
      </c>
      <c r="H34" s="4" t="str">
        <f>HYPERLINK("http://141.218.60.56/~jnz1568/getInfo.php?workbook=03_02.xlsx&amp;sheet=A0&amp;row=34&amp;col=8&amp;number=&amp;sourceID=15","")</f>
        <v/>
      </c>
      <c r="I34" s="4" t="str">
        <f>HYPERLINK("http://141.218.60.56/~jnz1568/getInfo.php?workbook=03_02.xlsx&amp;sheet=A0&amp;row=34&amp;col=9&amp;number=&amp;sourceID=15","")</f>
        <v/>
      </c>
      <c r="J34" s="4" t="str">
        <f>HYPERLINK("http://141.218.60.56/~jnz1568/getInfo.php?workbook=03_02.xlsx&amp;sheet=A0&amp;row=34&amp;col=10&amp;number=&amp;sourceID=15","")</f>
        <v/>
      </c>
      <c r="K34" s="4" t="str">
        <f>HYPERLINK("http://141.218.60.56/~jnz1568/getInfo.php?workbook=03_02.xlsx&amp;sheet=A0&amp;row=34&amp;col=11&amp;number=209.6&amp;sourceID=30","209.6")</f>
        <v>209.6</v>
      </c>
      <c r="L34" s="4" t="str">
        <f>HYPERLINK("http://141.218.60.56/~jnz1568/getInfo.php?workbook=03_02.xlsx&amp;sheet=A0&amp;row=34&amp;col=12&amp;number=&amp;sourceID=30","")</f>
        <v/>
      </c>
      <c r="M34" s="4" t="str">
        <f>HYPERLINK("http://141.218.60.56/~jnz1568/getInfo.php?workbook=03_02.xlsx&amp;sheet=A0&amp;row=34&amp;col=13&amp;number=&amp;sourceID=30","")</f>
        <v/>
      </c>
      <c r="N34" s="4" t="str">
        <f>HYPERLINK("http://141.218.60.56/~jnz1568/getInfo.php?workbook=03_02.xlsx&amp;sheet=A0&amp;row=34&amp;col=14&amp;number=&amp;sourceID=30","")</f>
        <v/>
      </c>
    </row>
    <row r="35" spans="1:14">
      <c r="A35" s="3">
        <v>3</v>
      </c>
      <c r="B35" s="3">
        <v>2</v>
      </c>
      <c r="C35" s="3">
        <v>10</v>
      </c>
      <c r="D35" s="3">
        <v>4</v>
      </c>
      <c r="E35" s="3">
        <f>((1/(INDEX(E0!J$4:J$52,C35,1)-INDEX(E0!J$4:J$52,D35,1))))*100000000</f>
        <v>0</v>
      </c>
      <c r="F35" s="4" t="str">
        <f>HYPERLINK("http://141.218.60.56/~jnz1568/getInfo.php?workbook=03_02.xlsx&amp;sheet=A0&amp;row=35&amp;col=6&amp;number=&amp;sourceID=27","")</f>
        <v/>
      </c>
      <c r="G35" s="4" t="str">
        <f>HYPERLINK("http://141.218.60.56/~jnz1568/getInfo.php?workbook=03_02.xlsx&amp;sheet=A0&amp;row=35&amp;col=7&amp;number=&amp;sourceID=15","")</f>
        <v/>
      </c>
      <c r="H35" s="4" t="str">
        <f>HYPERLINK("http://141.218.60.56/~jnz1568/getInfo.php?workbook=03_02.xlsx&amp;sheet=A0&amp;row=35&amp;col=8&amp;number=&amp;sourceID=15","")</f>
        <v/>
      </c>
      <c r="I35" s="4" t="str">
        <f>HYPERLINK("http://141.218.60.56/~jnz1568/getInfo.php?workbook=03_02.xlsx&amp;sheet=A0&amp;row=35&amp;col=9&amp;number=&amp;sourceID=15","")</f>
        <v/>
      </c>
      <c r="J35" s="4" t="str">
        <f>HYPERLINK("http://141.218.60.56/~jnz1568/getInfo.php?workbook=03_02.xlsx&amp;sheet=A0&amp;row=35&amp;col=10&amp;number=&amp;sourceID=15","")</f>
        <v/>
      </c>
      <c r="K35" s="4" t="str">
        <f>HYPERLINK("http://141.218.60.56/~jnz1568/getInfo.php?workbook=03_02.xlsx&amp;sheet=A0&amp;row=35&amp;col=11&amp;number=&amp;sourceID=30","")</f>
        <v/>
      </c>
      <c r="L35" s="4" t="str">
        <f>HYPERLINK("http://141.218.60.56/~jnz1568/getInfo.php?workbook=03_02.xlsx&amp;sheet=A0&amp;row=35&amp;col=12&amp;number=412&amp;sourceID=30","412")</f>
        <v>412</v>
      </c>
      <c r="M35" s="4" t="str">
        <f>HYPERLINK("http://141.218.60.56/~jnz1568/getInfo.php?workbook=03_02.xlsx&amp;sheet=A0&amp;row=35&amp;col=13&amp;number=1.95e-06&amp;sourceID=30","1.95e-06")</f>
        <v>1.95e-06</v>
      </c>
      <c r="N35" s="4" t="str">
        <f>HYPERLINK("http://141.218.60.56/~jnz1568/getInfo.php?workbook=03_02.xlsx&amp;sheet=A0&amp;row=35&amp;col=14&amp;number=&amp;sourceID=30","")</f>
        <v/>
      </c>
    </row>
    <row r="36" spans="1:14">
      <c r="A36" s="3">
        <v>3</v>
      </c>
      <c r="B36" s="3">
        <v>2</v>
      </c>
      <c r="C36" s="3">
        <v>10</v>
      </c>
      <c r="D36" s="3">
        <v>5</v>
      </c>
      <c r="E36" s="3">
        <f>((1/(INDEX(E0!J$4:J$52,C36,1)-INDEX(E0!J$4:J$52,D36,1))))*100000000</f>
        <v>0</v>
      </c>
      <c r="F36" s="4" t="str">
        <f>HYPERLINK("http://141.218.60.56/~jnz1568/getInfo.php?workbook=03_02.xlsx&amp;sheet=A0&amp;row=36&amp;col=6&amp;number=&amp;sourceID=27","")</f>
        <v/>
      </c>
      <c r="G36" s="4" t="str">
        <f>HYPERLINK("http://141.218.60.56/~jnz1568/getInfo.php?workbook=03_02.xlsx&amp;sheet=A0&amp;row=36&amp;col=7&amp;number=&amp;sourceID=15","")</f>
        <v/>
      </c>
      <c r="H36" s="4" t="str">
        <f>HYPERLINK("http://141.218.60.56/~jnz1568/getInfo.php?workbook=03_02.xlsx&amp;sheet=A0&amp;row=36&amp;col=8&amp;number=&amp;sourceID=15","")</f>
        <v/>
      </c>
      <c r="I36" s="4" t="str">
        <f>HYPERLINK("http://141.218.60.56/~jnz1568/getInfo.php?workbook=03_02.xlsx&amp;sheet=A0&amp;row=36&amp;col=9&amp;number=&amp;sourceID=15","")</f>
        <v/>
      </c>
      <c r="J36" s="4" t="str">
        <f>HYPERLINK("http://141.218.60.56/~jnz1568/getInfo.php?workbook=03_02.xlsx&amp;sheet=A0&amp;row=36&amp;col=10&amp;number=&amp;sourceID=15","")</f>
        <v/>
      </c>
      <c r="K36" s="4" t="str">
        <f>HYPERLINK("http://141.218.60.56/~jnz1568/getInfo.php?workbook=03_02.xlsx&amp;sheet=A0&amp;row=36&amp;col=11&amp;number=&amp;sourceID=30","")</f>
        <v/>
      </c>
      <c r="L36" s="4" t="str">
        <f>HYPERLINK("http://141.218.60.56/~jnz1568/getInfo.php?workbook=03_02.xlsx&amp;sheet=A0&amp;row=36&amp;col=12&amp;number=1236&amp;sourceID=30","1236")</f>
        <v>1236</v>
      </c>
      <c r="M36" s="4" t="str">
        <f>HYPERLINK("http://141.218.60.56/~jnz1568/getInfo.php?workbook=03_02.xlsx&amp;sheet=A0&amp;row=36&amp;col=13&amp;number=1.18e-06&amp;sourceID=30","1.18e-06")</f>
        <v>1.18e-06</v>
      </c>
      <c r="N36" s="4" t="str">
        <f>HYPERLINK("http://141.218.60.56/~jnz1568/getInfo.php?workbook=03_02.xlsx&amp;sheet=A0&amp;row=36&amp;col=14&amp;number=&amp;sourceID=30","")</f>
        <v/>
      </c>
    </row>
    <row r="37" spans="1:14">
      <c r="A37" s="3">
        <v>3</v>
      </c>
      <c r="B37" s="3">
        <v>2</v>
      </c>
      <c r="C37" s="3">
        <v>10</v>
      </c>
      <c r="D37" s="3">
        <v>6</v>
      </c>
      <c r="E37" s="3">
        <f>((1/(INDEX(E0!J$4:J$52,C37,1)-INDEX(E0!J$4:J$52,D37,1))))*100000000</f>
        <v>0</v>
      </c>
      <c r="F37" s="4" t="str">
        <f>HYPERLINK("http://141.218.60.56/~jnz1568/getInfo.php?workbook=03_02.xlsx&amp;sheet=A0&amp;row=37&amp;col=6&amp;number=&amp;sourceID=27","")</f>
        <v/>
      </c>
      <c r="G37" s="4" t="str">
        <f>HYPERLINK("http://141.218.60.56/~jnz1568/getInfo.php?workbook=03_02.xlsx&amp;sheet=A0&amp;row=37&amp;col=7&amp;number=&amp;sourceID=15","")</f>
        <v/>
      </c>
      <c r="H37" s="4" t="str">
        <f>HYPERLINK("http://141.218.60.56/~jnz1568/getInfo.php?workbook=03_02.xlsx&amp;sheet=A0&amp;row=37&amp;col=8&amp;number=&amp;sourceID=15","")</f>
        <v/>
      </c>
      <c r="I37" s="4" t="str">
        <f>HYPERLINK("http://141.218.60.56/~jnz1568/getInfo.php?workbook=03_02.xlsx&amp;sheet=A0&amp;row=37&amp;col=9&amp;number=&amp;sourceID=15","")</f>
        <v/>
      </c>
      <c r="J37" s="4" t="str">
        <f>HYPERLINK("http://141.218.60.56/~jnz1568/getInfo.php?workbook=03_02.xlsx&amp;sheet=A0&amp;row=37&amp;col=10&amp;number=&amp;sourceID=15","")</f>
        <v/>
      </c>
      <c r="K37" s="4" t="str">
        <f>HYPERLINK("http://141.218.60.56/~jnz1568/getInfo.php?workbook=03_02.xlsx&amp;sheet=A0&amp;row=37&amp;col=11&amp;number=&amp;sourceID=30","")</f>
        <v/>
      </c>
      <c r="L37" s="4" t="str">
        <f>HYPERLINK("http://141.218.60.56/~jnz1568/getInfo.php?workbook=03_02.xlsx&amp;sheet=A0&amp;row=37&amp;col=12&amp;number=&amp;sourceID=30","")</f>
        <v/>
      </c>
      <c r="M37" s="4" t="str">
        <f>HYPERLINK("http://141.218.60.56/~jnz1568/getInfo.php?workbook=03_02.xlsx&amp;sheet=A0&amp;row=37&amp;col=13&amp;number=5.939e-06&amp;sourceID=30","5.939e-06")</f>
        <v>5.939e-06</v>
      </c>
      <c r="N37" s="4" t="str">
        <f>HYPERLINK("http://141.218.60.56/~jnz1568/getInfo.php?workbook=03_02.xlsx&amp;sheet=A0&amp;row=37&amp;col=14&amp;number=&amp;sourceID=30","")</f>
        <v/>
      </c>
    </row>
    <row r="38" spans="1:14">
      <c r="A38" s="3">
        <v>3</v>
      </c>
      <c r="B38" s="3">
        <v>2</v>
      </c>
      <c r="C38" s="3">
        <v>10</v>
      </c>
      <c r="D38" s="3">
        <v>7</v>
      </c>
      <c r="E38" s="3">
        <f>((1/(INDEX(E0!J$4:J$52,C38,1)-INDEX(E0!J$4:J$52,D38,1))))*100000000</f>
        <v>0</v>
      </c>
      <c r="F38" s="4" t="str">
        <f>HYPERLINK("http://141.218.60.56/~jnz1568/getInfo.php?workbook=03_02.xlsx&amp;sheet=A0&amp;row=38&amp;col=6&amp;number=&amp;sourceID=27","")</f>
        <v/>
      </c>
      <c r="G38" s="4" t="str">
        <f>HYPERLINK("http://141.218.60.56/~jnz1568/getInfo.php?workbook=03_02.xlsx&amp;sheet=A0&amp;row=38&amp;col=7&amp;number=&amp;sourceID=15","")</f>
        <v/>
      </c>
      <c r="H38" s="4" t="str">
        <f>HYPERLINK("http://141.218.60.56/~jnz1568/getInfo.php?workbook=03_02.xlsx&amp;sheet=A0&amp;row=38&amp;col=8&amp;number=&amp;sourceID=15","")</f>
        <v/>
      </c>
      <c r="I38" s="4" t="str">
        <f>HYPERLINK("http://141.218.60.56/~jnz1568/getInfo.php?workbook=03_02.xlsx&amp;sheet=A0&amp;row=38&amp;col=9&amp;number=&amp;sourceID=15","")</f>
        <v/>
      </c>
      <c r="J38" s="4" t="str">
        <f>HYPERLINK("http://141.218.60.56/~jnz1568/getInfo.php?workbook=03_02.xlsx&amp;sheet=A0&amp;row=38&amp;col=10&amp;number=&amp;sourceID=15","")</f>
        <v/>
      </c>
      <c r="K38" s="4" t="str">
        <f>HYPERLINK("http://141.218.60.56/~jnz1568/getInfo.php?workbook=03_02.xlsx&amp;sheet=A0&amp;row=38&amp;col=11&amp;number=&amp;sourceID=30","")</f>
        <v/>
      </c>
      <c r="L38" s="4" t="str">
        <f>HYPERLINK("http://141.218.60.56/~jnz1568/getInfo.php?workbook=03_02.xlsx&amp;sheet=A0&amp;row=38&amp;col=12&amp;number=0.001645&amp;sourceID=30","0.001645")</f>
        <v>0.001645</v>
      </c>
      <c r="M38" s="4" t="str">
        <f>HYPERLINK("http://141.218.60.56/~jnz1568/getInfo.php?workbook=03_02.xlsx&amp;sheet=A0&amp;row=38&amp;col=13&amp;number=1.406e-05&amp;sourceID=30","1.406e-05")</f>
        <v>1.406e-05</v>
      </c>
      <c r="N38" s="4" t="str">
        <f>HYPERLINK("http://141.218.60.56/~jnz1568/getInfo.php?workbook=03_02.xlsx&amp;sheet=A0&amp;row=38&amp;col=14&amp;number=&amp;sourceID=30","")</f>
        <v/>
      </c>
    </row>
    <row r="39" spans="1:14">
      <c r="A39" s="3">
        <v>3</v>
      </c>
      <c r="B39" s="3">
        <v>2</v>
      </c>
      <c r="C39" s="3">
        <v>10</v>
      </c>
      <c r="D39" s="3">
        <v>8</v>
      </c>
      <c r="E39" s="3">
        <f>((1/(INDEX(E0!J$4:J$52,C39,1)-INDEX(E0!J$4:J$52,D39,1))))*100000000</f>
        <v>0</v>
      </c>
      <c r="F39" s="4" t="str">
        <f>HYPERLINK("http://141.218.60.56/~jnz1568/getInfo.php?workbook=03_02.xlsx&amp;sheet=A0&amp;row=39&amp;col=6&amp;number=&amp;sourceID=27","")</f>
        <v/>
      </c>
      <c r="G39" s="4" t="str">
        <f>HYPERLINK("http://141.218.60.56/~jnz1568/getInfo.php?workbook=03_02.xlsx&amp;sheet=A0&amp;row=39&amp;col=7&amp;number=&amp;sourceID=15","")</f>
        <v/>
      </c>
      <c r="H39" s="4" t="str">
        <f>HYPERLINK("http://141.218.60.56/~jnz1568/getInfo.php?workbook=03_02.xlsx&amp;sheet=A0&amp;row=39&amp;col=8&amp;number=&amp;sourceID=15","")</f>
        <v/>
      </c>
      <c r="I39" s="4" t="str">
        <f>HYPERLINK("http://141.218.60.56/~jnz1568/getInfo.php?workbook=03_02.xlsx&amp;sheet=A0&amp;row=39&amp;col=9&amp;number=&amp;sourceID=15","")</f>
        <v/>
      </c>
      <c r="J39" s="4" t="str">
        <f>HYPERLINK("http://141.218.60.56/~jnz1568/getInfo.php?workbook=03_02.xlsx&amp;sheet=A0&amp;row=39&amp;col=10&amp;number=&amp;sourceID=15","")</f>
        <v/>
      </c>
      <c r="K39" s="4" t="str">
        <f>HYPERLINK("http://141.218.60.56/~jnz1568/getInfo.php?workbook=03_02.xlsx&amp;sheet=A0&amp;row=39&amp;col=11&amp;number=2782000&amp;sourceID=30","2782000")</f>
        <v>2782000</v>
      </c>
      <c r="L39" s="4" t="str">
        <f>HYPERLINK("http://141.218.60.56/~jnz1568/getInfo.php?workbook=03_02.xlsx&amp;sheet=A0&amp;row=39&amp;col=12&amp;number=&amp;sourceID=30","")</f>
        <v/>
      </c>
      <c r="M39" s="4" t="str">
        <f>HYPERLINK("http://141.218.60.56/~jnz1568/getInfo.php?workbook=03_02.xlsx&amp;sheet=A0&amp;row=39&amp;col=13&amp;number=&amp;sourceID=30","")</f>
        <v/>
      </c>
      <c r="N39" s="4" t="str">
        <f>HYPERLINK("http://141.218.60.56/~jnz1568/getInfo.php?workbook=03_02.xlsx&amp;sheet=A0&amp;row=39&amp;col=14&amp;number=2.394e-07&amp;sourceID=30","2.394e-07")</f>
        <v>2.394e-07</v>
      </c>
    </row>
    <row r="40" spans="1:14">
      <c r="A40" s="3">
        <v>3</v>
      </c>
      <c r="B40" s="3">
        <v>2</v>
      </c>
      <c r="C40" s="3">
        <v>11</v>
      </c>
      <c r="D40" s="3">
        <v>1</v>
      </c>
      <c r="E40" s="3">
        <f>((1/(INDEX(E0!J$4:J$52,C40,1)-INDEX(E0!J$4:J$52,D40,1))))*100000000</f>
        <v>0</v>
      </c>
      <c r="F40" s="4" t="str">
        <f>HYPERLINK("http://141.218.60.56/~jnz1568/getInfo.php?workbook=03_02.xlsx&amp;sheet=A0&amp;row=40&amp;col=6&amp;number=&amp;sourceID=27","")</f>
        <v/>
      </c>
      <c r="G40" s="4" t="str">
        <f>HYPERLINK("http://141.218.60.56/~jnz1568/getInfo.php?workbook=03_02.xlsx&amp;sheet=A0&amp;row=40&amp;col=7&amp;number=&amp;sourceID=15","")</f>
        <v/>
      </c>
      <c r="H40" s="4" t="str">
        <f>HYPERLINK("http://141.218.60.56/~jnz1568/getInfo.php?workbook=03_02.xlsx&amp;sheet=A0&amp;row=40&amp;col=8&amp;number=&amp;sourceID=15","")</f>
        <v/>
      </c>
      <c r="I40" s="4" t="str">
        <f>HYPERLINK("http://141.218.60.56/~jnz1568/getInfo.php?workbook=03_02.xlsx&amp;sheet=A0&amp;row=40&amp;col=9&amp;number=&amp;sourceID=15","")</f>
        <v/>
      </c>
      <c r="J40" s="4" t="str">
        <f>HYPERLINK("http://141.218.60.56/~jnz1568/getInfo.php?workbook=03_02.xlsx&amp;sheet=A0&amp;row=40&amp;col=10&amp;number=12&amp;sourceID=15","12")</f>
        <v>12</v>
      </c>
      <c r="K40" s="4" t="str">
        <f>HYPERLINK("http://141.218.60.56/~jnz1568/getInfo.php?workbook=03_02.xlsx&amp;sheet=A0&amp;row=40&amp;col=11&amp;number=&amp;sourceID=30","")</f>
        <v/>
      </c>
      <c r="L40" s="4" t="str">
        <f>HYPERLINK("http://141.218.60.56/~jnz1568/getInfo.php?workbook=03_02.xlsx&amp;sheet=A0&amp;row=40&amp;col=12&amp;number=&amp;sourceID=30","")</f>
        <v/>
      </c>
      <c r="M40" s="4" t="str">
        <f>HYPERLINK("http://141.218.60.56/~jnz1568/getInfo.php?workbook=03_02.xlsx&amp;sheet=A0&amp;row=40&amp;col=13&amp;number=&amp;sourceID=30","")</f>
        <v/>
      </c>
      <c r="N40" s="4" t="str">
        <f>HYPERLINK("http://141.218.60.56/~jnz1568/getInfo.php?workbook=03_02.xlsx&amp;sheet=A0&amp;row=40&amp;col=14&amp;number=14.52&amp;sourceID=30","14.52")</f>
        <v>14.52</v>
      </c>
    </row>
    <row r="41" spans="1:14">
      <c r="A41" s="3">
        <v>3</v>
      </c>
      <c r="B41" s="3">
        <v>2</v>
      </c>
      <c r="C41" s="3">
        <v>11</v>
      </c>
      <c r="D41" s="3">
        <v>2</v>
      </c>
      <c r="E41" s="3">
        <f>((1/(INDEX(E0!J$4:J$52,C41,1)-INDEX(E0!J$4:J$52,D41,1))))*100000000</f>
        <v>0</v>
      </c>
      <c r="F41" s="4" t="str">
        <f>HYPERLINK("http://141.218.60.56/~jnz1568/getInfo.php?workbook=03_02.xlsx&amp;sheet=A0&amp;row=41&amp;col=6&amp;number=&amp;sourceID=27","")</f>
        <v/>
      </c>
      <c r="G41" s="4" t="str">
        <f>HYPERLINK("http://141.218.60.56/~jnz1568/getInfo.php?workbook=03_02.xlsx&amp;sheet=A0&amp;row=41&amp;col=7&amp;number=&amp;sourceID=15","")</f>
        <v/>
      </c>
      <c r="H41" s="4" t="str">
        <f>HYPERLINK("http://141.218.60.56/~jnz1568/getInfo.php?workbook=03_02.xlsx&amp;sheet=A0&amp;row=41&amp;col=8&amp;number=&amp;sourceID=15","")</f>
        <v/>
      </c>
      <c r="I41" s="4" t="str">
        <f>HYPERLINK("http://141.218.60.56/~jnz1568/getInfo.php?workbook=03_02.xlsx&amp;sheet=A0&amp;row=41&amp;col=9&amp;number=&amp;sourceID=15","")</f>
        <v/>
      </c>
      <c r="J41" s="4" t="str">
        <f>HYPERLINK("http://141.218.60.56/~jnz1568/getInfo.php?workbook=03_02.xlsx&amp;sheet=A0&amp;row=41&amp;col=10&amp;number=&amp;sourceID=15","")</f>
        <v/>
      </c>
      <c r="K41" s="4" t="str">
        <f>HYPERLINK("http://141.218.60.56/~jnz1568/getInfo.php?workbook=03_02.xlsx&amp;sheet=A0&amp;row=41&amp;col=11&amp;number=258600000&amp;sourceID=30","258600000")</f>
        <v>258600000</v>
      </c>
      <c r="L41" s="4" t="str">
        <f>HYPERLINK("http://141.218.60.56/~jnz1568/getInfo.php?workbook=03_02.xlsx&amp;sheet=A0&amp;row=41&amp;col=12&amp;number=&amp;sourceID=30","")</f>
        <v/>
      </c>
      <c r="M41" s="4" t="str">
        <f>HYPERLINK("http://141.218.60.56/~jnz1568/getInfo.php?workbook=03_02.xlsx&amp;sheet=A0&amp;row=41&amp;col=13&amp;number=&amp;sourceID=30","")</f>
        <v/>
      </c>
      <c r="N41" s="4" t="str">
        <f>HYPERLINK("http://141.218.60.56/~jnz1568/getInfo.php?workbook=03_02.xlsx&amp;sheet=A0&amp;row=41&amp;col=14&amp;number=0.01186&amp;sourceID=30","0.01186")</f>
        <v>0.01186</v>
      </c>
    </row>
    <row r="42" spans="1:14">
      <c r="A42" s="3">
        <v>3</v>
      </c>
      <c r="B42" s="3">
        <v>2</v>
      </c>
      <c r="C42" s="3">
        <v>11</v>
      </c>
      <c r="D42" s="3">
        <v>3</v>
      </c>
      <c r="E42" s="3">
        <f>((1/(INDEX(E0!J$4:J$52,C42,1)-INDEX(E0!J$4:J$52,D42,1))))*100000000</f>
        <v>0</v>
      </c>
      <c r="F42" s="4" t="str">
        <f>HYPERLINK("http://141.218.60.56/~jnz1568/getInfo.php?workbook=03_02.xlsx&amp;sheet=A0&amp;row=42&amp;col=6&amp;number=&amp;sourceID=27","")</f>
        <v/>
      </c>
      <c r="G42" s="4" t="str">
        <f>HYPERLINK("http://141.218.60.56/~jnz1568/getInfo.php?workbook=03_02.xlsx&amp;sheet=A0&amp;row=42&amp;col=7&amp;number=&amp;sourceID=15","")</f>
        <v/>
      </c>
      <c r="H42" s="4" t="str">
        <f>HYPERLINK("http://141.218.60.56/~jnz1568/getInfo.php?workbook=03_02.xlsx&amp;sheet=A0&amp;row=42&amp;col=8&amp;number=&amp;sourceID=15","")</f>
        <v/>
      </c>
      <c r="I42" s="4" t="str">
        <f>HYPERLINK("http://141.218.60.56/~jnz1568/getInfo.php?workbook=03_02.xlsx&amp;sheet=A0&amp;row=42&amp;col=9&amp;number=&amp;sourceID=15","")</f>
        <v/>
      </c>
      <c r="J42" s="4" t="str">
        <f>HYPERLINK("http://141.218.60.56/~jnz1568/getInfo.php?workbook=03_02.xlsx&amp;sheet=A0&amp;row=42&amp;col=10&amp;number=&amp;sourceID=15","")</f>
        <v/>
      </c>
      <c r="K42" s="4" t="str">
        <f>HYPERLINK("http://141.218.60.56/~jnz1568/getInfo.php?workbook=03_02.xlsx&amp;sheet=A0&amp;row=42&amp;col=11&amp;number=&amp;sourceID=30","")</f>
        <v/>
      </c>
      <c r="L42" s="4" t="str">
        <f>HYPERLINK("http://141.218.60.56/~jnz1568/getInfo.php?workbook=03_02.xlsx&amp;sheet=A0&amp;row=42&amp;col=12&amp;number=&amp;sourceID=30","")</f>
        <v/>
      </c>
      <c r="M42" s="4" t="str">
        <f>HYPERLINK("http://141.218.60.56/~jnz1568/getInfo.php?workbook=03_02.xlsx&amp;sheet=A0&amp;row=42&amp;col=13&amp;number=&amp;sourceID=30","")</f>
        <v/>
      </c>
      <c r="N42" s="4" t="str">
        <f>HYPERLINK("http://141.218.60.56/~jnz1568/getInfo.php?workbook=03_02.xlsx&amp;sheet=A0&amp;row=42&amp;col=14&amp;number=0.008207&amp;sourceID=30","0.008207")</f>
        <v>0.008207</v>
      </c>
    </row>
    <row r="43" spans="1:14">
      <c r="A43" s="3">
        <v>3</v>
      </c>
      <c r="B43" s="3">
        <v>2</v>
      </c>
      <c r="C43" s="3">
        <v>11</v>
      </c>
      <c r="D43" s="3">
        <v>4</v>
      </c>
      <c r="E43" s="3">
        <f>((1/(INDEX(E0!J$4:J$52,C43,1)-INDEX(E0!J$4:J$52,D43,1))))*100000000</f>
        <v>0</v>
      </c>
      <c r="F43" s="4" t="str">
        <f>HYPERLINK("http://141.218.60.56/~jnz1568/getInfo.php?workbook=03_02.xlsx&amp;sheet=A0&amp;row=43&amp;col=6&amp;number=&amp;sourceID=27","")</f>
        <v/>
      </c>
      <c r="G43" s="4" t="str">
        <f>HYPERLINK("http://141.218.60.56/~jnz1568/getInfo.php?workbook=03_02.xlsx&amp;sheet=A0&amp;row=43&amp;col=7&amp;number=&amp;sourceID=15","")</f>
        <v/>
      </c>
      <c r="H43" s="4" t="str">
        <f>HYPERLINK("http://141.218.60.56/~jnz1568/getInfo.php?workbook=03_02.xlsx&amp;sheet=A0&amp;row=43&amp;col=8&amp;number=&amp;sourceID=15","")</f>
        <v/>
      </c>
      <c r="I43" s="4" t="str">
        <f>HYPERLINK("http://141.218.60.56/~jnz1568/getInfo.php?workbook=03_02.xlsx&amp;sheet=A0&amp;row=43&amp;col=9&amp;number=&amp;sourceID=15","")</f>
        <v/>
      </c>
      <c r="J43" s="4" t="str">
        <f>HYPERLINK("http://141.218.60.56/~jnz1568/getInfo.php?workbook=03_02.xlsx&amp;sheet=A0&amp;row=43&amp;col=10&amp;number=&amp;sourceID=15","")</f>
        <v/>
      </c>
      <c r="K43" s="4" t="str">
        <f>HYPERLINK("http://141.218.60.56/~jnz1568/getInfo.php?workbook=03_02.xlsx&amp;sheet=A0&amp;row=43&amp;col=11&amp;number=&amp;sourceID=30","")</f>
        <v/>
      </c>
      <c r="L43" s="4" t="str">
        <f>HYPERLINK("http://141.218.60.56/~jnz1568/getInfo.php?workbook=03_02.xlsx&amp;sheet=A0&amp;row=43&amp;col=12&amp;number=741.6&amp;sourceID=30","741.6")</f>
        <v>741.6</v>
      </c>
      <c r="M43" s="4" t="str">
        <f>HYPERLINK("http://141.218.60.56/~jnz1568/getInfo.php?workbook=03_02.xlsx&amp;sheet=A0&amp;row=43&amp;col=13&amp;number=9.222e-07&amp;sourceID=30","9.222e-07")</f>
        <v>9.222e-07</v>
      </c>
      <c r="N43" s="4" t="str">
        <f>HYPERLINK("http://141.218.60.56/~jnz1568/getInfo.php?workbook=03_02.xlsx&amp;sheet=A0&amp;row=43&amp;col=14&amp;number=&amp;sourceID=30","")</f>
        <v/>
      </c>
    </row>
    <row r="44" spans="1:14">
      <c r="A44" s="3">
        <v>3</v>
      </c>
      <c r="B44" s="3">
        <v>2</v>
      </c>
      <c r="C44" s="3">
        <v>11</v>
      </c>
      <c r="D44" s="3">
        <v>5</v>
      </c>
      <c r="E44" s="3">
        <f>((1/(INDEX(E0!J$4:J$52,C44,1)-INDEX(E0!J$4:J$52,D44,1))))*100000000</f>
        <v>0</v>
      </c>
      <c r="F44" s="4" t="str">
        <f>HYPERLINK("http://141.218.60.56/~jnz1568/getInfo.php?workbook=03_02.xlsx&amp;sheet=A0&amp;row=44&amp;col=6&amp;number=&amp;sourceID=27","")</f>
        <v/>
      </c>
      <c r="G44" s="4" t="str">
        <f>HYPERLINK("http://141.218.60.56/~jnz1568/getInfo.php?workbook=03_02.xlsx&amp;sheet=A0&amp;row=44&amp;col=7&amp;number=&amp;sourceID=15","")</f>
        <v/>
      </c>
      <c r="H44" s="4" t="str">
        <f>HYPERLINK("http://141.218.60.56/~jnz1568/getInfo.php?workbook=03_02.xlsx&amp;sheet=A0&amp;row=44&amp;col=8&amp;number=&amp;sourceID=15","")</f>
        <v/>
      </c>
      <c r="I44" s="4" t="str">
        <f>HYPERLINK("http://141.218.60.56/~jnz1568/getInfo.php?workbook=03_02.xlsx&amp;sheet=A0&amp;row=44&amp;col=9&amp;number=&amp;sourceID=15","")</f>
        <v/>
      </c>
      <c r="J44" s="4" t="str">
        <f>HYPERLINK("http://141.218.60.56/~jnz1568/getInfo.php?workbook=03_02.xlsx&amp;sheet=A0&amp;row=44&amp;col=10&amp;number=&amp;sourceID=15","")</f>
        <v/>
      </c>
      <c r="K44" s="4" t="str">
        <f>HYPERLINK("http://141.218.60.56/~jnz1568/getInfo.php?workbook=03_02.xlsx&amp;sheet=A0&amp;row=44&amp;col=11&amp;number=&amp;sourceID=30","")</f>
        <v/>
      </c>
      <c r="L44" s="4" t="str">
        <f>HYPERLINK("http://141.218.60.56/~jnz1568/getInfo.php?workbook=03_02.xlsx&amp;sheet=A0&amp;row=44&amp;col=12&amp;number=576.7&amp;sourceID=30","576.7")</f>
        <v>576.7</v>
      </c>
      <c r="M44" s="4" t="str">
        <f>HYPERLINK("http://141.218.60.56/~jnz1568/getInfo.php?workbook=03_02.xlsx&amp;sheet=A0&amp;row=44&amp;col=13&amp;number=4.893e-06&amp;sourceID=30","4.893e-06")</f>
        <v>4.893e-06</v>
      </c>
      <c r="N44" s="4" t="str">
        <f>HYPERLINK("http://141.218.60.56/~jnz1568/getInfo.php?workbook=03_02.xlsx&amp;sheet=A0&amp;row=44&amp;col=14&amp;number=&amp;sourceID=30","")</f>
        <v/>
      </c>
    </row>
    <row r="45" spans="1:14">
      <c r="A45" s="3">
        <v>3</v>
      </c>
      <c r="B45" s="3">
        <v>2</v>
      </c>
      <c r="C45" s="3">
        <v>11</v>
      </c>
      <c r="D45" s="3">
        <v>6</v>
      </c>
      <c r="E45" s="3">
        <f>((1/(INDEX(E0!J$4:J$52,C45,1)-INDEX(E0!J$4:J$52,D45,1))))*100000000</f>
        <v>0</v>
      </c>
      <c r="F45" s="4" t="str">
        <f>HYPERLINK("http://141.218.60.56/~jnz1568/getInfo.php?workbook=03_02.xlsx&amp;sheet=A0&amp;row=45&amp;col=6&amp;number=&amp;sourceID=27","")</f>
        <v/>
      </c>
      <c r="G45" s="4" t="str">
        <f>HYPERLINK("http://141.218.60.56/~jnz1568/getInfo.php?workbook=03_02.xlsx&amp;sheet=A0&amp;row=45&amp;col=7&amp;number=&amp;sourceID=15","")</f>
        <v/>
      </c>
      <c r="H45" s="4" t="str">
        <f>HYPERLINK("http://141.218.60.56/~jnz1568/getInfo.php?workbook=03_02.xlsx&amp;sheet=A0&amp;row=45&amp;col=8&amp;number=&amp;sourceID=15","")</f>
        <v/>
      </c>
      <c r="I45" s="4" t="str">
        <f>HYPERLINK("http://141.218.60.56/~jnz1568/getInfo.php?workbook=03_02.xlsx&amp;sheet=A0&amp;row=45&amp;col=9&amp;number=&amp;sourceID=15","")</f>
        <v/>
      </c>
      <c r="J45" s="4" t="str">
        <f>HYPERLINK("http://141.218.60.56/~jnz1568/getInfo.php?workbook=03_02.xlsx&amp;sheet=A0&amp;row=45&amp;col=10&amp;number=&amp;sourceID=15","")</f>
        <v/>
      </c>
      <c r="K45" s="4" t="str">
        <f>HYPERLINK("http://141.218.60.56/~jnz1568/getInfo.php?workbook=03_02.xlsx&amp;sheet=A0&amp;row=45&amp;col=11&amp;number=&amp;sourceID=30","")</f>
        <v/>
      </c>
      <c r="L45" s="4" t="str">
        <f>HYPERLINK("http://141.218.60.56/~jnz1568/getInfo.php?workbook=03_02.xlsx&amp;sheet=A0&amp;row=45&amp;col=12&amp;number=329.6&amp;sourceID=30","329.6")</f>
        <v>329.6</v>
      </c>
      <c r="M45" s="4" t="str">
        <f>HYPERLINK("http://141.218.60.56/~jnz1568/getInfo.php?workbook=03_02.xlsx&amp;sheet=A0&amp;row=45&amp;col=13&amp;number=&amp;sourceID=30","")</f>
        <v/>
      </c>
      <c r="N45" s="4" t="str">
        <f>HYPERLINK("http://141.218.60.56/~jnz1568/getInfo.php?workbook=03_02.xlsx&amp;sheet=A0&amp;row=45&amp;col=14&amp;number=&amp;sourceID=30","")</f>
        <v/>
      </c>
    </row>
    <row r="46" spans="1:14">
      <c r="A46" s="3">
        <v>3</v>
      </c>
      <c r="B46" s="3">
        <v>2</v>
      </c>
      <c r="C46" s="3">
        <v>11</v>
      </c>
      <c r="D46" s="3">
        <v>7</v>
      </c>
      <c r="E46" s="3">
        <f>((1/(INDEX(E0!J$4:J$52,C46,1)-INDEX(E0!J$4:J$52,D46,1))))*100000000</f>
        <v>0</v>
      </c>
      <c r="F46" s="4" t="str">
        <f>HYPERLINK("http://141.218.60.56/~jnz1568/getInfo.php?workbook=03_02.xlsx&amp;sheet=A0&amp;row=46&amp;col=6&amp;number=&amp;sourceID=27","")</f>
        <v/>
      </c>
      <c r="G46" s="4" t="str">
        <f>HYPERLINK("http://141.218.60.56/~jnz1568/getInfo.php?workbook=03_02.xlsx&amp;sheet=A0&amp;row=46&amp;col=7&amp;number=&amp;sourceID=15","")</f>
        <v/>
      </c>
      <c r="H46" s="4" t="str">
        <f>HYPERLINK("http://141.218.60.56/~jnz1568/getInfo.php?workbook=03_02.xlsx&amp;sheet=A0&amp;row=46&amp;col=8&amp;number=&amp;sourceID=15","")</f>
        <v/>
      </c>
      <c r="I46" s="4" t="str">
        <f>HYPERLINK("http://141.218.60.56/~jnz1568/getInfo.php?workbook=03_02.xlsx&amp;sheet=A0&amp;row=46&amp;col=9&amp;number=&amp;sourceID=15","")</f>
        <v/>
      </c>
      <c r="J46" s="4" t="str">
        <f>HYPERLINK("http://141.218.60.56/~jnz1568/getInfo.php?workbook=03_02.xlsx&amp;sheet=A0&amp;row=46&amp;col=10&amp;number=&amp;sourceID=15","")</f>
        <v/>
      </c>
      <c r="K46" s="4" t="str">
        <f>HYPERLINK("http://141.218.60.56/~jnz1568/getInfo.php?workbook=03_02.xlsx&amp;sheet=A0&amp;row=46&amp;col=11&amp;number=&amp;sourceID=30","")</f>
        <v/>
      </c>
      <c r="L46" s="4" t="str">
        <f>HYPERLINK("http://141.218.60.56/~jnz1568/getInfo.php?workbook=03_02.xlsx&amp;sheet=A0&amp;row=46&amp;col=12&amp;number=0.0003374&amp;sourceID=30","0.0003374")</f>
        <v>0.0003374</v>
      </c>
      <c r="M46" s="4" t="str">
        <f>HYPERLINK("http://141.218.60.56/~jnz1568/getInfo.php?workbook=03_02.xlsx&amp;sheet=A0&amp;row=46&amp;col=13&amp;number=8.232e-07&amp;sourceID=30","8.232e-07")</f>
        <v>8.232e-07</v>
      </c>
      <c r="N46" s="4" t="str">
        <f>HYPERLINK("http://141.218.60.56/~jnz1568/getInfo.php?workbook=03_02.xlsx&amp;sheet=A0&amp;row=46&amp;col=14&amp;number=&amp;sourceID=30","")</f>
        <v/>
      </c>
    </row>
    <row r="47" spans="1:14">
      <c r="A47" s="3">
        <v>3</v>
      </c>
      <c r="B47" s="3">
        <v>2</v>
      </c>
      <c r="C47" s="3">
        <v>11</v>
      </c>
      <c r="D47" s="3">
        <v>8</v>
      </c>
      <c r="E47" s="3">
        <f>((1/(INDEX(E0!J$4:J$52,C47,1)-INDEX(E0!J$4:J$52,D47,1))))*100000000</f>
        <v>0</v>
      </c>
      <c r="F47" s="4" t="str">
        <f>HYPERLINK("http://141.218.60.56/~jnz1568/getInfo.php?workbook=03_02.xlsx&amp;sheet=A0&amp;row=47&amp;col=6&amp;number=&amp;sourceID=27","")</f>
        <v/>
      </c>
      <c r="G47" s="4" t="str">
        <f>HYPERLINK("http://141.218.60.56/~jnz1568/getInfo.php?workbook=03_02.xlsx&amp;sheet=A0&amp;row=47&amp;col=7&amp;number=&amp;sourceID=15","")</f>
        <v/>
      </c>
      <c r="H47" s="4" t="str">
        <f>HYPERLINK("http://141.218.60.56/~jnz1568/getInfo.php?workbook=03_02.xlsx&amp;sheet=A0&amp;row=47&amp;col=8&amp;number=&amp;sourceID=15","")</f>
        <v/>
      </c>
      <c r="I47" s="4" t="str">
        <f>HYPERLINK("http://141.218.60.56/~jnz1568/getInfo.php?workbook=03_02.xlsx&amp;sheet=A0&amp;row=47&amp;col=9&amp;number=&amp;sourceID=15","")</f>
        <v/>
      </c>
      <c r="J47" s="4" t="str">
        <f>HYPERLINK("http://141.218.60.56/~jnz1568/getInfo.php?workbook=03_02.xlsx&amp;sheet=A0&amp;row=47&amp;col=10&amp;number=&amp;sourceID=15","")</f>
        <v/>
      </c>
      <c r="K47" s="4" t="str">
        <f>HYPERLINK("http://141.218.60.56/~jnz1568/getInfo.php?workbook=03_02.xlsx&amp;sheet=A0&amp;row=47&amp;col=11&amp;number=2783000&amp;sourceID=30","2783000")</f>
        <v>2783000</v>
      </c>
      <c r="L47" s="4" t="str">
        <f>HYPERLINK("http://141.218.60.56/~jnz1568/getInfo.php?workbook=03_02.xlsx&amp;sheet=A0&amp;row=47&amp;col=12&amp;number=&amp;sourceID=30","")</f>
        <v/>
      </c>
      <c r="M47" s="4" t="str">
        <f>HYPERLINK("http://141.218.60.56/~jnz1568/getInfo.php?workbook=03_02.xlsx&amp;sheet=A0&amp;row=47&amp;col=13&amp;number=&amp;sourceID=30","")</f>
        <v/>
      </c>
      <c r="N47" s="4" t="str">
        <f>HYPERLINK("http://141.218.60.56/~jnz1568/getInfo.php?workbook=03_02.xlsx&amp;sheet=A0&amp;row=47&amp;col=14&amp;number=4.32e-07&amp;sourceID=30","4.32e-07")</f>
        <v>4.32e-07</v>
      </c>
    </row>
    <row r="48" spans="1:14">
      <c r="A48" s="3">
        <v>3</v>
      </c>
      <c r="B48" s="3">
        <v>2</v>
      </c>
      <c r="C48" s="3">
        <v>11</v>
      </c>
      <c r="D48" s="3">
        <v>10</v>
      </c>
      <c r="E48" s="3">
        <f>((1/(INDEX(E0!J$4:J$52,C48,1)-INDEX(E0!J$4:J$52,D48,1))))*100000000</f>
        <v>0</v>
      </c>
      <c r="F48" s="4" t="str">
        <f>HYPERLINK("http://141.218.60.56/~jnz1568/getInfo.php?workbook=03_02.xlsx&amp;sheet=A0&amp;row=48&amp;col=6&amp;number=&amp;sourceID=27","")</f>
        <v/>
      </c>
      <c r="G48" s="4" t="str">
        <f>HYPERLINK("http://141.218.60.56/~jnz1568/getInfo.php?workbook=03_02.xlsx&amp;sheet=A0&amp;row=48&amp;col=7&amp;number=&amp;sourceID=15","")</f>
        <v/>
      </c>
      <c r="H48" s="4" t="str">
        <f>HYPERLINK("http://141.218.60.56/~jnz1568/getInfo.php?workbook=03_02.xlsx&amp;sheet=A0&amp;row=48&amp;col=8&amp;number=&amp;sourceID=15","")</f>
        <v/>
      </c>
      <c r="I48" s="4" t="str">
        <f>HYPERLINK("http://141.218.60.56/~jnz1568/getInfo.php?workbook=03_02.xlsx&amp;sheet=A0&amp;row=48&amp;col=9&amp;number=&amp;sourceID=15","")</f>
        <v/>
      </c>
      <c r="J48" s="4" t="str">
        <f>HYPERLINK("http://141.218.60.56/~jnz1568/getInfo.php?workbook=03_02.xlsx&amp;sheet=A0&amp;row=48&amp;col=10&amp;number=&amp;sourceID=15","")</f>
        <v/>
      </c>
      <c r="K48" s="4" t="str">
        <f>HYPERLINK("http://141.218.60.56/~jnz1568/getInfo.php?workbook=03_02.xlsx&amp;sheet=A0&amp;row=48&amp;col=11&amp;number=&amp;sourceID=30","")</f>
        <v/>
      </c>
      <c r="L48" s="4" t="str">
        <f>HYPERLINK("http://141.218.60.56/~jnz1568/getInfo.php?workbook=03_02.xlsx&amp;sheet=A0&amp;row=48&amp;col=12&amp;number=0&amp;sourceID=30","0")</f>
        <v>0</v>
      </c>
      <c r="M48" s="4" t="str">
        <f>HYPERLINK("http://141.218.60.56/~jnz1568/getInfo.php?workbook=03_02.xlsx&amp;sheet=A0&amp;row=48&amp;col=13&amp;number=2.828e-12&amp;sourceID=30","2.828e-12")</f>
        <v>2.828e-12</v>
      </c>
      <c r="N48" s="4" t="str">
        <f>HYPERLINK("http://141.218.60.56/~jnz1568/getInfo.php?workbook=03_02.xlsx&amp;sheet=A0&amp;row=48&amp;col=14&amp;number=&amp;sourceID=30","")</f>
        <v/>
      </c>
    </row>
    <row r="49" spans="1:14">
      <c r="A49" s="3">
        <v>3</v>
      </c>
      <c r="B49" s="3">
        <v>2</v>
      </c>
      <c r="C49" s="3">
        <v>12</v>
      </c>
      <c r="D49" s="3">
        <v>2</v>
      </c>
      <c r="E49" s="3">
        <f>((1/(INDEX(E0!J$4:J$52,C49,1)-INDEX(E0!J$4:J$52,D49,1))))*100000000</f>
        <v>0</v>
      </c>
      <c r="F49" s="4" t="str">
        <f>HYPERLINK("http://141.218.60.56/~jnz1568/getInfo.php?workbook=03_02.xlsx&amp;sheet=A0&amp;row=49&amp;col=6&amp;number=&amp;sourceID=27","")</f>
        <v/>
      </c>
      <c r="G49" s="4" t="str">
        <f>HYPERLINK("http://141.218.60.56/~jnz1568/getInfo.php?workbook=03_02.xlsx&amp;sheet=A0&amp;row=49&amp;col=7&amp;number=&amp;sourceID=15","")</f>
        <v/>
      </c>
      <c r="H49" s="4" t="str">
        <f>HYPERLINK("http://141.218.60.56/~jnz1568/getInfo.php?workbook=03_02.xlsx&amp;sheet=A0&amp;row=49&amp;col=8&amp;number=&amp;sourceID=15","")</f>
        <v/>
      </c>
      <c r="I49" s="4" t="str">
        <f>HYPERLINK("http://141.218.60.56/~jnz1568/getInfo.php?workbook=03_02.xlsx&amp;sheet=A0&amp;row=49&amp;col=9&amp;number=&amp;sourceID=15","")</f>
        <v/>
      </c>
      <c r="J49" s="4" t="str">
        <f>HYPERLINK("http://141.218.60.56/~jnz1568/getInfo.php?workbook=03_02.xlsx&amp;sheet=A0&amp;row=49&amp;col=10&amp;number=&amp;sourceID=15","")</f>
        <v/>
      </c>
      <c r="K49" s="4" t="str">
        <f>HYPERLINK("http://141.218.60.56/~jnz1568/getInfo.php?workbook=03_02.xlsx&amp;sheet=A0&amp;row=49&amp;col=11&amp;number=258600000&amp;sourceID=30","258600000")</f>
        <v>258600000</v>
      </c>
      <c r="L49" s="4" t="str">
        <f>HYPERLINK("http://141.218.60.56/~jnz1568/getInfo.php?workbook=03_02.xlsx&amp;sheet=A0&amp;row=49&amp;col=12&amp;number=&amp;sourceID=30","")</f>
        <v/>
      </c>
      <c r="M49" s="4" t="str">
        <f>HYPERLINK("http://141.218.60.56/~jnz1568/getInfo.php?workbook=03_02.xlsx&amp;sheet=A0&amp;row=49&amp;col=13&amp;number=&amp;sourceID=30","")</f>
        <v/>
      </c>
      <c r="N49" s="4" t="str">
        <f>HYPERLINK("http://141.218.60.56/~jnz1568/getInfo.php?workbook=03_02.xlsx&amp;sheet=A0&amp;row=49&amp;col=14&amp;number=&amp;sourceID=30","")</f>
        <v/>
      </c>
    </row>
    <row r="50" spans="1:14">
      <c r="A50" s="3">
        <v>3</v>
      </c>
      <c r="B50" s="3">
        <v>2</v>
      </c>
      <c r="C50" s="3">
        <v>12</v>
      </c>
      <c r="D50" s="3">
        <v>4</v>
      </c>
      <c r="E50" s="3">
        <f>((1/(INDEX(E0!J$4:J$52,C50,1)-INDEX(E0!J$4:J$52,D50,1))))*100000000</f>
        <v>0</v>
      </c>
      <c r="F50" s="4" t="str">
        <f>HYPERLINK("http://141.218.60.56/~jnz1568/getInfo.php?workbook=03_02.xlsx&amp;sheet=A0&amp;row=50&amp;col=6&amp;number=&amp;sourceID=27","")</f>
        <v/>
      </c>
      <c r="G50" s="4" t="str">
        <f>HYPERLINK("http://141.218.60.56/~jnz1568/getInfo.php?workbook=03_02.xlsx&amp;sheet=A0&amp;row=50&amp;col=7&amp;number=&amp;sourceID=15","")</f>
        <v/>
      </c>
      <c r="H50" s="4" t="str">
        <f>HYPERLINK("http://141.218.60.56/~jnz1568/getInfo.php?workbook=03_02.xlsx&amp;sheet=A0&amp;row=50&amp;col=8&amp;number=&amp;sourceID=15","")</f>
        <v/>
      </c>
      <c r="I50" s="4" t="str">
        <f>HYPERLINK("http://141.218.60.56/~jnz1568/getInfo.php?workbook=03_02.xlsx&amp;sheet=A0&amp;row=50&amp;col=9&amp;number=&amp;sourceID=15","")</f>
        <v/>
      </c>
      <c r="J50" s="4" t="str">
        <f>HYPERLINK("http://141.218.60.56/~jnz1568/getInfo.php?workbook=03_02.xlsx&amp;sheet=A0&amp;row=50&amp;col=10&amp;number=&amp;sourceID=15","")</f>
        <v/>
      </c>
      <c r="K50" s="4" t="str">
        <f>HYPERLINK("http://141.218.60.56/~jnz1568/getInfo.php?workbook=03_02.xlsx&amp;sheet=A0&amp;row=50&amp;col=11&amp;number=&amp;sourceID=30","")</f>
        <v/>
      </c>
      <c r="L50" s="4" t="str">
        <f>HYPERLINK("http://141.218.60.56/~jnz1568/getInfo.php?workbook=03_02.xlsx&amp;sheet=A0&amp;row=50&amp;col=12&amp;number=&amp;sourceID=30","")</f>
        <v/>
      </c>
      <c r="M50" s="4" t="str">
        <f>HYPERLINK("http://141.218.60.56/~jnz1568/getInfo.php?workbook=03_02.xlsx&amp;sheet=A0&amp;row=50&amp;col=13&amp;number=2.328e-05&amp;sourceID=30","2.328e-05")</f>
        <v>2.328e-05</v>
      </c>
      <c r="N50" s="4" t="str">
        <f>HYPERLINK("http://141.218.60.56/~jnz1568/getInfo.php?workbook=03_02.xlsx&amp;sheet=A0&amp;row=50&amp;col=14&amp;number=&amp;sourceID=30","")</f>
        <v/>
      </c>
    </row>
    <row r="51" spans="1:14">
      <c r="A51" s="3">
        <v>3</v>
      </c>
      <c r="B51" s="3">
        <v>2</v>
      </c>
      <c r="C51" s="3">
        <v>12</v>
      </c>
      <c r="D51" s="3">
        <v>5</v>
      </c>
      <c r="E51" s="3">
        <f>((1/(INDEX(E0!J$4:J$52,C51,1)-INDEX(E0!J$4:J$52,D51,1))))*100000000</f>
        <v>0</v>
      </c>
      <c r="F51" s="4" t="str">
        <f>HYPERLINK("http://141.218.60.56/~jnz1568/getInfo.php?workbook=03_02.xlsx&amp;sheet=A0&amp;row=51&amp;col=6&amp;number=&amp;sourceID=27","")</f>
        <v/>
      </c>
      <c r="G51" s="4" t="str">
        <f>HYPERLINK("http://141.218.60.56/~jnz1568/getInfo.php?workbook=03_02.xlsx&amp;sheet=A0&amp;row=51&amp;col=7&amp;number=&amp;sourceID=15","")</f>
        <v/>
      </c>
      <c r="H51" s="4" t="str">
        <f>HYPERLINK("http://141.218.60.56/~jnz1568/getInfo.php?workbook=03_02.xlsx&amp;sheet=A0&amp;row=51&amp;col=8&amp;number=&amp;sourceID=15","")</f>
        <v/>
      </c>
      <c r="I51" s="4" t="str">
        <f>HYPERLINK("http://141.218.60.56/~jnz1568/getInfo.php?workbook=03_02.xlsx&amp;sheet=A0&amp;row=51&amp;col=9&amp;number=&amp;sourceID=15","")</f>
        <v/>
      </c>
      <c r="J51" s="4" t="str">
        <f>HYPERLINK("http://141.218.60.56/~jnz1568/getInfo.php?workbook=03_02.xlsx&amp;sheet=A0&amp;row=51&amp;col=10&amp;number=&amp;sourceID=15","")</f>
        <v/>
      </c>
      <c r="K51" s="4" t="str">
        <f>HYPERLINK("http://141.218.60.56/~jnz1568/getInfo.php?workbook=03_02.xlsx&amp;sheet=A0&amp;row=51&amp;col=11&amp;number=&amp;sourceID=30","")</f>
        <v/>
      </c>
      <c r="L51" s="4" t="str">
        <f>HYPERLINK("http://141.218.60.56/~jnz1568/getInfo.php?workbook=03_02.xlsx&amp;sheet=A0&amp;row=51&amp;col=12&amp;number=1648&amp;sourceID=30","1648")</f>
        <v>1648</v>
      </c>
      <c r="M51" s="4" t="str">
        <f>HYPERLINK("http://141.218.60.56/~jnz1568/getInfo.php?workbook=03_02.xlsx&amp;sheet=A0&amp;row=51&amp;col=13&amp;number=&amp;sourceID=30","")</f>
        <v/>
      </c>
      <c r="N51" s="4" t="str">
        <f>HYPERLINK("http://141.218.60.56/~jnz1568/getInfo.php?workbook=03_02.xlsx&amp;sheet=A0&amp;row=51&amp;col=14&amp;number=&amp;sourceID=30","")</f>
        <v/>
      </c>
    </row>
    <row r="52" spans="1:14">
      <c r="A52" s="3">
        <v>3</v>
      </c>
      <c r="B52" s="3">
        <v>2</v>
      </c>
      <c r="C52" s="3">
        <v>12</v>
      </c>
      <c r="D52" s="3">
        <v>7</v>
      </c>
      <c r="E52" s="3">
        <f>((1/(INDEX(E0!J$4:J$52,C52,1)-INDEX(E0!J$4:J$52,D52,1))))*100000000</f>
        <v>0</v>
      </c>
      <c r="F52" s="4" t="str">
        <f>HYPERLINK("http://141.218.60.56/~jnz1568/getInfo.php?workbook=03_02.xlsx&amp;sheet=A0&amp;row=52&amp;col=6&amp;number=&amp;sourceID=27","")</f>
        <v/>
      </c>
      <c r="G52" s="4" t="str">
        <f>HYPERLINK("http://141.218.60.56/~jnz1568/getInfo.php?workbook=03_02.xlsx&amp;sheet=A0&amp;row=52&amp;col=7&amp;number=&amp;sourceID=15","")</f>
        <v/>
      </c>
      <c r="H52" s="4" t="str">
        <f>HYPERLINK("http://141.218.60.56/~jnz1568/getInfo.php?workbook=03_02.xlsx&amp;sheet=A0&amp;row=52&amp;col=8&amp;number=&amp;sourceID=15","")</f>
        <v/>
      </c>
      <c r="I52" s="4" t="str">
        <f>HYPERLINK("http://141.218.60.56/~jnz1568/getInfo.php?workbook=03_02.xlsx&amp;sheet=A0&amp;row=52&amp;col=9&amp;number=&amp;sourceID=15","")</f>
        <v/>
      </c>
      <c r="J52" s="4" t="str">
        <f>HYPERLINK("http://141.218.60.56/~jnz1568/getInfo.php?workbook=03_02.xlsx&amp;sheet=A0&amp;row=52&amp;col=10&amp;number=&amp;sourceID=15","")</f>
        <v/>
      </c>
      <c r="K52" s="4" t="str">
        <f>HYPERLINK("http://141.218.60.56/~jnz1568/getInfo.php?workbook=03_02.xlsx&amp;sheet=A0&amp;row=52&amp;col=11&amp;number=&amp;sourceID=30","")</f>
        <v/>
      </c>
      <c r="L52" s="4" t="str">
        <f>HYPERLINK("http://141.218.60.56/~jnz1568/getInfo.php?workbook=03_02.xlsx&amp;sheet=A0&amp;row=52&amp;col=12&amp;number=&amp;sourceID=30","")</f>
        <v/>
      </c>
      <c r="M52" s="4" t="str">
        <f>HYPERLINK("http://141.218.60.56/~jnz1568/getInfo.php?workbook=03_02.xlsx&amp;sheet=A0&amp;row=52&amp;col=13&amp;number=3.917e-05&amp;sourceID=30","3.917e-05")</f>
        <v>3.917e-05</v>
      </c>
      <c r="N52" s="4" t="str">
        <f>HYPERLINK("http://141.218.60.56/~jnz1568/getInfo.php?workbook=03_02.xlsx&amp;sheet=A0&amp;row=52&amp;col=14&amp;number=&amp;sourceID=30","")</f>
        <v/>
      </c>
    </row>
    <row r="53" spans="1:14">
      <c r="A53" s="3">
        <v>3</v>
      </c>
      <c r="B53" s="3">
        <v>2</v>
      </c>
      <c r="C53" s="3">
        <v>12</v>
      </c>
      <c r="D53" s="3">
        <v>8</v>
      </c>
      <c r="E53" s="3">
        <f>((1/(INDEX(E0!J$4:J$52,C53,1)-INDEX(E0!J$4:J$52,D53,1))))*100000000</f>
        <v>0</v>
      </c>
      <c r="F53" s="4" t="str">
        <f>HYPERLINK("http://141.218.60.56/~jnz1568/getInfo.php?workbook=03_02.xlsx&amp;sheet=A0&amp;row=53&amp;col=6&amp;number=&amp;sourceID=27","")</f>
        <v/>
      </c>
      <c r="G53" s="4" t="str">
        <f>HYPERLINK("http://141.218.60.56/~jnz1568/getInfo.php?workbook=03_02.xlsx&amp;sheet=A0&amp;row=53&amp;col=7&amp;number=&amp;sourceID=15","")</f>
        <v/>
      </c>
      <c r="H53" s="4" t="str">
        <f>HYPERLINK("http://141.218.60.56/~jnz1568/getInfo.php?workbook=03_02.xlsx&amp;sheet=A0&amp;row=53&amp;col=8&amp;number=&amp;sourceID=15","")</f>
        <v/>
      </c>
      <c r="I53" s="4" t="str">
        <f>HYPERLINK("http://141.218.60.56/~jnz1568/getInfo.php?workbook=03_02.xlsx&amp;sheet=A0&amp;row=53&amp;col=9&amp;number=&amp;sourceID=15","")</f>
        <v/>
      </c>
      <c r="J53" s="4" t="str">
        <f>HYPERLINK("http://141.218.60.56/~jnz1568/getInfo.php?workbook=03_02.xlsx&amp;sheet=A0&amp;row=53&amp;col=10&amp;number=&amp;sourceID=15","")</f>
        <v/>
      </c>
      <c r="K53" s="4" t="str">
        <f>HYPERLINK("http://141.218.60.56/~jnz1568/getInfo.php?workbook=03_02.xlsx&amp;sheet=A0&amp;row=53&amp;col=11&amp;number=2784000&amp;sourceID=30","2784000")</f>
        <v>2784000</v>
      </c>
      <c r="L53" s="4" t="str">
        <f>HYPERLINK("http://141.218.60.56/~jnz1568/getInfo.php?workbook=03_02.xlsx&amp;sheet=A0&amp;row=53&amp;col=12&amp;number=&amp;sourceID=30","")</f>
        <v/>
      </c>
      <c r="M53" s="4" t="str">
        <f>HYPERLINK("http://141.218.60.56/~jnz1568/getInfo.php?workbook=03_02.xlsx&amp;sheet=A0&amp;row=53&amp;col=13&amp;number=&amp;sourceID=30","")</f>
        <v/>
      </c>
      <c r="N53" s="4" t="str">
        <f>HYPERLINK("http://141.218.60.56/~jnz1568/getInfo.php?workbook=03_02.xlsx&amp;sheet=A0&amp;row=53&amp;col=14&amp;number=&amp;sourceID=30","")</f>
        <v/>
      </c>
    </row>
    <row r="54" spans="1:14">
      <c r="A54" s="3">
        <v>3</v>
      </c>
      <c r="B54" s="3">
        <v>2</v>
      </c>
      <c r="C54" s="3">
        <v>13</v>
      </c>
      <c r="D54" s="3">
        <v>1</v>
      </c>
      <c r="E54" s="3">
        <f>((1/(INDEX(E0!J$4:J$52,C54,1)-INDEX(E0!J$4:J$52,D54,1))))*100000000</f>
        <v>0</v>
      </c>
      <c r="F54" s="4" t="str">
        <f>HYPERLINK("http://141.218.60.56/~jnz1568/getInfo.php?workbook=03_02.xlsx&amp;sheet=A0&amp;row=54&amp;col=6&amp;number=&amp;sourceID=27","")</f>
        <v/>
      </c>
      <c r="G54" s="4" t="str">
        <f>HYPERLINK("http://141.218.60.56/~jnz1568/getInfo.php?workbook=03_02.xlsx&amp;sheet=A0&amp;row=54&amp;col=7&amp;number=&amp;sourceID=15","")</f>
        <v/>
      </c>
      <c r="H54" s="4" t="str">
        <f>HYPERLINK("http://141.218.60.56/~jnz1568/getInfo.php?workbook=03_02.xlsx&amp;sheet=A0&amp;row=54&amp;col=8&amp;number=&amp;sourceID=15","")</f>
        <v/>
      </c>
      <c r="I54" s="4" t="str">
        <f>HYPERLINK("http://141.218.60.56/~jnz1568/getInfo.php?workbook=03_02.xlsx&amp;sheet=A0&amp;row=54&amp;col=9&amp;number=&amp;sourceID=15","")</f>
        <v/>
      </c>
      <c r="J54" s="4" t="str">
        <f>HYPERLINK("http://141.218.60.56/~jnz1568/getInfo.php?workbook=03_02.xlsx&amp;sheet=A0&amp;row=54&amp;col=10&amp;number=&amp;sourceID=15","")</f>
        <v/>
      </c>
      <c r="K54" s="4" t="str">
        <f>HYPERLINK("http://141.218.60.56/~jnz1568/getInfo.php?workbook=03_02.xlsx&amp;sheet=A0&amp;row=54&amp;col=11&amp;number=&amp;sourceID=30","")</f>
        <v/>
      </c>
      <c r="L54" s="4" t="str">
        <f>HYPERLINK("http://141.218.60.56/~jnz1568/getInfo.php?workbook=03_02.xlsx&amp;sheet=A0&amp;row=54&amp;col=12&amp;number=1.366&amp;sourceID=30","1.366")</f>
        <v>1.366</v>
      </c>
      <c r="M54" s="4" t="str">
        <f>HYPERLINK("http://141.218.60.56/~jnz1568/getInfo.php?workbook=03_02.xlsx&amp;sheet=A0&amp;row=54&amp;col=13&amp;number=&amp;sourceID=30","")</f>
        <v/>
      </c>
      <c r="N54" s="4" t="str">
        <f>HYPERLINK("http://141.218.60.56/~jnz1568/getInfo.php?workbook=03_02.xlsx&amp;sheet=A0&amp;row=54&amp;col=14&amp;number=&amp;sourceID=30","")</f>
        <v/>
      </c>
    </row>
    <row r="55" spans="1:14">
      <c r="A55" s="3">
        <v>3</v>
      </c>
      <c r="B55" s="3">
        <v>2</v>
      </c>
      <c r="C55" s="3">
        <v>13</v>
      </c>
      <c r="D55" s="3">
        <v>2</v>
      </c>
      <c r="E55" s="3">
        <f>((1/(INDEX(E0!J$4:J$52,C55,1)-INDEX(E0!J$4:J$52,D55,1))))*100000000</f>
        <v>0</v>
      </c>
      <c r="F55" s="4" t="str">
        <f>HYPERLINK("http://141.218.60.56/~jnz1568/getInfo.php?workbook=03_02.xlsx&amp;sheet=A0&amp;row=55&amp;col=6&amp;number=&amp;sourceID=27","")</f>
        <v/>
      </c>
      <c r="G55" s="4" t="str">
        <f>HYPERLINK("http://141.218.60.56/~jnz1568/getInfo.php?workbook=03_02.xlsx&amp;sheet=A0&amp;row=55&amp;col=7&amp;number=&amp;sourceID=15","")</f>
        <v/>
      </c>
      <c r="H55" s="4" t="str">
        <f>HYPERLINK("http://141.218.60.56/~jnz1568/getInfo.php?workbook=03_02.xlsx&amp;sheet=A0&amp;row=55&amp;col=8&amp;number=&amp;sourceID=15","")</f>
        <v/>
      </c>
      <c r="I55" s="4" t="str">
        <f>HYPERLINK("http://141.218.60.56/~jnz1568/getInfo.php?workbook=03_02.xlsx&amp;sheet=A0&amp;row=55&amp;col=9&amp;number=&amp;sourceID=15","")</f>
        <v/>
      </c>
      <c r="J55" s="4" t="str">
        <f>HYPERLINK("http://141.218.60.56/~jnz1568/getInfo.php?workbook=03_02.xlsx&amp;sheet=A0&amp;row=55&amp;col=10&amp;number=&amp;sourceID=15","")</f>
        <v/>
      </c>
      <c r="K55" s="4" t="str">
        <f>HYPERLINK("http://141.218.60.56/~jnz1568/getInfo.php?workbook=03_02.xlsx&amp;sheet=A0&amp;row=55&amp;col=11&amp;number=&amp;sourceID=30","")</f>
        <v/>
      </c>
      <c r="L55" s="4" t="str">
        <f>HYPERLINK("http://141.218.60.56/~jnz1568/getInfo.php?workbook=03_02.xlsx&amp;sheet=A0&amp;row=55&amp;col=12&amp;number=7548&amp;sourceID=30","7548")</f>
        <v>7548</v>
      </c>
      <c r="M55" s="4" t="str">
        <f>HYPERLINK("http://141.218.60.56/~jnz1568/getInfo.php?workbook=03_02.xlsx&amp;sheet=A0&amp;row=55&amp;col=13&amp;number=6.336e-09&amp;sourceID=30","6.336e-09")</f>
        <v>6.336e-09</v>
      </c>
      <c r="N55" s="4" t="str">
        <f>HYPERLINK("http://141.218.60.56/~jnz1568/getInfo.php?workbook=03_02.xlsx&amp;sheet=A0&amp;row=55&amp;col=14&amp;number=&amp;sourceID=30","")</f>
        <v/>
      </c>
    </row>
    <row r="56" spans="1:14">
      <c r="A56" s="3">
        <v>3</v>
      </c>
      <c r="B56" s="3">
        <v>2</v>
      </c>
      <c r="C56" s="3">
        <v>13</v>
      </c>
      <c r="D56" s="3">
        <v>3</v>
      </c>
      <c r="E56" s="3">
        <f>((1/(INDEX(E0!J$4:J$52,C56,1)-INDEX(E0!J$4:J$52,D56,1))))*100000000</f>
        <v>0</v>
      </c>
      <c r="F56" s="4" t="str">
        <f>HYPERLINK("http://141.218.60.56/~jnz1568/getInfo.php?workbook=03_02.xlsx&amp;sheet=A0&amp;row=56&amp;col=6&amp;number=&amp;sourceID=27","")</f>
        <v/>
      </c>
      <c r="G56" s="4" t="str">
        <f>HYPERLINK("http://141.218.60.56/~jnz1568/getInfo.php?workbook=03_02.xlsx&amp;sheet=A0&amp;row=56&amp;col=7&amp;number=&amp;sourceID=15","")</f>
        <v/>
      </c>
      <c r="H56" s="4" t="str">
        <f>HYPERLINK("http://141.218.60.56/~jnz1568/getInfo.php?workbook=03_02.xlsx&amp;sheet=A0&amp;row=56&amp;col=8&amp;number=&amp;sourceID=15","")</f>
        <v/>
      </c>
      <c r="I56" s="4" t="str">
        <f>HYPERLINK("http://141.218.60.56/~jnz1568/getInfo.php?workbook=03_02.xlsx&amp;sheet=A0&amp;row=56&amp;col=9&amp;number=&amp;sourceID=15","")</f>
        <v/>
      </c>
      <c r="J56" s="4" t="str">
        <f>HYPERLINK("http://141.218.60.56/~jnz1568/getInfo.php?workbook=03_02.xlsx&amp;sheet=A0&amp;row=56&amp;col=10&amp;number=&amp;sourceID=15","")</f>
        <v/>
      </c>
      <c r="K56" s="4" t="str">
        <f>HYPERLINK("http://141.218.60.56/~jnz1568/getInfo.php?workbook=03_02.xlsx&amp;sheet=A0&amp;row=56&amp;col=11&amp;number=&amp;sourceID=30","")</f>
        <v/>
      </c>
      <c r="L56" s="4" t="str">
        <f>HYPERLINK("http://141.218.60.56/~jnz1568/getInfo.php?workbook=03_02.xlsx&amp;sheet=A0&amp;row=56&amp;col=12&amp;number=0.7473&amp;sourceID=30","0.7473")</f>
        <v>0.7473</v>
      </c>
      <c r="M56" s="4" t="str">
        <f>HYPERLINK("http://141.218.60.56/~jnz1568/getInfo.php?workbook=03_02.xlsx&amp;sheet=A0&amp;row=56&amp;col=13&amp;number=&amp;sourceID=30","")</f>
        <v/>
      </c>
      <c r="N56" s="4" t="str">
        <f>HYPERLINK("http://141.218.60.56/~jnz1568/getInfo.php?workbook=03_02.xlsx&amp;sheet=A0&amp;row=56&amp;col=14&amp;number=&amp;sourceID=30","")</f>
        <v/>
      </c>
    </row>
    <row r="57" spans="1:14">
      <c r="A57" s="3">
        <v>3</v>
      </c>
      <c r="B57" s="3">
        <v>2</v>
      </c>
      <c r="C57" s="3">
        <v>13</v>
      </c>
      <c r="D57" s="3">
        <v>4</v>
      </c>
      <c r="E57" s="3">
        <f>((1/(INDEX(E0!J$4:J$52,C57,1)-INDEX(E0!J$4:J$52,D57,1))))*100000000</f>
        <v>0</v>
      </c>
      <c r="F57" s="4" t="str">
        <f>HYPERLINK("http://141.218.60.56/~jnz1568/getInfo.php?workbook=03_02.xlsx&amp;sheet=A0&amp;row=57&amp;col=6&amp;number=&amp;sourceID=27","")</f>
        <v/>
      </c>
      <c r="G57" s="4" t="str">
        <f>HYPERLINK("http://141.218.60.56/~jnz1568/getInfo.php?workbook=03_02.xlsx&amp;sheet=A0&amp;row=57&amp;col=7&amp;number=840930000&amp;sourceID=15","840930000")</f>
        <v>840930000</v>
      </c>
      <c r="H57" s="4" t="str">
        <f>HYPERLINK("http://141.218.60.56/~jnz1568/getInfo.php?workbook=03_02.xlsx&amp;sheet=A0&amp;row=57&amp;col=8&amp;number=&amp;sourceID=15","")</f>
        <v/>
      </c>
      <c r="I57" s="4" t="str">
        <f>HYPERLINK("http://141.218.60.56/~jnz1568/getInfo.php?workbook=03_02.xlsx&amp;sheet=A0&amp;row=57&amp;col=9&amp;number=&amp;sourceID=15","")</f>
        <v/>
      </c>
      <c r="J57" s="4" t="str">
        <f>HYPERLINK("http://141.218.60.56/~jnz1568/getInfo.php?workbook=03_02.xlsx&amp;sheet=A0&amp;row=57&amp;col=10&amp;number=&amp;sourceID=15","")</f>
        <v/>
      </c>
      <c r="K57" s="4" t="str">
        <f>HYPERLINK("http://141.218.60.56/~jnz1568/getInfo.php?workbook=03_02.xlsx&amp;sheet=A0&amp;row=57&amp;col=11&amp;number=829800000&amp;sourceID=30","829800000")</f>
        <v>829800000</v>
      </c>
      <c r="L57" s="4" t="str">
        <f>HYPERLINK("http://141.218.60.56/~jnz1568/getInfo.php?workbook=03_02.xlsx&amp;sheet=A0&amp;row=57&amp;col=12&amp;number=&amp;sourceID=30","")</f>
        <v/>
      </c>
      <c r="M57" s="4" t="str">
        <f>HYPERLINK("http://141.218.60.56/~jnz1568/getInfo.php?workbook=03_02.xlsx&amp;sheet=A0&amp;row=57&amp;col=13&amp;number=&amp;sourceID=30","")</f>
        <v/>
      </c>
      <c r="N57" s="4" t="str">
        <f>HYPERLINK("http://141.218.60.56/~jnz1568/getInfo.php?workbook=03_02.xlsx&amp;sheet=A0&amp;row=57&amp;col=14&amp;number=0.01854&amp;sourceID=30","0.01854")</f>
        <v>0.01854</v>
      </c>
    </row>
    <row r="58" spans="1:14">
      <c r="A58" s="3">
        <v>3</v>
      </c>
      <c r="B58" s="3">
        <v>2</v>
      </c>
      <c r="C58" s="3">
        <v>13</v>
      </c>
      <c r="D58" s="3">
        <v>5</v>
      </c>
      <c r="E58" s="3">
        <f>((1/(INDEX(E0!J$4:J$52,C58,1)-INDEX(E0!J$4:J$52,D58,1))))*100000000</f>
        <v>0</v>
      </c>
      <c r="F58" s="4" t="str">
        <f>HYPERLINK("http://141.218.60.56/~jnz1568/getInfo.php?workbook=03_02.xlsx&amp;sheet=A0&amp;row=58&amp;col=6&amp;number=&amp;sourceID=27","")</f>
        <v/>
      </c>
      <c r="G58" s="4" t="str">
        <f>HYPERLINK("http://141.218.60.56/~jnz1568/getInfo.php?workbook=03_02.xlsx&amp;sheet=A0&amp;row=58&amp;col=7&amp;number=280300000&amp;sourceID=15","280300000")</f>
        <v>280300000</v>
      </c>
      <c r="H58" s="4" t="str">
        <f>HYPERLINK("http://141.218.60.56/~jnz1568/getInfo.php?workbook=03_02.xlsx&amp;sheet=A0&amp;row=58&amp;col=8&amp;number=&amp;sourceID=15","")</f>
        <v/>
      </c>
      <c r="I58" s="4" t="str">
        <f>HYPERLINK("http://141.218.60.56/~jnz1568/getInfo.php?workbook=03_02.xlsx&amp;sheet=A0&amp;row=58&amp;col=9&amp;number=&amp;sourceID=15","")</f>
        <v/>
      </c>
      <c r="J58" s="4" t="str">
        <f>HYPERLINK("http://141.218.60.56/~jnz1568/getInfo.php?workbook=03_02.xlsx&amp;sheet=A0&amp;row=58&amp;col=10&amp;number=&amp;sourceID=15","")</f>
        <v/>
      </c>
      <c r="K58" s="4" t="str">
        <f>HYPERLINK("http://141.218.60.56/~jnz1568/getInfo.php?workbook=03_02.xlsx&amp;sheet=A0&amp;row=58&amp;col=11&amp;number=276600000&amp;sourceID=30","276600000")</f>
        <v>276600000</v>
      </c>
      <c r="L58" s="4" t="str">
        <f>HYPERLINK("http://141.218.60.56/~jnz1568/getInfo.php?workbook=03_02.xlsx&amp;sheet=A0&amp;row=58&amp;col=12&amp;number=&amp;sourceID=30","")</f>
        <v/>
      </c>
      <c r="M58" s="4" t="str">
        <f>HYPERLINK("http://141.218.60.56/~jnz1568/getInfo.php?workbook=03_02.xlsx&amp;sheet=A0&amp;row=58&amp;col=13&amp;number=&amp;sourceID=30","")</f>
        <v/>
      </c>
      <c r="N58" s="4" t="str">
        <f>HYPERLINK("http://141.218.60.56/~jnz1568/getInfo.php?workbook=03_02.xlsx&amp;sheet=A0&amp;row=58&amp;col=14&amp;number=0.008053&amp;sourceID=30","0.008053")</f>
        <v>0.008053</v>
      </c>
    </row>
    <row r="59" spans="1:14">
      <c r="A59" s="3">
        <v>3</v>
      </c>
      <c r="B59" s="3">
        <v>2</v>
      </c>
      <c r="C59" s="3">
        <v>13</v>
      </c>
      <c r="D59" s="3">
        <v>6</v>
      </c>
      <c r="E59" s="3">
        <f>((1/(INDEX(E0!J$4:J$52,C59,1)-INDEX(E0!J$4:J$52,D59,1))))*100000000</f>
        <v>0</v>
      </c>
      <c r="F59" s="4" t="str">
        <f>HYPERLINK("http://141.218.60.56/~jnz1568/getInfo.php?workbook=03_02.xlsx&amp;sheet=A0&amp;row=59&amp;col=6&amp;number=&amp;sourceID=27","")</f>
        <v/>
      </c>
      <c r="G59" s="4" t="str">
        <f>HYPERLINK("http://141.218.60.56/~jnz1568/getInfo.php?workbook=03_02.xlsx&amp;sheet=A0&amp;row=59&amp;col=7&amp;number=&amp;sourceID=15","")</f>
        <v/>
      </c>
      <c r="H59" s="4" t="str">
        <f>HYPERLINK("http://141.218.60.56/~jnz1568/getInfo.php?workbook=03_02.xlsx&amp;sheet=A0&amp;row=59&amp;col=8&amp;number=&amp;sourceID=15","")</f>
        <v/>
      </c>
      <c r="I59" s="4" t="str">
        <f>HYPERLINK("http://141.218.60.56/~jnz1568/getInfo.php?workbook=03_02.xlsx&amp;sheet=A0&amp;row=59&amp;col=9&amp;number=&amp;sourceID=15","")</f>
        <v/>
      </c>
      <c r="J59" s="4" t="str">
        <f>HYPERLINK("http://141.218.60.56/~jnz1568/getInfo.php?workbook=03_02.xlsx&amp;sheet=A0&amp;row=59&amp;col=10&amp;number=&amp;sourceID=15","")</f>
        <v/>
      </c>
      <c r="K59" s="4" t="str">
        <f>HYPERLINK("http://141.218.60.56/~jnz1568/getInfo.php?workbook=03_02.xlsx&amp;sheet=A0&amp;row=59&amp;col=11&amp;number=&amp;sourceID=30","")</f>
        <v/>
      </c>
      <c r="L59" s="4" t="str">
        <f>HYPERLINK("http://141.218.60.56/~jnz1568/getInfo.php?workbook=03_02.xlsx&amp;sheet=A0&amp;row=59&amp;col=12&amp;number=&amp;sourceID=30","")</f>
        <v/>
      </c>
      <c r="M59" s="4" t="str">
        <f>HYPERLINK("http://141.218.60.56/~jnz1568/getInfo.php?workbook=03_02.xlsx&amp;sheet=A0&amp;row=59&amp;col=13&amp;number=&amp;sourceID=30","")</f>
        <v/>
      </c>
      <c r="N59" s="4" t="str">
        <f>HYPERLINK("http://141.218.60.56/~jnz1568/getInfo.php?workbook=03_02.xlsx&amp;sheet=A0&amp;row=59&amp;col=14&amp;number=0.001113&amp;sourceID=30","0.001113")</f>
        <v>0.001113</v>
      </c>
    </row>
    <row r="60" spans="1:14">
      <c r="A60" s="3">
        <v>3</v>
      </c>
      <c r="B60" s="3">
        <v>2</v>
      </c>
      <c r="C60" s="3">
        <v>13</v>
      </c>
      <c r="D60" s="3">
        <v>7</v>
      </c>
      <c r="E60" s="3">
        <f>((1/(INDEX(E0!J$4:J$52,C60,1)-INDEX(E0!J$4:J$52,D60,1))))*100000000</f>
        <v>0</v>
      </c>
      <c r="F60" s="4" t="str">
        <f>HYPERLINK("http://141.218.60.56/~jnz1568/getInfo.php?workbook=03_02.xlsx&amp;sheet=A0&amp;row=60&amp;col=6&amp;number=&amp;sourceID=27","")</f>
        <v/>
      </c>
      <c r="G60" s="4" t="str">
        <f>HYPERLINK("http://141.218.60.56/~jnz1568/getInfo.php?workbook=03_02.xlsx&amp;sheet=A0&amp;row=60&amp;col=7&amp;number=340000&amp;sourceID=15","340000")</f>
        <v>340000</v>
      </c>
      <c r="H60" s="4" t="str">
        <f>HYPERLINK("http://141.218.60.56/~jnz1568/getInfo.php?workbook=03_02.xlsx&amp;sheet=A0&amp;row=60&amp;col=8&amp;number=&amp;sourceID=15","")</f>
        <v/>
      </c>
      <c r="I60" s="4" t="str">
        <f>HYPERLINK("http://141.218.60.56/~jnz1568/getInfo.php?workbook=03_02.xlsx&amp;sheet=A0&amp;row=60&amp;col=9&amp;number=&amp;sourceID=15","")</f>
        <v/>
      </c>
      <c r="J60" s="4" t="str">
        <f>HYPERLINK("http://141.218.60.56/~jnz1568/getInfo.php?workbook=03_02.xlsx&amp;sheet=A0&amp;row=60&amp;col=10&amp;number=&amp;sourceID=15","")</f>
        <v/>
      </c>
      <c r="K60" s="4" t="str">
        <f>HYPERLINK("http://141.218.60.56/~jnz1568/getInfo.php?workbook=03_02.xlsx&amp;sheet=A0&amp;row=60&amp;col=11&amp;number=157400&amp;sourceID=30","157400")</f>
        <v>157400</v>
      </c>
      <c r="L60" s="4" t="str">
        <f>HYPERLINK("http://141.218.60.56/~jnz1568/getInfo.php?workbook=03_02.xlsx&amp;sheet=A0&amp;row=60&amp;col=12&amp;number=&amp;sourceID=30","")</f>
        <v/>
      </c>
      <c r="M60" s="4" t="str">
        <f>HYPERLINK("http://141.218.60.56/~jnz1568/getInfo.php?workbook=03_02.xlsx&amp;sheet=A0&amp;row=60&amp;col=13&amp;number=&amp;sourceID=30","")</f>
        <v/>
      </c>
      <c r="N60" s="4" t="str">
        <f>HYPERLINK("http://141.218.60.56/~jnz1568/getInfo.php?workbook=03_02.xlsx&amp;sheet=A0&amp;row=60&amp;col=14&amp;number=0.003578&amp;sourceID=30","0.003578")</f>
        <v>0.003578</v>
      </c>
    </row>
    <row r="61" spans="1:14">
      <c r="A61" s="3">
        <v>3</v>
      </c>
      <c r="B61" s="3">
        <v>2</v>
      </c>
      <c r="C61" s="3">
        <v>13</v>
      </c>
      <c r="D61" s="3">
        <v>8</v>
      </c>
      <c r="E61" s="3">
        <f>((1/(INDEX(E0!J$4:J$52,C61,1)-INDEX(E0!J$4:J$52,D61,1))))*100000000</f>
        <v>0</v>
      </c>
      <c r="F61" s="4" t="str">
        <f>HYPERLINK("http://141.218.60.56/~jnz1568/getInfo.php?workbook=03_02.xlsx&amp;sheet=A0&amp;row=61&amp;col=6&amp;number=&amp;sourceID=27","")</f>
        <v/>
      </c>
      <c r="G61" s="4" t="str">
        <f>HYPERLINK("http://141.218.60.56/~jnz1568/getInfo.php?workbook=03_02.xlsx&amp;sheet=A0&amp;row=61&amp;col=7&amp;number=&amp;sourceID=15","")</f>
        <v/>
      </c>
      <c r="H61" s="4" t="str">
        <f>HYPERLINK("http://141.218.60.56/~jnz1568/getInfo.php?workbook=03_02.xlsx&amp;sheet=A0&amp;row=61&amp;col=8&amp;number=&amp;sourceID=15","")</f>
        <v/>
      </c>
      <c r="I61" s="4" t="str">
        <f>HYPERLINK("http://141.218.60.56/~jnz1568/getInfo.php?workbook=03_02.xlsx&amp;sheet=A0&amp;row=61&amp;col=9&amp;number=&amp;sourceID=15","")</f>
        <v/>
      </c>
      <c r="J61" s="4" t="str">
        <f>HYPERLINK("http://141.218.60.56/~jnz1568/getInfo.php?workbook=03_02.xlsx&amp;sheet=A0&amp;row=61&amp;col=10&amp;number=&amp;sourceID=15","")</f>
        <v/>
      </c>
      <c r="K61" s="4" t="str">
        <f>HYPERLINK("http://141.218.60.56/~jnz1568/getInfo.php?workbook=03_02.xlsx&amp;sheet=A0&amp;row=61&amp;col=11&amp;number=&amp;sourceID=30","")</f>
        <v/>
      </c>
      <c r="L61" s="4" t="str">
        <f>HYPERLINK("http://141.218.60.56/~jnz1568/getInfo.php?workbook=03_02.xlsx&amp;sheet=A0&amp;row=61&amp;col=12&amp;number=0.2785&amp;sourceID=30","0.2785")</f>
        <v>0.2785</v>
      </c>
      <c r="M61" s="4" t="str">
        <f>HYPERLINK("http://141.218.60.56/~jnz1568/getInfo.php?workbook=03_02.xlsx&amp;sheet=A0&amp;row=61&amp;col=13&amp;number=1.168e-09&amp;sourceID=30","1.168e-09")</f>
        <v>1.168e-09</v>
      </c>
      <c r="N61" s="4" t="str">
        <f>HYPERLINK("http://141.218.60.56/~jnz1568/getInfo.php?workbook=03_02.xlsx&amp;sheet=A0&amp;row=61&amp;col=14&amp;number=&amp;sourceID=30","")</f>
        <v/>
      </c>
    </row>
    <row r="62" spans="1:14">
      <c r="A62" s="3">
        <v>3</v>
      </c>
      <c r="B62" s="3">
        <v>2</v>
      </c>
      <c r="C62" s="3">
        <v>13</v>
      </c>
      <c r="D62" s="3">
        <v>9</v>
      </c>
      <c r="E62" s="3">
        <f>((1/(INDEX(E0!J$4:J$52,C62,1)-INDEX(E0!J$4:J$52,D62,1))))*100000000</f>
        <v>0</v>
      </c>
      <c r="F62" s="4" t="str">
        <f>HYPERLINK("http://141.218.60.56/~jnz1568/getInfo.php?workbook=03_02.xlsx&amp;sheet=A0&amp;row=62&amp;col=6&amp;number=&amp;sourceID=27","")</f>
        <v/>
      </c>
      <c r="G62" s="4" t="str">
        <f>HYPERLINK("http://141.218.60.56/~jnz1568/getInfo.php?workbook=03_02.xlsx&amp;sheet=A0&amp;row=62&amp;col=7&amp;number=&amp;sourceID=15","")</f>
        <v/>
      </c>
      <c r="H62" s="4" t="str">
        <f>HYPERLINK("http://141.218.60.56/~jnz1568/getInfo.php?workbook=03_02.xlsx&amp;sheet=A0&amp;row=62&amp;col=8&amp;number=&amp;sourceID=15","")</f>
        <v/>
      </c>
      <c r="I62" s="4" t="str">
        <f>HYPERLINK("http://141.218.60.56/~jnz1568/getInfo.php?workbook=03_02.xlsx&amp;sheet=A0&amp;row=62&amp;col=9&amp;number=&amp;sourceID=15","")</f>
        <v/>
      </c>
      <c r="J62" s="4" t="str">
        <f>HYPERLINK("http://141.218.60.56/~jnz1568/getInfo.php?workbook=03_02.xlsx&amp;sheet=A0&amp;row=62&amp;col=10&amp;number=&amp;sourceID=15","")</f>
        <v/>
      </c>
      <c r="K62" s="4" t="str">
        <f>HYPERLINK("http://141.218.60.56/~jnz1568/getInfo.php?workbook=03_02.xlsx&amp;sheet=A0&amp;row=62&amp;col=11&amp;number=&amp;sourceID=30","")</f>
        <v/>
      </c>
      <c r="L62" s="4" t="str">
        <f>HYPERLINK("http://141.218.60.56/~jnz1568/getInfo.php?workbook=03_02.xlsx&amp;sheet=A0&amp;row=62&amp;col=12&amp;number=4.088e-09&amp;sourceID=30","4.088e-09")</f>
        <v>4.088e-09</v>
      </c>
      <c r="M62" s="4" t="str">
        <f>HYPERLINK("http://141.218.60.56/~jnz1568/getInfo.php?workbook=03_02.xlsx&amp;sheet=A0&amp;row=62&amp;col=13&amp;number=&amp;sourceID=30","")</f>
        <v/>
      </c>
      <c r="N62" s="4" t="str">
        <f>HYPERLINK("http://141.218.60.56/~jnz1568/getInfo.php?workbook=03_02.xlsx&amp;sheet=A0&amp;row=62&amp;col=14&amp;number=&amp;sourceID=30","")</f>
        <v/>
      </c>
    </row>
    <row r="63" spans="1:14">
      <c r="A63" s="3">
        <v>3</v>
      </c>
      <c r="B63" s="3">
        <v>2</v>
      </c>
      <c r="C63" s="3">
        <v>13</v>
      </c>
      <c r="D63" s="3">
        <v>10</v>
      </c>
      <c r="E63" s="3">
        <f>((1/(INDEX(E0!J$4:J$52,C63,1)-INDEX(E0!J$4:J$52,D63,1))))*100000000</f>
        <v>0</v>
      </c>
      <c r="F63" s="4" t="str">
        <f>HYPERLINK("http://141.218.60.56/~jnz1568/getInfo.php?workbook=03_02.xlsx&amp;sheet=A0&amp;row=63&amp;col=6&amp;number=&amp;sourceID=27","")</f>
        <v/>
      </c>
      <c r="G63" s="4" t="str">
        <f>HYPERLINK("http://141.218.60.56/~jnz1568/getInfo.php?workbook=03_02.xlsx&amp;sheet=A0&amp;row=63&amp;col=7&amp;number=82552&amp;sourceID=15","82552")</f>
        <v>82552</v>
      </c>
      <c r="H63" s="4" t="str">
        <f>HYPERLINK("http://141.218.60.56/~jnz1568/getInfo.php?workbook=03_02.xlsx&amp;sheet=A0&amp;row=63&amp;col=8&amp;number=&amp;sourceID=15","")</f>
        <v/>
      </c>
      <c r="I63" s="4" t="str">
        <f>HYPERLINK("http://141.218.60.56/~jnz1568/getInfo.php?workbook=03_02.xlsx&amp;sheet=A0&amp;row=63&amp;col=9&amp;number=&amp;sourceID=15","")</f>
        <v/>
      </c>
      <c r="J63" s="4" t="str">
        <f>HYPERLINK("http://141.218.60.56/~jnz1568/getInfo.php?workbook=03_02.xlsx&amp;sheet=A0&amp;row=63&amp;col=10&amp;number=&amp;sourceID=15","")</f>
        <v/>
      </c>
      <c r="K63" s="4" t="str">
        <f>HYPERLINK("http://141.218.60.56/~jnz1568/getInfo.php?workbook=03_02.xlsx&amp;sheet=A0&amp;row=63&amp;col=11&amp;number=58890&amp;sourceID=30","58890")</f>
        <v>58890</v>
      </c>
      <c r="L63" s="4" t="str">
        <f>HYPERLINK("http://141.218.60.56/~jnz1568/getInfo.php?workbook=03_02.xlsx&amp;sheet=A0&amp;row=63&amp;col=12&amp;number=&amp;sourceID=30","")</f>
        <v/>
      </c>
      <c r="M63" s="4" t="str">
        <f>HYPERLINK("http://141.218.60.56/~jnz1568/getInfo.php?workbook=03_02.xlsx&amp;sheet=A0&amp;row=63&amp;col=13&amp;number=&amp;sourceID=30","")</f>
        <v/>
      </c>
      <c r="N63" s="4" t="str">
        <f>HYPERLINK("http://141.218.60.56/~jnz1568/getInfo.php?workbook=03_02.xlsx&amp;sheet=A0&amp;row=63&amp;col=14&amp;number=7.259e-10&amp;sourceID=30","7.259e-10")</f>
        <v>7.259e-10</v>
      </c>
    </row>
    <row r="64" spans="1:14">
      <c r="A64" s="3">
        <v>3</v>
      </c>
      <c r="B64" s="3">
        <v>2</v>
      </c>
      <c r="C64" s="3">
        <v>13</v>
      </c>
      <c r="D64" s="3">
        <v>11</v>
      </c>
      <c r="E64" s="3">
        <f>((1/(INDEX(E0!J$4:J$52,C64,1)-INDEX(E0!J$4:J$52,D64,1))))*100000000</f>
        <v>0</v>
      </c>
      <c r="F64" s="4" t="str">
        <f>HYPERLINK("http://141.218.60.56/~jnz1568/getInfo.php?workbook=03_02.xlsx&amp;sheet=A0&amp;row=64&amp;col=6&amp;number=&amp;sourceID=27","")</f>
        <v/>
      </c>
      <c r="G64" s="4" t="str">
        <f>HYPERLINK("http://141.218.60.56/~jnz1568/getInfo.php?workbook=03_02.xlsx&amp;sheet=A0&amp;row=64&amp;col=7&amp;number=27516&amp;sourceID=15","27516")</f>
        <v>27516</v>
      </c>
      <c r="H64" s="4" t="str">
        <f>HYPERLINK("http://141.218.60.56/~jnz1568/getInfo.php?workbook=03_02.xlsx&amp;sheet=A0&amp;row=64&amp;col=8&amp;number=&amp;sourceID=15","")</f>
        <v/>
      </c>
      <c r="I64" s="4" t="str">
        <f>HYPERLINK("http://141.218.60.56/~jnz1568/getInfo.php?workbook=03_02.xlsx&amp;sheet=A0&amp;row=64&amp;col=9&amp;number=&amp;sourceID=15","")</f>
        <v/>
      </c>
      <c r="J64" s="4" t="str">
        <f>HYPERLINK("http://141.218.60.56/~jnz1568/getInfo.php?workbook=03_02.xlsx&amp;sheet=A0&amp;row=64&amp;col=10&amp;number=&amp;sourceID=15","")</f>
        <v/>
      </c>
      <c r="K64" s="4" t="str">
        <f>HYPERLINK("http://141.218.60.56/~jnz1568/getInfo.php?workbook=03_02.xlsx&amp;sheet=A0&amp;row=64&amp;col=11&amp;number=19610&amp;sourceID=30","19610")</f>
        <v>19610</v>
      </c>
      <c r="L64" s="4" t="str">
        <f>HYPERLINK("http://141.218.60.56/~jnz1568/getInfo.php?workbook=03_02.xlsx&amp;sheet=A0&amp;row=64&amp;col=12&amp;number=&amp;sourceID=30","")</f>
        <v/>
      </c>
      <c r="M64" s="4" t="str">
        <f>HYPERLINK("http://141.218.60.56/~jnz1568/getInfo.php?workbook=03_02.xlsx&amp;sheet=A0&amp;row=64&amp;col=13&amp;number=&amp;sourceID=30","")</f>
        <v/>
      </c>
      <c r="N64" s="4" t="str">
        <f>HYPERLINK("http://141.218.60.56/~jnz1568/getInfo.php?workbook=03_02.xlsx&amp;sheet=A0&amp;row=64&amp;col=14&amp;number=3.146e-10&amp;sourceID=30","3.146e-10")</f>
        <v>3.146e-10</v>
      </c>
    </row>
    <row r="65" spans="1:14">
      <c r="A65" s="3">
        <v>3</v>
      </c>
      <c r="B65" s="3">
        <v>2</v>
      </c>
      <c r="C65" s="3">
        <v>13</v>
      </c>
      <c r="D65" s="3">
        <v>12</v>
      </c>
      <c r="E65" s="3">
        <f>((1/(INDEX(E0!J$4:J$52,C65,1)-INDEX(E0!J$4:J$52,D65,1))))*100000000</f>
        <v>0</v>
      </c>
      <c r="F65" s="4" t="str">
        <f>HYPERLINK("http://141.218.60.56/~jnz1568/getInfo.php?workbook=03_02.xlsx&amp;sheet=A0&amp;row=65&amp;col=6&amp;number=&amp;sourceID=27","")</f>
        <v/>
      </c>
      <c r="G65" s="4" t="str">
        <f>HYPERLINK("http://141.218.60.56/~jnz1568/getInfo.php?workbook=03_02.xlsx&amp;sheet=A0&amp;row=65&amp;col=7&amp;number=&amp;sourceID=15","")</f>
        <v/>
      </c>
      <c r="H65" s="4" t="str">
        <f>HYPERLINK("http://141.218.60.56/~jnz1568/getInfo.php?workbook=03_02.xlsx&amp;sheet=A0&amp;row=65&amp;col=8&amp;number=&amp;sourceID=15","")</f>
        <v/>
      </c>
      <c r="I65" s="4" t="str">
        <f>HYPERLINK("http://141.218.60.56/~jnz1568/getInfo.php?workbook=03_02.xlsx&amp;sheet=A0&amp;row=65&amp;col=9&amp;number=&amp;sourceID=15","")</f>
        <v/>
      </c>
      <c r="J65" s="4" t="str">
        <f>HYPERLINK("http://141.218.60.56/~jnz1568/getInfo.php?workbook=03_02.xlsx&amp;sheet=A0&amp;row=65&amp;col=10&amp;number=&amp;sourceID=15","")</f>
        <v/>
      </c>
      <c r="K65" s="4" t="str">
        <f>HYPERLINK("http://141.218.60.56/~jnz1568/getInfo.php?workbook=03_02.xlsx&amp;sheet=A0&amp;row=65&amp;col=11&amp;number=&amp;sourceID=30","")</f>
        <v/>
      </c>
      <c r="L65" s="4" t="str">
        <f>HYPERLINK("http://141.218.60.56/~jnz1568/getInfo.php?workbook=03_02.xlsx&amp;sheet=A0&amp;row=65&amp;col=12&amp;number=&amp;sourceID=30","")</f>
        <v/>
      </c>
      <c r="M65" s="4" t="str">
        <f>HYPERLINK("http://141.218.60.56/~jnz1568/getInfo.php?workbook=03_02.xlsx&amp;sheet=A0&amp;row=65&amp;col=13&amp;number=&amp;sourceID=30","")</f>
        <v/>
      </c>
      <c r="N65" s="4" t="str">
        <f>HYPERLINK("http://141.218.60.56/~jnz1568/getInfo.php?workbook=03_02.xlsx&amp;sheet=A0&amp;row=65&amp;col=14&amp;number=4.339e-11&amp;sourceID=30","4.339e-11")</f>
        <v>4.339e-11</v>
      </c>
    </row>
    <row r="66" spans="1:14">
      <c r="A66" s="3">
        <v>3</v>
      </c>
      <c r="B66" s="3">
        <v>2</v>
      </c>
      <c r="C66" s="3">
        <v>14</v>
      </c>
      <c r="D66" s="3">
        <v>2</v>
      </c>
      <c r="E66" s="3">
        <f>((1/(INDEX(E0!J$4:J$52,C66,1)-INDEX(E0!J$4:J$52,D66,1))))*100000000</f>
        <v>0</v>
      </c>
      <c r="F66" s="4" t="str">
        <f>HYPERLINK("http://141.218.60.56/~jnz1568/getInfo.php?workbook=03_02.xlsx&amp;sheet=A0&amp;row=66&amp;col=6&amp;number=&amp;sourceID=27","")</f>
        <v/>
      </c>
      <c r="G66" s="4" t="str">
        <f>HYPERLINK("http://141.218.60.56/~jnz1568/getInfo.php?workbook=03_02.xlsx&amp;sheet=A0&amp;row=66&amp;col=7&amp;number=&amp;sourceID=15","")</f>
        <v/>
      </c>
      <c r="H66" s="4" t="str">
        <f>HYPERLINK("http://141.218.60.56/~jnz1568/getInfo.php?workbook=03_02.xlsx&amp;sheet=A0&amp;row=66&amp;col=8&amp;number=&amp;sourceID=15","")</f>
        <v/>
      </c>
      <c r="I66" s="4" t="str">
        <f>HYPERLINK("http://141.218.60.56/~jnz1568/getInfo.php?workbook=03_02.xlsx&amp;sheet=A0&amp;row=66&amp;col=9&amp;number=&amp;sourceID=15","")</f>
        <v/>
      </c>
      <c r="J66" s="4" t="str">
        <f>HYPERLINK("http://141.218.60.56/~jnz1568/getInfo.php?workbook=03_02.xlsx&amp;sheet=A0&amp;row=66&amp;col=10&amp;number=&amp;sourceID=15","")</f>
        <v/>
      </c>
      <c r="K66" s="4" t="str">
        <f>HYPERLINK("http://141.218.60.56/~jnz1568/getInfo.php?workbook=03_02.xlsx&amp;sheet=A0&amp;row=66&amp;col=11&amp;number=&amp;sourceID=30","")</f>
        <v/>
      </c>
      <c r="L66" s="4" t="str">
        <f>HYPERLINK("http://141.218.60.56/~jnz1568/getInfo.php?workbook=03_02.xlsx&amp;sheet=A0&amp;row=66&amp;col=12&amp;number=7549&amp;sourceID=30","7549")</f>
        <v>7549</v>
      </c>
      <c r="M66" s="4" t="str">
        <f>HYPERLINK("http://141.218.60.56/~jnz1568/getInfo.php?workbook=03_02.xlsx&amp;sheet=A0&amp;row=66&amp;col=13&amp;number=&amp;sourceID=30","")</f>
        <v/>
      </c>
      <c r="N66" s="4" t="str">
        <f>HYPERLINK("http://141.218.60.56/~jnz1568/getInfo.php?workbook=03_02.xlsx&amp;sheet=A0&amp;row=66&amp;col=14&amp;number=&amp;sourceID=30","")</f>
        <v/>
      </c>
    </row>
    <row r="67" spans="1:14">
      <c r="A67" s="3">
        <v>3</v>
      </c>
      <c r="B67" s="3">
        <v>2</v>
      </c>
      <c r="C67" s="3">
        <v>14</v>
      </c>
      <c r="D67" s="3">
        <v>4</v>
      </c>
      <c r="E67" s="3">
        <f>((1/(INDEX(E0!J$4:J$52,C67,1)-INDEX(E0!J$4:J$52,D67,1))))*100000000</f>
        <v>0</v>
      </c>
      <c r="F67" s="4" t="str">
        <f>HYPERLINK("http://141.218.60.56/~jnz1568/getInfo.php?workbook=03_02.xlsx&amp;sheet=A0&amp;row=67&amp;col=6&amp;number=&amp;sourceID=27","")</f>
        <v/>
      </c>
      <c r="G67" s="4" t="str">
        <f>HYPERLINK("http://141.218.60.56/~jnz1568/getInfo.php?workbook=03_02.xlsx&amp;sheet=A0&amp;row=67&amp;col=7&amp;number=&amp;sourceID=15","")</f>
        <v/>
      </c>
      <c r="H67" s="4" t="str">
        <f>HYPERLINK("http://141.218.60.56/~jnz1568/getInfo.php?workbook=03_02.xlsx&amp;sheet=A0&amp;row=67&amp;col=8&amp;number=&amp;sourceID=15","")</f>
        <v/>
      </c>
      <c r="I67" s="4" t="str">
        <f>HYPERLINK("http://141.218.60.56/~jnz1568/getInfo.php?workbook=03_02.xlsx&amp;sheet=A0&amp;row=67&amp;col=9&amp;number=&amp;sourceID=15","")</f>
        <v/>
      </c>
      <c r="J67" s="4" t="str">
        <f>HYPERLINK("http://141.218.60.56/~jnz1568/getInfo.php?workbook=03_02.xlsx&amp;sheet=A0&amp;row=67&amp;col=10&amp;number=&amp;sourceID=15","")</f>
        <v/>
      </c>
      <c r="K67" s="4" t="str">
        <f>HYPERLINK("http://141.218.60.56/~jnz1568/getInfo.php?workbook=03_02.xlsx&amp;sheet=A0&amp;row=67&amp;col=11&amp;number=&amp;sourceID=30","")</f>
        <v/>
      </c>
      <c r="L67" s="4" t="str">
        <f>HYPERLINK("http://141.218.60.56/~jnz1568/getInfo.php?workbook=03_02.xlsx&amp;sheet=A0&amp;row=67&amp;col=12&amp;number=&amp;sourceID=30","")</f>
        <v/>
      </c>
      <c r="M67" s="4" t="str">
        <f>HYPERLINK("http://141.218.60.56/~jnz1568/getInfo.php?workbook=03_02.xlsx&amp;sheet=A0&amp;row=67&amp;col=13&amp;number=&amp;sourceID=30","")</f>
        <v/>
      </c>
      <c r="N67" s="4" t="str">
        <f>HYPERLINK("http://141.218.60.56/~jnz1568/getInfo.php?workbook=03_02.xlsx&amp;sheet=A0&amp;row=67&amp;col=14&amp;number=0.001196&amp;sourceID=30","0.001196")</f>
        <v>0.001196</v>
      </c>
    </row>
    <row r="68" spans="1:14">
      <c r="A68" s="3">
        <v>3</v>
      </c>
      <c r="B68" s="3">
        <v>2</v>
      </c>
      <c r="C68" s="3">
        <v>14</v>
      </c>
      <c r="D68" s="3">
        <v>5</v>
      </c>
      <c r="E68" s="3">
        <f>((1/(INDEX(E0!J$4:J$52,C68,1)-INDEX(E0!J$4:J$52,D68,1))))*100000000</f>
        <v>0</v>
      </c>
      <c r="F68" s="4" t="str">
        <f>HYPERLINK("http://141.218.60.56/~jnz1568/getInfo.php?workbook=03_02.xlsx&amp;sheet=A0&amp;row=68&amp;col=6&amp;number=&amp;sourceID=27","")</f>
        <v/>
      </c>
      <c r="G68" s="4" t="str">
        <f>HYPERLINK("http://141.218.60.56/~jnz1568/getInfo.php?workbook=03_02.xlsx&amp;sheet=A0&amp;row=68&amp;col=7&amp;number=1121600000&amp;sourceID=15","1121600000")</f>
        <v>1121600000</v>
      </c>
      <c r="H68" s="4" t="str">
        <f>HYPERLINK("http://141.218.60.56/~jnz1568/getInfo.php?workbook=03_02.xlsx&amp;sheet=A0&amp;row=68&amp;col=8&amp;number=&amp;sourceID=15","")</f>
        <v/>
      </c>
      <c r="I68" s="4" t="str">
        <f>HYPERLINK("http://141.218.60.56/~jnz1568/getInfo.php?workbook=03_02.xlsx&amp;sheet=A0&amp;row=68&amp;col=9&amp;number=&amp;sourceID=15","")</f>
        <v/>
      </c>
      <c r="J68" s="4" t="str">
        <f>HYPERLINK("http://141.218.60.56/~jnz1568/getInfo.php?workbook=03_02.xlsx&amp;sheet=A0&amp;row=68&amp;col=10&amp;number=&amp;sourceID=15","")</f>
        <v/>
      </c>
      <c r="K68" s="4" t="str">
        <f>HYPERLINK("http://141.218.60.56/~jnz1568/getInfo.php?workbook=03_02.xlsx&amp;sheet=A0&amp;row=68&amp;col=11&amp;number=1107000000&amp;sourceID=30","1107000000")</f>
        <v>1107000000</v>
      </c>
      <c r="L68" s="4" t="str">
        <f>HYPERLINK("http://141.218.60.56/~jnz1568/getInfo.php?workbook=03_02.xlsx&amp;sheet=A0&amp;row=68&amp;col=12&amp;number=&amp;sourceID=30","")</f>
        <v/>
      </c>
      <c r="M68" s="4" t="str">
        <f>HYPERLINK("http://141.218.60.56/~jnz1568/getInfo.php?workbook=03_02.xlsx&amp;sheet=A0&amp;row=68&amp;col=13&amp;number=&amp;sourceID=30","")</f>
        <v/>
      </c>
      <c r="N68" s="4" t="str">
        <f>HYPERLINK("http://141.218.60.56/~jnz1568/getInfo.php?workbook=03_02.xlsx&amp;sheet=A0&amp;row=68&amp;col=14&amp;number=0.05943&amp;sourceID=30","0.05943")</f>
        <v>0.05943</v>
      </c>
    </row>
    <row r="69" spans="1:14">
      <c r="A69" s="3">
        <v>3</v>
      </c>
      <c r="B69" s="3">
        <v>2</v>
      </c>
      <c r="C69" s="3">
        <v>14</v>
      </c>
      <c r="D69" s="3">
        <v>7</v>
      </c>
      <c r="E69" s="3">
        <f>((1/(INDEX(E0!J$4:J$52,C69,1)-INDEX(E0!J$4:J$52,D69,1))))*100000000</f>
        <v>0</v>
      </c>
      <c r="F69" s="4" t="str">
        <f>HYPERLINK("http://141.218.60.56/~jnz1568/getInfo.php?workbook=03_02.xlsx&amp;sheet=A0&amp;row=69&amp;col=6&amp;number=&amp;sourceID=27","")</f>
        <v/>
      </c>
      <c r="G69" s="4" t="str">
        <f>HYPERLINK("http://141.218.60.56/~jnz1568/getInfo.php?workbook=03_02.xlsx&amp;sheet=A0&amp;row=69&amp;col=7&amp;number=&amp;sourceID=15","")</f>
        <v/>
      </c>
      <c r="H69" s="4" t="str">
        <f>HYPERLINK("http://141.218.60.56/~jnz1568/getInfo.php?workbook=03_02.xlsx&amp;sheet=A0&amp;row=69&amp;col=8&amp;number=&amp;sourceID=15","")</f>
        <v/>
      </c>
      <c r="I69" s="4" t="str">
        <f>HYPERLINK("http://141.218.60.56/~jnz1568/getInfo.php?workbook=03_02.xlsx&amp;sheet=A0&amp;row=69&amp;col=9&amp;number=&amp;sourceID=15","")</f>
        <v/>
      </c>
      <c r="J69" s="4" t="str">
        <f>HYPERLINK("http://141.218.60.56/~jnz1568/getInfo.php?workbook=03_02.xlsx&amp;sheet=A0&amp;row=69&amp;col=10&amp;number=&amp;sourceID=15","")</f>
        <v/>
      </c>
      <c r="K69" s="4" t="str">
        <f>HYPERLINK("http://141.218.60.56/~jnz1568/getInfo.php?workbook=03_02.xlsx&amp;sheet=A0&amp;row=69&amp;col=11&amp;number=&amp;sourceID=30","")</f>
        <v/>
      </c>
      <c r="L69" s="4" t="str">
        <f>HYPERLINK("http://141.218.60.56/~jnz1568/getInfo.php?workbook=03_02.xlsx&amp;sheet=A0&amp;row=69&amp;col=12&amp;number=&amp;sourceID=30","")</f>
        <v/>
      </c>
      <c r="M69" s="4" t="str">
        <f>HYPERLINK("http://141.218.60.56/~jnz1568/getInfo.php?workbook=03_02.xlsx&amp;sheet=A0&amp;row=69&amp;col=13&amp;number=&amp;sourceID=30","")</f>
        <v/>
      </c>
      <c r="N69" s="4" t="str">
        <f>HYPERLINK("http://141.218.60.56/~jnz1568/getInfo.php?workbook=03_02.xlsx&amp;sheet=A0&amp;row=69&amp;col=14&amp;number=0.0149&amp;sourceID=30","0.0149")</f>
        <v>0.0149</v>
      </c>
    </row>
    <row r="70" spans="1:14">
      <c r="A70" s="3">
        <v>3</v>
      </c>
      <c r="B70" s="3">
        <v>2</v>
      </c>
      <c r="C70" s="3">
        <v>14</v>
      </c>
      <c r="D70" s="3">
        <v>8</v>
      </c>
      <c r="E70" s="3">
        <f>((1/(INDEX(E0!J$4:J$52,C70,1)-INDEX(E0!J$4:J$52,D70,1))))*100000000</f>
        <v>0</v>
      </c>
      <c r="F70" s="4" t="str">
        <f>HYPERLINK("http://141.218.60.56/~jnz1568/getInfo.php?workbook=03_02.xlsx&amp;sheet=A0&amp;row=70&amp;col=6&amp;number=&amp;sourceID=27","")</f>
        <v/>
      </c>
      <c r="G70" s="4" t="str">
        <f>HYPERLINK("http://141.218.60.56/~jnz1568/getInfo.php?workbook=03_02.xlsx&amp;sheet=A0&amp;row=70&amp;col=7&amp;number=&amp;sourceID=15","")</f>
        <v/>
      </c>
      <c r="H70" s="4" t="str">
        <f>HYPERLINK("http://141.218.60.56/~jnz1568/getInfo.php?workbook=03_02.xlsx&amp;sheet=A0&amp;row=70&amp;col=8&amp;number=&amp;sourceID=15","")</f>
        <v/>
      </c>
      <c r="I70" s="4" t="str">
        <f>HYPERLINK("http://141.218.60.56/~jnz1568/getInfo.php?workbook=03_02.xlsx&amp;sheet=A0&amp;row=70&amp;col=9&amp;number=&amp;sourceID=15","")</f>
        <v/>
      </c>
      <c r="J70" s="4" t="str">
        <f>HYPERLINK("http://141.218.60.56/~jnz1568/getInfo.php?workbook=03_02.xlsx&amp;sheet=A0&amp;row=70&amp;col=10&amp;number=&amp;sourceID=15","")</f>
        <v/>
      </c>
      <c r="K70" s="4" t="str">
        <f>HYPERLINK("http://141.218.60.56/~jnz1568/getInfo.php?workbook=03_02.xlsx&amp;sheet=A0&amp;row=70&amp;col=11&amp;number=&amp;sourceID=30","")</f>
        <v/>
      </c>
      <c r="L70" s="4" t="str">
        <f>HYPERLINK("http://141.218.60.56/~jnz1568/getInfo.php?workbook=03_02.xlsx&amp;sheet=A0&amp;row=70&amp;col=12&amp;number=0.2786&amp;sourceID=30","0.2786")</f>
        <v>0.2786</v>
      </c>
      <c r="M70" s="4" t="str">
        <f>HYPERLINK("http://141.218.60.56/~jnz1568/getInfo.php?workbook=03_02.xlsx&amp;sheet=A0&amp;row=70&amp;col=13&amp;number=&amp;sourceID=30","")</f>
        <v/>
      </c>
      <c r="N70" s="4" t="str">
        <f>HYPERLINK("http://141.218.60.56/~jnz1568/getInfo.php?workbook=03_02.xlsx&amp;sheet=A0&amp;row=70&amp;col=14&amp;number=&amp;sourceID=30","")</f>
        <v/>
      </c>
    </row>
    <row r="71" spans="1:14">
      <c r="A71" s="3">
        <v>3</v>
      </c>
      <c r="B71" s="3">
        <v>2</v>
      </c>
      <c r="C71" s="3">
        <v>14</v>
      </c>
      <c r="D71" s="3">
        <v>10</v>
      </c>
      <c r="E71" s="3">
        <f>((1/(INDEX(E0!J$4:J$52,C71,1)-INDEX(E0!J$4:J$52,D71,1))))*100000000</f>
        <v>0</v>
      </c>
      <c r="F71" s="4" t="str">
        <f>HYPERLINK("http://141.218.60.56/~jnz1568/getInfo.php?workbook=03_02.xlsx&amp;sheet=A0&amp;row=71&amp;col=6&amp;number=&amp;sourceID=27","")</f>
        <v/>
      </c>
      <c r="G71" s="4" t="str">
        <f>HYPERLINK("http://141.218.60.56/~jnz1568/getInfo.php?workbook=03_02.xlsx&amp;sheet=A0&amp;row=71&amp;col=7&amp;number=&amp;sourceID=15","")</f>
        <v/>
      </c>
      <c r="H71" s="4" t="str">
        <f>HYPERLINK("http://141.218.60.56/~jnz1568/getInfo.php?workbook=03_02.xlsx&amp;sheet=A0&amp;row=71&amp;col=8&amp;number=&amp;sourceID=15","")</f>
        <v/>
      </c>
      <c r="I71" s="4" t="str">
        <f>HYPERLINK("http://141.218.60.56/~jnz1568/getInfo.php?workbook=03_02.xlsx&amp;sheet=A0&amp;row=71&amp;col=9&amp;number=&amp;sourceID=15","")</f>
        <v/>
      </c>
      <c r="J71" s="4" t="str">
        <f>HYPERLINK("http://141.218.60.56/~jnz1568/getInfo.php?workbook=03_02.xlsx&amp;sheet=A0&amp;row=71&amp;col=10&amp;number=&amp;sourceID=15","")</f>
        <v/>
      </c>
      <c r="K71" s="4" t="str">
        <f>HYPERLINK("http://141.218.60.56/~jnz1568/getInfo.php?workbook=03_02.xlsx&amp;sheet=A0&amp;row=71&amp;col=11&amp;number=&amp;sourceID=30","")</f>
        <v/>
      </c>
      <c r="L71" s="4" t="str">
        <f>HYPERLINK("http://141.218.60.56/~jnz1568/getInfo.php?workbook=03_02.xlsx&amp;sheet=A0&amp;row=71&amp;col=12&amp;number=&amp;sourceID=30","")</f>
        <v/>
      </c>
      <c r="M71" s="4" t="str">
        <f>HYPERLINK("http://141.218.60.56/~jnz1568/getInfo.php?workbook=03_02.xlsx&amp;sheet=A0&amp;row=71&amp;col=13&amp;number=&amp;sourceID=30","")</f>
        <v/>
      </c>
      <c r="N71" s="4" t="str">
        <f>HYPERLINK("http://141.218.60.56/~jnz1568/getInfo.php?workbook=03_02.xlsx&amp;sheet=A0&amp;row=71&amp;col=14&amp;number=4.682e-11&amp;sourceID=30","4.682e-11")</f>
        <v>4.682e-11</v>
      </c>
    </row>
    <row r="72" spans="1:14">
      <c r="A72" s="3">
        <v>3</v>
      </c>
      <c r="B72" s="3">
        <v>2</v>
      </c>
      <c r="C72" s="3">
        <v>14</v>
      </c>
      <c r="D72" s="3">
        <v>11</v>
      </c>
      <c r="E72" s="3">
        <f>((1/(INDEX(E0!J$4:J$52,C72,1)-INDEX(E0!J$4:J$52,D72,1))))*100000000</f>
        <v>0</v>
      </c>
      <c r="F72" s="4" t="str">
        <f>HYPERLINK("http://141.218.60.56/~jnz1568/getInfo.php?workbook=03_02.xlsx&amp;sheet=A0&amp;row=72&amp;col=6&amp;number=&amp;sourceID=27","")</f>
        <v/>
      </c>
      <c r="G72" s="4" t="str">
        <f>HYPERLINK("http://141.218.60.56/~jnz1568/getInfo.php?workbook=03_02.xlsx&amp;sheet=A0&amp;row=72&amp;col=7&amp;number=110110&amp;sourceID=15","110110")</f>
        <v>110110</v>
      </c>
      <c r="H72" s="4" t="str">
        <f>HYPERLINK("http://141.218.60.56/~jnz1568/getInfo.php?workbook=03_02.xlsx&amp;sheet=A0&amp;row=72&amp;col=8&amp;number=&amp;sourceID=15","")</f>
        <v/>
      </c>
      <c r="I72" s="4" t="str">
        <f>HYPERLINK("http://141.218.60.56/~jnz1568/getInfo.php?workbook=03_02.xlsx&amp;sheet=A0&amp;row=72&amp;col=9&amp;number=&amp;sourceID=15","")</f>
        <v/>
      </c>
      <c r="J72" s="4" t="str">
        <f>HYPERLINK("http://141.218.60.56/~jnz1568/getInfo.php?workbook=03_02.xlsx&amp;sheet=A0&amp;row=72&amp;col=10&amp;number=&amp;sourceID=15","")</f>
        <v/>
      </c>
      <c r="K72" s="4" t="str">
        <f>HYPERLINK("http://141.218.60.56/~jnz1568/getInfo.php?workbook=03_02.xlsx&amp;sheet=A0&amp;row=72&amp;col=11&amp;number=78470&amp;sourceID=30","78470")</f>
        <v>78470</v>
      </c>
      <c r="L72" s="4" t="str">
        <f>HYPERLINK("http://141.218.60.56/~jnz1568/getInfo.php?workbook=03_02.xlsx&amp;sheet=A0&amp;row=72&amp;col=12&amp;number=&amp;sourceID=30","")</f>
        <v/>
      </c>
      <c r="M72" s="4" t="str">
        <f>HYPERLINK("http://141.218.60.56/~jnz1568/getInfo.php?workbook=03_02.xlsx&amp;sheet=A0&amp;row=72&amp;col=13&amp;number=&amp;sourceID=30","")</f>
        <v/>
      </c>
      <c r="N72" s="4" t="str">
        <f>HYPERLINK("http://141.218.60.56/~jnz1568/getInfo.php?workbook=03_02.xlsx&amp;sheet=A0&amp;row=72&amp;col=14&amp;number=2.323e-09&amp;sourceID=30","2.323e-09")</f>
        <v>2.323e-09</v>
      </c>
    </row>
    <row r="73" spans="1:14">
      <c r="A73" s="3">
        <v>3</v>
      </c>
      <c r="B73" s="3">
        <v>2</v>
      </c>
      <c r="C73" s="3">
        <v>14</v>
      </c>
      <c r="D73" s="3">
        <v>13</v>
      </c>
      <c r="E73" s="3">
        <f>((1/(INDEX(E0!J$4:J$52,C73,1)-INDEX(E0!J$4:J$52,D73,1))))*100000000</f>
        <v>0</v>
      </c>
      <c r="F73" s="4" t="str">
        <f>HYPERLINK("http://141.218.60.56/~jnz1568/getInfo.php?workbook=03_02.xlsx&amp;sheet=A0&amp;row=73&amp;col=6&amp;number=&amp;sourceID=27","")</f>
        <v/>
      </c>
      <c r="G73" s="4" t="str">
        <f>HYPERLINK("http://141.218.60.56/~jnz1568/getInfo.php?workbook=03_02.xlsx&amp;sheet=A0&amp;row=73&amp;col=7&amp;number=&amp;sourceID=15","")</f>
        <v/>
      </c>
      <c r="H73" s="4" t="str">
        <f>HYPERLINK("http://141.218.60.56/~jnz1568/getInfo.php?workbook=03_02.xlsx&amp;sheet=A0&amp;row=73&amp;col=8&amp;number=&amp;sourceID=15","")</f>
        <v/>
      </c>
      <c r="I73" s="4" t="str">
        <f>HYPERLINK("http://141.218.60.56/~jnz1568/getInfo.php?workbook=03_02.xlsx&amp;sheet=A0&amp;row=73&amp;col=9&amp;number=&amp;sourceID=15","")</f>
        <v/>
      </c>
      <c r="J73" s="4" t="str">
        <f>HYPERLINK("http://141.218.60.56/~jnz1568/getInfo.php?workbook=03_02.xlsx&amp;sheet=A0&amp;row=73&amp;col=10&amp;number=&amp;sourceID=15","")</f>
        <v/>
      </c>
      <c r="K73" s="4" t="str">
        <f>HYPERLINK("http://141.218.60.56/~jnz1568/getInfo.php?workbook=03_02.xlsx&amp;sheet=A0&amp;row=73&amp;col=11&amp;number=&amp;sourceID=30","")</f>
        <v/>
      </c>
      <c r="L73" s="4" t="str">
        <f>HYPERLINK("http://141.218.60.56/~jnz1568/getInfo.php?workbook=03_02.xlsx&amp;sheet=A0&amp;row=73&amp;col=12&amp;number=0&amp;sourceID=30","0")</f>
        <v>0</v>
      </c>
      <c r="M73" s="4" t="str">
        <f>HYPERLINK("http://141.218.60.56/~jnz1568/getInfo.php?workbook=03_02.xlsx&amp;sheet=A0&amp;row=73&amp;col=13&amp;number=5.8e-14&amp;sourceID=30","5.8e-14")</f>
        <v>5.8e-14</v>
      </c>
      <c r="N73" s="4" t="str">
        <f>HYPERLINK("http://141.218.60.56/~jnz1568/getInfo.php?workbook=03_02.xlsx&amp;sheet=A0&amp;row=73&amp;col=14&amp;number=&amp;sourceID=30","")</f>
        <v/>
      </c>
    </row>
    <row r="74" spans="1:14">
      <c r="A74" s="3">
        <v>3</v>
      </c>
      <c r="B74" s="3">
        <v>2</v>
      </c>
      <c r="C74" s="3">
        <v>15</v>
      </c>
      <c r="D74" s="3">
        <v>1</v>
      </c>
      <c r="E74" s="3">
        <f>((1/(INDEX(E0!J$4:J$52,C74,1)-INDEX(E0!J$4:J$52,D74,1))))*100000000</f>
        <v>0</v>
      </c>
      <c r="F74" s="4" t="str">
        <f>HYPERLINK("http://141.218.60.56/~jnz1568/getInfo.php?workbook=03_02.xlsx&amp;sheet=A0&amp;row=74&amp;col=6&amp;number=&amp;sourceID=27","")</f>
        <v/>
      </c>
      <c r="G74" s="4" t="str">
        <f>HYPERLINK("http://141.218.60.56/~jnz1568/getInfo.php?workbook=03_02.xlsx&amp;sheet=A0&amp;row=74&amp;col=7&amp;number=&amp;sourceID=15","")</f>
        <v/>
      </c>
      <c r="H74" s="4" t="str">
        <f>HYPERLINK("http://141.218.60.56/~jnz1568/getInfo.php?workbook=03_02.xlsx&amp;sheet=A0&amp;row=74&amp;col=8&amp;number=&amp;sourceID=15","")</f>
        <v/>
      </c>
      <c r="I74" s="4" t="str">
        <f>HYPERLINK("http://141.218.60.56/~jnz1568/getInfo.php?workbook=03_02.xlsx&amp;sheet=A0&amp;row=74&amp;col=9&amp;number=&amp;sourceID=15","")</f>
        <v/>
      </c>
      <c r="J74" s="4" t="str">
        <f>HYPERLINK("http://141.218.60.56/~jnz1568/getInfo.php?workbook=03_02.xlsx&amp;sheet=A0&amp;row=74&amp;col=10&amp;number=&amp;sourceID=15","")</f>
        <v/>
      </c>
      <c r="K74" s="4" t="str">
        <f>HYPERLINK("http://141.218.60.56/~jnz1568/getInfo.php?workbook=03_02.xlsx&amp;sheet=A0&amp;row=74&amp;col=11&amp;number=&amp;sourceID=30","")</f>
        <v/>
      </c>
      <c r="L74" s="4" t="str">
        <f>HYPERLINK("http://141.218.60.56/~jnz1568/getInfo.php?workbook=03_02.xlsx&amp;sheet=A0&amp;row=74&amp;col=12&amp;number=&amp;sourceID=30","")</f>
        <v/>
      </c>
      <c r="M74" s="4" t="str">
        <f>HYPERLINK("http://141.218.60.56/~jnz1568/getInfo.php?workbook=03_02.xlsx&amp;sheet=A0&amp;row=74&amp;col=13&amp;number=0.000108&amp;sourceID=30","0.000108")</f>
        <v>0.000108</v>
      </c>
      <c r="N74" s="4" t="str">
        <f>HYPERLINK("http://141.218.60.56/~jnz1568/getInfo.php?workbook=03_02.xlsx&amp;sheet=A0&amp;row=74&amp;col=14&amp;number=&amp;sourceID=30","")</f>
        <v/>
      </c>
    </row>
    <row r="75" spans="1:14">
      <c r="A75" s="3">
        <v>3</v>
      </c>
      <c r="B75" s="3">
        <v>2</v>
      </c>
      <c r="C75" s="3">
        <v>15</v>
      </c>
      <c r="D75" s="3">
        <v>2</v>
      </c>
      <c r="E75" s="3">
        <f>((1/(INDEX(E0!J$4:J$52,C75,1)-INDEX(E0!J$4:J$52,D75,1))))*100000000</f>
        <v>0</v>
      </c>
      <c r="F75" s="4" t="str">
        <f>HYPERLINK("http://141.218.60.56/~jnz1568/getInfo.php?workbook=03_02.xlsx&amp;sheet=A0&amp;row=75&amp;col=6&amp;number=&amp;sourceID=27","")</f>
        <v/>
      </c>
      <c r="G75" s="4" t="str">
        <f>HYPERLINK("http://141.218.60.56/~jnz1568/getInfo.php?workbook=03_02.xlsx&amp;sheet=A0&amp;row=75&amp;col=7&amp;number=&amp;sourceID=15","")</f>
        <v/>
      </c>
      <c r="H75" s="4" t="str">
        <f>HYPERLINK("http://141.218.60.56/~jnz1568/getInfo.php?workbook=03_02.xlsx&amp;sheet=A0&amp;row=75&amp;col=8&amp;number=&amp;sourceID=15","")</f>
        <v/>
      </c>
      <c r="I75" s="4" t="str">
        <f>HYPERLINK("http://141.218.60.56/~jnz1568/getInfo.php?workbook=03_02.xlsx&amp;sheet=A0&amp;row=75&amp;col=9&amp;number=&amp;sourceID=15","")</f>
        <v/>
      </c>
      <c r="J75" s="4" t="str">
        <f>HYPERLINK("http://141.218.60.56/~jnz1568/getInfo.php?workbook=03_02.xlsx&amp;sheet=A0&amp;row=75&amp;col=10&amp;number=&amp;sourceID=15","")</f>
        <v/>
      </c>
      <c r="K75" s="4" t="str">
        <f>HYPERLINK("http://141.218.60.56/~jnz1568/getInfo.php?workbook=03_02.xlsx&amp;sheet=A0&amp;row=75&amp;col=11&amp;number=&amp;sourceID=30","")</f>
        <v/>
      </c>
      <c r="L75" s="4" t="str">
        <f>HYPERLINK("http://141.218.60.56/~jnz1568/getInfo.php?workbook=03_02.xlsx&amp;sheet=A0&amp;row=75&amp;col=12&amp;number=7550&amp;sourceID=30","7550")</f>
        <v>7550</v>
      </c>
      <c r="M75" s="4" t="str">
        <f>HYPERLINK("http://141.218.60.56/~jnz1568/getInfo.php?workbook=03_02.xlsx&amp;sheet=A0&amp;row=75&amp;col=13&amp;number=2.153e-06&amp;sourceID=30","2.153e-06")</f>
        <v>2.153e-06</v>
      </c>
      <c r="N75" s="4" t="str">
        <f>HYPERLINK("http://141.218.60.56/~jnz1568/getInfo.php?workbook=03_02.xlsx&amp;sheet=A0&amp;row=75&amp;col=14&amp;number=&amp;sourceID=30","")</f>
        <v/>
      </c>
    </row>
    <row r="76" spans="1:14">
      <c r="A76" s="3">
        <v>3</v>
      </c>
      <c r="B76" s="3">
        <v>2</v>
      </c>
      <c r="C76" s="3">
        <v>15</v>
      </c>
      <c r="D76" s="3">
        <v>3</v>
      </c>
      <c r="E76" s="3">
        <f>((1/(INDEX(E0!J$4:J$52,C76,1)-INDEX(E0!J$4:J$52,D76,1))))*100000000</f>
        <v>0</v>
      </c>
      <c r="F76" s="4" t="str">
        <f>HYPERLINK("http://141.218.60.56/~jnz1568/getInfo.php?workbook=03_02.xlsx&amp;sheet=A0&amp;row=76&amp;col=6&amp;number=&amp;sourceID=27","")</f>
        <v/>
      </c>
      <c r="G76" s="4" t="str">
        <f>HYPERLINK("http://141.218.60.56/~jnz1568/getInfo.php?workbook=03_02.xlsx&amp;sheet=A0&amp;row=76&amp;col=7&amp;number=&amp;sourceID=15","")</f>
        <v/>
      </c>
      <c r="H76" s="4" t="str">
        <f>HYPERLINK("http://141.218.60.56/~jnz1568/getInfo.php?workbook=03_02.xlsx&amp;sheet=A0&amp;row=76&amp;col=8&amp;number=&amp;sourceID=15","")</f>
        <v/>
      </c>
      <c r="I76" s="4" t="str">
        <f>HYPERLINK("http://141.218.60.56/~jnz1568/getInfo.php?workbook=03_02.xlsx&amp;sheet=A0&amp;row=76&amp;col=9&amp;number=&amp;sourceID=15","")</f>
        <v/>
      </c>
      <c r="J76" s="4" t="str">
        <f>HYPERLINK("http://141.218.60.56/~jnz1568/getInfo.php?workbook=03_02.xlsx&amp;sheet=A0&amp;row=76&amp;col=10&amp;number=&amp;sourceID=15","")</f>
        <v/>
      </c>
      <c r="K76" s="4" t="str">
        <f>HYPERLINK("http://141.218.60.56/~jnz1568/getInfo.php?workbook=03_02.xlsx&amp;sheet=A0&amp;row=76&amp;col=11&amp;number=&amp;sourceID=30","")</f>
        <v/>
      </c>
      <c r="L76" s="4" t="str">
        <f>HYPERLINK("http://141.218.60.56/~jnz1568/getInfo.php?workbook=03_02.xlsx&amp;sheet=A0&amp;row=76&amp;col=12&amp;number=&amp;sourceID=30","")</f>
        <v/>
      </c>
      <c r="M76" s="4" t="str">
        <f>HYPERLINK("http://141.218.60.56/~jnz1568/getInfo.php?workbook=03_02.xlsx&amp;sheet=A0&amp;row=76&amp;col=13&amp;number=9.181e-08&amp;sourceID=30","9.181e-08")</f>
        <v>9.181e-08</v>
      </c>
      <c r="N76" s="4" t="str">
        <f>HYPERLINK("http://141.218.60.56/~jnz1568/getInfo.php?workbook=03_02.xlsx&amp;sheet=A0&amp;row=76&amp;col=14&amp;number=&amp;sourceID=30","")</f>
        <v/>
      </c>
    </row>
    <row r="77" spans="1:14">
      <c r="A77" s="3">
        <v>3</v>
      </c>
      <c r="B77" s="3">
        <v>2</v>
      </c>
      <c r="C77" s="3">
        <v>15</v>
      </c>
      <c r="D77" s="3">
        <v>4</v>
      </c>
      <c r="E77" s="3">
        <f>((1/(INDEX(E0!J$4:J$52,C77,1)-INDEX(E0!J$4:J$52,D77,1))))*100000000</f>
        <v>0</v>
      </c>
      <c r="F77" s="4" t="str">
        <f>HYPERLINK("http://141.218.60.56/~jnz1568/getInfo.php?workbook=03_02.xlsx&amp;sheet=A0&amp;row=77&amp;col=6&amp;number=&amp;sourceID=27","")</f>
        <v/>
      </c>
      <c r="G77" s="4" t="str">
        <f>HYPERLINK("http://141.218.60.56/~jnz1568/getInfo.php?workbook=03_02.xlsx&amp;sheet=A0&amp;row=77&amp;col=7&amp;number=467330000&amp;sourceID=15","467330000")</f>
        <v>467330000</v>
      </c>
      <c r="H77" s="4" t="str">
        <f>HYPERLINK("http://141.218.60.56/~jnz1568/getInfo.php?workbook=03_02.xlsx&amp;sheet=A0&amp;row=77&amp;col=8&amp;number=&amp;sourceID=15","")</f>
        <v/>
      </c>
      <c r="I77" s="4" t="str">
        <f>HYPERLINK("http://141.218.60.56/~jnz1568/getInfo.php?workbook=03_02.xlsx&amp;sheet=A0&amp;row=77&amp;col=9&amp;number=&amp;sourceID=15","")</f>
        <v/>
      </c>
      <c r="J77" s="4" t="str">
        <f>HYPERLINK("http://141.218.60.56/~jnz1568/getInfo.php?workbook=03_02.xlsx&amp;sheet=A0&amp;row=77&amp;col=10&amp;number=&amp;sourceID=15","")</f>
        <v/>
      </c>
      <c r="K77" s="4" t="str">
        <f>HYPERLINK("http://141.218.60.56/~jnz1568/getInfo.php?workbook=03_02.xlsx&amp;sheet=A0&amp;row=77&amp;col=11&amp;number=461100000&amp;sourceID=30","461100000")</f>
        <v>461100000</v>
      </c>
      <c r="L77" s="4" t="str">
        <f>HYPERLINK("http://141.218.60.56/~jnz1568/getInfo.php?workbook=03_02.xlsx&amp;sheet=A0&amp;row=77&amp;col=12&amp;number=&amp;sourceID=30","")</f>
        <v/>
      </c>
      <c r="M77" s="4" t="str">
        <f>HYPERLINK("http://141.218.60.56/~jnz1568/getInfo.php?workbook=03_02.xlsx&amp;sheet=A0&amp;row=77&amp;col=13&amp;number=&amp;sourceID=30","")</f>
        <v/>
      </c>
      <c r="N77" s="4" t="str">
        <f>HYPERLINK("http://141.218.60.56/~jnz1568/getInfo.php?workbook=03_02.xlsx&amp;sheet=A0&amp;row=77&amp;col=14&amp;number=0.00119&amp;sourceID=30","0.00119")</f>
        <v>0.00119</v>
      </c>
    </row>
    <row r="78" spans="1:14">
      <c r="A78" s="3">
        <v>3</v>
      </c>
      <c r="B78" s="3">
        <v>2</v>
      </c>
      <c r="C78" s="3">
        <v>15</v>
      </c>
      <c r="D78" s="3">
        <v>5</v>
      </c>
      <c r="E78" s="3">
        <f>((1/(INDEX(E0!J$4:J$52,C78,1)-INDEX(E0!J$4:J$52,D78,1))))*100000000</f>
        <v>0</v>
      </c>
      <c r="F78" s="4" t="str">
        <f>HYPERLINK("http://141.218.60.56/~jnz1568/getInfo.php?workbook=03_02.xlsx&amp;sheet=A0&amp;row=78&amp;col=6&amp;number=&amp;sourceID=27","")</f>
        <v/>
      </c>
      <c r="G78" s="4" t="str">
        <f>HYPERLINK("http://141.218.60.56/~jnz1568/getInfo.php?workbook=03_02.xlsx&amp;sheet=A0&amp;row=78&amp;col=7&amp;number=31156000&amp;sourceID=15","31156000")</f>
        <v>31156000</v>
      </c>
      <c r="H78" s="4" t="str">
        <f>HYPERLINK("http://141.218.60.56/~jnz1568/getInfo.php?workbook=03_02.xlsx&amp;sheet=A0&amp;row=78&amp;col=8&amp;number=&amp;sourceID=15","")</f>
        <v/>
      </c>
      <c r="I78" s="4" t="str">
        <f>HYPERLINK("http://141.218.60.56/~jnz1568/getInfo.php?workbook=03_02.xlsx&amp;sheet=A0&amp;row=78&amp;col=9&amp;number=&amp;sourceID=15","")</f>
        <v/>
      </c>
      <c r="J78" s="4" t="str">
        <f>HYPERLINK("http://141.218.60.56/~jnz1568/getInfo.php?workbook=03_02.xlsx&amp;sheet=A0&amp;row=78&amp;col=10&amp;number=&amp;sourceID=15","")</f>
        <v/>
      </c>
      <c r="K78" s="4" t="str">
        <f>HYPERLINK("http://141.218.60.56/~jnz1568/getInfo.php?workbook=03_02.xlsx&amp;sheet=A0&amp;row=78&amp;col=11&amp;number=30740000&amp;sourceID=30","30740000")</f>
        <v>30740000</v>
      </c>
      <c r="L78" s="4" t="str">
        <f>HYPERLINK("http://141.218.60.56/~jnz1568/getInfo.php?workbook=03_02.xlsx&amp;sheet=A0&amp;row=78&amp;col=12&amp;number=&amp;sourceID=30","")</f>
        <v/>
      </c>
      <c r="M78" s="4" t="str">
        <f>HYPERLINK("http://141.218.60.56/~jnz1568/getInfo.php?workbook=03_02.xlsx&amp;sheet=A0&amp;row=78&amp;col=13&amp;number=&amp;sourceID=30","")</f>
        <v/>
      </c>
      <c r="N78" s="4" t="str">
        <f>HYPERLINK("http://141.218.60.56/~jnz1568/getInfo.php?workbook=03_02.xlsx&amp;sheet=A0&amp;row=78&amp;col=14&amp;number=7e-15&amp;sourceID=30","7e-15")</f>
        <v>7e-15</v>
      </c>
    </row>
    <row r="79" spans="1:14">
      <c r="A79" s="3">
        <v>3</v>
      </c>
      <c r="B79" s="3">
        <v>2</v>
      </c>
      <c r="C79" s="3">
        <v>15</v>
      </c>
      <c r="D79" s="3">
        <v>6</v>
      </c>
      <c r="E79" s="3">
        <f>((1/(INDEX(E0!J$4:J$52,C79,1)-INDEX(E0!J$4:J$52,D79,1))))*100000000</f>
        <v>0</v>
      </c>
      <c r="F79" s="4" t="str">
        <f>HYPERLINK("http://141.218.60.56/~jnz1568/getInfo.php?workbook=03_02.xlsx&amp;sheet=A0&amp;row=79&amp;col=6&amp;number=&amp;sourceID=27","")</f>
        <v/>
      </c>
      <c r="G79" s="4" t="str">
        <f>HYPERLINK("http://141.218.60.56/~jnz1568/getInfo.php?workbook=03_02.xlsx&amp;sheet=A0&amp;row=79&amp;col=7&amp;number=623110000&amp;sourceID=15","623110000")</f>
        <v>623110000</v>
      </c>
      <c r="H79" s="4" t="str">
        <f>HYPERLINK("http://141.218.60.56/~jnz1568/getInfo.php?workbook=03_02.xlsx&amp;sheet=A0&amp;row=79&amp;col=8&amp;number=&amp;sourceID=15","")</f>
        <v/>
      </c>
      <c r="I79" s="4" t="str">
        <f>HYPERLINK("http://141.218.60.56/~jnz1568/getInfo.php?workbook=03_02.xlsx&amp;sheet=A0&amp;row=79&amp;col=9&amp;number=&amp;sourceID=15","")</f>
        <v/>
      </c>
      <c r="J79" s="4" t="str">
        <f>HYPERLINK("http://141.218.60.56/~jnz1568/getInfo.php?workbook=03_02.xlsx&amp;sheet=A0&amp;row=79&amp;col=10&amp;number=&amp;sourceID=15","")</f>
        <v/>
      </c>
      <c r="K79" s="4" t="str">
        <f>HYPERLINK("http://141.218.60.56/~jnz1568/getInfo.php?workbook=03_02.xlsx&amp;sheet=A0&amp;row=79&amp;col=11&amp;number=614800000&amp;sourceID=30","614800000")</f>
        <v>614800000</v>
      </c>
      <c r="L79" s="4" t="str">
        <f>HYPERLINK("http://141.218.60.56/~jnz1568/getInfo.php?workbook=03_02.xlsx&amp;sheet=A0&amp;row=79&amp;col=12&amp;number=&amp;sourceID=30","")</f>
        <v/>
      </c>
      <c r="M79" s="4" t="str">
        <f>HYPERLINK("http://141.218.60.56/~jnz1568/getInfo.php?workbook=03_02.xlsx&amp;sheet=A0&amp;row=79&amp;col=13&amp;number=&amp;sourceID=30","")</f>
        <v/>
      </c>
      <c r="N79" s="4" t="str">
        <f>HYPERLINK("http://141.218.60.56/~jnz1568/getInfo.php?workbook=03_02.xlsx&amp;sheet=A0&amp;row=79&amp;col=14&amp;number=&amp;sourceID=30","")</f>
        <v/>
      </c>
    </row>
    <row r="80" spans="1:14">
      <c r="A80" s="3">
        <v>3</v>
      </c>
      <c r="B80" s="3">
        <v>2</v>
      </c>
      <c r="C80" s="3">
        <v>15</v>
      </c>
      <c r="D80" s="3">
        <v>7</v>
      </c>
      <c r="E80" s="3">
        <f>((1/(INDEX(E0!J$4:J$52,C80,1)-INDEX(E0!J$4:J$52,D80,1))))*100000000</f>
        <v>0</v>
      </c>
      <c r="F80" s="4" t="str">
        <f>HYPERLINK("http://141.218.60.56/~jnz1568/getInfo.php?workbook=03_02.xlsx&amp;sheet=A0&amp;row=80&amp;col=6&amp;number=&amp;sourceID=27","")</f>
        <v/>
      </c>
      <c r="G80" s="4" t="str">
        <f>HYPERLINK("http://141.218.60.56/~jnz1568/getInfo.php?workbook=03_02.xlsx&amp;sheet=A0&amp;row=80&amp;col=7&amp;number=&amp;sourceID=15","")</f>
        <v/>
      </c>
      <c r="H80" s="4" t="str">
        <f>HYPERLINK("http://141.218.60.56/~jnz1568/getInfo.php?workbook=03_02.xlsx&amp;sheet=A0&amp;row=80&amp;col=8&amp;number=&amp;sourceID=15","")</f>
        <v/>
      </c>
      <c r="I80" s="4" t="str">
        <f>HYPERLINK("http://141.218.60.56/~jnz1568/getInfo.php?workbook=03_02.xlsx&amp;sheet=A0&amp;row=80&amp;col=9&amp;number=&amp;sourceID=15","")</f>
        <v/>
      </c>
      <c r="J80" s="4" t="str">
        <f>HYPERLINK("http://141.218.60.56/~jnz1568/getInfo.php?workbook=03_02.xlsx&amp;sheet=A0&amp;row=80&amp;col=10&amp;number=&amp;sourceID=15","")</f>
        <v/>
      </c>
      <c r="K80" s="4" t="str">
        <f>HYPERLINK("http://141.218.60.56/~jnz1568/getInfo.php?workbook=03_02.xlsx&amp;sheet=A0&amp;row=80&amp;col=11&amp;number=208.6&amp;sourceID=30","208.6")</f>
        <v>208.6</v>
      </c>
      <c r="L80" s="4" t="str">
        <f>HYPERLINK("http://141.218.60.56/~jnz1568/getInfo.php?workbook=03_02.xlsx&amp;sheet=A0&amp;row=80&amp;col=12&amp;number=&amp;sourceID=30","")</f>
        <v/>
      </c>
      <c r="M80" s="4" t="str">
        <f>HYPERLINK("http://141.218.60.56/~jnz1568/getInfo.php?workbook=03_02.xlsx&amp;sheet=A0&amp;row=80&amp;col=13&amp;number=&amp;sourceID=30","")</f>
        <v/>
      </c>
      <c r="N80" s="4" t="str">
        <f>HYPERLINK("http://141.218.60.56/~jnz1568/getInfo.php?workbook=03_02.xlsx&amp;sheet=A0&amp;row=80&amp;col=14&amp;number=0.0004133&amp;sourceID=30","0.0004133")</f>
        <v>0.0004133</v>
      </c>
    </row>
    <row r="81" spans="1:14">
      <c r="A81" s="3">
        <v>3</v>
      </c>
      <c r="B81" s="3">
        <v>2</v>
      </c>
      <c r="C81" s="3">
        <v>15</v>
      </c>
      <c r="D81" s="3">
        <v>8</v>
      </c>
      <c r="E81" s="3">
        <f>((1/(INDEX(E0!J$4:J$52,C81,1)-INDEX(E0!J$4:J$52,D81,1))))*100000000</f>
        <v>0</v>
      </c>
      <c r="F81" s="4" t="str">
        <f>HYPERLINK("http://141.218.60.56/~jnz1568/getInfo.php?workbook=03_02.xlsx&amp;sheet=A0&amp;row=81&amp;col=6&amp;number=&amp;sourceID=27","")</f>
        <v/>
      </c>
      <c r="G81" s="4" t="str">
        <f>HYPERLINK("http://141.218.60.56/~jnz1568/getInfo.php?workbook=03_02.xlsx&amp;sheet=A0&amp;row=81&amp;col=7&amp;number=&amp;sourceID=15","")</f>
        <v/>
      </c>
      <c r="H81" s="4" t="str">
        <f>HYPERLINK("http://141.218.60.56/~jnz1568/getInfo.php?workbook=03_02.xlsx&amp;sheet=A0&amp;row=81&amp;col=8&amp;number=&amp;sourceID=15","")</f>
        <v/>
      </c>
      <c r="I81" s="4" t="str">
        <f>HYPERLINK("http://141.218.60.56/~jnz1568/getInfo.php?workbook=03_02.xlsx&amp;sheet=A0&amp;row=81&amp;col=9&amp;number=&amp;sourceID=15","")</f>
        <v/>
      </c>
      <c r="J81" s="4" t="str">
        <f>HYPERLINK("http://141.218.60.56/~jnz1568/getInfo.php?workbook=03_02.xlsx&amp;sheet=A0&amp;row=81&amp;col=10&amp;number=&amp;sourceID=15","")</f>
        <v/>
      </c>
      <c r="K81" s="4" t="str">
        <f>HYPERLINK("http://141.218.60.56/~jnz1568/getInfo.php?workbook=03_02.xlsx&amp;sheet=A0&amp;row=81&amp;col=11&amp;number=&amp;sourceID=30","")</f>
        <v/>
      </c>
      <c r="L81" s="4" t="str">
        <f>HYPERLINK("http://141.218.60.56/~jnz1568/getInfo.php?workbook=03_02.xlsx&amp;sheet=A0&amp;row=81&amp;col=12&amp;number=0.2786&amp;sourceID=30","0.2786")</f>
        <v>0.2786</v>
      </c>
      <c r="M81" s="4" t="str">
        <f>HYPERLINK("http://141.218.60.56/~jnz1568/getInfo.php?workbook=03_02.xlsx&amp;sheet=A0&amp;row=81&amp;col=13&amp;number=4.334e-09&amp;sourceID=30","4.334e-09")</f>
        <v>4.334e-09</v>
      </c>
      <c r="N81" s="4" t="str">
        <f>HYPERLINK("http://141.218.60.56/~jnz1568/getInfo.php?workbook=03_02.xlsx&amp;sheet=A0&amp;row=81&amp;col=14&amp;number=&amp;sourceID=30","")</f>
        <v/>
      </c>
    </row>
    <row r="82" spans="1:14">
      <c r="A82" s="3">
        <v>3</v>
      </c>
      <c r="B82" s="3">
        <v>2</v>
      </c>
      <c r="C82" s="3">
        <v>15</v>
      </c>
      <c r="D82" s="3">
        <v>9</v>
      </c>
      <c r="E82" s="3">
        <f>((1/(INDEX(E0!J$4:J$52,C82,1)-INDEX(E0!J$4:J$52,D82,1))))*100000000</f>
        <v>0</v>
      </c>
      <c r="F82" s="4" t="str">
        <f>HYPERLINK("http://141.218.60.56/~jnz1568/getInfo.php?workbook=03_02.xlsx&amp;sheet=A0&amp;row=82&amp;col=6&amp;number=&amp;sourceID=27","")</f>
        <v/>
      </c>
      <c r="G82" s="4" t="str">
        <f>HYPERLINK("http://141.218.60.56/~jnz1568/getInfo.php?workbook=03_02.xlsx&amp;sheet=A0&amp;row=82&amp;col=7&amp;number=&amp;sourceID=15","")</f>
        <v/>
      </c>
      <c r="H82" s="4" t="str">
        <f>HYPERLINK("http://141.218.60.56/~jnz1568/getInfo.php?workbook=03_02.xlsx&amp;sheet=A0&amp;row=82&amp;col=8&amp;number=&amp;sourceID=15","")</f>
        <v/>
      </c>
      <c r="I82" s="4" t="str">
        <f>HYPERLINK("http://141.218.60.56/~jnz1568/getInfo.php?workbook=03_02.xlsx&amp;sheet=A0&amp;row=82&amp;col=9&amp;number=&amp;sourceID=15","")</f>
        <v/>
      </c>
      <c r="J82" s="4" t="str">
        <f>HYPERLINK("http://141.218.60.56/~jnz1568/getInfo.php?workbook=03_02.xlsx&amp;sheet=A0&amp;row=82&amp;col=10&amp;number=&amp;sourceID=15","")</f>
        <v/>
      </c>
      <c r="K82" s="4" t="str">
        <f>HYPERLINK("http://141.218.60.56/~jnz1568/getInfo.php?workbook=03_02.xlsx&amp;sheet=A0&amp;row=82&amp;col=11&amp;number=&amp;sourceID=30","")</f>
        <v/>
      </c>
      <c r="L82" s="4" t="str">
        <f>HYPERLINK("http://141.218.60.56/~jnz1568/getInfo.php?workbook=03_02.xlsx&amp;sheet=A0&amp;row=82&amp;col=12&amp;number=&amp;sourceID=30","")</f>
        <v/>
      </c>
      <c r="M82" s="4" t="str">
        <f>HYPERLINK("http://141.218.60.56/~jnz1568/getInfo.php?workbook=03_02.xlsx&amp;sheet=A0&amp;row=82&amp;col=13&amp;number=2.1e-14&amp;sourceID=30","2.1e-14")</f>
        <v>2.1e-14</v>
      </c>
      <c r="N82" s="4" t="str">
        <f>HYPERLINK("http://141.218.60.56/~jnz1568/getInfo.php?workbook=03_02.xlsx&amp;sheet=A0&amp;row=82&amp;col=14&amp;number=&amp;sourceID=30","")</f>
        <v/>
      </c>
    </row>
    <row r="83" spans="1:14">
      <c r="A83" s="3">
        <v>3</v>
      </c>
      <c r="B83" s="3">
        <v>2</v>
      </c>
      <c r="C83" s="3">
        <v>15</v>
      </c>
      <c r="D83" s="3">
        <v>10</v>
      </c>
      <c r="E83" s="3">
        <f>((1/(INDEX(E0!J$4:J$52,C83,1)-INDEX(E0!J$4:J$52,D83,1))))*100000000</f>
        <v>0</v>
      </c>
      <c r="F83" s="4" t="str">
        <f>HYPERLINK("http://141.218.60.56/~jnz1568/getInfo.php?workbook=03_02.xlsx&amp;sheet=A0&amp;row=83&amp;col=6&amp;number=&amp;sourceID=27","")</f>
        <v/>
      </c>
      <c r="G83" s="4" t="str">
        <f>HYPERLINK("http://141.218.60.56/~jnz1568/getInfo.php?workbook=03_02.xlsx&amp;sheet=A0&amp;row=83&amp;col=7&amp;number=45877&amp;sourceID=15","45877")</f>
        <v>45877</v>
      </c>
      <c r="H83" s="4" t="str">
        <f>HYPERLINK("http://141.218.60.56/~jnz1568/getInfo.php?workbook=03_02.xlsx&amp;sheet=A0&amp;row=83&amp;col=8&amp;number=&amp;sourceID=15","")</f>
        <v/>
      </c>
      <c r="I83" s="4" t="str">
        <f>HYPERLINK("http://141.218.60.56/~jnz1568/getInfo.php?workbook=03_02.xlsx&amp;sheet=A0&amp;row=83&amp;col=9&amp;number=&amp;sourceID=15","")</f>
        <v/>
      </c>
      <c r="J83" s="4" t="str">
        <f>HYPERLINK("http://141.218.60.56/~jnz1568/getInfo.php?workbook=03_02.xlsx&amp;sheet=A0&amp;row=83&amp;col=10&amp;number=&amp;sourceID=15","")</f>
        <v/>
      </c>
      <c r="K83" s="4" t="str">
        <f>HYPERLINK("http://141.218.60.56/~jnz1568/getInfo.php?workbook=03_02.xlsx&amp;sheet=A0&amp;row=83&amp;col=11&amp;number=32740&amp;sourceID=30","32740")</f>
        <v>32740</v>
      </c>
      <c r="L83" s="4" t="str">
        <f>HYPERLINK("http://141.218.60.56/~jnz1568/getInfo.php?workbook=03_02.xlsx&amp;sheet=A0&amp;row=83&amp;col=12&amp;number=&amp;sourceID=30","")</f>
        <v/>
      </c>
      <c r="M83" s="4" t="str">
        <f>HYPERLINK("http://141.218.60.56/~jnz1568/getInfo.php?workbook=03_02.xlsx&amp;sheet=A0&amp;row=83&amp;col=13&amp;number=&amp;sourceID=30","")</f>
        <v/>
      </c>
      <c r="N83" s="4" t="str">
        <f>HYPERLINK("http://141.218.60.56/~jnz1568/getInfo.php?workbook=03_02.xlsx&amp;sheet=A0&amp;row=83&amp;col=14&amp;number=4.661e-11&amp;sourceID=30","4.661e-11")</f>
        <v>4.661e-11</v>
      </c>
    </row>
    <row r="84" spans="1:14">
      <c r="A84" s="3">
        <v>3</v>
      </c>
      <c r="B84" s="3">
        <v>2</v>
      </c>
      <c r="C84" s="3">
        <v>15</v>
      </c>
      <c r="D84" s="3">
        <v>11</v>
      </c>
      <c r="E84" s="3">
        <f>((1/(INDEX(E0!J$4:J$52,C84,1)-INDEX(E0!J$4:J$52,D84,1))))*100000000</f>
        <v>0</v>
      </c>
      <c r="F84" s="4" t="str">
        <f>HYPERLINK("http://141.218.60.56/~jnz1568/getInfo.php?workbook=03_02.xlsx&amp;sheet=A0&amp;row=84&amp;col=6&amp;number=&amp;sourceID=27","")</f>
        <v/>
      </c>
      <c r="G84" s="4" t="str">
        <f>HYPERLINK("http://141.218.60.56/~jnz1568/getInfo.php?workbook=03_02.xlsx&amp;sheet=A0&amp;row=84&amp;col=7&amp;number=3058.5&amp;sourceID=15","3058.5")</f>
        <v>3058.5</v>
      </c>
      <c r="H84" s="4" t="str">
        <f>HYPERLINK("http://141.218.60.56/~jnz1568/getInfo.php?workbook=03_02.xlsx&amp;sheet=A0&amp;row=84&amp;col=8&amp;number=&amp;sourceID=15","")</f>
        <v/>
      </c>
      <c r="I84" s="4" t="str">
        <f>HYPERLINK("http://141.218.60.56/~jnz1568/getInfo.php?workbook=03_02.xlsx&amp;sheet=A0&amp;row=84&amp;col=9&amp;number=&amp;sourceID=15","")</f>
        <v/>
      </c>
      <c r="J84" s="4" t="str">
        <f>HYPERLINK("http://141.218.60.56/~jnz1568/getInfo.php?workbook=03_02.xlsx&amp;sheet=A0&amp;row=84&amp;col=10&amp;number=&amp;sourceID=15","")</f>
        <v/>
      </c>
      <c r="K84" s="4" t="str">
        <f>HYPERLINK("http://141.218.60.56/~jnz1568/getInfo.php?workbook=03_02.xlsx&amp;sheet=A0&amp;row=84&amp;col=11&amp;number=2180&amp;sourceID=30","2180")</f>
        <v>2180</v>
      </c>
      <c r="L84" s="4" t="str">
        <f>HYPERLINK("http://141.218.60.56/~jnz1568/getInfo.php?workbook=03_02.xlsx&amp;sheet=A0&amp;row=84&amp;col=12&amp;number=&amp;sourceID=30","")</f>
        <v/>
      </c>
      <c r="M84" s="4" t="str">
        <f>HYPERLINK("http://141.218.60.56/~jnz1568/getInfo.php?workbook=03_02.xlsx&amp;sheet=A0&amp;row=84&amp;col=13&amp;number=&amp;sourceID=30","")</f>
        <v/>
      </c>
      <c r="N84" s="4" t="str">
        <f>HYPERLINK("http://141.218.60.56/~jnz1568/getInfo.php?workbook=03_02.xlsx&amp;sheet=A0&amp;row=84&amp;col=14&amp;number=0&amp;sourceID=30","0")</f>
        <v>0</v>
      </c>
    </row>
    <row r="85" spans="1:14">
      <c r="A85" s="3">
        <v>3</v>
      </c>
      <c r="B85" s="3">
        <v>2</v>
      </c>
      <c r="C85" s="3">
        <v>15</v>
      </c>
      <c r="D85" s="3">
        <v>12</v>
      </c>
      <c r="E85" s="3">
        <f>((1/(INDEX(E0!J$4:J$52,C85,1)-INDEX(E0!J$4:J$52,D85,1))))*100000000</f>
        <v>0</v>
      </c>
      <c r="F85" s="4" t="str">
        <f>HYPERLINK("http://141.218.60.56/~jnz1568/getInfo.php?workbook=03_02.xlsx&amp;sheet=A0&amp;row=85&amp;col=6&amp;number=&amp;sourceID=27","")</f>
        <v/>
      </c>
      <c r="G85" s="4" t="str">
        <f>HYPERLINK("http://141.218.60.56/~jnz1568/getInfo.php?workbook=03_02.xlsx&amp;sheet=A0&amp;row=85&amp;col=7&amp;number=61170&amp;sourceID=15","61170")</f>
        <v>61170</v>
      </c>
      <c r="H85" s="4" t="str">
        <f>HYPERLINK("http://141.218.60.56/~jnz1568/getInfo.php?workbook=03_02.xlsx&amp;sheet=A0&amp;row=85&amp;col=8&amp;number=&amp;sourceID=15","")</f>
        <v/>
      </c>
      <c r="I85" s="4" t="str">
        <f>HYPERLINK("http://141.218.60.56/~jnz1568/getInfo.php?workbook=03_02.xlsx&amp;sheet=A0&amp;row=85&amp;col=9&amp;number=&amp;sourceID=15","")</f>
        <v/>
      </c>
      <c r="J85" s="4" t="str">
        <f>HYPERLINK("http://141.218.60.56/~jnz1568/getInfo.php?workbook=03_02.xlsx&amp;sheet=A0&amp;row=85&amp;col=10&amp;number=&amp;sourceID=15","")</f>
        <v/>
      </c>
      <c r="K85" s="4" t="str">
        <f>HYPERLINK("http://141.218.60.56/~jnz1568/getInfo.php?workbook=03_02.xlsx&amp;sheet=A0&amp;row=85&amp;col=11&amp;number=43540&amp;sourceID=30","43540")</f>
        <v>43540</v>
      </c>
      <c r="L85" s="4" t="str">
        <f>HYPERLINK("http://141.218.60.56/~jnz1568/getInfo.php?workbook=03_02.xlsx&amp;sheet=A0&amp;row=85&amp;col=12&amp;number=&amp;sourceID=30","")</f>
        <v/>
      </c>
      <c r="M85" s="4" t="str">
        <f>HYPERLINK("http://141.218.60.56/~jnz1568/getInfo.php?workbook=03_02.xlsx&amp;sheet=A0&amp;row=85&amp;col=13&amp;number=&amp;sourceID=30","")</f>
        <v/>
      </c>
      <c r="N85" s="4" t="str">
        <f>HYPERLINK("http://141.218.60.56/~jnz1568/getInfo.php?workbook=03_02.xlsx&amp;sheet=A0&amp;row=85&amp;col=14&amp;number=&amp;sourceID=30","")</f>
        <v/>
      </c>
    </row>
    <row r="86" spans="1:14">
      <c r="A86" s="3">
        <v>3</v>
      </c>
      <c r="B86" s="3">
        <v>2</v>
      </c>
      <c r="C86" s="3">
        <v>16</v>
      </c>
      <c r="D86" s="3">
        <v>1</v>
      </c>
      <c r="E86" s="3">
        <f>((1/(INDEX(E0!J$4:J$52,C86,1)-INDEX(E0!J$4:J$52,D86,1))))*100000000</f>
        <v>0</v>
      </c>
      <c r="F86" s="4" t="str">
        <f>HYPERLINK("http://141.218.60.56/~jnz1568/getInfo.php?workbook=03_02.xlsx&amp;sheet=A0&amp;row=86&amp;col=6&amp;number=&amp;sourceID=27","")</f>
        <v/>
      </c>
      <c r="G86" s="4" t="str">
        <f>HYPERLINK("http://141.218.60.56/~jnz1568/getInfo.php?workbook=03_02.xlsx&amp;sheet=A0&amp;row=86&amp;col=7&amp;number=&amp;sourceID=15","")</f>
        <v/>
      </c>
      <c r="H86" s="4" t="str">
        <f>HYPERLINK("http://141.218.60.56/~jnz1568/getInfo.php?workbook=03_02.xlsx&amp;sheet=A0&amp;row=86&amp;col=8&amp;number=82665&amp;sourceID=15","82665")</f>
        <v>82665</v>
      </c>
      <c r="I86" s="4" t="str">
        <f>HYPERLINK("http://141.218.60.56/~jnz1568/getInfo.php?workbook=03_02.xlsx&amp;sheet=A0&amp;row=86&amp;col=9&amp;number=&amp;sourceID=15","")</f>
        <v/>
      </c>
      <c r="J86" s="4" t="str">
        <f>HYPERLINK("http://141.218.60.56/~jnz1568/getInfo.php?workbook=03_02.xlsx&amp;sheet=A0&amp;row=86&amp;col=10&amp;number=&amp;sourceID=15","")</f>
        <v/>
      </c>
      <c r="K86" s="4" t="str">
        <f>HYPERLINK("http://141.218.60.56/~jnz1568/getInfo.php?workbook=03_02.xlsx&amp;sheet=A0&amp;row=86&amp;col=11&amp;number=&amp;sourceID=30","")</f>
        <v/>
      </c>
      <c r="L86" s="4" t="str">
        <f>HYPERLINK("http://141.218.60.56/~jnz1568/getInfo.php?workbook=03_02.xlsx&amp;sheet=A0&amp;row=86&amp;col=12&amp;number=8129&amp;sourceID=30","8129")</f>
        <v>8129</v>
      </c>
      <c r="M86" s="4" t="str">
        <f>HYPERLINK("http://141.218.60.56/~jnz1568/getInfo.php?workbook=03_02.xlsx&amp;sheet=A0&amp;row=86&amp;col=13&amp;number=&amp;sourceID=30","")</f>
        <v/>
      </c>
      <c r="N86" s="4" t="str">
        <f>HYPERLINK("http://141.218.60.56/~jnz1568/getInfo.php?workbook=03_02.xlsx&amp;sheet=A0&amp;row=86&amp;col=14&amp;number=&amp;sourceID=30","")</f>
        <v/>
      </c>
    </row>
    <row r="87" spans="1:14">
      <c r="A87" s="3">
        <v>3</v>
      </c>
      <c r="B87" s="3">
        <v>2</v>
      </c>
      <c r="C87" s="3">
        <v>16</v>
      </c>
      <c r="D87" s="3">
        <v>2</v>
      </c>
      <c r="E87" s="3">
        <f>((1/(INDEX(E0!J$4:J$52,C87,1)-INDEX(E0!J$4:J$52,D87,1))))*100000000</f>
        <v>0</v>
      </c>
      <c r="F87" s="4" t="str">
        <f>HYPERLINK("http://141.218.60.56/~jnz1568/getInfo.php?workbook=03_02.xlsx&amp;sheet=A0&amp;row=87&amp;col=6&amp;number=&amp;sourceID=27","")</f>
        <v/>
      </c>
      <c r="G87" s="4" t="str">
        <f>HYPERLINK("http://141.218.60.56/~jnz1568/getInfo.php?workbook=03_02.xlsx&amp;sheet=A0&amp;row=87&amp;col=7&amp;number=&amp;sourceID=15","")</f>
        <v/>
      </c>
      <c r="H87" s="4" t="str">
        <f>HYPERLINK("http://141.218.60.56/~jnz1568/getInfo.php?workbook=03_02.xlsx&amp;sheet=A0&amp;row=87&amp;col=8&amp;number=&amp;sourceID=15","")</f>
        <v/>
      </c>
      <c r="I87" s="4" t="str">
        <f>HYPERLINK("http://141.218.60.56/~jnz1568/getInfo.php?workbook=03_02.xlsx&amp;sheet=A0&amp;row=87&amp;col=9&amp;number=&amp;sourceID=15","")</f>
        <v/>
      </c>
      <c r="J87" s="4" t="str">
        <f>HYPERLINK("http://141.218.60.56/~jnz1568/getInfo.php?workbook=03_02.xlsx&amp;sheet=A0&amp;row=87&amp;col=10&amp;number=&amp;sourceID=15","")</f>
        <v/>
      </c>
      <c r="K87" s="4" t="str">
        <f>HYPERLINK("http://141.218.60.56/~jnz1568/getInfo.php?workbook=03_02.xlsx&amp;sheet=A0&amp;row=87&amp;col=11&amp;number=&amp;sourceID=30","")</f>
        <v/>
      </c>
      <c r="L87" s="4" t="str">
        <f>HYPERLINK("http://141.218.60.56/~jnz1568/getInfo.php?workbook=03_02.xlsx&amp;sheet=A0&amp;row=87&amp;col=12&amp;number=1.309&amp;sourceID=30","1.309")</f>
        <v>1.309</v>
      </c>
      <c r="M87" s="4" t="str">
        <f>HYPERLINK("http://141.218.60.56/~jnz1568/getInfo.php?workbook=03_02.xlsx&amp;sheet=A0&amp;row=87&amp;col=13&amp;number=1.231e-07&amp;sourceID=30","1.231e-07")</f>
        <v>1.231e-07</v>
      </c>
      <c r="N87" s="4" t="str">
        <f>HYPERLINK("http://141.218.60.56/~jnz1568/getInfo.php?workbook=03_02.xlsx&amp;sheet=A0&amp;row=87&amp;col=14&amp;number=&amp;sourceID=30","")</f>
        <v/>
      </c>
    </row>
    <row r="88" spans="1:14">
      <c r="A88" s="3">
        <v>3</v>
      </c>
      <c r="B88" s="3">
        <v>2</v>
      </c>
      <c r="C88" s="3">
        <v>16</v>
      </c>
      <c r="D88" s="3">
        <v>3</v>
      </c>
      <c r="E88" s="3">
        <f>((1/(INDEX(E0!J$4:J$52,C88,1)-INDEX(E0!J$4:J$52,D88,1))))*100000000</f>
        <v>0</v>
      </c>
      <c r="F88" s="4" t="str">
        <f>HYPERLINK("http://141.218.60.56/~jnz1568/getInfo.php?workbook=03_02.xlsx&amp;sheet=A0&amp;row=88&amp;col=6&amp;number=&amp;sourceID=27","")</f>
        <v/>
      </c>
      <c r="G88" s="4" t="str">
        <f>HYPERLINK("http://141.218.60.56/~jnz1568/getInfo.php?workbook=03_02.xlsx&amp;sheet=A0&amp;row=88&amp;col=7&amp;number=&amp;sourceID=15","")</f>
        <v/>
      </c>
      <c r="H88" s="4" t="str">
        <f>HYPERLINK("http://141.218.60.56/~jnz1568/getInfo.php?workbook=03_02.xlsx&amp;sheet=A0&amp;row=88&amp;col=8&amp;number=4748.9&amp;sourceID=15","4748.9")</f>
        <v>4748.9</v>
      </c>
      <c r="I88" s="4" t="str">
        <f>HYPERLINK("http://141.218.60.56/~jnz1568/getInfo.php?workbook=03_02.xlsx&amp;sheet=A0&amp;row=88&amp;col=9&amp;number=&amp;sourceID=15","")</f>
        <v/>
      </c>
      <c r="J88" s="4" t="str">
        <f>HYPERLINK("http://141.218.60.56/~jnz1568/getInfo.php?workbook=03_02.xlsx&amp;sheet=A0&amp;row=88&amp;col=10&amp;number=&amp;sourceID=15","")</f>
        <v/>
      </c>
      <c r="K88" s="4" t="str">
        <f>HYPERLINK("http://141.218.60.56/~jnz1568/getInfo.php?workbook=03_02.xlsx&amp;sheet=A0&amp;row=88&amp;col=11&amp;number=&amp;sourceID=30","")</f>
        <v/>
      </c>
      <c r="L88" s="4" t="str">
        <f>HYPERLINK("http://141.218.60.56/~jnz1568/getInfo.php?workbook=03_02.xlsx&amp;sheet=A0&amp;row=88&amp;col=12&amp;number=4324&amp;sourceID=30","4324")</f>
        <v>4324</v>
      </c>
      <c r="M88" s="4" t="str">
        <f>HYPERLINK("http://141.218.60.56/~jnz1568/getInfo.php?workbook=03_02.xlsx&amp;sheet=A0&amp;row=88&amp;col=13&amp;number=&amp;sourceID=30","")</f>
        <v/>
      </c>
      <c r="N88" s="4" t="str">
        <f>HYPERLINK("http://141.218.60.56/~jnz1568/getInfo.php?workbook=03_02.xlsx&amp;sheet=A0&amp;row=88&amp;col=14&amp;number=&amp;sourceID=30","")</f>
        <v/>
      </c>
    </row>
    <row r="89" spans="1:14">
      <c r="A89" s="3">
        <v>3</v>
      </c>
      <c r="B89" s="3">
        <v>2</v>
      </c>
      <c r="C89" s="3">
        <v>16</v>
      </c>
      <c r="D89" s="3">
        <v>4</v>
      </c>
      <c r="E89" s="3">
        <f>((1/(INDEX(E0!J$4:J$52,C89,1)-INDEX(E0!J$4:J$52,D89,1))))*100000000</f>
        <v>0</v>
      </c>
      <c r="F89" s="4" t="str">
        <f>HYPERLINK("http://141.218.60.56/~jnz1568/getInfo.php?workbook=03_02.xlsx&amp;sheet=A0&amp;row=89&amp;col=6&amp;number=&amp;sourceID=27","")</f>
        <v/>
      </c>
      <c r="G89" s="4" t="str">
        <f>HYPERLINK("http://141.218.60.56/~jnz1568/getInfo.php?workbook=03_02.xlsx&amp;sheet=A0&amp;row=89&amp;col=7&amp;number=272000&amp;sourceID=15","272000")</f>
        <v>272000</v>
      </c>
      <c r="H89" s="4" t="str">
        <f>HYPERLINK("http://141.218.60.56/~jnz1568/getInfo.php?workbook=03_02.xlsx&amp;sheet=A0&amp;row=89&amp;col=8&amp;number=&amp;sourceID=15","")</f>
        <v/>
      </c>
      <c r="I89" s="4" t="str">
        <f>HYPERLINK("http://141.218.60.56/~jnz1568/getInfo.php?workbook=03_02.xlsx&amp;sheet=A0&amp;row=89&amp;col=9&amp;number=&amp;sourceID=15","")</f>
        <v/>
      </c>
      <c r="J89" s="4" t="str">
        <f>HYPERLINK("http://141.218.60.56/~jnz1568/getInfo.php?workbook=03_02.xlsx&amp;sheet=A0&amp;row=89&amp;col=10&amp;number=&amp;sourceID=15","")</f>
        <v/>
      </c>
      <c r="K89" s="4" t="str">
        <f>HYPERLINK("http://141.218.60.56/~jnz1568/getInfo.php?workbook=03_02.xlsx&amp;sheet=A0&amp;row=89&amp;col=11&amp;number=126000&amp;sourceID=30","126000")</f>
        <v>126000</v>
      </c>
      <c r="L89" s="4" t="str">
        <f>HYPERLINK("http://141.218.60.56/~jnz1568/getInfo.php?workbook=03_02.xlsx&amp;sheet=A0&amp;row=89&amp;col=12&amp;number=&amp;sourceID=30","")</f>
        <v/>
      </c>
      <c r="M89" s="4" t="str">
        <f>HYPERLINK("http://141.218.60.56/~jnz1568/getInfo.php?workbook=03_02.xlsx&amp;sheet=A0&amp;row=89&amp;col=13&amp;number=&amp;sourceID=30","")</f>
        <v/>
      </c>
      <c r="N89" s="4" t="str">
        <f>HYPERLINK("http://141.218.60.56/~jnz1568/getInfo.php?workbook=03_02.xlsx&amp;sheet=A0&amp;row=89&amp;col=14&amp;number=0.01651&amp;sourceID=30","0.01651")</f>
        <v>0.01651</v>
      </c>
    </row>
    <row r="90" spans="1:14">
      <c r="A90" s="3">
        <v>3</v>
      </c>
      <c r="B90" s="3">
        <v>2</v>
      </c>
      <c r="C90" s="3">
        <v>16</v>
      </c>
      <c r="D90" s="3">
        <v>5</v>
      </c>
      <c r="E90" s="3">
        <f>((1/(INDEX(E0!J$4:J$52,C90,1)-INDEX(E0!J$4:J$52,D90,1))))*100000000</f>
        <v>0</v>
      </c>
      <c r="F90" s="4" t="str">
        <f>HYPERLINK("http://141.218.60.56/~jnz1568/getInfo.php?workbook=03_02.xlsx&amp;sheet=A0&amp;row=90&amp;col=6&amp;number=&amp;sourceID=27","")</f>
        <v/>
      </c>
      <c r="G90" s="4" t="str">
        <f>HYPERLINK("http://141.218.60.56/~jnz1568/getInfo.php?workbook=03_02.xlsx&amp;sheet=A0&amp;row=90&amp;col=7&amp;number=101100&amp;sourceID=15","101100")</f>
        <v>101100</v>
      </c>
      <c r="H90" s="4" t="str">
        <f>HYPERLINK("http://141.218.60.56/~jnz1568/getInfo.php?workbook=03_02.xlsx&amp;sheet=A0&amp;row=90&amp;col=8&amp;number=&amp;sourceID=15","")</f>
        <v/>
      </c>
      <c r="I90" s="4" t="str">
        <f>HYPERLINK("http://141.218.60.56/~jnz1568/getInfo.php?workbook=03_02.xlsx&amp;sheet=A0&amp;row=90&amp;col=9&amp;number=&amp;sourceID=15","")</f>
        <v/>
      </c>
      <c r="J90" s="4" t="str">
        <f>HYPERLINK("http://141.218.60.56/~jnz1568/getInfo.php?workbook=03_02.xlsx&amp;sheet=A0&amp;row=90&amp;col=10&amp;number=&amp;sourceID=15","")</f>
        <v/>
      </c>
      <c r="K90" s="4" t="str">
        <f>HYPERLINK("http://141.218.60.56/~jnz1568/getInfo.php?workbook=03_02.xlsx&amp;sheet=A0&amp;row=90&amp;col=11&amp;number=47920&amp;sourceID=30","47920")</f>
        <v>47920</v>
      </c>
      <c r="L90" s="4" t="str">
        <f>HYPERLINK("http://141.218.60.56/~jnz1568/getInfo.php?workbook=03_02.xlsx&amp;sheet=A0&amp;row=90&amp;col=12&amp;number=&amp;sourceID=30","")</f>
        <v/>
      </c>
      <c r="M90" s="4" t="str">
        <f>HYPERLINK("http://141.218.60.56/~jnz1568/getInfo.php?workbook=03_02.xlsx&amp;sheet=A0&amp;row=90&amp;col=13&amp;number=&amp;sourceID=30","")</f>
        <v/>
      </c>
      <c r="N90" s="4" t="str">
        <f>HYPERLINK("http://141.218.60.56/~jnz1568/getInfo.php?workbook=03_02.xlsx&amp;sheet=A0&amp;row=90&amp;col=14&amp;number=0.01277&amp;sourceID=30","0.01277")</f>
        <v>0.01277</v>
      </c>
    </row>
    <row r="91" spans="1:14">
      <c r="A91" s="3">
        <v>3</v>
      </c>
      <c r="B91" s="3">
        <v>2</v>
      </c>
      <c r="C91" s="3">
        <v>16</v>
      </c>
      <c r="D91" s="3">
        <v>6</v>
      </c>
      <c r="E91" s="3">
        <f>((1/(INDEX(E0!J$4:J$52,C91,1)-INDEX(E0!J$4:J$52,D91,1))))*100000000</f>
        <v>0</v>
      </c>
      <c r="F91" s="4" t="str">
        <f>HYPERLINK("http://141.218.60.56/~jnz1568/getInfo.php?workbook=03_02.xlsx&amp;sheet=A0&amp;row=91&amp;col=6&amp;number=&amp;sourceID=27","")</f>
        <v/>
      </c>
      <c r="G91" s="4" t="str">
        <f>HYPERLINK("http://141.218.60.56/~jnz1568/getInfo.php?workbook=03_02.xlsx&amp;sheet=A0&amp;row=91&amp;col=7&amp;number=&amp;sourceID=15","")</f>
        <v/>
      </c>
      <c r="H91" s="4" t="str">
        <f>HYPERLINK("http://141.218.60.56/~jnz1568/getInfo.php?workbook=03_02.xlsx&amp;sheet=A0&amp;row=91&amp;col=8&amp;number=&amp;sourceID=15","")</f>
        <v/>
      </c>
      <c r="I91" s="4" t="str">
        <f>HYPERLINK("http://141.218.60.56/~jnz1568/getInfo.php?workbook=03_02.xlsx&amp;sheet=A0&amp;row=91&amp;col=9&amp;number=&amp;sourceID=15","")</f>
        <v/>
      </c>
      <c r="J91" s="4" t="str">
        <f>HYPERLINK("http://141.218.60.56/~jnz1568/getInfo.php?workbook=03_02.xlsx&amp;sheet=A0&amp;row=91&amp;col=10&amp;number=&amp;sourceID=15","")</f>
        <v/>
      </c>
      <c r="K91" s="4" t="str">
        <f>HYPERLINK("http://141.218.60.56/~jnz1568/getInfo.php?workbook=03_02.xlsx&amp;sheet=A0&amp;row=91&amp;col=11&amp;number=&amp;sourceID=30","")</f>
        <v/>
      </c>
      <c r="L91" s="4" t="str">
        <f>HYPERLINK("http://141.218.60.56/~jnz1568/getInfo.php?workbook=03_02.xlsx&amp;sheet=A0&amp;row=91&amp;col=12&amp;number=&amp;sourceID=30","")</f>
        <v/>
      </c>
      <c r="M91" s="4" t="str">
        <f>HYPERLINK("http://141.218.60.56/~jnz1568/getInfo.php?workbook=03_02.xlsx&amp;sheet=A0&amp;row=91&amp;col=13&amp;number=&amp;sourceID=30","")</f>
        <v/>
      </c>
      <c r="N91" s="4" t="str">
        <f>HYPERLINK("http://141.218.60.56/~jnz1568/getInfo.php?workbook=03_02.xlsx&amp;sheet=A0&amp;row=91&amp;col=14&amp;number=0.007219&amp;sourceID=30","0.007219")</f>
        <v>0.007219</v>
      </c>
    </row>
    <row r="92" spans="1:14">
      <c r="A92" s="3">
        <v>3</v>
      </c>
      <c r="B92" s="3">
        <v>2</v>
      </c>
      <c r="C92" s="3">
        <v>16</v>
      </c>
      <c r="D92" s="3">
        <v>7</v>
      </c>
      <c r="E92" s="3">
        <f>((1/(INDEX(E0!J$4:J$52,C92,1)-INDEX(E0!J$4:J$52,D92,1))))*100000000</f>
        <v>0</v>
      </c>
      <c r="F92" s="4" t="str">
        <f>HYPERLINK("http://141.218.60.56/~jnz1568/getInfo.php?workbook=03_02.xlsx&amp;sheet=A0&amp;row=92&amp;col=6&amp;number=&amp;sourceID=27","")</f>
        <v/>
      </c>
      <c r="G92" s="4" t="str">
        <f>HYPERLINK("http://141.218.60.56/~jnz1568/getInfo.php?workbook=03_02.xlsx&amp;sheet=A0&amp;row=92&amp;col=7&amp;number=1006900000&amp;sourceID=15","1006900000")</f>
        <v>1006900000</v>
      </c>
      <c r="H92" s="4" t="str">
        <f>HYPERLINK("http://141.218.60.56/~jnz1568/getInfo.php?workbook=03_02.xlsx&amp;sheet=A0&amp;row=92&amp;col=8&amp;number=&amp;sourceID=15","")</f>
        <v/>
      </c>
      <c r="I92" s="4" t="str">
        <f>HYPERLINK("http://141.218.60.56/~jnz1568/getInfo.php?workbook=03_02.xlsx&amp;sheet=A0&amp;row=92&amp;col=9&amp;number=&amp;sourceID=15","")</f>
        <v/>
      </c>
      <c r="J92" s="4" t="str">
        <f>HYPERLINK("http://141.218.60.56/~jnz1568/getInfo.php?workbook=03_02.xlsx&amp;sheet=A0&amp;row=92&amp;col=10&amp;number=&amp;sourceID=15","")</f>
        <v/>
      </c>
      <c r="K92" s="4" t="str">
        <f>HYPERLINK("http://141.218.60.56/~jnz1568/getInfo.php?workbook=03_02.xlsx&amp;sheet=A0&amp;row=92&amp;col=11&amp;number=1001000000&amp;sourceID=30","1001000000")</f>
        <v>1001000000</v>
      </c>
      <c r="L92" s="4" t="str">
        <f>HYPERLINK("http://141.218.60.56/~jnz1568/getInfo.php?workbook=03_02.xlsx&amp;sheet=A0&amp;row=92&amp;col=12&amp;number=&amp;sourceID=30","")</f>
        <v/>
      </c>
      <c r="M92" s="4" t="str">
        <f>HYPERLINK("http://141.218.60.56/~jnz1568/getInfo.php?workbook=03_02.xlsx&amp;sheet=A0&amp;row=92&amp;col=13&amp;number=&amp;sourceID=30","")</f>
        <v/>
      </c>
      <c r="N92" s="4" t="str">
        <f>HYPERLINK("http://141.218.60.56/~jnz1568/getInfo.php?workbook=03_02.xlsx&amp;sheet=A0&amp;row=92&amp;col=14&amp;number=0.01014&amp;sourceID=30","0.01014")</f>
        <v>0.01014</v>
      </c>
    </row>
    <row r="93" spans="1:14">
      <c r="A93" s="3">
        <v>3</v>
      </c>
      <c r="B93" s="3">
        <v>2</v>
      </c>
      <c r="C93" s="3">
        <v>16</v>
      </c>
      <c r="D93" s="3">
        <v>8</v>
      </c>
      <c r="E93" s="3">
        <f>((1/(INDEX(E0!J$4:J$52,C93,1)-INDEX(E0!J$4:J$52,D93,1))))*100000000</f>
        <v>0</v>
      </c>
      <c r="F93" s="4" t="str">
        <f>HYPERLINK("http://141.218.60.56/~jnz1568/getInfo.php?workbook=03_02.xlsx&amp;sheet=A0&amp;row=93&amp;col=6&amp;number=&amp;sourceID=27","")</f>
        <v/>
      </c>
      <c r="G93" s="4" t="str">
        <f>HYPERLINK("http://141.218.60.56/~jnz1568/getInfo.php?workbook=03_02.xlsx&amp;sheet=A0&amp;row=93&amp;col=7&amp;number=&amp;sourceID=15","")</f>
        <v/>
      </c>
      <c r="H93" s="4" t="str">
        <f>HYPERLINK("http://141.218.60.56/~jnz1568/getInfo.php?workbook=03_02.xlsx&amp;sheet=A0&amp;row=93&amp;col=8&amp;number=&amp;sourceID=15","")</f>
        <v/>
      </c>
      <c r="I93" s="4" t="str">
        <f>HYPERLINK("http://141.218.60.56/~jnz1568/getInfo.php?workbook=03_02.xlsx&amp;sheet=A0&amp;row=93&amp;col=9&amp;number=&amp;sourceID=15","")</f>
        <v/>
      </c>
      <c r="J93" s="4" t="str">
        <f>HYPERLINK("http://141.218.60.56/~jnz1568/getInfo.php?workbook=03_02.xlsx&amp;sheet=A0&amp;row=93&amp;col=10&amp;number=&amp;sourceID=15","")</f>
        <v/>
      </c>
      <c r="K93" s="4" t="str">
        <f>HYPERLINK("http://141.218.60.56/~jnz1568/getInfo.php?workbook=03_02.xlsx&amp;sheet=A0&amp;row=93&amp;col=11&amp;number=&amp;sourceID=30","")</f>
        <v/>
      </c>
      <c r="L93" s="4" t="str">
        <f>HYPERLINK("http://141.218.60.56/~jnz1568/getInfo.php?workbook=03_02.xlsx&amp;sheet=A0&amp;row=93&amp;col=12&amp;number=5.001e-05&amp;sourceID=30","5.001e-05")</f>
        <v>5.001e-05</v>
      </c>
      <c r="M93" s="4" t="str">
        <f>HYPERLINK("http://141.218.60.56/~jnz1568/getInfo.php?workbook=03_02.xlsx&amp;sheet=A0&amp;row=93&amp;col=13&amp;number=6.05e-12&amp;sourceID=30","6.05e-12")</f>
        <v>6.05e-12</v>
      </c>
      <c r="N93" s="4" t="str">
        <f>HYPERLINK("http://141.218.60.56/~jnz1568/getInfo.php?workbook=03_02.xlsx&amp;sheet=A0&amp;row=93&amp;col=14&amp;number=&amp;sourceID=30","")</f>
        <v/>
      </c>
    </row>
    <row r="94" spans="1:14">
      <c r="A94" s="3">
        <v>3</v>
      </c>
      <c r="B94" s="3">
        <v>2</v>
      </c>
      <c r="C94" s="3">
        <v>16</v>
      </c>
      <c r="D94" s="3">
        <v>9</v>
      </c>
      <c r="E94" s="3">
        <f>((1/(INDEX(E0!J$4:J$52,C94,1)-INDEX(E0!J$4:J$52,D94,1))))*100000000</f>
        <v>0</v>
      </c>
      <c r="F94" s="4" t="str">
        <f>HYPERLINK("http://141.218.60.56/~jnz1568/getInfo.php?workbook=03_02.xlsx&amp;sheet=A0&amp;row=94&amp;col=6&amp;number=&amp;sourceID=27","")</f>
        <v/>
      </c>
      <c r="G94" s="4" t="str">
        <f>HYPERLINK("http://141.218.60.56/~jnz1568/getInfo.php?workbook=03_02.xlsx&amp;sheet=A0&amp;row=94&amp;col=7&amp;number=&amp;sourceID=15","")</f>
        <v/>
      </c>
      <c r="H94" s="4" t="str">
        <f>HYPERLINK("http://141.218.60.56/~jnz1568/getInfo.php?workbook=03_02.xlsx&amp;sheet=A0&amp;row=94&amp;col=8&amp;number=0.0026723&amp;sourceID=15","0.0026723")</f>
        <v>0.0026723</v>
      </c>
      <c r="I94" s="4" t="str">
        <f>HYPERLINK("http://141.218.60.56/~jnz1568/getInfo.php?workbook=03_02.xlsx&amp;sheet=A0&amp;row=94&amp;col=9&amp;number=&amp;sourceID=15","")</f>
        <v/>
      </c>
      <c r="J94" s="4" t="str">
        <f>HYPERLINK("http://141.218.60.56/~jnz1568/getInfo.php?workbook=03_02.xlsx&amp;sheet=A0&amp;row=94&amp;col=10&amp;number=&amp;sourceID=15","")</f>
        <v/>
      </c>
      <c r="K94" s="4" t="str">
        <f>HYPERLINK("http://141.218.60.56/~jnz1568/getInfo.php?workbook=03_02.xlsx&amp;sheet=A0&amp;row=94&amp;col=11&amp;number=&amp;sourceID=30","")</f>
        <v/>
      </c>
      <c r="L94" s="4" t="str">
        <f>HYPERLINK("http://141.218.60.56/~jnz1568/getInfo.php?workbook=03_02.xlsx&amp;sheet=A0&amp;row=94&amp;col=12&amp;number=2.946e-05&amp;sourceID=30","2.946e-05")</f>
        <v>2.946e-05</v>
      </c>
      <c r="M94" s="4" t="str">
        <f>HYPERLINK("http://141.218.60.56/~jnz1568/getInfo.php?workbook=03_02.xlsx&amp;sheet=A0&amp;row=94&amp;col=13&amp;number=&amp;sourceID=30","")</f>
        <v/>
      </c>
      <c r="N94" s="4" t="str">
        <f>HYPERLINK("http://141.218.60.56/~jnz1568/getInfo.php?workbook=03_02.xlsx&amp;sheet=A0&amp;row=94&amp;col=14&amp;number=&amp;sourceID=30","")</f>
        <v/>
      </c>
    </row>
    <row r="95" spans="1:14">
      <c r="A95" s="3">
        <v>3</v>
      </c>
      <c r="B95" s="3">
        <v>2</v>
      </c>
      <c r="C95" s="3">
        <v>16</v>
      </c>
      <c r="D95" s="3">
        <v>10</v>
      </c>
      <c r="E95" s="3">
        <f>((1/(INDEX(E0!J$4:J$52,C95,1)-INDEX(E0!J$4:J$52,D95,1))))*100000000</f>
        <v>0</v>
      </c>
      <c r="F95" s="4" t="str">
        <f>HYPERLINK("http://141.218.60.56/~jnz1568/getInfo.php?workbook=03_02.xlsx&amp;sheet=A0&amp;row=95&amp;col=6&amp;number=&amp;sourceID=27","")</f>
        <v/>
      </c>
      <c r="G95" s="4" t="str">
        <f>HYPERLINK("http://141.218.60.56/~jnz1568/getInfo.php?workbook=03_02.xlsx&amp;sheet=A0&amp;row=95&amp;col=7&amp;number=28.54&amp;sourceID=15","28.54")</f>
        <v>28.54</v>
      </c>
      <c r="H95" s="4" t="str">
        <f>HYPERLINK("http://141.218.60.56/~jnz1568/getInfo.php?workbook=03_02.xlsx&amp;sheet=A0&amp;row=95&amp;col=8&amp;number=&amp;sourceID=15","")</f>
        <v/>
      </c>
      <c r="I95" s="4" t="str">
        <f>HYPERLINK("http://141.218.60.56/~jnz1568/getInfo.php?workbook=03_02.xlsx&amp;sheet=A0&amp;row=95&amp;col=9&amp;number=&amp;sourceID=15","")</f>
        <v/>
      </c>
      <c r="J95" s="4" t="str">
        <f>HYPERLINK("http://141.218.60.56/~jnz1568/getInfo.php?workbook=03_02.xlsx&amp;sheet=A0&amp;row=95&amp;col=10&amp;number=&amp;sourceID=15","")</f>
        <v/>
      </c>
      <c r="K95" s="4" t="str">
        <f>HYPERLINK("http://141.218.60.56/~jnz1568/getInfo.php?workbook=03_02.xlsx&amp;sheet=A0&amp;row=95&amp;col=11&amp;number=9.812&amp;sourceID=30","9.812")</f>
        <v>9.812</v>
      </c>
      <c r="L95" s="4" t="str">
        <f>HYPERLINK("http://141.218.60.56/~jnz1568/getInfo.php?workbook=03_02.xlsx&amp;sheet=A0&amp;row=95&amp;col=12&amp;number=&amp;sourceID=30","")</f>
        <v/>
      </c>
      <c r="M95" s="4" t="str">
        <f>HYPERLINK("http://141.218.60.56/~jnz1568/getInfo.php?workbook=03_02.xlsx&amp;sheet=A0&amp;row=95&amp;col=13&amp;number=&amp;sourceID=30","")</f>
        <v/>
      </c>
      <c r="N95" s="4" t="str">
        <f>HYPERLINK("http://141.218.60.56/~jnz1568/getInfo.php?workbook=03_02.xlsx&amp;sheet=A0&amp;row=95&amp;col=14&amp;number=7.415e-10&amp;sourceID=30","7.415e-10")</f>
        <v>7.415e-10</v>
      </c>
    </row>
    <row r="96" spans="1:14">
      <c r="A96" s="3">
        <v>3</v>
      </c>
      <c r="B96" s="3">
        <v>2</v>
      </c>
      <c r="C96" s="3">
        <v>16</v>
      </c>
      <c r="D96" s="3">
        <v>11</v>
      </c>
      <c r="E96" s="3">
        <f>((1/(INDEX(E0!J$4:J$52,C96,1)-INDEX(E0!J$4:J$52,D96,1))))*100000000</f>
        <v>0</v>
      </c>
      <c r="F96" s="4" t="str">
        <f>HYPERLINK("http://141.218.60.56/~jnz1568/getInfo.php?workbook=03_02.xlsx&amp;sheet=A0&amp;row=96&amp;col=6&amp;number=&amp;sourceID=27","")</f>
        <v/>
      </c>
      <c r="G96" s="4" t="str">
        <f>HYPERLINK("http://141.218.60.56/~jnz1568/getInfo.php?workbook=03_02.xlsx&amp;sheet=A0&amp;row=96&amp;col=7&amp;number=10.43&amp;sourceID=15","10.43")</f>
        <v>10.43</v>
      </c>
      <c r="H96" s="4" t="str">
        <f>HYPERLINK("http://141.218.60.56/~jnz1568/getInfo.php?workbook=03_02.xlsx&amp;sheet=A0&amp;row=96&amp;col=8&amp;number=&amp;sourceID=15","")</f>
        <v/>
      </c>
      <c r="I96" s="4" t="str">
        <f>HYPERLINK("http://141.218.60.56/~jnz1568/getInfo.php?workbook=03_02.xlsx&amp;sheet=A0&amp;row=96&amp;col=9&amp;number=&amp;sourceID=15","")</f>
        <v/>
      </c>
      <c r="J96" s="4" t="str">
        <f>HYPERLINK("http://141.218.60.56/~jnz1568/getInfo.php?workbook=03_02.xlsx&amp;sheet=A0&amp;row=96&amp;col=10&amp;number=&amp;sourceID=15","")</f>
        <v/>
      </c>
      <c r="K96" s="4" t="str">
        <f>HYPERLINK("http://141.218.60.56/~jnz1568/getInfo.php?workbook=03_02.xlsx&amp;sheet=A0&amp;row=96&amp;col=11&amp;number=3.693&amp;sourceID=30","3.693")</f>
        <v>3.693</v>
      </c>
      <c r="L96" s="4" t="str">
        <f>HYPERLINK("http://141.218.60.56/~jnz1568/getInfo.php?workbook=03_02.xlsx&amp;sheet=A0&amp;row=96&amp;col=12&amp;number=&amp;sourceID=30","")</f>
        <v/>
      </c>
      <c r="M96" s="4" t="str">
        <f>HYPERLINK("http://141.218.60.56/~jnz1568/getInfo.php?workbook=03_02.xlsx&amp;sheet=A0&amp;row=96&amp;col=13&amp;number=&amp;sourceID=30","")</f>
        <v/>
      </c>
      <c r="N96" s="4" t="str">
        <f>HYPERLINK("http://141.218.60.56/~jnz1568/getInfo.php?workbook=03_02.xlsx&amp;sheet=A0&amp;row=96&amp;col=14&amp;number=5.723e-10&amp;sourceID=30","5.723e-10")</f>
        <v>5.723e-10</v>
      </c>
    </row>
    <row r="97" spans="1:14">
      <c r="A97" s="3">
        <v>3</v>
      </c>
      <c r="B97" s="3">
        <v>2</v>
      </c>
      <c r="C97" s="3">
        <v>16</v>
      </c>
      <c r="D97" s="3">
        <v>12</v>
      </c>
      <c r="E97" s="3">
        <f>((1/(INDEX(E0!J$4:J$52,C97,1)-INDEX(E0!J$4:J$52,D97,1))))*100000000</f>
        <v>0</v>
      </c>
      <c r="F97" s="4" t="str">
        <f>HYPERLINK("http://141.218.60.56/~jnz1568/getInfo.php?workbook=03_02.xlsx&amp;sheet=A0&amp;row=97&amp;col=6&amp;number=&amp;sourceID=27","")</f>
        <v/>
      </c>
      <c r="G97" s="4" t="str">
        <f>HYPERLINK("http://141.218.60.56/~jnz1568/getInfo.php?workbook=03_02.xlsx&amp;sheet=A0&amp;row=97&amp;col=7&amp;number=&amp;sourceID=15","")</f>
        <v/>
      </c>
      <c r="H97" s="4" t="str">
        <f>HYPERLINK("http://141.218.60.56/~jnz1568/getInfo.php?workbook=03_02.xlsx&amp;sheet=A0&amp;row=97&amp;col=8&amp;number=&amp;sourceID=15","")</f>
        <v/>
      </c>
      <c r="I97" s="4" t="str">
        <f>HYPERLINK("http://141.218.60.56/~jnz1568/getInfo.php?workbook=03_02.xlsx&amp;sheet=A0&amp;row=97&amp;col=9&amp;number=&amp;sourceID=15","")</f>
        <v/>
      </c>
      <c r="J97" s="4" t="str">
        <f>HYPERLINK("http://141.218.60.56/~jnz1568/getInfo.php?workbook=03_02.xlsx&amp;sheet=A0&amp;row=97&amp;col=10&amp;number=&amp;sourceID=15","")</f>
        <v/>
      </c>
      <c r="K97" s="4" t="str">
        <f>HYPERLINK("http://141.218.60.56/~jnz1568/getInfo.php?workbook=03_02.xlsx&amp;sheet=A0&amp;row=97&amp;col=11&amp;number=&amp;sourceID=30","")</f>
        <v/>
      </c>
      <c r="L97" s="4" t="str">
        <f>HYPERLINK("http://141.218.60.56/~jnz1568/getInfo.php?workbook=03_02.xlsx&amp;sheet=A0&amp;row=97&amp;col=12&amp;number=&amp;sourceID=30","")</f>
        <v/>
      </c>
      <c r="M97" s="4" t="str">
        <f>HYPERLINK("http://141.218.60.56/~jnz1568/getInfo.php?workbook=03_02.xlsx&amp;sheet=A0&amp;row=97&amp;col=13&amp;number=&amp;sourceID=30","")</f>
        <v/>
      </c>
      <c r="N97" s="4" t="str">
        <f>HYPERLINK("http://141.218.60.56/~jnz1568/getInfo.php?workbook=03_02.xlsx&amp;sheet=A0&amp;row=97&amp;col=14&amp;number=3.228e-10&amp;sourceID=30","3.228e-10")</f>
        <v>3.228e-10</v>
      </c>
    </row>
    <row r="98" spans="1:14">
      <c r="A98" s="3">
        <v>3</v>
      </c>
      <c r="B98" s="3">
        <v>2</v>
      </c>
      <c r="C98" s="3">
        <v>16</v>
      </c>
      <c r="D98" s="3">
        <v>13</v>
      </c>
      <c r="E98" s="3">
        <f>((1/(INDEX(E0!J$4:J$52,C98,1)-INDEX(E0!J$4:J$52,D98,1))))*100000000</f>
        <v>0</v>
      </c>
      <c r="F98" s="4" t="str">
        <f>HYPERLINK("http://141.218.60.56/~jnz1568/getInfo.php?workbook=03_02.xlsx&amp;sheet=A0&amp;row=98&amp;col=6&amp;number=&amp;sourceID=27","")</f>
        <v/>
      </c>
      <c r="G98" s="4" t="str">
        <f>HYPERLINK("http://141.218.60.56/~jnz1568/getInfo.php?workbook=03_02.xlsx&amp;sheet=A0&amp;row=98&amp;col=7&amp;number=&amp;sourceID=15","")</f>
        <v/>
      </c>
      <c r="H98" s="4" t="str">
        <f>HYPERLINK("http://141.218.60.56/~jnz1568/getInfo.php?workbook=03_02.xlsx&amp;sheet=A0&amp;row=98&amp;col=8&amp;number=&amp;sourceID=15","")</f>
        <v/>
      </c>
      <c r="I98" s="4" t="str">
        <f>HYPERLINK("http://141.218.60.56/~jnz1568/getInfo.php?workbook=03_02.xlsx&amp;sheet=A0&amp;row=98&amp;col=9&amp;number=&amp;sourceID=15","")</f>
        <v/>
      </c>
      <c r="J98" s="4" t="str">
        <f>HYPERLINK("http://141.218.60.56/~jnz1568/getInfo.php?workbook=03_02.xlsx&amp;sheet=A0&amp;row=98&amp;col=10&amp;number=&amp;sourceID=15","")</f>
        <v/>
      </c>
      <c r="K98" s="4" t="str">
        <f>HYPERLINK("http://141.218.60.56/~jnz1568/getInfo.php?workbook=03_02.xlsx&amp;sheet=A0&amp;row=98&amp;col=11&amp;number=&amp;sourceID=30","")</f>
        <v/>
      </c>
      <c r="L98" s="4" t="str">
        <f>HYPERLINK("http://141.218.60.56/~jnz1568/getInfo.php?workbook=03_02.xlsx&amp;sheet=A0&amp;row=98&amp;col=12&amp;number=0&amp;sourceID=30","0")</f>
        <v>0</v>
      </c>
      <c r="M98" s="4" t="str">
        <f>HYPERLINK("http://141.218.60.56/~jnz1568/getInfo.php?workbook=03_02.xlsx&amp;sheet=A0&amp;row=98&amp;col=13&amp;number=6.549e-11&amp;sourceID=30","6.549e-11")</f>
        <v>6.549e-11</v>
      </c>
      <c r="N98" s="4" t="str">
        <f>HYPERLINK("http://141.218.60.56/~jnz1568/getInfo.php?workbook=03_02.xlsx&amp;sheet=A0&amp;row=98&amp;col=14&amp;number=&amp;sourceID=30","")</f>
        <v/>
      </c>
    </row>
    <row r="99" spans="1:14">
      <c r="A99" s="3">
        <v>3</v>
      </c>
      <c r="B99" s="3">
        <v>2</v>
      </c>
      <c r="C99" s="3">
        <v>16</v>
      </c>
      <c r="D99" s="3">
        <v>14</v>
      </c>
      <c r="E99" s="3">
        <f>((1/(INDEX(E0!J$4:J$52,C99,1)-INDEX(E0!J$4:J$52,D99,1))))*100000000</f>
        <v>0</v>
      </c>
      <c r="F99" s="4" t="str">
        <f>HYPERLINK("http://141.218.60.56/~jnz1568/getInfo.php?workbook=03_02.xlsx&amp;sheet=A0&amp;row=99&amp;col=6&amp;number=&amp;sourceID=27","")</f>
        <v/>
      </c>
      <c r="G99" s="4" t="str">
        <f>HYPERLINK("http://141.218.60.56/~jnz1568/getInfo.php?workbook=03_02.xlsx&amp;sheet=A0&amp;row=99&amp;col=7&amp;number=&amp;sourceID=15","")</f>
        <v/>
      </c>
      <c r="H99" s="4" t="str">
        <f>HYPERLINK("http://141.218.60.56/~jnz1568/getInfo.php?workbook=03_02.xlsx&amp;sheet=A0&amp;row=99&amp;col=8&amp;number=&amp;sourceID=15","")</f>
        <v/>
      </c>
      <c r="I99" s="4" t="str">
        <f>HYPERLINK("http://141.218.60.56/~jnz1568/getInfo.php?workbook=03_02.xlsx&amp;sheet=A0&amp;row=99&amp;col=9&amp;number=&amp;sourceID=15","")</f>
        <v/>
      </c>
      <c r="J99" s="4" t="str">
        <f>HYPERLINK("http://141.218.60.56/~jnz1568/getInfo.php?workbook=03_02.xlsx&amp;sheet=A0&amp;row=99&amp;col=10&amp;number=&amp;sourceID=15","")</f>
        <v/>
      </c>
      <c r="K99" s="4" t="str">
        <f>HYPERLINK("http://141.218.60.56/~jnz1568/getInfo.php?workbook=03_02.xlsx&amp;sheet=A0&amp;row=99&amp;col=11&amp;number=&amp;sourceID=30","")</f>
        <v/>
      </c>
      <c r="L99" s="4" t="str">
        <f>HYPERLINK("http://141.218.60.56/~jnz1568/getInfo.php?workbook=03_02.xlsx&amp;sheet=A0&amp;row=99&amp;col=12&amp;number=0&amp;sourceID=30","0")</f>
        <v>0</v>
      </c>
      <c r="M99" s="4" t="str">
        <f>HYPERLINK("http://141.218.60.56/~jnz1568/getInfo.php?workbook=03_02.xlsx&amp;sheet=A0&amp;row=99&amp;col=13&amp;number=3.336e-10&amp;sourceID=30","3.336e-10")</f>
        <v>3.336e-10</v>
      </c>
      <c r="N99" s="4" t="str">
        <f>HYPERLINK("http://141.218.60.56/~jnz1568/getInfo.php?workbook=03_02.xlsx&amp;sheet=A0&amp;row=99&amp;col=14&amp;number=&amp;sourceID=30","")</f>
        <v/>
      </c>
    </row>
    <row r="100" spans="1:14">
      <c r="A100" s="3">
        <v>3</v>
      </c>
      <c r="B100" s="3">
        <v>2</v>
      </c>
      <c r="C100" s="3">
        <v>16</v>
      </c>
      <c r="D100" s="3">
        <v>15</v>
      </c>
      <c r="E100" s="3">
        <f>((1/(INDEX(E0!J$4:J$52,C100,1)-INDEX(E0!J$4:J$52,D100,1))))*100000000</f>
        <v>0</v>
      </c>
      <c r="F100" s="4" t="str">
        <f>HYPERLINK("http://141.218.60.56/~jnz1568/getInfo.php?workbook=03_02.xlsx&amp;sheet=A0&amp;row=100&amp;col=6&amp;number=&amp;sourceID=27","")</f>
        <v/>
      </c>
      <c r="G100" s="4" t="str">
        <f>HYPERLINK("http://141.218.60.56/~jnz1568/getInfo.php?workbook=03_02.xlsx&amp;sheet=A0&amp;row=100&amp;col=7&amp;number=&amp;sourceID=15","")</f>
        <v/>
      </c>
      <c r="H100" s="4" t="str">
        <f>HYPERLINK("http://141.218.60.56/~jnz1568/getInfo.php?workbook=03_02.xlsx&amp;sheet=A0&amp;row=100&amp;col=8&amp;number=&amp;sourceID=15","")</f>
        <v/>
      </c>
      <c r="I100" s="4" t="str">
        <f>HYPERLINK("http://141.218.60.56/~jnz1568/getInfo.php?workbook=03_02.xlsx&amp;sheet=A0&amp;row=100&amp;col=9&amp;number=&amp;sourceID=15","")</f>
        <v/>
      </c>
      <c r="J100" s="4" t="str">
        <f>HYPERLINK("http://141.218.60.56/~jnz1568/getInfo.php?workbook=03_02.xlsx&amp;sheet=A0&amp;row=100&amp;col=10&amp;number=&amp;sourceID=15","")</f>
        <v/>
      </c>
      <c r="K100" s="4" t="str">
        <f>HYPERLINK("http://141.218.60.56/~jnz1568/getInfo.php?workbook=03_02.xlsx&amp;sheet=A0&amp;row=100&amp;col=11&amp;number=&amp;sourceID=30","")</f>
        <v/>
      </c>
      <c r="L100" s="4" t="str">
        <f>HYPERLINK("http://141.218.60.56/~jnz1568/getInfo.php?workbook=03_02.xlsx&amp;sheet=A0&amp;row=100&amp;col=12&amp;number=0&amp;sourceID=30","0")</f>
        <v>0</v>
      </c>
      <c r="M100" s="4" t="str">
        <f>HYPERLINK("http://141.218.60.56/~jnz1568/getInfo.php?workbook=03_02.xlsx&amp;sheet=A0&amp;row=100&amp;col=13&amp;number=3.349e-10&amp;sourceID=30","3.349e-10")</f>
        <v>3.349e-10</v>
      </c>
      <c r="N100" s="4" t="str">
        <f>HYPERLINK("http://141.218.60.56/~jnz1568/getInfo.php?workbook=03_02.xlsx&amp;sheet=A0&amp;row=100&amp;col=14&amp;number=&amp;sourceID=30","")</f>
        <v/>
      </c>
    </row>
    <row r="101" spans="1:14">
      <c r="A101" s="3">
        <v>3</v>
      </c>
      <c r="B101" s="3">
        <v>2</v>
      </c>
      <c r="C101" s="3">
        <v>17</v>
      </c>
      <c r="D101" s="3">
        <v>1</v>
      </c>
      <c r="E101" s="3">
        <f>((1/(INDEX(E0!J$4:J$52,C101,1)-INDEX(E0!J$4:J$52,D101,1))))*100000000</f>
        <v>0</v>
      </c>
      <c r="F101" s="4" t="str">
        <f>HYPERLINK("http://141.218.60.56/~jnz1568/getInfo.php?workbook=03_02.xlsx&amp;sheet=A0&amp;row=101&amp;col=6&amp;number=&amp;sourceID=27","")</f>
        <v/>
      </c>
      <c r="G101" s="4" t="str">
        <f>HYPERLINK("http://141.218.60.56/~jnz1568/getInfo.php?workbook=03_02.xlsx&amp;sheet=A0&amp;row=101&amp;col=7&amp;number=7763700000&amp;sourceID=15","7763700000")</f>
        <v>7763700000</v>
      </c>
      <c r="H101" s="4" t="str">
        <f>HYPERLINK("http://141.218.60.56/~jnz1568/getInfo.php?workbook=03_02.xlsx&amp;sheet=A0&amp;row=101&amp;col=8&amp;number=&amp;sourceID=15","")</f>
        <v/>
      </c>
      <c r="I101" s="4" t="str">
        <f>HYPERLINK("http://141.218.60.56/~jnz1568/getInfo.php?workbook=03_02.xlsx&amp;sheet=A0&amp;row=101&amp;col=9&amp;number=&amp;sourceID=15","")</f>
        <v/>
      </c>
      <c r="J101" s="4" t="str">
        <f>HYPERLINK("http://141.218.60.56/~jnz1568/getInfo.php?workbook=03_02.xlsx&amp;sheet=A0&amp;row=101&amp;col=10&amp;number=&amp;sourceID=15","")</f>
        <v/>
      </c>
      <c r="K101" s="4" t="str">
        <f>HYPERLINK("http://141.218.60.56/~jnz1568/getInfo.php?workbook=03_02.xlsx&amp;sheet=A0&amp;row=101&amp;col=11&amp;number=12570000000&amp;sourceID=30","12570000000")</f>
        <v>12570000000</v>
      </c>
      <c r="L101" s="4" t="str">
        <f>HYPERLINK("http://141.218.60.56/~jnz1568/getInfo.php?workbook=03_02.xlsx&amp;sheet=A0&amp;row=101&amp;col=12&amp;number=&amp;sourceID=30","")</f>
        <v/>
      </c>
      <c r="M101" s="4" t="str">
        <f>HYPERLINK("http://141.218.60.56/~jnz1568/getInfo.php?workbook=03_02.xlsx&amp;sheet=A0&amp;row=101&amp;col=13&amp;number=&amp;sourceID=30","")</f>
        <v/>
      </c>
      <c r="N101" s="4" t="str">
        <f>HYPERLINK("http://141.218.60.56/~jnz1568/getInfo.php?workbook=03_02.xlsx&amp;sheet=A0&amp;row=101&amp;col=14&amp;number=&amp;sourceID=30","")</f>
        <v/>
      </c>
    </row>
    <row r="102" spans="1:14">
      <c r="A102" s="3">
        <v>3</v>
      </c>
      <c r="B102" s="3">
        <v>2</v>
      </c>
      <c r="C102" s="3">
        <v>17</v>
      </c>
      <c r="D102" s="3">
        <v>2</v>
      </c>
      <c r="E102" s="3">
        <f>((1/(INDEX(E0!J$4:J$52,C102,1)-INDEX(E0!J$4:J$52,D102,1))))*100000000</f>
        <v>0</v>
      </c>
      <c r="F102" s="4" t="str">
        <f>HYPERLINK("http://141.218.60.56/~jnz1568/getInfo.php?workbook=03_02.xlsx&amp;sheet=A0&amp;row=102&amp;col=6&amp;number=&amp;sourceID=27","")</f>
        <v/>
      </c>
      <c r="G102" s="4" t="str">
        <f>HYPERLINK("http://141.218.60.56/~jnz1568/getInfo.php?workbook=03_02.xlsx&amp;sheet=A0&amp;row=102&amp;col=7&amp;number=&amp;sourceID=15","")</f>
        <v/>
      </c>
      <c r="H102" s="4" t="str">
        <f>HYPERLINK("http://141.218.60.56/~jnz1568/getInfo.php?workbook=03_02.xlsx&amp;sheet=A0&amp;row=102&amp;col=8&amp;number=&amp;sourceID=15","")</f>
        <v/>
      </c>
      <c r="I102" s="4" t="str">
        <f>HYPERLINK("http://141.218.60.56/~jnz1568/getInfo.php?workbook=03_02.xlsx&amp;sheet=A0&amp;row=102&amp;col=9&amp;number=&amp;sourceID=15","")</f>
        <v/>
      </c>
      <c r="J102" s="4" t="str">
        <f>HYPERLINK("http://141.218.60.56/~jnz1568/getInfo.php?workbook=03_02.xlsx&amp;sheet=A0&amp;row=102&amp;col=10&amp;number=&amp;sourceID=15","")</f>
        <v/>
      </c>
      <c r="K102" s="4" t="str">
        <f>HYPERLINK("http://141.218.60.56/~jnz1568/getInfo.php?workbook=03_02.xlsx&amp;sheet=A0&amp;row=102&amp;col=11&amp;number=63.79&amp;sourceID=30","63.79")</f>
        <v>63.79</v>
      </c>
      <c r="L102" s="4" t="str">
        <f>HYPERLINK("http://141.218.60.56/~jnz1568/getInfo.php?workbook=03_02.xlsx&amp;sheet=A0&amp;row=102&amp;col=12&amp;number=&amp;sourceID=30","")</f>
        <v/>
      </c>
      <c r="M102" s="4" t="str">
        <f>HYPERLINK("http://141.218.60.56/~jnz1568/getInfo.php?workbook=03_02.xlsx&amp;sheet=A0&amp;row=102&amp;col=13&amp;number=&amp;sourceID=30","")</f>
        <v/>
      </c>
      <c r="N102" s="4" t="str">
        <f>HYPERLINK("http://141.218.60.56/~jnz1568/getInfo.php?workbook=03_02.xlsx&amp;sheet=A0&amp;row=102&amp;col=14&amp;number=0.00832&amp;sourceID=30","0.00832")</f>
        <v>0.00832</v>
      </c>
    </row>
    <row r="103" spans="1:14">
      <c r="A103" s="3">
        <v>3</v>
      </c>
      <c r="B103" s="3">
        <v>2</v>
      </c>
      <c r="C103" s="3">
        <v>17</v>
      </c>
      <c r="D103" s="3">
        <v>3</v>
      </c>
      <c r="E103" s="3">
        <f>((1/(INDEX(E0!J$4:J$52,C103,1)-INDEX(E0!J$4:J$52,D103,1))))*100000000</f>
        <v>0</v>
      </c>
      <c r="F103" s="4" t="str">
        <f>HYPERLINK("http://141.218.60.56/~jnz1568/getInfo.php?workbook=03_02.xlsx&amp;sheet=A0&amp;row=103&amp;col=6&amp;number=&amp;sourceID=27","")</f>
        <v/>
      </c>
      <c r="G103" s="4" t="str">
        <f>HYPERLINK("http://141.218.60.56/~jnz1568/getInfo.php?workbook=03_02.xlsx&amp;sheet=A0&amp;row=103&amp;col=7&amp;number=283090000&amp;sourceID=15","283090000")</f>
        <v>283090000</v>
      </c>
      <c r="H103" s="4" t="str">
        <f>HYPERLINK("http://141.218.60.56/~jnz1568/getInfo.php?workbook=03_02.xlsx&amp;sheet=A0&amp;row=103&amp;col=8&amp;number=&amp;sourceID=15","")</f>
        <v/>
      </c>
      <c r="I103" s="4" t="str">
        <f>HYPERLINK("http://141.218.60.56/~jnz1568/getInfo.php?workbook=03_02.xlsx&amp;sheet=A0&amp;row=103&amp;col=9&amp;number=&amp;sourceID=15","")</f>
        <v/>
      </c>
      <c r="J103" s="4" t="str">
        <f>HYPERLINK("http://141.218.60.56/~jnz1568/getInfo.php?workbook=03_02.xlsx&amp;sheet=A0&amp;row=103&amp;col=10&amp;number=&amp;sourceID=15","")</f>
        <v/>
      </c>
      <c r="K103" s="4" t="str">
        <f>HYPERLINK("http://141.218.60.56/~jnz1568/getInfo.php?workbook=03_02.xlsx&amp;sheet=A0&amp;row=103&amp;col=11&amp;number=344000000&amp;sourceID=30","344000000")</f>
        <v>344000000</v>
      </c>
      <c r="L103" s="4" t="str">
        <f>HYPERLINK("http://141.218.60.56/~jnz1568/getInfo.php?workbook=03_02.xlsx&amp;sheet=A0&amp;row=103&amp;col=12&amp;number=&amp;sourceID=30","")</f>
        <v/>
      </c>
      <c r="M103" s="4" t="str">
        <f>HYPERLINK("http://141.218.60.56/~jnz1568/getInfo.php?workbook=03_02.xlsx&amp;sheet=A0&amp;row=103&amp;col=13&amp;number=&amp;sourceID=30","")</f>
        <v/>
      </c>
      <c r="N103" s="4" t="str">
        <f>HYPERLINK("http://141.218.60.56/~jnz1568/getInfo.php?workbook=03_02.xlsx&amp;sheet=A0&amp;row=103&amp;col=14&amp;number=&amp;sourceID=30","")</f>
        <v/>
      </c>
    </row>
    <row r="104" spans="1:14">
      <c r="A104" s="3">
        <v>3</v>
      </c>
      <c r="B104" s="3">
        <v>2</v>
      </c>
      <c r="C104" s="3">
        <v>17</v>
      </c>
      <c r="D104" s="3">
        <v>4</v>
      </c>
      <c r="E104" s="3">
        <f>((1/(INDEX(E0!J$4:J$52,C104,1)-INDEX(E0!J$4:J$52,D104,1))))*100000000</f>
        <v>0</v>
      </c>
      <c r="F104" s="4" t="str">
        <f>HYPERLINK("http://141.218.60.56/~jnz1568/getInfo.php?workbook=03_02.xlsx&amp;sheet=A0&amp;row=104&amp;col=6&amp;number=&amp;sourceID=27","")</f>
        <v/>
      </c>
      <c r="G104" s="4" t="str">
        <f>HYPERLINK("http://141.218.60.56/~jnz1568/getInfo.php?workbook=03_02.xlsx&amp;sheet=A0&amp;row=104&amp;col=7&amp;number=&amp;sourceID=15","")</f>
        <v/>
      </c>
      <c r="H104" s="4" t="str">
        <f>HYPERLINK("http://141.218.60.56/~jnz1568/getInfo.php?workbook=03_02.xlsx&amp;sheet=A0&amp;row=104&amp;col=8&amp;number=&amp;sourceID=15","")</f>
        <v/>
      </c>
      <c r="I104" s="4" t="str">
        <f>HYPERLINK("http://141.218.60.56/~jnz1568/getInfo.php?workbook=03_02.xlsx&amp;sheet=A0&amp;row=104&amp;col=9&amp;number=&amp;sourceID=15","")</f>
        <v/>
      </c>
      <c r="J104" s="4" t="str">
        <f>HYPERLINK("http://141.218.60.56/~jnz1568/getInfo.php?workbook=03_02.xlsx&amp;sheet=A0&amp;row=104&amp;col=10&amp;number=&amp;sourceID=15","")</f>
        <v/>
      </c>
      <c r="K104" s="4" t="str">
        <f>HYPERLINK("http://141.218.60.56/~jnz1568/getInfo.php?workbook=03_02.xlsx&amp;sheet=A0&amp;row=104&amp;col=11&amp;number=&amp;sourceID=30","")</f>
        <v/>
      </c>
      <c r="L104" s="4" t="str">
        <f>HYPERLINK("http://141.218.60.56/~jnz1568/getInfo.php?workbook=03_02.xlsx&amp;sheet=A0&amp;row=104&amp;col=12&amp;number=0.001839&amp;sourceID=30","0.001839")</f>
        <v>0.001839</v>
      </c>
      <c r="M104" s="4" t="str">
        <f>HYPERLINK("http://141.218.60.56/~jnz1568/getInfo.php?workbook=03_02.xlsx&amp;sheet=A0&amp;row=104&amp;col=13&amp;number=1.068e-05&amp;sourceID=30","1.068e-05")</f>
        <v>1.068e-05</v>
      </c>
      <c r="N104" s="4" t="str">
        <f>HYPERLINK("http://141.218.60.56/~jnz1568/getInfo.php?workbook=03_02.xlsx&amp;sheet=A0&amp;row=104&amp;col=14&amp;number=&amp;sourceID=30","")</f>
        <v/>
      </c>
    </row>
    <row r="105" spans="1:14">
      <c r="A105" s="3">
        <v>3</v>
      </c>
      <c r="B105" s="3">
        <v>2</v>
      </c>
      <c r="C105" s="3">
        <v>17</v>
      </c>
      <c r="D105" s="3">
        <v>5</v>
      </c>
      <c r="E105" s="3">
        <f>((1/(INDEX(E0!J$4:J$52,C105,1)-INDEX(E0!J$4:J$52,D105,1))))*100000000</f>
        <v>0</v>
      </c>
      <c r="F105" s="4" t="str">
        <f>HYPERLINK("http://141.218.60.56/~jnz1568/getInfo.php?workbook=03_02.xlsx&amp;sheet=A0&amp;row=105&amp;col=6&amp;number=&amp;sourceID=27","")</f>
        <v/>
      </c>
      <c r="G105" s="4" t="str">
        <f>HYPERLINK("http://141.218.60.56/~jnz1568/getInfo.php?workbook=03_02.xlsx&amp;sheet=A0&amp;row=105&amp;col=7&amp;number=&amp;sourceID=15","")</f>
        <v/>
      </c>
      <c r="H105" s="4" t="str">
        <f>HYPERLINK("http://141.218.60.56/~jnz1568/getInfo.php?workbook=03_02.xlsx&amp;sheet=A0&amp;row=105&amp;col=8&amp;number=&amp;sourceID=15","")</f>
        <v/>
      </c>
      <c r="I105" s="4" t="str">
        <f>HYPERLINK("http://141.218.60.56/~jnz1568/getInfo.php?workbook=03_02.xlsx&amp;sheet=A0&amp;row=105&amp;col=9&amp;number=&amp;sourceID=15","")</f>
        <v/>
      </c>
      <c r="J105" s="4" t="str">
        <f>HYPERLINK("http://141.218.60.56/~jnz1568/getInfo.php?workbook=03_02.xlsx&amp;sheet=A0&amp;row=105&amp;col=10&amp;number=&amp;sourceID=15","")</f>
        <v/>
      </c>
      <c r="K105" s="4" t="str">
        <f>HYPERLINK("http://141.218.60.56/~jnz1568/getInfo.php?workbook=03_02.xlsx&amp;sheet=A0&amp;row=105&amp;col=11&amp;number=&amp;sourceID=30","")</f>
        <v/>
      </c>
      <c r="L105" s="4" t="str">
        <f>HYPERLINK("http://141.218.60.56/~jnz1568/getInfo.php?workbook=03_02.xlsx&amp;sheet=A0&amp;row=105&amp;col=12&amp;number=0.0005273&amp;sourceID=30","0.0005273")</f>
        <v>0.0005273</v>
      </c>
      <c r="M105" s="4" t="str">
        <f>HYPERLINK("http://141.218.60.56/~jnz1568/getInfo.php?workbook=03_02.xlsx&amp;sheet=A0&amp;row=105&amp;col=13&amp;number=1.556e-05&amp;sourceID=30","1.556e-05")</f>
        <v>1.556e-05</v>
      </c>
      <c r="N105" s="4" t="str">
        <f>HYPERLINK("http://141.218.60.56/~jnz1568/getInfo.php?workbook=03_02.xlsx&amp;sheet=A0&amp;row=105&amp;col=14&amp;number=&amp;sourceID=30","")</f>
        <v/>
      </c>
    </row>
    <row r="106" spans="1:14">
      <c r="A106" s="3">
        <v>3</v>
      </c>
      <c r="B106" s="3">
        <v>2</v>
      </c>
      <c r="C106" s="3">
        <v>17</v>
      </c>
      <c r="D106" s="3">
        <v>6</v>
      </c>
      <c r="E106" s="3">
        <f>((1/(INDEX(E0!J$4:J$52,C106,1)-INDEX(E0!J$4:J$52,D106,1))))*100000000</f>
        <v>0</v>
      </c>
      <c r="F106" s="4" t="str">
        <f>HYPERLINK("http://141.218.60.56/~jnz1568/getInfo.php?workbook=03_02.xlsx&amp;sheet=A0&amp;row=106&amp;col=6&amp;number=&amp;sourceID=27","")</f>
        <v/>
      </c>
      <c r="G106" s="4" t="str">
        <f>HYPERLINK("http://141.218.60.56/~jnz1568/getInfo.php?workbook=03_02.xlsx&amp;sheet=A0&amp;row=106&amp;col=7&amp;number=&amp;sourceID=15","")</f>
        <v/>
      </c>
      <c r="H106" s="4" t="str">
        <f>HYPERLINK("http://141.218.60.56/~jnz1568/getInfo.php?workbook=03_02.xlsx&amp;sheet=A0&amp;row=106&amp;col=8&amp;number=&amp;sourceID=15","")</f>
        <v/>
      </c>
      <c r="I106" s="4" t="str">
        <f>HYPERLINK("http://141.218.60.56/~jnz1568/getInfo.php?workbook=03_02.xlsx&amp;sheet=A0&amp;row=106&amp;col=9&amp;number=&amp;sourceID=15","")</f>
        <v/>
      </c>
      <c r="J106" s="4" t="str">
        <f>HYPERLINK("http://141.218.60.56/~jnz1568/getInfo.php?workbook=03_02.xlsx&amp;sheet=A0&amp;row=106&amp;col=10&amp;number=&amp;sourceID=15","")</f>
        <v/>
      </c>
      <c r="K106" s="4" t="str">
        <f>HYPERLINK("http://141.218.60.56/~jnz1568/getInfo.php?workbook=03_02.xlsx&amp;sheet=A0&amp;row=106&amp;col=11&amp;number=&amp;sourceID=30","")</f>
        <v/>
      </c>
      <c r="L106" s="4" t="str">
        <f>HYPERLINK("http://141.218.60.56/~jnz1568/getInfo.php?workbook=03_02.xlsx&amp;sheet=A0&amp;row=106&amp;col=12&amp;number=&amp;sourceID=30","")</f>
        <v/>
      </c>
      <c r="M106" s="4" t="str">
        <f>HYPERLINK("http://141.218.60.56/~jnz1568/getInfo.php?workbook=03_02.xlsx&amp;sheet=A0&amp;row=106&amp;col=13&amp;number=1.224e-05&amp;sourceID=30","1.224e-05")</f>
        <v>1.224e-05</v>
      </c>
      <c r="N106" s="4" t="str">
        <f>HYPERLINK("http://141.218.60.56/~jnz1568/getInfo.php?workbook=03_02.xlsx&amp;sheet=A0&amp;row=106&amp;col=14&amp;number=&amp;sourceID=30","")</f>
        <v/>
      </c>
    </row>
    <row r="107" spans="1:14">
      <c r="A107" s="3">
        <v>3</v>
      </c>
      <c r="B107" s="3">
        <v>2</v>
      </c>
      <c r="C107" s="3">
        <v>17</v>
      </c>
      <c r="D107" s="3">
        <v>7</v>
      </c>
      <c r="E107" s="3">
        <f>((1/(INDEX(E0!J$4:J$52,C107,1)-INDEX(E0!J$4:J$52,D107,1))))*100000000</f>
        <v>0</v>
      </c>
      <c r="F107" s="4" t="str">
        <f>HYPERLINK("http://141.218.60.56/~jnz1568/getInfo.php?workbook=03_02.xlsx&amp;sheet=A0&amp;row=107&amp;col=6&amp;number=&amp;sourceID=27","")</f>
        <v/>
      </c>
      <c r="G107" s="4" t="str">
        <f>HYPERLINK("http://141.218.60.56/~jnz1568/getInfo.php?workbook=03_02.xlsx&amp;sheet=A0&amp;row=107&amp;col=7&amp;number=&amp;sourceID=15","")</f>
        <v/>
      </c>
      <c r="H107" s="4" t="str">
        <f>HYPERLINK("http://141.218.60.56/~jnz1568/getInfo.php?workbook=03_02.xlsx&amp;sheet=A0&amp;row=107&amp;col=8&amp;number=1501&amp;sourceID=15","1501")</f>
        <v>1501</v>
      </c>
      <c r="I107" s="4" t="str">
        <f>HYPERLINK("http://141.218.60.56/~jnz1568/getInfo.php?workbook=03_02.xlsx&amp;sheet=A0&amp;row=107&amp;col=9&amp;number=&amp;sourceID=15","")</f>
        <v/>
      </c>
      <c r="J107" s="4" t="str">
        <f>HYPERLINK("http://141.218.60.56/~jnz1568/getInfo.php?workbook=03_02.xlsx&amp;sheet=A0&amp;row=107&amp;col=10&amp;number=&amp;sourceID=15","")</f>
        <v/>
      </c>
      <c r="K107" s="4" t="str">
        <f>HYPERLINK("http://141.218.60.56/~jnz1568/getInfo.php?workbook=03_02.xlsx&amp;sheet=A0&amp;row=107&amp;col=11&amp;number=&amp;sourceID=30","")</f>
        <v/>
      </c>
      <c r="L107" s="4" t="str">
        <f>HYPERLINK("http://141.218.60.56/~jnz1568/getInfo.php?workbook=03_02.xlsx&amp;sheet=A0&amp;row=107&amp;col=12&amp;number=1522&amp;sourceID=30","1522")</f>
        <v>1522</v>
      </c>
      <c r="M107" s="4" t="str">
        <f>HYPERLINK("http://141.218.60.56/~jnz1568/getInfo.php?workbook=03_02.xlsx&amp;sheet=A0&amp;row=107&amp;col=13&amp;number=1.456e-06&amp;sourceID=30","1.456e-06")</f>
        <v>1.456e-06</v>
      </c>
      <c r="N107" s="4" t="str">
        <f>HYPERLINK("http://141.218.60.56/~jnz1568/getInfo.php?workbook=03_02.xlsx&amp;sheet=A0&amp;row=107&amp;col=14&amp;number=&amp;sourceID=30","")</f>
        <v/>
      </c>
    </row>
    <row r="108" spans="1:14">
      <c r="A108" s="3">
        <v>3</v>
      </c>
      <c r="B108" s="3">
        <v>2</v>
      </c>
      <c r="C108" s="3">
        <v>17</v>
      </c>
      <c r="D108" s="3">
        <v>8</v>
      </c>
      <c r="E108" s="3">
        <f>((1/(INDEX(E0!J$4:J$52,C108,1)-INDEX(E0!J$4:J$52,D108,1))))*100000000</f>
        <v>0</v>
      </c>
      <c r="F108" s="4" t="str">
        <f>HYPERLINK("http://141.218.60.56/~jnz1568/getInfo.php?workbook=03_02.xlsx&amp;sheet=A0&amp;row=108&amp;col=6&amp;number=&amp;sourceID=27","")</f>
        <v/>
      </c>
      <c r="G108" s="4" t="str">
        <f>HYPERLINK("http://141.218.60.56/~jnz1568/getInfo.php?workbook=03_02.xlsx&amp;sheet=A0&amp;row=108&amp;col=7&amp;number=&amp;sourceID=15","")</f>
        <v/>
      </c>
      <c r="H108" s="4" t="str">
        <f>HYPERLINK("http://141.218.60.56/~jnz1568/getInfo.php?workbook=03_02.xlsx&amp;sheet=A0&amp;row=108&amp;col=8&amp;number=&amp;sourceID=15","")</f>
        <v/>
      </c>
      <c r="I108" s="4" t="str">
        <f>HYPERLINK("http://141.218.60.56/~jnz1568/getInfo.php?workbook=03_02.xlsx&amp;sheet=A0&amp;row=108&amp;col=9&amp;number=&amp;sourceID=15","")</f>
        <v/>
      </c>
      <c r="J108" s="4" t="str">
        <f>HYPERLINK("http://141.218.60.56/~jnz1568/getInfo.php?workbook=03_02.xlsx&amp;sheet=A0&amp;row=108&amp;col=10&amp;number=&amp;sourceID=15","")</f>
        <v/>
      </c>
      <c r="K108" s="4" t="str">
        <f>HYPERLINK("http://141.218.60.56/~jnz1568/getInfo.php?workbook=03_02.xlsx&amp;sheet=A0&amp;row=108&amp;col=11&amp;number=4.695&amp;sourceID=30","4.695")</f>
        <v>4.695</v>
      </c>
      <c r="L108" s="4" t="str">
        <f>HYPERLINK("http://141.218.60.56/~jnz1568/getInfo.php?workbook=03_02.xlsx&amp;sheet=A0&amp;row=108&amp;col=12&amp;number=&amp;sourceID=30","")</f>
        <v/>
      </c>
      <c r="M108" s="4" t="str">
        <f>HYPERLINK("http://141.218.60.56/~jnz1568/getInfo.php?workbook=03_02.xlsx&amp;sheet=A0&amp;row=108&amp;col=13&amp;number=&amp;sourceID=30","")</f>
        <v/>
      </c>
      <c r="N108" s="4" t="str">
        <f>HYPERLINK("http://141.218.60.56/~jnz1568/getInfo.php?workbook=03_02.xlsx&amp;sheet=A0&amp;row=108&amp;col=14&amp;number=4.014e-06&amp;sourceID=30","4.014e-06")</f>
        <v>4.014e-06</v>
      </c>
    </row>
    <row r="109" spans="1:14">
      <c r="A109" s="3">
        <v>3</v>
      </c>
      <c r="B109" s="3">
        <v>2</v>
      </c>
      <c r="C109" s="3">
        <v>17</v>
      </c>
      <c r="D109" s="3">
        <v>9</v>
      </c>
      <c r="E109" s="3">
        <f>((1/(INDEX(E0!J$4:J$52,C109,1)-INDEX(E0!J$4:J$52,D109,1))))*100000000</f>
        <v>0</v>
      </c>
      <c r="F109" s="4" t="str">
        <f>HYPERLINK("http://141.218.60.56/~jnz1568/getInfo.php?workbook=03_02.xlsx&amp;sheet=A0&amp;row=109&amp;col=6&amp;number=&amp;sourceID=27","")</f>
        <v/>
      </c>
      <c r="G109" s="4" t="str">
        <f>HYPERLINK("http://141.218.60.56/~jnz1568/getInfo.php?workbook=03_02.xlsx&amp;sheet=A0&amp;row=109&amp;col=7&amp;number=712740&amp;sourceID=15","712740")</f>
        <v>712740</v>
      </c>
      <c r="H109" s="4" t="str">
        <f>HYPERLINK("http://141.218.60.56/~jnz1568/getInfo.php?workbook=03_02.xlsx&amp;sheet=A0&amp;row=109&amp;col=8&amp;number=&amp;sourceID=15","")</f>
        <v/>
      </c>
      <c r="I109" s="4" t="str">
        <f>HYPERLINK("http://141.218.60.56/~jnz1568/getInfo.php?workbook=03_02.xlsx&amp;sheet=A0&amp;row=109&amp;col=9&amp;number=&amp;sourceID=15","")</f>
        <v/>
      </c>
      <c r="J109" s="4" t="str">
        <f>HYPERLINK("http://141.218.60.56/~jnz1568/getInfo.php?workbook=03_02.xlsx&amp;sheet=A0&amp;row=109&amp;col=10&amp;number=&amp;sourceID=15","")</f>
        <v/>
      </c>
      <c r="K109" s="4" t="str">
        <f>HYPERLINK("http://141.218.60.56/~jnz1568/getInfo.php?workbook=03_02.xlsx&amp;sheet=A0&amp;row=109&amp;col=11&amp;number=203200&amp;sourceID=30","203200")</f>
        <v>203200</v>
      </c>
      <c r="L109" s="4" t="str">
        <f>HYPERLINK("http://141.218.60.56/~jnz1568/getInfo.php?workbook=03_02.xlsx&amp;sheet=A0&amp;row=109&amp;col=12&amp;number=&amp;sourceID=30","")</f>
        <v/>
      </c>
      <c r="M109" s="4" t="str">
        <f>HYPERLINK("http://141.218.60.56/~jnz1568/getInfo.php?workbook=03_02.xlsx&amp;sheet=A0&amp;row=109&amp;col=13&amp;number=&amp;sourceID=30","")</f>
        <v/>
      </c>
      <c r="N109" s="4" t="str">
        <f>HYPERLINK("http://141.218.60.56/~jnz1568/getInfo.php?workbook=03_02.xlsx&amp;sheet=A0&amp;row=109&amp;col=14&amp;number=&amp;sourceID=30","")</f>
        <v/>
      </c>
    </row>
    <row r="110" spans="1:14">
      <c r="A110" s="3">
        <v>3</v>
      </c>
      <c r="B110" s="3">
        <v>2</v>
      </c>
      <c r="C110" s="3">
        <v>17</v>
      </c>
      <c r="D110" s="3">
        <v>10</v>
      </c>
      <c r="E110" s="3">
        <f>((1/(INDEX(E0!J$4:J$52,C110,1)-INDEX(E0!J$4:J$52,D110,1))))*100000000</f>
        <v>0</v>
      </c>
      <c r="F110" s="4" t="str">
        <f>HYPERLINK("http://141.218.60.56/~jnz1568/getInfo.php?workbook=03_02.xlsx&amp;sheet=A0&amp;row=110&amp;col=6&amp;number=&amp;sourceID=27","")</f>
        <v/>
      </c>
      <c r="G110" s="4" t="str">
        <f>HYPERLINK("http://141.218.60.56/~jnz1568/getInfo.php?workbook=03_02.xlsx&amp;sheet=A0&amp;row=110&amp;col=7&amp;number=&amp;sourceID=15","")</f>
        <v/>
      </c>
      <c r="H110" s="4" t="str">
        <f>HYPERLINK("http://141.218.60.56/~jnz1568/getInfo.php?workbook=03_02.xlsx&amp;sheet=A0&amp;row=110&amp;col=8&amp;number=&amp;sourceID=15","")</f>
        <v/>
      </c>
      <c r="I110" s="4" t="str">
        <f>HYPERLINK("http://141.218.60.56/~jnz1568/getInfo.php?workbook=03_02.xlsx&amp;sheet=A0&amp;row=110&amp;col=9&amp;number=&amp;sourceID=15","")</f>
        <v/>
      </c>
      <c r="J110" s="4" t="str">
        <f>HYPERLINK("http://141.218.60.56/~jnz1568/getInfo.php?workbook=03_02.xlsx&amp;sheet=A0&amp;row=110&amp;col=10&amp;number=&amp;sourceID=15","")</f>
        <v/>
      </c>
      <c r="K110" s="4" t="str">
        <f>HYPERLINK("http://141.218.60.56/~jnz1568/getInfo.php?workbook=03_02.xlsx&amp;sheet=A0&amp;row=110&amp;col=11&amp;number=&amp;sourceID=30","")</f>
        <v/>
      </c>
      <c r="L110" s="4" t="str">
        <f>HYPERLINK("http://141.218.60.56/~jnz1568/getInfo.php?workbook=03_02.xlsx&amp;sheet=A0&amp;row=110&amp;col=12&amp;number=9.503e-09&amp;sourceID=30","9.503e-09")</f>
        <v>9.503e-09</v>
      </c>
      <c r="M110" s="4" t="str">
        <f>HYPERLINK("http://141.218.60.56/~jnz1568/getInfo.php?workbook=03_02.xlsx&amp;sheet=A0&amp;row=110&amp;col=13&amp;number=1.753e-07&amp;sourceID=30","1.753e-07")</f>
        <v>1.753e-07</v>
      </c>
      <c r="N110" s="4" t="str">
        <f>HYPERLINK("http://141.218.60.56/~jnz1568/getInfo.php?workbook=03_02.xlsx&amp;sheet=A0&amp;row=110&amp;col=14&amp;number=&amp;sourceID=30","")</f>
        <v/>
      </c>
    </row>
    <row r="111" spans="1:14">
      <c r="A111" s="3">
        <v>3</v>
      </c>
      <c r="B111" s="3">
        <v>2</v>
      </c>
      <c r="C111" s="3">
        <v>17</v>
      </c>
      <c r="D111" s="3">
        <v>11</v>
      </c>
      <c r="E111" s="3">
        <f>((1/(INDEX(E0!J$4:J$52,C111,1)-INDEX(E0!J$4:J$52,D111,1))))*100000000</f>
        <v>0</v>
      </c>
      <c r="F111" s="4" t="str">
        <f>HYPERLINK("http://141.218.60.56/~jnz1568/getInfo.php?workbook=03_02.xlsx&amp;sheet=A0&amp;row=111&amp;col=6&amp;number=&amp;sourceID=27","")</f>
        <v/>
      </c>
      <c r="G111" s="4" t="str">
        <f>HYPERLINK("http://141.218.60.56/~jnz1568/getInfo.php?workbook=03_02.xlsx&amp;sheet=A0&amp;row=111&amp;col=7&amp;number=&amp;sourceID=15","")</f>
        <v/>
      </c>
      <c r="H111" s="4" t="str">
        <f>HYPERLINK("http://141.218.60.56/~jnz1568/getInfo.php?workbook=03_02.xlsx&amp;sheet=A0&amp;row=111&amp;col=8&amp;number=&amp;sourceID=15","")</f>
        <v/>
      </c>
      <c r="I111" s="4" t="str">
        <f>HYPERLINK("http://141.218.60.56/~jnz1568/getInfo.php?workbook=03_02.xlsx&amp;sheet=A0&amp;row=111&amp;col=9&amp;number=&amp;sourceID=15","")</f>
        <v/>
      </c>
      <c r="J111" s="4" t="str">
        <f>HYPERLINK("http://141.218.60.56/~jnz1568/getInfo.php?workbook=03_02.xlsx&amp;sheet=A0&amp;row=111&amp;col=10&amp;number=&amp;sourceID=15","")</f>
        <v/>
      </c>
      <c r="K111" s="4" t="str">
        <f>HYPERLINK("http://141.218.60.56/~jnz1568/getInfo.php?workbook=03_02.xlsx&amp;sheet=A0&amp;row=111&amp;col=11&amp;number=&amp;sourceID=30","")</f>
        <v/>
      </c>
      <c r="L111" s="4" t="str">
        <f>HYPERLINK("http://141.218.60.56/~jnz1568/getInfo.php?workbook=03_02.xlsx&amp;sheet=A0&amp;row=111&amp;col=12&amp;number=3.199e-09&amp;sourceID=30","3.199e-09")</f>
        <v>3.199e-09</v>
      </c>
      <c r="M111" s="4" t="str">
        <f>HYPERLINK("http://141.218.60.56/~jnz1568/getInfo.php?workbook=03_02.xlsx&amp;sheet=A0&amp;row=111&amp;col=13&amp;number=7.952e-08&amp;sourceID=30","7.952e-08")</f>
        <v>7.952e-08</v>
      </c>
      <c r="N111" s="4" t="str">
        <f>HYPERLINK("http://141.218.60.56/~jnz1568/getInfo.php?workbook=03_02.xlsx&amp;sheet=A0&amp;row=111&amp;col=14&amp;number=&amp;sourceID=30","")</f>
        <v/>
      </c>
    </row>
    <row r="112" spans="1:14">
      <c r="A112" s="3">
        <v>3</v>
      </c>
      <c r="B112" s="3">
        <v>2</v>
      </c>
      <c r="C112" s="3">
        <v>17</v>
      </c>
      <c r="D112" s="3">
        <v>12</v>
      </c>
      <c r="E112" s="3">
        <f>((1/(INDEX(E0!J$4:J$52,C112,1)-INDEX(E0!J$4:J$52,D112,1))))*100000000</f>
        <v>0</v>
      </c>
      <c r="F112" s="4" t="str">
        <f>HYPERLINK("http://141.218.60.56/~jnz1568/getInfo.php?workbook=03_02.xlsx&amp;sheet=A0&amp;row=112&amp;col=6&amp;number=&amp;sourceID=27","")</f>
        <v/>
      </c>
      <c r="G112" s="4" t="str">
        <f>HYPERLINK("http://141.218.60.56/~jnz1568/getInfo.php?workbook=03_02.xlsx&amp;sheet=A0&amp;row=112&amp;col=7&amp;number=&amp;sourceID=15","")</f>
        <v/>
      </c>
      <c r="H112" s="4" t="str">
        <f>HYPERLINK("http://141.218.60.56/~jnz1568/getInfo.php?workbook=03_02.xlsx&amp;sheet=A0&amp;row=112&amp;col=8&amp;number=&amp;sourceID=15","")</f>
        <v/>
      </c>
      <c r="I112" s="4" t="str">
        <f>HYPERLINK("http://141.218.60.56/~jnz1568/getInfo.php?workbook=03_02.xlsx&amp;sheet=A0&amp;row=112&amp;col=9&amp;number=&amp;sourceID=15","")</f>
        <v/>
      </c>
      <c r="J112" s="4" t="str">
        <f>HYPERLINK("http://141.218.60.56/~jnz1568/getInfo.php?workbook=03_02.xlsx&amp;sheet=A0&amp;row=112&amp;col=10&amp;number=&amp;sourceID=15","")</f>
        <v/>
      </c>
      <c r="K112" s="4" t="str">
        <f>HYPERLINK("http://141.218.60.56/~jnz1568/getInfo.php?workbook=03_02.xlsx&amp;sheet=A0&amp;row=112&amp;col=11&amp;number=&amp;sourceID=30","")</f>
        <v/>
      </c>
      <c r="L112" s="4" t="str">
        <f>HYPERLINK("http://141.218.60.56/~jnz1568/getInfo.php?workbook=03_02.xlsx&amp;sheet=A0&amp;row=112&amp;col=12&amp;number=&amp;sourceID=30","")</f>
        <v/>
      </c>
      <c r="M112" s="4" t="str">
        <f>HYPERLINK("http://141.218.60.56/~jnz1568/getInfo.php?workbook=03_02.xlsx&amp;sheet=A0&amp;row=112&amp;col=13&amp;number=1.786e-07&amp;sourceID=30","1.786e-07")</f>
        <v>1.786e-07</v>
      </c>
      <c r="N112" s="4" t="str">
        <f>HYPERLINK("http://141.218.60.56/~jnz1568/getInfo.php?workbook=03_02.xlsx&amp;sheet=A0&amp;row=112&amp;col=14&amp;number=&amp;sourceID=30","")</f>
        <v/>
      </c>
    </row>
    <row r="113" spans="1:14">
      <c r="A113" s="3">
        <v>3</v>
      </c>
      <c r="B113" s="3">
        <v>2</v>
      </c>
      <c r="C113" s="3">
        <v>17</v>
      </c>
      <c r="D113" s="3">
        <v>13</v>
      </c>
      <c r="E113" s="3">
        <f>((1/(INDEX(E0!J$4:J$52,C113,1)-INDEX(E0!J$4:J$52,D113,1))))*100000000</f>
        <v>0</v>
      </c>
      <c r="F113" s="4" t="str">
        <f>HYPERLINK("http://141.218.60.56/~jnz1568/getInfo.php?workbook=03_02.xlsx&amp;sheet=A0&amp;row=113&amp;col=6&amp;number=&amp;sourceID=27","")</f>
        <v/>
      </c>
      <c r="G113" s="4" t="str">
        <f>HYPERLINK("http://141.218.60.56/~jnz1568/getInfo.php?workbook=03_02.xlsx&amp;sheet=A0&amp;row=113&amp;col=7&amp;number=1.499&amp;sourceID=15","1.499")</f>
        <v>1.499</v>
      </c>
      <c r="H113" s="4" t="str">
        <f>HYPERLINK("http://141.218.60.56/~jnz1568/getInfo.php?workbook=03_02.xlsx&amp;sheet=A0&amp;row=113&amp;col=8&amp;number=&amp;sourceID=15","")</f>
        <v/>
      </c>
      <c r="I113" s="4" t="str">
        <f>HYPERLINK("http://141.218.60.56/~jnz1568/getInfo.php?workbook=03_02.xlsx&amp;sheet=A0&amp;row=113&amp;col=9&amp;number=&amp;sourceID=15","")</f>
        <v/>
      </c>
      <c r="J113" s="4" t="str">
        <f>HYPERLINK("http://141.218.60.56/~jnz1568/getInfo.php?workbook=03_02.xlsx&amp;sheet=A0&amp;row=113&amp;col=10&amp;number=&amp;sourceID=15","")</f>
        <v/>
      </c>
      <c r="K113" s="4" t="str">
        <f>HYPERLINK("http://141.218.60.56/~jnz1568/getInfo.php?workbook=03_02.xlsx&amp;sheet=A0&amp;row=113&amp;col=11&amp;number=5.058&amp;sourceID=30","5.058")</f>
        <v>5.058</v>
      </c>
      <c r="L113" s="4" t="str">
        <f>HYPERLINK("http://141.218.60.56/~jnz1568/getInfo.php?workbook=03_02.xlsx&amp;sheet=A0&amp;row=113&amp;col=12&amp;number=&amp;sourceID=30","")</f>
        <v/>
      </c>
      <c r="M113" s="4" t="str">
        <f>HYPERLINK("http://141.218.60.56/~jnz1568/getInfo.php?workbook=03_02.xlsx&amp;sheet=A0&amp;row=113&amp;col=13&amp;number=&amp;sourceID=30","")</f>
        <v/>
      </c>
      <c r="N113" s="4" t="str">
        <f>HYPERLINK("http://141.218.60.56/~jnz1568/getInfo.php?workbook=03_02.xlsx&amp;sheet=A0&amp;row=113&amp;col=14&amp;number=3.294e-11&amp;sourceID=30","3.294e-11")</f>
        <v>3.294e-11</v>
      </c>
    </row>
    <row r="114" spans="1:14">
      <c r="A114" s="3">
        <v>3</v>
      </c>
      <c r="B114" s="3">
        <v>2</v>
      </c>
      <c r="C114" s="3">
        <v>17</v>
      </c>
      <c r="D114" s="3">
        <v>14</v>
      </c>
      <c r="E114" s="3">
        <f>((1/(INDEX(E0!J$4:J$52,C114,1)-INDEX(E0!J$4:J$52,D114,1))))*100000000</f>
        <v>0</v>
      </c>
      <c r="F114" s="4" t="str">
        <f>HYPERLINK("http://141.218.60.56/~jnz1568/getInfo.php?workbook=03_02.xlsx&amp;sheet=A0&amp;row=114&amp;col=6&amp;number=&amp;sourceID=27","")</f>
        <v/>
      </c>
      <c r="G114" s="4" t="str">
        <f>HYPERLINK("http://141.218.60.56/~jnz1568/getInfo.php?workbook=03_02.xlsx&amp;sheet=A0&amp;row=114&amp;col=7&amp;number=&amp;sourceID=15","")</f>
        <v/>
      </c>
      <c r="H114" s="4" t="str">
        <f>HYPERLINK("http://141.218.60.56/~jnz1568/getInfo.php?workbook=03_02.xlsx&amp;sheet=A0&amp;row=114&amp;col=8&amp;number=&amp;sourceID=15","")</f>
        <v/>
      </c>
      <c r="I114" s="4" t="str">
        <f>HYPERLINK("http://141.218.60.56/~jnz1568/getInfo.php?workbook=03_02.xlsx&amp;sheet=A0&amp;row=114&amp;col=9&amp;number=&amp;sourceID=15","")</f>
        <v/>
      </c>
      <c r="J114" s="4" t="str">
        <f>HYPERLINK("http://141.218.60.56/~jnz1568/getInfo.php?workbook=03_02.xlsx&amp;sheet=A0&amp;row=114&amp;col=10&amp;number=&amp;sourceID=15","")</f>
        <v/>
      </c>
      <c r="K114" s="4" t="str">
        <f>HYPERLINK("http://141.218.60.56/~jnz1568/getInfo.php?workbook=03_02.xlsx&amp;sheet=A0&amp;row=114&amp;col=11&amp;number=&amp;sourceID=30","")</f>
        <v/>
      </c>
      <c r="L114" s="4" t="str">
        <f>HYPERLINK("http://141.218.60.56/~jnz1568/getInfo.php?workbook=03_02.xlsx&amp;sheet=A0&amp;row=114&amp;col=12&amp;number=&amp;sourceID=30","")</f>
        <v/>
      </c>
      <c r="M114" s="4" t="str">
        <f>HYPERLINK("http://141.218.60.56/~jnz1568/getInfo.php?workbook=03_02.xlsx&amp;sheet=A0&amp;row=114&amp;col=13&amp;number=&amp;sourceID=30","")</f>
        <v/>
      </c>
      <c r="N114" s="4" t="str">
        <f>HYPERLINK("http://141.218.60.56/~jnz1568/getInfo.php?workbook=03_02.xlsx&amp;sheet=A0&amp;row=114&amp;col=14&amp;number=1.92e-10&amp;sourceID=30","1.92e-10")</f>
        <v>1.92e-10</v>
      </c>
    </row>
    <row r="115" spans="1:14">
      <c r="A115" s="3">
        <v>3</v>
      </c>
      <c r="B115" s="3">
        <v>2</v>
      </c>
      <c r="C115" s="3">
        <v>17</v>
      </c>
      <c r="D115" s="3">
        <v>15</v>
      </c>
      <c r="E115" s="3">
        <f>((1/(INDEX(E0!J$4:J$52,C115,1)-INDEX(E0!J$4:J$52,D115,1))))*100000000</f>
        <v>0</v>
      </c>
      <c r="F115" s="4" t="str">
        <f>HYPERLINK("http://141.218.60.56/~jnz1568/getInfo.php?workbook=03_02.xlsx&amp;sheet=A0&amp;row=115&amp;col=6&amp;number=&amp;sourceID=27","")</f>
        <v/>
      </c>
      <c r="G115" s="4" t="str">
        <f>HYPERLINK("http://141.218.60.56/~jnz1568/getInfo.php?workbook=03_02.xlsx&amp;sheet=A0&amp;row=115&amp;col=7&amp;number=0.0006438&amp;sourceID=15","0.0006438")</f>
        <v>0.0006438</v>
      </c>
      <c r="H115" s="4" t="str">
        <f>HYPERLINK("http://141.218.60.56/~jnz1568/getInfo.php?workbook=03_02.xlsx&amp;sheet=A0&amp;row=115&amp;col=8&amp;number=&amp;sourceID=15","")</f>
        <v/>
      </c>
      <c r="I115" s="4" t="str">
        <f>HYPERLINK("http://141.218.60.56/~jnz1568/getInfo.php?workbook=03_02.xlsx&amp;sheet=A0&amp;row=115&amp;col=9&amp;number=&amp;sourceID=15","")</f>
        <v/>
      </c>
      <c r="J115" s="4" t="str">
        <f>HYPERLINK("http://141.218.60.56/~jnz1568/getInfo.php?workbook=03_02.xlsx&amp;sheet=A0&amp;row=115&amp;col=10&amp;number=&amp;sourceID=15","")</f>
        <v/>
      </c>
      <c r="K115" s="4" t="str">
        <f>HYPERLINK("http://141.218.60.56/~jnz1568/getInfo.php?workbook=03_02.xlsx&amp;sheet=A0&amp;row=115&amp;col=11&amp;number=0.003711&amp;sourceID=30","0.003711")</f>
        <v>0.003711</v>
      </c>
      <c r="L115" s="4" t="str">
        <f>HYPERLINK("http://141.218.60.56/~jnz1568/getInfo.php?workbook=03_02.xlsx&amp;sheet=A0&amp;row=115&amp;col=12&amp;number=&amp;sourceID=30","")</f>
        <v/>
      </c>
      <c r="M115" s="4" t="str">
        <f>HYPERLINK("http://141.218.60.56/~jnz1568/getInfo.php?workbook=03_02.xlsx&amp;sheet=A0&amp;row=115&amp;col=13&amp;number=&amp;sourceID=30","")</f>
        <v/>
      </c>
      <c r="N115" s="4" t="str">
        <f>HYPERLINK("http://141.218.60.56/~jnz1568/getInfo.php?workbook=03_02.xlsx&amp;sheet=A0&amp;row=115&amp;col=14&amp;number=2.28e-12&amp;sourceID=30","2.28e-12")</f>
        <v>2.28e-12</v>
      </c>
    </row>
    <row r="116" spans="1:14">
      <c r="A116" s="3">
        <v>3</v>
      </c>
      <c r="B116" s="3">
        <v>2</v>
      </c>
      <c r="C116" s="3">
        <v>17</v>
      </c>
      <c r="D116" s="3">
        <v>16</v>
      </c>
      <c r="E116" s="3">
        <f>((1/(INDEX(E0!J$4:J$52,C116,1)-INDEX(E0!J$4:J$52,D116,1))))*100000000</f>
        <v>0</v>
      </c>
      <c r="F116" s="4" t="str">
        <f>HYPERLINK("http://141.218.60.56/~jnz1568/getInfo.php?workbook=03_02.xlsx&amp;sheet=A0&amp;row=116&amp;col=6&amp;number=&amp;sourceID=27","")</f>
        <v/>
      </c>
      <c r="G116" s="4" t="str">
        <f>HYPERLINK("http://141.218.60.56/~jnz1568/getInfo.php?workbook=03_02.xlsx&amp;sheet=A0&amp;row=116&amp;col=7&amp;number=3726&amp;sourceID=15","3726")</f>
        <v>3726</v>
      </c>
      <c r="H116" s="4" t="str">
        <f>HYPERLINK("http://141.218.60.56/~jnz1568/getInfo.php?workbook=03_02.xlsx&amp;sheet=A0&amp;row=116&amp;col=8&amp;number=&amp;sourceID=15","")</f>
        <v/>
      </c>
      <c r="I116" s="4" t="str">
        <f>HYPERLINK("http://141.218.60.56/~jnz1568/getInfo.php?workbook=03_02.xlsx&amp;sheet=A0&amp;row=116&amp;col=9&amp;number=&amp;sourceID=15","")</f>
        <v/>
      </c>
      <c r="J116" s="4" t="str">
        <f>HYPERLINK("http://141.218.60.56/~jnz1568/getInfo.php?workbook=03_02.xlsx&amp;sheet=A0&amp;row=116&amp;col=10&amp;number=&amp;sourceID=15","")</f>
        <v/>
      </c>
      <c r="K116" s="4" t="str">
        <f>HYPERLINK("http://141.218.60.56/~jnz1568/getInfo.php?workbook=03_02.xlsx&amp;sheet=A0&amp;row=116&amp;col=11&amp;number=28070&amp;sourceID=30","28070")</f>
        <v>28070</v>
      </c>
      <c r="L116" s="4" t="str">
        <f>HYPERLINK("http://141.218.60.56/~jnz1568/getInfo.php?workbook=03_02.xlsx&amp;sheet=A0&amp;row=116&amp;col=12&amp;number=&amp;sourceID=30","")</f>
        <v/>
      </c>
      <c r="M116" s="4" t="str">
        <f>HYPERLINK("http://141.218.60.56/~jnz1568/getInfo.php?workbook=03_02.xlsx&amp;sheet=A0&amp;row=116&amp;col=13&amp;number=&amp;sourceID=30","")</f>
        <v/>
      </c>
      <c r="N116" s="4" t="str">
        <f>HYPERLINK("http://141.218.60.56/~jnz1568/getInfo.php?workbook=03_02.xlsx&amp;sheet=A0&amp;row=116&amp;col=14&amp;number=7.473e-11&amp;sourceID=30","7.473e-11")</f>
        <v>7.473e-11</v>
      </c>
    </row>
    <row r="117" spans="1:14">
      <c r="A117" s="3">
        <v>3</v>
      </c>
      <c r="B117" s="3">
        <v>2</v>
      </c>
      <c r="C117" s="3">
        <v>18</v>
      </c>
      <c r="D117" s="3">
        <v>1</v>
      </c>
      <c r="E117" s="3">
        <f>((1/(INDEX(E0!J$4:J$52,C117,1)-INDEX(E0!J$4:J$52,D117,1))))*100000000</f>
        <v>0</v>
      </c>
      <c r="F117" s="4" t="str">
        <f>HYPERLINK("http://141.218.60.56/~jnz1568/getInfo.php?workbook=03_02.xlsx&amp;sheet=A0&amp;row=117&amp;col=6&amp;number=&amp;sourceID=27","")</f>
        <v/>
      </c>
      <c r="G117" s="4" t="str">
        <f>HYPERLINK("http://141.218.60.56/~jnz1568/getInfo.php?workbook=03_02.xlsx&amp;sheet=A0&amp;row=117&amp;col=7&amp;number=&amp;sourceID=15","")</f>
        <v/>
      </c>
      <c r="H117" s="4" t="str">
        <f>HYPERLINK("http://141.218.60.56/~jnz1568/getInfo.php?workbook=03_02.xlsx&amp;sheet=A0&amp;row=117&amp;col=8&amp;number=&amp;sourceID=15","")</f>
        <v/>
      </c>
      <c r="I117" s="4" t="str">
        <f>HYPERLINK("http://141.218.60.56/~jnz1568/getInfo.php?workbook=03_02.xlsx&amp;sheet=A0&amp;row=117&amp;col=9&amp;number=&amp;sourceID=15","")</f>
        <v/>
      </c>
      <c r="J117" s="4" t="str">
        <f>HYPERLINK("http://141.218.60.56/~jnz1568/getInfo.php?workbook=03_02.xlsx&amp;sheet=A0&amp;row=117&amp;col=10&amp;number=&amp;sourceID=15","")</f>
        <v/>
      </c>
      <c r="K117" s="4" t="str">
        <f>HYPERLINK("http://141.218.60.56/~jnz1568/getInfo.php?workbook=03_02.xlsx&amp;sheet=A0&amp;row=117&amp;col=11&amp;number=&amp;sourceID=30","")</f>
        <v/>
      </c>
      <c r="L117" s="4" t="str">
        <f>HYPERLINK("http://141.218.60.56/~jnz1568/getInfo.php?workbook=03_02.xlsx&amp;sheet=A0&amp;row=117&amp;col=12&amp;number=&amp;sourceID=30","")</f>
        <v/>
      </c>
      <c r="M117" s="4" t="str">
        <f>HYPERLINK("http://141.218.60.56/~jnz1568/getInfo.php?workbook=03_02.xlsx&amp;sheet=A0&amp;row=117&amp;col=13&amp;number=0.008915&amp;sourceID=30","0.008915")</f>
        <v>0.008915</v>
      </c>
      <c r="N117" s="4" t="str">
        <f>HYPERLINK("http://141.218.60.56/~jnz1568/getInfo.php?workbook=03_02.xlsx&amp;sheet=A0&amp;row=117&amp;col=14&amp;number=&amp;sourceID=30","")</f>
        <v/>
      </c>
    </row>
    <row r="118" spans="1:14">
      <c r="A118" s="3">
        <v>3</v>
      </c>
      <c r="B118" s="3">
        <v>2</v>
      </c>
      <c r="C118" s="3">
        <v>18</v>
      </c>
      <c r="D118" s="3">
        <v>2</v>
      </c>
      <c r="E118" s="3">
        <f>((1/(INDEX(E0!J$4:J$52,C118,1)-INDEX(E0!J$4:J$52,D118,1))))*100000000</f>
        <v>0</v>
      </c>
      <c r="F118" s="4" t="str">
        <f>HYPERLINK("http://141.218.60.56/~jnz1568/getInfo.php?workbook=03_02.xlsx&amp;sheet=A0&amp;row=118&amp;col=6&amp;number=&amp;sourceID=27","")</f>
        <v/>
      </c>
      <c r="G118" s="4" t="str">
        <f>HYPERLINK("http://141.218.60.56/~jnz1568/getInfo.php?workbook=03_02.xlsx&amp;sheet=A0&amp;row=118&amp;col=7&amp;number=&amp;sourceID=15","")</f>
        <v/>
      </c>
      <c r="H118" s="4" t="str">
        <f>HYPERLINK("http://141.218.60.56/~jnz1568/getInfo.php?workbook=03_02.xlsx&amp;sheet=A0&amp;row=118&amp;col=8&amp;number=&amp;sourceID=15","")</f>
        <v/>
      </c>
      <c r="I118" s="4" t="str">
        <f>HYPERLINK("http://141.218.60.56/~jnz1568/getInfo.php?workbook=03_02.xlsx&amp;sheet=A0&amp;row=118&amp;col=9&amp;number=&amp;sourceID=15","")</f>
        <v/>
      </c>
      <c r="J118" s="4" t="str">
        <f>HYPERLINK("http://141.218.60.56/~jnz1568/getInfo.php?workbook=03_02.xlsx&amp;sheet=A0&amp;row=118&amp;col=10&amp;number=&amp;sourceID=15","")</f>
        <v/>
      </c>
      <c r="K118" s="4" t="str">
        <f>HYPERLINK("http://141.218.60.56/~jnz1568/getInfo.php?workbook=03_02.xlsx&amp;sheet=A0&amp;row=118&amp;col=11&amp;number=&amp;sourceID=30","")</f>
        <v/>
      </c>
      <c r="L118" s="4" t="str">
        <f>HYPERLINK("http://141.218.60.56/~jnz1568/getInfo.php?workbook=03_02.xlsx&amp;sheet=A0&amp;row=118&amp;col=12&amp;number=2.179e-06&amp;sourceID=30","2.179e-06")</f>
        <v>2.179e-06</v>
      </c>
      <c r="M118" s="4" t="str">
        <f>HYPERLINK("http://141.218.60.56/~jnz1568/getInfo.php?workbook=03_02.xlsx&amp;sheet=A0&amp;row=118&amp;col=13&amp;number=2.33e-06&amp;sourceID=30","2.33e-06")</f>
        <v>2.33e-06</v>
      </c>
      <c r="N118" s="4" t="str">
        <f>HYPERLINK("http://141.218.60.56/~jnz1568/getInfo.php?workbook=03_02.xlsx&amp;sheet=A0&amp;row=118&amp;col=14&amp;number=&amp;sourceID=30","")</f>
        <v/>
      </c>
    </row>
    <row r="119" spans="1:14">
      <c r="A119" s="3">
        <v>3</v>
      </c>
      <c r="B119" s="3">
        <v>2</v>
      </c>
      <c r="C119" s="3">
        <v>18</v>
      </c>
      <c r="D119" s="3">
        <v>3</v>
      </c>
      <c r="E119" s="3">
        <f>((1/(INDEX(E0!J$4:J$52,C119,1)-INDEX(E0!J$4:J$52,D119,1))))*100000000</f>
        <v>0</v>
      </c>
      <c r="F119" s="4" t="str">
        <f>HYPERLINK("http://141.218.60.56/~jnz1568/getInfo.php?workbook=03_02.xlsx&amp;sheet=A0&amp;row=119&amp;col=6&amp;number=&amp;sourceID=27","")</f>
        <v/>
      </c>
      <c r="G119" s="4" t="str">
        <f>HYPERLINK("http://141.218.60.56/~jnz1568/getInfo.php?workbook=03_02.xlsx&amp;sheet=A0&amp;row=119&amp;col=7&amp;number=&amp;sourceID=15","")</f>
        <v/>
      </c>
      <c r="H119" s="4" t="str">
        <f>HYPERLINK("http://141.218.60.56/~jnz1568/getInfo.php?workbook=03_02.xlsx&amp;sheet=A0&amp;row=119&amp;col=8&amp;number=&amp;sourceID=15","")</f>
        <v/>
      </c>
      <c r="I119" s="4" t="str">
        <f>HYPERLINK("http://141.218.60.56/~jnz1568/getInfo.php?workbook=03_02.xlsx&amp;sheet=A0&amp;row=119&amp;col=9&amp;number=&amp;sourceID=15","")</f>
        <v/>
      </c>
      <c r="J119" s="4" t="str">
        <f>HYPERLINK("http://141.218.60.56/~jnz1568/getInfo.php?workbook=03_02.xlsx&amp;sheet=A0&amp;row=119&amp;col=10&amp;number=&amp;sourceID=15","")</f>
        <v/>
      </c>
      <c r="K119" s="4" t="str">
        <f>HYPERLINK("http://141.218.60.56/~jnz1568/getInfo.php?workbook=03_02.xlsx&amp;sheet=A0&amp;row=119&amp;col=11&amp;number=&amp;sourceID=30","")</f>
        <v/>
      </c>
      <c r="L119" s="4" t="str">
        <f>HYPERLINK("http://141.218.60.56/~jnz1568/getInfo.php?workbook=03_02.xlsx&amp;sheet=A0&amp;row=119&amp;col=12&amp;number=&amp;sourceID=30","")</f>
        <v/>
      </c>
      <c r="M119" s="4" t="str">
        <f>HYPERLINK("http://141.218.60.56/~jnz1568/getInfo.php?workbook=03_02.xlsx&amp;sheet=A0&amp;row=119&amp;col=13&amp;number=4.036e-06&amp;sourceID=30","4.036e-06")</f>
        <v>4.036e-06</v>
      </c>
      <c r="N119" s="4" t="str">
        <f>HYPERLINK("http://141.218.60.56/~jnz1568/getInfo.php?workbook=03_02.xlsx&amp;sheet=A0&amp;row=119&amp;col=14&amp;number=&amp;sourceID=30","")</f>
        <v/>
      </c>
    </row>
    <row r="120" spans="1:14">
      <c r="A120" s="3">
        <v>3</v>
      </c>
      <c r="B120" s="3">
        <v>2</v>
      </c>
      <c r="C120" s="3">
        <v>18</v>
      </c>
      <c r="D120" s="3">
        <v>4</v>
      </c>
      <c r="E120" s="3">
        <f>((1/(INDEX(E0!J$4:J$52,C120,1)-INDEX(E0!J$4:J$52,D120,1))))*100000000</f>
        <v>0</v>
      </c>
      <c r="F120" s="4" t="str">
        <f>HYPERLINK("http://141.218.60.56/~jnz1568/getInfo.php?workbook=03_02.xlsx&amp;sheet=A0&amp;row=120&amp;col=6&amp;number=&amp;sourceID=27","")</f>
        <v/>
      </c>
      <c r="G120" s="4" t="str">
        <f>HYPERLINK("http://141.218.60.56/~jnz1568/getInfo.php?workbook=03_02.xlsx&amp;sheet=A0&amp;row=120&amp;col=7&amp;number=35083000&amp;sourceID=15","35083000")</f>
        <v>35083000</v>
      </c>
      <c r="H120" s="4" t="str">
        <f>HYPERLINK("http://141.218.60.56/~jnz1568/getInfo.php?workbook=03_02.xlsx&amp;sheet=A0&amp;row=120&amp;col=8&amp;number=&amp;sourceID=15","")</f>
        <v/>
      </c>
      <c r="I120" s="4" t="str">
        <f>HYPERLINK("http://141.218.60.56/~jnz1568/getInfo.php?workbook=03_02.xlsx&amp;sheet=A0&amp;row=120&amp;col=9&amp;number=&amp;sourceID=15","")</f>
        <v/>
      </c>
      <c r="J120" s="4" t="str">
        <f>HYPERLINK("http://141.218.60.56/~jnz1568/getInfo.php?workbook=03_02.xlsx&amp;sheet=A0&amp;row=120&amp;col=10&amp;number=&amp;sourceID=15","")</f>
        <v/>
      </c>
      <c r="K120" s="4" t="str">
        <f>HYPERLINK("http://141.218.60.56/~jnz1568/getInfo.php?workbook=03_02.xlsx&amp;sheet=A0&amp;row=120&amp;col=11&amp;number=27160000&amp;sourceID=30","27160000")</f>
        <v>27160000</v>
      </c>
      <c r="L120" s="4" t="str">
        <f>HYPERLINK("http://141.218.60.56/~jnz1568/getInfo.php?workbook=03_02.xlsx&amp;sheet=A0&amp;row=120&amp;col=12&amp;number=&amp;sourceID=30","")</f>
        <v/>
      </c>
      <c r="M120" s="4" t="str">
        <f>HYPERLINK("http://141.218.60.56/~jnz1568/getInfo.php?workbook=03_02.xlsx&amp;sheet=A0&amp;row=120&amp;col=13&amp;number=&amp;sourceID=30","")</f>
        <v/>
      </c>
      <c r="N120" s="4" t="str">
        <f>HYPERLINK("http://141.218.60.56/~jnz1568/getInfo.php?workbook=03_02.xlsx&amp;sheet=A0&amp;row=120&amp;col=14&amp;number=0.000719&amp;sourceID=30","0.000719")</f>
        <v>0.000719</v>
      </c>
    </row>
    <row r="121" spans="1:14">
      <c r="A121" s="3">
        <v>3</v>
      </c>
      <c r="B121" s="3">
        <v>2</v>
      </c>
      <c r="C121" s="3">
        <v>18</v>
      </c>
      <c r="D121" s="3">
        <v>5</v>
      </c>
      <c r="E121" s="3">
        <f>((1/(INDEX(E0!J$4:J$52,C121,1)-INDEX(E0!J$4:J$52,D121,1))))*100000000</f>
        <v>0</v>
      </c>
      <c r="F121" s="4" t="str">
        <f>HYPERLINK("http://141.218.60.56/~jnz1568/getInfo.php?workbook=03_02.xlsx&amp;sheet=A0&amp;row=121&amp;col=6&amp;number=&amp;sourceID=27","")</f>
        <v/>
      </c>
      <c r="G121" s="4" t="str">
        <f>HYPERLINK("http://141.218.60.56/~jnz1568/getInfo.php?workbook=03_02.xlsx&amp;sheet=A0&amp;row=121&amp;col=7&amp;number=58471000&amp;sourceID=15","58471000")</f>
        <v>58471000</v>
      </c>
      <c r="H121" s="4" t="str">
        <f>HYPERLINK("http://141.218.60.56/~jnz1568/getInfo.php?workbook=03_02.xlsx&amp;sheet=A0&amp;row=121&amp;col=8&amp;number=&amp;sourceID=15","")</f>
        <v/>
      </c>
      <c r="I121" s="4" t="str">
        <f>HYPERLINK("http://141.218.60.56/~jnz1568/getInfo.php?workbook=03_02.xlsx&amp;sheet=A0&amp;row=121&amp;col=9&amp;number=&amp;sourceID=15","")</f>
        <v/>
      </c>
      <c r="J121" s="4" t="str">
        <f>HYPERLINK("http://141.218.60.56/~jnz1568/getInfo.php?workbook=03_02.xlsx&amp;sheet=A0&amp;row=121&amp;col=10&amp;number=&amp;sourceID=15","")</f>
        <v/>
      </c>
      <c r="K121" s="4" t="str">
        <f>HYPERLINK("http://141.218.60.56/~jnz1568/getInfo.php?workbook=03_02.xlsx&amp;sheet=A0&amp;row=121&amp;col=11&amp;number=45250000&amp;sourceID=30","45250000")</f>
        <v>45250000</v>
      </c>
      <c r="L121" s="4" t="str">
        <f>HYPERLINK("http://141.218.60.56/~jnz1568/getInfo.php?workbook=03_02.xlsx&amp;sheet=A0&amp;row=121&amp;col=12&amp;number=&amp;sourceID=30","")</f>
        <v/>
      </c>
      <c r="M121" s="4" t="str">
        <f>HYPERLINK("http://141.218.60.56/~jnz1568/getInfo.php?workbook=03_02.xlsx&amp;sheet=A0&amp;row=121&amp;col=13&amp;number=&amp;sourceID=30","")</f>
        <v/>
      </c>
      <c r="N121" s="4" t="str">
        <f>HYPERLINK("http://141.218.60.56/~jnz1568/getInfo.php?workbook=03_02.xlsx&amp;sheet=A0&amp;row=121&amp;col=14&amp;number=0.002162&amp;sourceID=30","0.002162")</f>
        <v>0.002162</v>
      </c>
    </row>
    <row r="122" spans="1:14">
      <c r="A122" s="3">
        <v>3</v>
      </c>
      <c r="B122" s="3">
        <v>2</v>
      </c>
      <c r="C122" s="3">
        <v>18</v>
      </c>
      <c r="D122" s="3">
        <v>6</v>
      </c>
      <c r="E122" s="3">
        <f>((1/(INDEX(E0!J$4:J$52,C122,1)-INDEX(E0!J$4:J$52,D122,1))))*100000000</f>
        <v>0</v>
      </c>
      <c r="F122" s="4" t="str">
        <f>HYPERLINK("http://141.218.60.56/~jnz1568/getInfo.php?workbook=03_02.xlsx&amp;sheet=A0&amp;row=122&amp;col=6&amp;number=&amp;sourceID=27","")</f>
        <v/>
      </c>
      <c r="G122" s="4" t="str">
        <f>HYPERLINK("http://141.218.60.56/~jnz1568/getInfo.php?workbook=03_02.xlsx&amp;sheet=A0&amp;row=122&amp;col=7&amp;number=11694000&amp;sourceID=15","11694000")</f>
        <v>11694000</v>
      </c>
      <c r="H122" s="4" t="str">
        <f>HYPERLINK("http://141.218.60.56/~jnz1568/getInfo.php?workbook=03_02.xlsx&amp;sheet=A0&amp;row=122&amp;col=8&amp;number=&amp;sourceID=15","")</f>
        <v/>
      </c>
      <c r="I122" s="4" t="str">
        <f>HYPERLINK("http://141.218.60.56/~jnz1568/getInfo.php?workbook=03_02.xlsx&amp;sheet=A0&amp;row=122&amp;col=9&amp;number=&amp;sourceID=15","")</f>
        <v/>
      </c>
      <c r="J122" s="4" t="str">
        <f>HYPERLINK("http://141.218.60.56/~jnz1568/getInfo.php?workbook=03_02.xlsx&amp;sheet=A0&amp;row=122&amp;col=10&amp;number=&amp;sourceID=15","")</f>
        <v/>
      </c>
      <c r="K122" s="4" t="str">
        <f>HYPERLINK("http://141.218.60.56/~jnz1568/getInfo.php?workbook=03_02.xlsx&amp;sheet=A0&amp;row=122&amp;col=11&amp;number=9060000&amp;sourceID=30","9060000")</f>
        <v>9060000</v>
      </c>
      <c r="L122" s="4" t="str">
        <f>HYPERLINK("http://141.218.60.56/~jnz1568/getInfo.php?workbook=03_02.xlsx&amp;sheet=A0&amp;row=122&amp;col=12&amp;number=&amp;sourceID=30","")</f>
        <v/>
      </c>
      <c r="M122" s="4" t="str">
        <f>HYPERLINK("http://141.218.60.56/~jnz1568/getInfo.php?workbook=03_02.xlsx&amp;sheet=A0&amp;row=122&amp;col=13&amp;number=&amp;sourceID=30","")</f>
        <v/>
      </c>
      <c r="N122" s="4" t="str">
        <f>HYPERLINK("http://141.218.60.56/~jnz1568/getInfo.php?workbook=03_02.xlsx&amp;sheet=A0&amp;row=122&amp;col=14&amp;number=&amp;sourceID=30","")</f>
        <v/>
      </c>
    </row>
    <row r="123" spans="1:14">
      <c r="A123" s="3">
        <v>3</v>
      </c>
      <c r="B123" s="3">
        <v>2</v>
      </c>
      <c r="C123" s="3">
        <v>18</v>
      </c>
      <c r="D123" s="3">
        <v>7</v>
      </c>
      <c r="E123" s="3">
        <f>((1/(INDEX(E0!J$4:J$52,C123,1)-INDEX(E0!J$4:J$52,D123,1))))*100000000</f>
        <v>0</v>
      </c>
      <c r="F123" s="4" t="str">
        <f>HYPERLINK("http://141.218.60.56/~jnz1568/getInfo.php?workbook=03_02.xlsx&amp;sheet=A0&amp;row=123&amp;col=6&amp;number=&amp;sourceID=27","")</f>
        <v/>
      </c>
      <c r="G123" s="4" t="str">
        <f>HYPERLINK("http://141.218.60.56/~jnz1568/getInfo.php?workbook=03_02.xlsx&amp;sheet=A0&amp;row=123&amp;col=7&amp;number=&amp;sourceID=15","")</f>
        <v/>
      </c>
      <c r="H123" s="4" t="str">
        <f>HYPERLINK("http://141.218.60.56/~jnz1568/getInfo.php?workbook=03_02.xlsx&amp;sheet=A0&amp;row=123&amp;col=8&amp;number=&amp;sourceID=15","")</f>
        <v/>
      </c>
      <c r="I123" s="4" t="str">
        <f>HYPERLINK("http://141.218.60.56/~jnz1568/getInfo.php?workbook=03_02.xlsx&amp;sheet=A0&amp;row=123&amp;col=9&amp;number=&amp;sourceID=15","")</f>
        <v/>
      </c>
      <c r="J123" s="4" t="str">
        <f>HYPERLINK("http://141.218.60.56/~jnz1568/getInfo.php?workbook=03_02.xlsx&amp;sheet=A0&amp;row=123&amp;col=10&amp;number=&amp;sourceID=15","")</f>
        <v/>
      </c>
      <c r="K123" s="4" t="str">
        <f>HYPERLINK("http://141.218.60.56/~jnz1568/getInfo.php?workbook=03_02.xlsx&amp;sheet=A0&amp;row=123&amp;col=11&amp;number=19.95&amp;sourceID=30","19.95")</f>
        <v>19.95</v>
      </c>
      <c r="L123" s="4" t="str">
        <f>HYPERLINK("http://141.218.60.56/~jnz1568/getInfo.php?workbook=03_02.xlsx&amp;sheet=A0&amp;row=123&amp;col=12&amp;number=&amp;sourceID=30","")</f>
        <v/>
      </c>
      <c r="M123" s="4" t="str">
        <f>HYPERLINK("http://141.218.60.56/~jnz1568/getInfo.php?workbook=03_02.xlsx&amp;sheet=A0&amp;row=123&amp;col=13&amp;number=&amp;sourceID=30","")</f>
        <v/>
      </c>
      <c r="N123" s="4" t="str">
        <f>HYPERLINK("http://141.218.60.56/~jnz1568/getInfo.php?workbook=03_02.xlsx&amp;sheet=A0&amp;row=123&amp;col=14&amp;number=0.002572&amp;sourceID=30","0.002572")</f>
        <v>0.002572</v>
      </c>
    </row>
    <row r="124" spans="1:14">
      <c r="A124" s="3">
        <v>3</v>
      </c>
      <c r="B124" s="3">
        <v>2</v>
      </c>
      <c r="C124" s="3">
        <v>18</v>
      </c>
      <c r="D124" s="3">
        <v>8</v>
      </c>
      <c r="E124" s="3">
        <f>((1/(INDEX(E0!J$4:J$52,C124,1)-INDEX(E0!J$4:J$52,D124,1))))*100000000</f>
        <v>0</v>
      </c>
      <c r="F124" s="4" t="str">
        <f>HYPERLINK("http://141.218.60.56/~jnz1568/getInfo.php?workbook=03_02.xlsx&amp;sheet=A0&amp;row=124&amp;col=6&amp;number=&amp;sourceID=27","")</f>
        <v/>
      </c>
      <c r="G124" s="4" t="str">
        <f>HYPERLINK("http://141.218.60.56/~jnz1568/getInfo.php?workbook=03_02.xlsx&amp;sheet=A0&amp;row=124&amp;col=7&amp;number=&amp;sourceID=15","")</f>
        <v/>
      </c>
      <c r="H124" s="4" t="str">
        <f>HYPERLINK("http://141.218.60.56/~jnz1568/getInfo.php?workbook=03_02.xlsx&amp;sheet=A0&amp;row=124&amp;col=8&amp;number=&amp;sourceID=15","")</f>
        <v/>
      </c>
      <c r="I124" s="4" t="str">
        <f>HYPERLINK("http://141.218.60.56/~jnz1568/getInfo.php?workbook=03_02.xlsx&amp;sheet=A0&amp;row=124&amp;col=9&amp;number=&amp;sourceID=15","")</f>
        <v/>
      </c>
      <c r="J124" s="4" t="str">
        <f>HYPERLINK("http://141.218.60.56/~jnz1568/getInfo.php?workbook=03_02.xlsx&amp;sheet=A0&amp;row=124&amp;col=10&amp;number=&amp;sourceID=15","")</f>
        <v/>
      </c>
      <c r="K124" s="4" t="str">
        <f>HYPERLINK("http://141.218.60.56/~jnz1568/getInfo.php?workbook=03_02.xlsx&amp;sheet=A0&amp;row=124&amp;col=11&amp;number=&amp;sourceID=30","")</f>
        <v/>
      </c>
      <c r="L124" s="4" t="str">
        <f>HYPERLINK("http://141.218.60.56/~jnz1568/getInfo.php?workbook=03_02.xlsx&amp;sheet=A0&amp;row=124&amp;col=12&amp;number=6.91e-08&amp;sourceID=30","6.91e-08")</f>
        <v>6.91e-08</v>
      </c>
      <c r="M124" s="4" t="str">
        <f>HYPERLINK("http://141.218.60.56/~jnz1568/getInfo.php?workbook=03_02.xlsx&amp;sheet=A0&amp;row=124&amp;col=13&amp;number=2.02e-08&amp;sourceID=30","2.02e-08")</f>
        <v>2.02e-08</v>
      </c>
      <c r="N124" s="4" t="str">
        <f>HYPERLINK("http://141.218.60.56/~jnz1568/getInfo.php?workbook=03_02.xlsx&amp;sheet=A0&amp;row=124&amp;col=14&amp;number=&amp;sourceID=30","")</f>
        <v/>
      </c>
    </row>
    <row r="125" spans="1:14">
      <c r="A125" s="3">
        <v>3</v>
      </c>
      <c r="B125" s="3">
        <v>2</v>
      </c>
      <c r="C125" s="3">
        <v>18</v>
      </c>
      <c r="D125" s="3">
        <v>9</v>
      </c>
      <c r="E125" s="3">
        <f>((1/(INDEX(E0!J$4:J$52,C125,1)-INDEX(E0!J$4:J$52,D125,1))))*100000000</f>
        <v>0</v>
      </c>
      <c r="F125" s="4" t="str">
        <f>HYPERLINK("http://141.218.60.56/~jnz1568/getInfo.php?workbook=03_02.xlsx&amp;sheet=A0&amp;row=125&amp;col=6&amp;number=&amp;sourceID=27","")</f>
        <v/>
      </c>
      <c r="G125" s="4" t="str">
        <f>HYPERLINK("http://141.218.60.56/~jnz1568/getInfo.php?workbook=03_02.xlsx&amp;sheet=A0&amp;row=125&amp;col=7&amp;number=&amp;sourceID=15","")</f>
        <v/>
      </c>
      <c r="H125" s="4" t="str">
        <f>HYPERLINK("http://141.218.60.56/~jnz1568/getInfo.php?workbook=03_02.xlsx&amp;sheet=A0&amp;row=125&amp;col=8&amp;number=&amp;sourceID=15","")</f>
        <v/>
      </c>
      <c r="I125" s="4" t="str">
        <f>HYPERLINK("http://141.218.60.56/~jnz1568/getInfo.php?workbook=03_02.xlsx&amp;sheet=A0&amp;row=125&amp;col=9&amp;number=&amp;sourceID=15","")</f>
        <v/>
      </c>
      <c r="J125" s="4" t="str">
        <f>HYPERLINK("http://141.218.60.56/~jnz1568/getInfo.php?workbook=03_02.xlsx&amp;sheet=A0&amp;row=125&amp;col=10&amp;number=&amp;sourceID=15","")</f>
        <v/>
      </c>
      <c r="K125" s="4" t="str">
        <f>HYPERLINK("http://141.218.60.56/~jnz1568/getInfo.php?workbook=03_02.xlsx&amp;sheet=A0&amp;row=125&amp;col=11&amp;number=&amp;sourceID=30","")</f>
        <v/>
      </c>
      <c r="L125" s="4" t="str">
        <f>HYPERLINK("http://141.218.60.56/~jnz1568/getInfo.php?workbook=03_02.xlsx&amp;sheet=A0&amp;row=125&amp;col=12&amp;number=&amp;sourceID=30","")</f>
        <v/>
      </c>
      <c r="M125" s="4" t="str">
        <f>HYPERLINK("http://141.218.60.56/~jnz1568/getInfo.php?workbook=03_02.xlsx&amp;sheet=A0&amp;row=125&amp;col=13&amp;number=2.207e-07&amp;sourceID=30","2.207e-07")</f>
        <v>2.207e-07</v>
      </c>
      <c r="N125" s="4" t="str">
        <f>HYPERLINK("http://141.218.60.56/~jnz1568/getInfo.php?workbook=03_02.xlsx&amp;sheet=A0&amp;row=125&amp;col=14&amp;number=&amp;sourceID=30","")</f>
        <v/>
      </c>
    </row>
    <row r="126" spans="1:14">
      <c r="A126" s="3">
        <v>3</v>
      </c>
      <c r="B126" s="3">
        <v>2</v>
      </c>
      <c r="C126" s="3">
        <v>18</v>
      </c>
      <c r="D126" s="3">
        <v>10</v>
      </c>
      <c r="E126" s="3">
        <f>((1/(INDEX(E0!J$4:J$52,C126,1)-INDEX(E0!J$4:J$52,D126,1))))*100000000</f>
        <v>0</v>
      </c>
      <c r="F126" s="4" t="str">
        <f>HYPERLINK("http://141.218.60.56/~jnz1568/getInfo.php?workbook=03_02.xlsx&amp;sheet=A0&amp;row=126&amp;col=6&amp;number=&amp;sourceID=27","")</f>
        <v/>
      </c>
      <c r="G126" s="4" t="str">
        <f>HYPERLINK("http://141.218.60.56/~jnz1568/getInfo.php?workbook=03_02.xlsx&amp;sheet=A0&amp;row=126&amp;col=7&amp;number=23784000&amp;sourceID=15","23784000")</f>
        <v>23784000</v>
      </c>
      <c r="H126" s="4" t="str">
        <f>HYPERLINK("http://141.218.60.56/~jnz1568/getInfo.php?workbook=03_02.xlsx&amp;sheet=A0&amp;row=126&amp;col=8&amp;number=&amp;sourceID=15","")</f>
        <v/>
      </c>
      <c r="I126" s="4" t="str">
        <f>HYPERLINK("http://141.218.60.56/~jnz1568/getInfo.php?workbook=03_02.xlsx&amp;sheet=A0&amp;row=126&amp;col=9&amp;number=&amp;sourceID=15","")</f>
        <v/>
      </c>
      <c r="J126" s="4" t="str">
        <f>HYPERLINK("http://141.218.60.56/~jnz1568/getInfo.php?workbook=03_02.xlsx&amp;sheet=A0&amp;row=126&amp;col=10&amp;number=&amp;sourceID=15","")</f>
        <v/>
      </c>
      <c r="K126" s="4" t="str">
        <f>HYPERLINK("http://141.218.60.56/~jnz1568/getInfo.php?workbook=03_02.xlsx&amp;sheet=A0&amp;row=126&amp;col=11&amp;number=22820000&amp;sourceID=30","22820000")</f>
        <v>22820000</v>
      </c>
      <c r="L126" s="4" t="str">
        <f>HYPERLINK("http://141.218.60.56/~jnz1568/getInfo.php?workbook=03_02.xlsx&amp;sheet=A0&amp;row=126&amp;col=12&amp;number=&amp;sourceID=30","")</f>
        <v/>
      </c>
      <c r="M126" s="4" t="str">
        <f>HYPERLINK("http://141.218.60.56/~jnz1568/getInfo.php?workbook=03_02.xlsx&amp;sheet=A0&amp;row=126&amp;col=13&amp;number=&amp;sourceID=30","")</f>
        <v/>
      </c>
      <c r="N126" s="4" t="str">
        <f>HYPERLINK("http://141.218.60.56/~jnz1568/getInfo.php?workbook=03_02.xlsx&amp;sheet=A0&amp;row=126&amp;col=14&amp;number=3.457e-05&amp;sourceID=30","3.457e-05")</f>
        <v>3.457e-05</v>
      </c>
    </row>
    <row r="127" spans="1:14">
      <c r="A127" s="3">
        <v>3</v>
      </c>
      <c r="B127" s="3">
        <v>2</v>
      </c>
      <c r="C127" s="3">
        <v>18</v>
      </c>
      <c r="D127" s="3">
        <v>11</v>
      </c>
      <c r="E127" s="3">
        <f>((1/(INDEX(E0!J$4:J$52,C127,1)-INDEX(E0!J$4:J$52,D127,1))))*100000000</f>
        <v>0</v>
      </c>
      <c r="F127" s="4" t="str">
        <f>HYPERLINK("http://141.218.60.56/~jnz1568/getInfo.php?workbook=03_02.xlsx&amp;sheet=A0&amp;row=127&amp;col=6&amp;number=&amp;sourceID=27","")</f>
        <v/>
      </c>
      <c r="G127" s="4" t="str">
        <f>HYPERLINK("http://141.218.60.56/~jnz1568/getInfo.php?workbook=03_02.xlsx&amp;sheet=A0&amp;row=127&amp;col=7&amp;number=39640000&amp;sourceID=15","39640000")</f>
        <v>39640000</v>
      </c>
      <c r="H127" s="4" t="str">
        <f>HYPERLINK("http://141.218.60.56/~jnz1568/getInfo.php?workbook=03_02.xlsx&amp;sheet=A0&amp;row=127&amp;col=8&amp;number=&amp;sourceID=15","")</f>
        <v/>
      </c>
      <c r="I127" s="4" t="str">
        <f>HYPERLINK("http://141.218.60.56/~jnz1568/getInfo.php?workbook=03_02.xlsx&amp;sheet=A0&amp;row=127&amp;col=9&amp;number=&amp;sourceID=15","")</f>
        <v/>
      </c>
      <c r="J127" s="4" t="str">
        <f>HYPERLINK("http://141.218.60.56/~jnz1568/getInfo.php?workbook=03_02.xlsx&amp;sheet=A0&amp;row=127&amp;col=10&amp;number=&amp;sourceID=15","")</f>
        <v/>
      </c>
      <c r="K127" s="4" t="str">
        <f>HYPERLINK("http://141.218.60.56/~jnz1568/getInfo.php?workbook=03_02.xlsx&amp;sheet=A0&amp;row=127&amp;col=11&amp;number=38030000&amp;sourceID=30","38030000")</f>
        <v>38030000</v>
      </c>
      <c r="L127" s="4" t="str">
        <f>HYPERLINK("http://141.218.60.56/~jnz1568/getInfo.php?workbook=03_02.xlsx&amp;sheet=A0&amp;row=127&amp;col=12&amp;number=&amp;sourceID=30","")</f>
        <v/>
      </c>
      <c r="M127" s="4" t="str">
        <f>HYPERLINK("http://141.218.60.56/~jnz1568/getInfo.php?workbook=03_02.xlsx&amp;sheet=A0&amp;row=127&amp;col=13&amp;number=&amp;sourceID=30","")</f>
        <v/>
      </c>
      <c r="N127" s="4" t="str">
        <f>HYPERLINK("http://141.218.60.56/~jnz1568/getInfo.php?workbook=03_02.xlsx&amp;sheet=A0&amp;row=127&amp;col=14&amp;number=0.0001039&amp;sourceID=30","0.0001039")</f>
        <v>0.0001039</v>
      </c>
    </row>
    <row r="128" spans="1:14">
      <c r="A128" s="3">
        <v>3</v>
      </c>
      <c r="B128" s="3">
        <v>2</v>
      </c>
      <c r="C128" s="3">
        <v>18</v>
      </c>
      <c r="D128" s="3">
        <v>12</v>
      </c>
      <c r="E128" s="3">
        <f>((1/(INDEX(E0!J$4:J$52,C128,1)-INDEX(E0!J$4:J$52,D128,1))))*100000000</f>
        <v>0</v>
      </c>
      <c r="F128" s="4" t="str">
        <f>HYPERLINK("http://141.218.60.56/~jnz1568/getInfo.php?workbook=03_02.xlsx&amp;sheet=A0&amp;row=128&amp;col=6&amp;number=&amp;sourceID=27","")</f>
        <v/>
      </c>
      <c r="G128" s="4" t="str">
        <f>HYPERLINK("http://141.218.60.56/~jnz1568/getInfo.php?workbook=03_02.xlsx&amp;sheet=A0&amp;row=128&amp;col=7&amp;number=7928000&amp;sourceID=15","7928000")</f>
        <v>7928000</v>
      </c>
      <c r="H128" s="4" t="str">
        <f>HYPERLINK("http://141.218.60.56/~jnz1568/getInfo.php?workbook=03_02.xlsx&amp;sheet=A0&amp;row=128&amp;col=8&amp;number=&amp;sourceID=15","")</f>
        <v/>
      </c>
      <c r="I128" s="4" t="str">
        <f>HYPERLINK("http://141.218.60.56/~jnz1568/getInfo.php?workbook=03_02.xlsx&amp;sheet=A0&amp;row=128&amp;col=9&amp;number=&amp;sourceID=15","")</f>
        <v/>
      </c>
      <c r="J128" s="4" t="str">
        <f>HYPERLINK("http://141.218.60.56/~jnz1568/getInfo.php?workbook=03_02.xlsx&amp;sheet=A0&amp;row=128&amp;col=10&amp;number=&amp;sourceID=15","")</f>
        <v/>
      </c>
      <c r="K128" s="4" t="str">
        <f>HYPERLINK("http://141.218.60.56/~jnz1568/getInfo.php?workbook=03_02.xlsx&amp;sheet=A0&amp;row=128&amp;col=11&amp;number=7608000&amp;sourceID=30","7608000")</f>
        <v>7608000</v>
      </c>
      <c r="L128" s="4" t="str">
        <f>HYPERLINK("http://141.218.60.56/~jnz1568/getInfo.php?workbook=03_02.xlsx&amp;sheet=A0&amp;row=128&amp;col=12&amp;number=&amp;sourceID=30","")</f>
        <v/>
      </c>
      <c r="M128" s="4" t="str">
        <f>HYPERLINK("http://141.218.60.56/~jnz1568/getInfo.php?workbook=03_02.xlsx&amp;sheet=A0&amp;row=128&amp;col=13&amp;number=&amp;sourceID=30","")</f>
        <v/>
      </c>
      <c r="N128" s="4" t="str">
        <f>HYPERLINK("http://141.218.60.56/~jnz1568/getInfo.php?workbook=03_02.xlsx&amp;sheet=A0&amp;row=128&amp;col=14&amp;number=&amp;sourceID=30","")</f>
        <v/>
      </c>
    </row>
    <row r="129" spans="1:14">
      <c r="A129" s="3">
        <v>3</v>
      </c>
      <c r="B129" s="3">
        <v>2</v>
      </c>
      <c r="C129" s="3">
        <v>18</v>
      </c>
      <c r="D129" s="3">
        <v>13</v>
      </c>
      <c r="E129" s="3">
        <f>((1/(INDEX(E0!J$4:J$52,C129,1)-INDEX(E0!J$4:J$52,D129,1))))*100000000</f>
        <v>0</v>
      </c>
      <c r="F129" s="4" t="str">
        <f>HYPERLINK("http://141.218.60.56/~jnz1568/getInfo.php?workbook=03_02.xlsx&amp;sheet=A0&amp;row=129&amp;col=6&amp;number=&amp;sourceID=27","")</f>
        <v/>
      </c>
      <c r="G129" s="4" t="str">
        <f>HYPERLINK("http://141.218.60.56/~jnz1568/getInfo.php?workbook=03_02.xlsx&amp;sheet=A0&amp;row=129&amp;col=7&amp;number=&amp;sourceID=15","")</f>
        <v/>
      </c>
      <c r="H129" s="4" t="str">
        <f>HYPERLINK("http://141.218.60.56/~jnz1568/getInfo.php?workbook=03_02.xlsx&amp;sheet=A0&amp;row=129&amp;col=8&amp;number=&amp;sourceID=15","")</f>
        <v/>
      </c>
      <c r="I129" s="4" t="str">
        <f>HYPERLINK("http://141.218.60.56/~jnz1568/getInfo.php?workbook=03_02.xlsx&amp;sheet=A0&amp;row=129&amp;col=9&amp;number=&amp;sourceID=15","")</f>
        <v/>
      </c>
      <c r="J129" s="4" t="str">
        <f>HYPERLINK("http://141.218.60.56/~jnz1568/getInfo.php?workbook=03_02.xlsx&amp;sheet=A0&amp;row=129&amp;col=10&amp;number=&amp;sourceID=15","")</f>
        <v/>
      </c>
      <c r="K129" s="4" t="str">
        <f>HYPERLINK("http://141.218.60.56/~jnz1568/getInfo.php?workbook=03_02.xlsx&amp;sheet=A0&amp;row=129&amp;col=11&amp;number=&amp;sourceID=30","")</f>
        <v/>
      </c>
      <c r="L129" s="4" t="str">
        <f>HYPERLINK("http://141.218.60.56/~jnz1568/getInfo.php?workbook=03_02.xlsx&amp;sheet=A0&amp;row=129&amp;col=12&amp;number=27.81&amp;sourceID=30","27.81")</f>
        <v>27.81</v>
      </c>
      <c r="M129" s="4" t="str">
        <f>HYPERLINK("http://141.218.60.56/~jnz1568/getInfo.php?workbook=03_02.xlsx&amp;sheet=A0&amp;row=129&amp;col=13&amp;number=1.609e-09&amp;sourceID=30","1.609e-09")</f>
        <v>1.609e-09</v>
      </c>
      <c r="N129" s="4" t="str">
        <f>HYPERLINK("http://141.218.60.56/~jnz1568/getInfo.php?workbook=03_02.xlsx&amp;sheet=A0&amp;row=129&amp;col=14&amp;number=&amp;sourceID=30","")</f>
        <v/>
      </c>
    </row>
    <row r="130" spans="1:14">
      <c r="A130" s="3">
        <v>3</v>
      </c>
      <c r="B130" s="3">
        <v>2</v>
      </c>
      <c r="C130" s="3">
        <v>18</v>
      </c>
      <c r="D130" s="3">
        <v>14</v>
      </c>
      <c r="E130" s="3">
        <f>((1/(INDEX(E0!J$4:J$52,C130,1)-INDEX(E0!J$4:J$52,D130,1))))*100000000</f>
        <v>0</v>
      </c>
      <c r="F130" s="4" t="str">
        <f>HYPERLINK("http://141.218.60.56/~jnz1568/getInfo.php?workbook=03_02.xlsx&amp;sheet=A0&amp;row=130&amp;col=6&amp;number=&amp;sourceID=27","")</f>
        <v/>
      </c>
      <c r="G130" s="4" t="str">
        <f>HYPERLINK("http://141.218.60.56/~jnz1568/getInfo.php?workbook=03_02.xlsx&amp;sheet=A0&amp;row=130&amp;col=7&amp;number=&amp;sourceID=15","")</f>
        <v/>
      </c>
      <c r="H130" s="4" t="str">
        <f>HYPERLINK("http://141.218.60.56/~jnz1568/getInfo.php?workbook=03_02.xlsx&amp;sheet=A0&amp;row=130&amp;col=8&amp;number=&amp;sourceID=15","")</f>
        <v/>
      </c>
      <c r="I130" s="4" t="str">
        <f>HYPERLINK("http://141.218.60.56/~jnz1568/getInfo.php?workbook=03_02.xlsx&amp;sheet=A0&amp;row=130&amp;col=9&amp;number=&amp;sourceID=15","")</f>
        <v/>
      </c>
      <c r="J130" s="4" t="str">
        <f>HYPERLINK("http://141.218.60.56/~jnz1568/getInfo.php?workbook=03_02.xlsx&amp;sheet=A0&amp;row=130&amp;col=10&amp;number=&amp;sourceID=15","")</f>
        <v/>
      </c>
      <c r="K130" s="4" t="str">
        <f>HYPERLINK("http://141.218.60.56/~jnz1568/getInfo.php?workbook=03_02.xlsx&amp;sheet=A0&amp;row=130&amp;col=11&amp;number=&amp;sourceID=30","")</f>
        <v/>
      </c>
      <c r="L130" s="4" t="str">
        <f>HYPERLINK("http://141.218.60.56/~jnz1568/getInfo.php?workbook=03_02.xlsx&amp;sheet=A0&amp;row=130&amp;col=12&amp;number=38.94&amp;sourceID=30","38.94")</f>
        <v>38.94</v>
      </c>
      <c r="M130" s="4" t="str">
        <f>HYPERLINK("http://141.218.60.56/~jnz1568/getInfo.php?workbook=03_02.xlsx&amp;sheet=A0&amp;row=130&amp;col=13&amp;number=&amp;sourceID=30","")</f>
        <v/>
      </c>
      <c r="N130" s="4" t="str">
        <f>HYPERLINK("http://141.218.60.56/~jnz1568/getInfo.php?workbook=03_02.xlsx&amp;sheet=A0&amp;row=130&amp;col=14&amp;number=&amp;sourceID=30","")</f>
        <v/>
      </c>
    </row>
    <row r="131" spans="1:14">
      <c r="A131" s="3">
        <v>3</v>
      </c>
      <c r="B131" s="3">
        <v>2</v>
      </c>
      <c r="C131" s="3">
        <v>18</v>
      </c>
      <c r="D131" s="3">
        <v>15</v>
      </c>
      <c r="E131" s="3">
        <f>((1/(INDEX(E0!J$4:J$52,C131,1)-INDEX(E0!J$4:J$52,D131,1))))*100000000</f>
        <v>0</v>
      </c>
      <c r="F131" s="4" t="str">
        <f>HYPERLINK("http://141.218.60.56/~jnz1568/getInfo.php?workbook=03_02.xlsx&amp;sheet=A0&amp;row=131&amp;col=6&amp;number=&amp;sourceID=27","")</f>
        <v/>
      </c>
      <c r="G131" s="4" t="str">
        <f>HYPERLINK("http://141.218.60.56/~jnz1568/getInfo.php?workbook=03_02.xlsx&amp;sheet=A0&amp;row=131&amp;col=7&amp;number=&amp;sourceID=15","")</f>
        <v/>
      </c>
      <c r="H131" s="4" t="str">
        <f>HYPERLINK("http://141.218.60.56/~jnz1568/getInfo.php?workbook=03_02.xlsx&amp;sheet=A0&amp;row=131&amp;col=8&amp;number=&amp;sourceID=15","")</f>
        <v/>
      </c>
      <c r="I131" s="4" t="str">
        <f>HYPERLINK("http://141.218.60.56/~jnz1568/getInfo.php?workbook=03_02.xlsx&amp;sheet=A0&amp;row=131&amp;col=9&amp;number=&amp;sourceID=15","")</f>
        <v/>
      </c>
      <c r="J131" s="4" t="str">
        <f>HYPERLINK("http://141.218.60.56/~jnz1568/getInfo.php?workbook=03_02.xlsx&amp;sheet=A0&amp;row=131&amp;col=10&amp;number=&amp;sourceID=15","")</f>
        <v/>
      </c>
      <c r="K131" s="4" t="str">
        <f>HYPERLINK("http://141.218.60.56/~jnz1568/getInfo.php?workbook=03_02.xlsx&amp;sheet=A0&amp;row=131&amp;col=11&amp;number=&amp;sourceID=30","")</f>
        <v/>
      </c>
      <c r="L131" s="4" t="str">
        <f>HYPERLINK("http://141.218.60.56/~jnz1568/getInfo.php?workbook=03_02.xlsx&amp;sheet=A0&amp;row=131&amp;col=12&amp;number=16.69&amp;sourceID=30","16.69")</f>
        <v>16.69</v>
      </c>
      <c r="M131" s="4" t="str">
        <f>HYPERLINK("http://141.218.60.56/~jnz1568/getInfo.php?workbook=03_02.xlsx&amp;sheet=A0&amp;row=131&amp;col=13&amp;number=5.534e-09&amp;sourceID=30","5.534e-09")</f>
        <v>5.534e-09</v>
      </c>
      <c r="N131" s="4" t="str">
        <f>HYPERLINK("http://141.218.60.56/~jnz1568/getInfo.php?workbook=03_02.xlsx&amp;sheet=A0&amp;row=131&amp;col=14&amp;number=&amp;sourceID=30","")</f>
        <v/>
      </c>
    </row>
    <row r="132" spans="1:14">
      <c r="A132" s="3">
        <v>3</v>
      </c>
      <c r="B132" s="3">
        <v>2</v>
      </c>
      <c r="C132" s="3">
        <v>18</v>
      </c>
      <c r="D132" s="3">
        <v>16</v>
      </c>
      <c r="E132" s="3">
        <f>((1/(INDEX(E0!J$4:J$52,C132,1)-INDEX(E0!J$4:J$52,D132,1))))*100000000</f>
        <v>0</v>
      </c>
      <c r="F132" s="4" t="str">
        <f>HYPERLINK("http://141.218.60.56/~jnz1568/getInfo.php?workbook=03_02.xlsx&amp;sheet=A0&amp;row=132&amp;col=6&amp;number=&amp;sourceID=27","")</f>
        <v/>
      </c>
      <c r="G132" s="4" t="str">
        <f>HYPERLINK("http://141.218.60.56/~jnz1568/getInfo.php?workbook=03_02.xlsx&amp;sheet=A0&amp;row=132&amp;col=7&amp;number=&amp;sourceID=15","")</f>
        <v/>
      </c>
      <c r="H132" s="4" t="str">
        <f>HYPERLINK("http://141.218.60.56/~jnz1568/getInfo.php?workbook=03_02.xlsx&amp;sheet=A0&amp;row=132&amp;col=8&amp;number=&amp;sourceID=15","")</f>
        <v/>
      </c>
      <c r="I132" s="4" t="str">
        <f>HYPERLINK("http://141.218.60.56/~jnz1568/getInfo.php?workbook=03_02.xlsx&amp;sheet=A0&amp;row=132&amp;col=9&amp;number=&amp;sourceID=15","")</f>
        <v/>
      </c>
      <c r="J132" s="4" t="str">
        <f>HYPERLINK("http://141.218.60.56/~jnz1568/getInfo.php?workbook=03_02.xlsx&amp;sheet=A0&amp;row=132&amp;col=10&amp;number=&amp;sourceID=15","")</f>
        <v/>
      </c>
      <c r="K132" s="4" t="str">
        <f>HYPERLINK("http://141.218.60.56/~jnz1568/getInfo.php?workbook=03_02.xlsx&amp;sheet=A0&amp;row=132&amp;col=11&amp;number=&amp;sourceID=30","")</f>
        <v/>
      </c>
      <c r="L132" s="4" t="str">
        <f>HYPERLINK("http://141.218.60.56/~jnz1568/getInfo.php?workbook=03_02.xlsx&amp;sheet=A0&amp;row=132&amp;col=12&amp;number=0.004811&amp;sourceID=30","0.004811")</f>
        <v>0.004811</v>
      </c>
      <c r="M132" s="4" t="str">
        <f>HYPERLINK("http://141.218.60.56/~jnz1568/getInfo.php?workbook=03_02.xlsx&amp;sheet=A0&amp;row=132&amp;col=13&amp;number=5.074e-12&amp;sourceID=30","5.074e-12")</f>
        <v>5.074e-12</v>
      </c>
      <c r="N132" s="4" t="str">
        <f>HYPERLINK("http://141.218.60.56/~jnz1568/getInfo.php?workbook=03_02.xlsx&amp;sheet=A0&amp;row=132&amp;col=14&amp;number=&amp;sourceID=30","")</f>
        <v/>
      </c>
    </row>
    <row r="133" spans="1:14">
      <c r="A133" s="3">
        <v>3</v>
      </c>
      <c r="B133" s="3">
        <v>2</v>
      </c>
      <c r="C133" s="3">
        <v>18</v>
      </c>
      <c r="D133" s="3">
        <v>17</v>
      </c>
      <c r="E133" s="3">
        <f>((1/(INDEX(E0!J$4:J$52,C133,1)-INDEX(E0!J$4:J$52,D133,1))))*100000000</f>
        <v>0</v>
      </c>
      <c r="F133" s="4" t="str">
        <f>HYPERLINK("http://141.218.60.56/~jnz1568/getInfo.php?workbook=03_02.xlsx&amp;sheet=A0&amp;row=133&amp;col=6&amp;number=&amp;sourceID=27","")</f>
        <v/>
      </c>
      <c r="G133" s="4" t="str">
        <f>HYPERLINK("http://141.218.60.56/~jnz1568/getInfo.php?workbook=03_02.xlsx&amp;sheet=A0&amp;row=133&amp;col=7&amp;number=&amp;sourceID=15","")</f>
        <v/>
      </c>
      <c r="H133" s="4" t="str">
        <f>HYPERLINK("http://141.218.60.56/~jnz1568/getInfo.php?workbook=03_02.xlsx&amp;sheet=A0&amp;row=133&amp;col=8&amp;number=&amp;sourceID=15","")</f>
        <v/>
      </c>
      <c r="I133" s="4" t="str">
        <f>HYPERLINK("http://141.218.60.56/~jnz1568/getInfo.php?workbook=03_02.xlsx&amp;sheet=A0&amp;row=133&amp;col=9&amp;number=&amp;sourceID=15","")</f>
        <v/>
      </c>
      <c r="J133" s="4" t="str">
        <f>HYPERLINK("http://141.218.60.56/~jnz1568/getInfo.php?workbook=03_02.xlsx&amp;sheet=A0&amp;row=133&amp;col=10&amp;number=&amp;sourceID=15","")</f>
        <v/>
      </c>
      <c r="K133" s="4" t="str">
        <f>HYPERLINK("http://141.218.60.56/~jnz1568/getInfo.php?workbook=03_02.xlsx&amp;sheet=A0&amp;row=133&amp;col=11&amp;number=13.01&amp;sourceID=30","13.01")</f>
        <v>13.01</v>
      </c>
      <c r="L133" s="4" t="str">
        <f>HYPERLINK("http://141.218.60.56/~jnz1568/getInfo.php?workbook=03_02.xlsx&amp;sheet=A0&amp;row=133&amp;col=12&amp;number=&amp;sourceID=30","")</f>
        <v/>
      </c>
      <c r="M133" s="4" t="str">
        <f>HYPERLINK("http://141.218.60.56/~jnz1568/getInfo.php?workbook=03_02.xlsx&amp;sheet=A0&amp;row=133&amp;col=13&amp;number=&amp;sourceID=30","")</f>
        <v/>
      </c>
      <c r="N133" s="4" t="str">
        <f>HYPERLINK("http://141.218.60.56/~jnz1568/getInfo.php?workbook=03_02.xlsx&amp;sheet=A0&amp;row=133&amp;col=14&amp;number=7.096e-05&amp;sourceID=30","7.096e-05")</f>
        <v>7.096e-05</v>
      </c>
    </row>
    <row r="134" spans="1:14">
      <c r="A134" s="3">
        <v>3</v>
      </c>
      <c r="B134" s="3">
        <v>2</v>
      </c>
      <c r="C134" s="3">
        <v>19</v>
      </c>
      <c r="D134" s="3">
        <v>2</v>
      </c>
      <c r="E134" s="3">
        <f>((1/(INDEX(E0!J$4:J$52,C134,1)-INDEX(E0!J$4:J$52,D134,1))))*100000000</f>
        <v>0</v>
      </c>
      <c r="F134" s="4" t="str">
        <f>HYPERLINK("http://141.218.60.56/~jnz1568/getInfo.php?workbook=03_02.xlsx&amp;sheet=A0&amp;row=134&amp;col=6&amp;number=&amp;sourceID=27","")</f>
        <v/>
      </c>
      <c r="G134" s="4" t="str">
        <f>HYPERLINK("http://141.218.60.56/~jnz1568/getInfo.php?workbook=03_02.xlsx&amp;sheet=A0&amp;row=134&amp;col=7&amp;number=&amp;sourceID=15","")</f>
        <v/>
      </c>
      <c r="H134" s="4" t="str">
        <f>HYPERLINK("http://141.218.60.56/~jnz1568/getInfo.php?workbook=03_02.xlsx&amp;sheet=A0&amp;row=134&amp;col=8&amp;number=&amp;sourceID=15","")</f>
        <v/>
      </c>
      <c r="I134" s="4" t="str">
        <f>HYPERLINK("http://141.218.60.56/~jnz1568/getInfo.php?workbook=03_02.xlsx&amp;sheet=A0&amp;row=134&amp;col=9&amp;number=&amp;sourceID=15","")</f>
        <v/>
      </c>
      <c r="J134" s="4" t="str">
        <f>HYPERLINK("http://141.218.60.56/~jnz1568/getInfo.php?workbook=03_02.xlsx&amp;sheet=A0&amp;row=134&amp;col=10&amp;number=&amp;sourceID=15","")</f>
        <v/>
      </c>
      <c r="K134" s="4" t="str">
        <f>HYPERLINK("http://141.218.60.56/~jnz1568/getInfo.php?workbook=03_02.xlsx&amp;sheet=A0&amp;row=134&amp;col=11&amp;number=&amp;sourceID=30","")</f>
        <v/>
      </c>
      <c r="L134" s="4" t="str">
        <f>HYPERLINK("http://141.218.60.56/~jnz1568/getInfo.php?workbook=03_02.xlsx&amp;sheet=A0&amp;row=134&amp;col=12&amp;number=&amp;sourceID=30","")</f>
        <v/>
      </c>
      <c r="M134" s="4" t="str">
        <f>HYPERLINK("http://141.218.60.56/~jnz1568/getInfo.php?workbook=03_02.xlsx&amp;sheet=A0&amp;row=134&amp;col=13&amp;number=9.136e-11&amp;sourceID=30","9.136e-11")</f>
        <v>9.136e-11</v>
      </c>
      <c r="N134" s="4" t="str">
        <f>HYPERLINK("http://141.218.60.56/~jnz1568/getInfo.php?workbook=03_02.xlsx&amp;sheet=A0&amp;row=134&amp;col=14&amp;number=&amp;sourceID=30","")</f>
        <v/>
      </c>
    </row>
    <row r="135" spans="1:14">
      <c r="A135" s="3">
        <v>3</v>
      </c>
      <c r="B135" s="3">
        <v>2</v>
      </c>
      <c r="C135" s="3">
        <v>19</v>
      </c>
      <c r="D135" s="3">
        <v>4</v>
      </c>
      <c r="E135" s="3">
        <f>((1/(INDEX(E0!J$4:J$52,C135,1)-INDEX(E0!J$4:J$52,D135,1))))*100000000</f>
        <v>0</v>
      </c>
      <c r="F135" s="4" t="str">
        <f>HYPERLINK("http://141.218.60.56/~jnz1568/getInfo.php?workbook=03_02.xlsx&amp;sheet=A0&amp;row=135&amp;col=6&amp;number=&amp;sourceID=27","")</f>
        <v/>
      </c>
      <c r="G135" s="4" t="str">
        <f>HYPERLINK("http://141.218.60.56/~jnz1568/getInfo.php?workbook=03_02.xlsx&amp;sheet=A0&amp;row=135&amp;col=7&amp;number=&amp;sourceID=15","")</f>
        <v/>
      </c>
      <c r="H135" s="4" t="str">
        <f>HYPERLINK("http://141.218.60.56/~jnz1568/getInfo.php?workbook=03_02.xlsx&amp;sheet=A0&amp;row=135&amp;col=8&amp;number=&amp;sourceID=15","")</f>
        <v/>
      </c>
      <c r="I135" s="4" t="str">
        <f>HYPERLINK("http://141.218.60.56/~jnz1568/getInfo.php?workbook=03_02.xlsx&amp;sheet=A0&amp;row=135&amp;col=9&amp;number=&amp;sourceID=15","")</f>
        <v/>
      </c>
      <c r="J135" s="4" t="str">
        <f>HYPERLINK("http://141.218.60.56/~jnz1568/getInfo.php?workbook=03_02.xlsx&amp;sheet=A0&amp;row=135&amp;col=10&amp;number=&amp;sourceID=15","")</f>
        <v/>
      </c>
      <c r="K135" s="4" t="str">
        <f>HYPERLINK("http://141.218.60.56/~jnz1568/getInfo.php?workbook=03_02.xlsx&amp;sheet=A0&amp;row=135&amp;col=11&amp;number=41.07&amp;sourceID=30","41.07")</f>
        <v>41.07</v>
      </c>
      <c r="L135" s="4" t="str">
        <f>HYPERLINK("http://141.218.60.56/~jnz1568/getInfo.php?workbook=03_02.xlsx&amp;sheet=A0&amp;row=135&amp;col=12&amp;number=&amp;sourceID=30","")</f>
        <v/>
      </c>
      <c r="M135" s="4" t="str">
        <f>HYPERLINK("http://141.218.60.56/~jnz1568/getInfo.php?workbook=03_02.xlsx&amp;sheet=A0&amp;row=135&amp;col=13&amp;number=&amp;sourceID=30","")</f>
        <v/>
      </c>
      <c r="N135" s="4" t="str">
        <f>HYPERLINK("http://141.218.60.56/~jnz1568/getInfo.php?workbook=03_02.xlsx&amp;sheet=A0&amp;row=135&amp;col=14&amp;number=&amp;sourceID=30","")</f>
        <v/>
      </c>
    </row>
    <row r="136" spans="1:14">
      <c r="A136" s="3">
        <v>3</v>
      </c>
      <c r="B136" s="3">
        <v>2</v>
      </c>
      <c r="C136" s="3">
        <v>19</v>
      </c>
      <c r="D136" s="3">
        <v>5</v>
      </c>
      <c r="E136" s="3">
        <f>((1/(INDEX(E0!J$4:J$52,C136,1)-INDEX(E0!J$4:J$52,D136,1))))*100000000</f>
        <v>0</v>
      </c>
      <c r="F136" s="4" t="str">
        <f>HYPERLINK("http://141.218.60.56/~jnz1568/getInfo.php?workbook=03_02.xlsx&amp;sheet=A0&amp;row=136&amp;col=6&amp;number=&amp;sourceID=27","")</f>
        <v/>
      </c>
      <c r="G136" s="4" t="str">
        <f>HYPERLINK("http://141.218.60.56/~jnz1568/getInfo.php?workbook=03_02.xlsx&amp;sheet=A0&amp;row=136&amp;col=7&amp;number=&amp;sourceID=15","")</f>
        <v/>
      </c>
      <c r="H136" s="4" t="str">
        <f>HYPERLINK("http://141.218.60.56/~jnz1568/getInfo.php?workbook=03_02.xlsx&amp;sheet=A0&amp;row=136&amp;col=8&amp;number=&amp;sourceID=15","")</f>
        <v/>
      </c>
      <c r="I136" s="4" t="str">
        <f>HYPERLINK("http://141.218.60.56/~jnz1568/getInfo.php?workbook=03_02.xlsx&amp;sheet=A0&amp;row=136&amp;col=9&amp;number=&amp;sourceID=15","")</f>
        <v/>
      </c>
      <c r="J136" s="4" t="str">
        <f>HYPERLINK("http://141.218.60.56/~jnz1568/getInfo.php?workbook=03_02.xlsx&amp;sheet=A0&amp;row=136&amp;col=10&amp;number=&amp;sourceID=15","")</f>
        <v/>
      </c>
      <c r="K136" s="4" t="str">
        <f>HYPERLINK("http://141.218.60.56/~jnz1568/getInfo.php?workbook=03_02.xlsx&amp;sheet=A0&amp;row=136&amp;col=11&amp;number=&amp;sourceID=30","")</f>
        <v/>
      </c>
      <c r="L136" s="4" t="str">
        <f>HYPERLINK("http://141.218.60.56/~jnz1568/getInfo.php?workbook=03_02.xlsx&amp;sheet=A0&amp;row=136&amp;col=12&amp;number=&amp;sourceID=30","")</f>
        <v/>
      </c>
      <c r="M136" s="4" t="str">
        <f>HYPERLINK("http://141.218.60.56/~jnz1568/getInfo.php?workbook=03_02.xlsx&amp;sheet=A0&amp;row=136&amp;col=13&amp;number=&amp;sourceID=30","")</f>
        <v/>
      </c>
      <c r="N136" s="4" t="str">
        <f>HYPERLINK("http://141.218.60.56/~jnz1568/getInfo.php?workbook=03_02.xlsx&amp;sheet=A0&amp;row=136&amp;col=14&amp;number=0.002342&amp;sourceID=30","0.002342")</f>
        <v>0.002342</v>
      </c>
    </row>
    <row r="137" spans="1:14">
      <c r="A137" s="3">
        <v>3</v>
      </c>
      <c r="B137" s="3">
        <v>2</v>
      </c>
      <c r="C137" s="3">
        <v>19</v>
      </c>
      <c r="D137" s="3">
        <v>7</v>
      </c>
      <c r="E137" s="3">
        <f>((1/(INDEX(E0!J$4:J$52,C137,1)-INDEX(E0!J$4:J$52,D137,1))))*100000000</f>
        <v>0</v>
      </c>
      <c r="F137" s="4" t="str">
        <f>HYPERLINK("http://141.218.60.56/~jnz1568/getInfo.php?workbook=03_02.xlsx&amp;sheet=A0&amp;row=137&amp;col=6&amp;number=&amp;sourceID=27","")</f>
        <v/>
      </c>
      <c r="G137" s="4" t="str">
        <f>HYPERLINK("http://141.218.60.56/~jnz1568/getInfo.php?workbook=03_02.xlsx&amp;sheet=A0&amp;row=137&amp;col=7&amp;number=79627000&amp;sourceID=15","79627000")</f>
        <v>79627000</v>
      </c>
      <c r="H137" s="4" t="str">
        <f>HYPERLINK("http://141.218.60.56/~jnz1568/getInfo.php?workbook=03_02.xlsx&amp;sheet=A0&amp;row=137&amp;col=8&amp;number=&amp;sourceID=15","")</f>
        <v/>
      </c>
      <c r="I137" s="4" t="str">
        <f>HYPERLINK("http://141.218.60.56/~jnz1568/getInfo.php?workbook=03_02.xlsx&amp;sheet=A0&amp;row=137&amp;col=9&amp;number=&amp;sourceID=15","")</f>
        <v/>
      </c>
      <c r="J137" s="4" t="str">
        <f>HYPERLINK("http://141.218.60.56/~jnz1568/getInfo.php?workbook=03_02.xlsx&amp;sheet=A0&amp;row=137&amp;col=10&amp;number=&amp;sourceID=15","")</f>
        <v/>
      </c>
      <c r="K137" s="4" t="str">
        <f>HYPERLINK("http://141.218.60.56/~jnz1568/getInfo.php?workbook=03_02.xlsx&amp;sheet=A0&amp;row=137&amp;col=11&amp;number=133700000&amp;sourceID=30","133700000")</f>
        <v>133700000</v>
      </c>
      <c r="L137" s="4" t="str">
        <f>HYPERLINK("http://141.218.60.56/~jnz1568/getInfo.php?workbook=03_02.xlsx&amp;sheet=A0&amp;row=137&amp;col=12&amp;number=&amp;sourceID=30","")</f>
        <v/>
      </c>
      <c r="M137" s="4" t="str">
        <f>HYPERLINK("http://141.218.60.56/~jnz1568/getInfo.php?workbook=03_02.xlsx&amp;sheet=A0&amp;row=137&amp;col=13&amp;number=&amp;sourceID=30","")</f>
        <v/>
      </c>
      <c r="N137" s="4" t="str">
        <f>HYPERLINK("http://141.218.60.56/~jnz1568/getInfo.php?workbook=03_02.xlsx&amp;sheet=A0&amp;row=137&amp;col=14&amp;number=&amp;sourceID=30","")</f>
        <v/>
      </c>
    </row>
    <row r="138" spans="1:14">
      <c r="A138" s="3">
        <v>3</v>
      </c>
      <c r="B138" s="3">
        <v>2</v>
      </c>
      <c r="C138" s="3">
        <v>19</v>
      </c>
      <c r="D138" s="3">
        <v>8</v>
      </c>
      <c r="E138" s="3">
        <f>((1/(INDEX(E0!J$4:J$52,C138,1)-INDEX(E0!J$4:J$52,D138,1))))*100000000</f>
        <v>0</v>
      </c>
      <c r="F138" s="4" t="str">
        <f>HYPERLINK("http://141.218.60.56/~jnz1568/getInfo.php?workbook=03_02.xlsx&amp;sheet=A0&amp;row=138&amp;col=6&amp;number=&amp;sourceID=27","")</f>
        <v/>
      </c>
      <c r="G138" s="4" t="str">
        <f>HYPERLINK("http://141.218.60.56/~jnz1568/getInfo.php?workbook=03_02.xlsx&amp;sheet=A0&amp;row=138&amp;col=7&amp;number=&amp;sourceID=15","")</f>
        <v/>
      </c>
      <c r="H138" s="4" t="str">
        <f>HYPERLINK("http://141.218.60.56/~jnz1568/getInfo.php?workbook=03_02.xlsx&amp;sheet=A0&amp;row=138&amp;col=8&amp;number=&amp;sourceID=15","")</f>
        <v/>
      </c>
      <c r="I138" s="4" t="str">
        <f>HYPERLINK("http://141.218.60.56/~jnz1568/getInfo.php?workbook=03_02.xlsx&amp;sheet=A0&amp;row=138&amp;col=9&amp;number=&amp;sourceID=15","")</f>
        <v/>
      </c>
      <c r="J138" s="4" t="str">
        <f>HYPERLINK("http://141.218.60.56/~jnz1568/getInfo.php?workbook=03_02.xlsx&amp;sheet=A0&amp;row=138&amp;col=10&amp;number=&amp;sourceID=15","")</f>
        <v/>
      </c>
      <c r="K138" s="4" t="str">
        <f>HYPERLINK("http://141.218.60.56/~jnz1568/getInfo.php?workbook=03_02.xlsx&amp;sheet=A0&amp;row=138&amp;col=11&amp;number=&amp;sourceID=30","")</f>
        <v/>
      </c>
      <c r="L138" s="4" t="str">
        <f>HYPERLINK("http://141.218.60.56/~jnz1568/getInfo.php?workbook=03_02.xlsx&amp;sheet=A0&amp;row=138&amp;col=12&amp;number=&amp;sourceID=30","")</f>
        <v/>
      </c>
      <c r="M138" s="4" t="str">
        <f>HYPERLINK("http://141.218.60.56/~jnz1568/getInfo.php?workbook=03_02.xlsx&amp;sheet=A0&amp;row=138&amp;col=13&amp;number=3.196e-07&amp;sourceID=30","3.196e-07")</f>
        <v>3.196e-07</v>
      </c>
      <c r="N138" s="4" t="str">
        <f>HYPERLINK("http://141.218.60.56/~jnz1568/getInfo.php?workbook=03_02.xlsx&amp;sheet=A0&amp;row=138&amp;col=14&amp;number=&amp;sourceID=30","")</f>
        <v/>
      </c>
    </row>
    <row r="139" spans="1:14">
      <c r="A139" s="3">
        <v>3</v>
      </c>
      <c r="B139" s="3">
        <v>2</v>
      </c>
      <c r="C139" s="3">
        <v>19</v>
      </c>
      <c r="D139" s="3">
        <v>10</v>
      </c>
      <c r="E139" s="3">
        <f>((1/(INDEX(E0!J$4:J$52,C139,1)-INDEX(E0!J$4:J$52,D139,1))))*100000000</f>
        <v>0</v>
      </c>
      <c r="F139" s="4" t="str">
        <f>HYPERLINK("http://141.218.60.56/~jnz1568/getInfo.php?workbook=03_02.xlsx&amp;sheet=A0&amp;row=139&amp;col=6&amp;number=&amp;sourceID=27","")</f>
        <v/>
      </c>
      <c r="G139" s="4" t="str">
        <f>HYPERLINK("http://141.218.60.56/~jnz1568/getInfo.php?workbook=03_02.xlsx&amp;sheet=A0&amp;row=139&amp;col=7&amp;number=&amp;sourceID=15","")</f>
        <v/>
      </c>
      <c r="H139" s="4" t="str">
        <f>HYPERLINK("http://141.218.60.56/~jnz1568/getInfo.php?workbook=03_02.xlsx&amp;sheet=A0&amp;row=139&amp;col=8&amp;number=&amp;sourceID=15","")</f>
        <v/>
      </c>
      <c r="I139" s="4" t="str">
        <f>HYPERLINK("http://141.218.60.56/~jnz1568/getInfo.php?workbook=03_02.xlsx&amp;sheet=A0&amp;row=139&amp;col=9&amp;number=&amp;sourceID=15","")</f>
        <v/>
      </c>
      <c r="J139" s="4" t="str">
        <f>HYPERLINK("http://141.218.60.56/~jnz1568/getInfo.php?workbook=03_02.xlsx&amp;sheet=A0&amp;row=139&amp;col=10&amp;number=&amp;sourceID=15","")</f>
        <v/>
      </c>
      <c r="K139" s="4" t="str">
        <f>HYPERLINK("http://141.218.60.56/~jnz1568/getInfo.php?workbook=03_02.xlsx&amp;sheet=A0&amp;row=139&amp;col=11&amp;number=14.19&amp;sourceID=30","14.19")</f>
        <v>14.19</v>
      </c>
      <c r="L139" s="4" t="str">
        <f>HYPERLINK("http://141.218.60.56/~jnz1568/getInfo.php?workbook=03_02.xlsx&amp;sheet=A0&amp;row=139&amp;col=12&amp;number=&amp;sourceID=30","")</f>
        <v/>
      </c>
      <c r="M139" s="4" t="str">
        <f>HYPERLINK("http://141.218.60.56/~jnz1568/getInfo.php?workbook=03_02.xlsx&amp;sheet=A0&amp;row=139&amp;col=13&amp;number=&amp;sourceID=30","")</f>
        <v/>
      </c>
      <c r="N139" s="4" t="str">
        <f>HYPERLINK("http://141.218.60.56/~jnz1568/getInfo.php?workbook=03_02.xlsx&amp;sheet=A0&amp;row=139&amp;col=14&amp;number=&amp;sourceID=30","")</f>
        <v/>
      </c>
    </row>
    <row r="140" spans="1:14">
      <c r="A140" s="3">
        <v>3</v>
      </c>
      <c r="B140" s="3">
        <v>2</v>
      </c>
      <c r="C140" s="3">
        <v>19</v>
      </c>
      <c r="D140" s="3">
        <v>11</v>
      </c>
      <c r="E140" s="3">
        <f>((1/(INDEX(E0!J$4:J$52,C140,1)-INDEX(E0!J$4:J$52,D140,1))))*100000000</f>
        <v>0</v>
      </c>
      <c r="F140" s="4" t="str">
        <f>HYPERLINK("http://141.218.60.56/~jnz1568/getInfo.php?workbook=03_02.xlsx&amp;sheet=A0&amp;row=140&amp;col=6&amp;number=&amp;sourceID=27","")</f>
        <v/>
      </c>
      <c r="G140" s="4" t="str">
        <f>HYPERLINK("http://141.218.60.56/~jnz1568/getInfo.php?workbook=03_02.xlsx&amp;sheet=A0&amp;row=140&amp;col=7&amp;number=&amp;sourceID=15","")</f>
        <v/>
      </c>
      <c r="H140" s="4" t="str">
        <f>HYPERLINK("http://141.218.60.56/~jnz1568/getInfo.php?workbook=03_02.xlsx&amp;sheet=A0&amp;row=140&amp;col=8&amp;number=&amp;sourceID=15","")</f>
        <v/>
      </c>
      <c r="I140" s="4" t="str">
        <f>HYPERLINK("http://141.218.60.56/~jnz1568/getInfo.php?workbook=03_02.xlsx&amp;sheet=A0&amp;row=140&amp;col=9&amp;number=&amp;sourceID=15","")</f>
        <v/>
      </c>
      <c r="J140" s="4" t="str">
        <f>HYPERLINK("http://141.218.60.56/~jnz1568/getInfo.php?workbook=03_02.xlsx&amp;sheet=A0&amp;row=140&amp;col=10&amp;number=&amp;sourceID=15","")</f>
        <v/>
      </c>
      <c r="K140" s="4" t="str">
        <f>HYPERLINK("http://141.218.60.56/~jnz1568/getInfo.php?workbook=03_02.xlsx&amp;sheet=A0&amp;row=140&amp;col=11&amp;number=&amp;sourceID=30","")</f>
        <v/>
      </c>
      <c r="L140" s="4" t="str">
        <f>HYPERLINK("http://141.218.60.56/~jnz1568/getInfo.php?workbook=03_02.xlsx&amp;sheet=A0&amp;row=140&amp;col=12&amp;number=&amp;sourceID=30","")</f>
        <v/>
      </c>
      <c r="M140" s="4" t="str">
        <f>HYPERLINK("http://141.218.60.56/~jnz1568/getInfo.php?workbook=03_02.xlsx&amp;sheet=A0&amp;row=140&amp;col=13&amp;number=&amp;sourceID=30","")</f>
        <v/>
      </c>
      <c r="N140" s="4" t="str">
        <f>HYPERLINK("http://141.218.60.56/~jnz1568/getInfo.php?workbook=03_02.xlsx&amp;sheet=A0&amp;row=140&amp;col=14&amp;number=0.0001024&amp;sourceID=30","0.0001024")</f>
        <v>0.0001024</v>
      </c>
    </row>
    <row r="141" spans="1:14">
      <c r="A141" s="3">
        <v>3</v>
      </c>
      <c r="B141" s="3">
        <v>2</v>
      </c>
      <c r="C141" s="3">
        <v>19</v>
      </c>
      <c r="D141" s="3">
        <v>13</v>
      </c>
      <c r="E141" s="3">
        <f>((1/(INDEX(E0!J$4:J$52,C141,1)-INDEX(E0!J$4:J$52,D141,1))))*100000000</f>
        <v>0</v>
      </c>
      <c r="F141" s="4" t="str">
        <f>HYPERLINK("http://141.218.60.56/~jnz1568/getInfo.php?workbook=03_02.xlsx&amp;sheet=A0&amp;row=141&amp;col=6&amp;number=&amp;sourceID=27","")</f>
        <v/>
      </c>
      <c r="G141" s="4" t="str">
        <f>HYPERLINK("http://141.218.60.56/~jnz1568/getInfo.php?workbook=03_02.xlsx&amp;sheet=A0&amp;row=141&amp;col=7&amp;number=&amp;sourceID=15","")</f>
        <v/>
      </c>
      <c r="H141" s="4" t="str">
        <f>HYPERLINK("http://141.218.60.56/~jnz1568/getInfo.php?workbook=03_02.xlsx&amp;sheet=A0&amp;row=141&amp;col=8&amp;number=&amp;sourceID=15","")</f>
        <v/>
      </c>
      <c r="I141" s="4" t="str">
        <f>HYPERLINK("http://141.218.60.56/~jnz1568/getInfo.php?workbook=03_02.xlsx&amp;sheet=A0&amp;row=141&amp;col=9&amp;number=&amp;sourceID=15","")</f>
        <v/>
      </c>
      <c r="J141" s="4" t="str">
        <f>HYPERLINK("http://141.218.60.56/~jnz1568/getInfo.php?workbook=03_02.xlsx&amp;sheet=A0&amp;row=141&amp;col=10&amp;number=&amp;sourceID=15","")</f>
        <v/>
      </c>
      <c r="K141" s="4" t="str">
        <f>HYPERLINK("http://141.218.60.56/~jnz1568/getInfo.php?workbook=03_02.xlsx&amp;sheet=A0&amp;row=141&amp;col=11&amp;number=&amp;sourceID=30","")</f>
        <v/>
      </c>
      <c r="L141" s="4" t="str">
        <f>HYPERLINK("http://141.218.60.56/~jnz1568/getInfo.php?workbook=03_02.xlsx&amp;sheet=A0&amp;row=141&amp;col=12&amp;number=0.01306&amp;sourceID=30","0.01306")</f>
        <v>0.01306</v>
      </c>
      <c r="M141" s="4" t="str">
        <f>HYPERLINK("http://141.218.60.56/~jnz1568/getInfo.php?workbook=03_02.xlsx&amp;sheet=A0&amp;row=141&amp;col=13&amp;number=&amp;sourceID=30","")</f>
        <v/>
      </c>
      <c r="N141" s="4" t="str">
        <f>HYPERLINK("http://141.218.60.56/~jnz1568/getInfo.php?workbook=03_02.xlsx&amp;sheet=A0&amp;row=141&amp;col=14&amp;number=&amp;sourceID=30","")</f>
        <v/>
      </c>
    </row>
    <row r="142" spans="1:14">
      <c r="A142" s="3">
        <v>3</v>
      </c>
      <c r="B142" s="3">
        <v>2</v>
      </c>
      <c r="C142" s="3">
        <v>19</v>
      </c>
      <c r="D142" s="3">
        <v>15</v>
      </c>
      <c r="E142" s="3">
        <f>((1/(INDEX(E0!J$4:J$52,C142,1)-INDEX(E0!J$4:J$52,D142,1))))*100000000</f>
        <v>0</v>
      </c>
      <c r="F142" s="4" t="str">
        <f>HYPERLINK("http://141.218.60.56/~jnz1568/getInfo.php?workbook=03_02.xlsx&amp;sheet=A0&amp;row=142&amp;col=6&amp;number=&amp;sourceID=27","")</f>
        <v/>
      </c>
      <c r="G142" s="4" t="str">
        <f>HYPERLINK("http://141.218.60.56/~jnz1568/getInfo.php?workbook=03_02.xlsx&amp;sheet=A0&amp;row=142&amp;col=7&amp;number=&amp;sourceID=15","")</f>
        <v/>
      </c>
      <c r="H142" s="4" t="str">
        <f>HYPERLINK("http://141.218.60.56/~jnz1568/getInfo.php?workbook=03_02.xlsx&amp;sheet=A0&amp;row=142&amp;col=8&amp;number=&amp;sourceID=15","")</f>
        <v/>
      </c>
      <c r="I142" s="4" t="str">
        <f>HYPERLINK("http://141.218.60.56/~jnz1568/getInfo.php?workbook=03_02.xlsx&amp;sheet=A0&amp;row=142&amp;col=9&amp;number=&amp;sourceID=15","")</f>
        <v/>
      </c>
      <c r="J142" s="4" t="str">
        <f>HYPERLINK("http://141.218.60.56/~jnz1568/getInfo.php?workbook=03_02.xlsx&amp;sheet=A0&amp;row=142&amp;col=10&amp;number=&amp;sourceID=15","")</f>
        <v/>
      </c>
      <c r="K142" s="4" t="str">
        <f>HYPERLINK("http://141.218.60.56/~jnz1568/getInfo.php?workbook=03_02.xlsx&amp;sheet=A0&amp;row=142&amp;col=11&amp;number=&amp;sourceID=30","")</f>
        <v/>
      </c>
      <c r="L142" s="4" t="str">
        <f>HYPERLINK("http://141.218.60.56/~jnz1568/getInfo.php?workbook=03_02.xlsx&amp;sheet=A0&amp;row=142&amp;col=12&amp;number=&amp;sourceID=30","")</f>
        <v/>
      </c>
      <c r="M142" s="4" t="str">
        <f>HYPERLINK("http://141.218.60.56/~jnz1568/getInfo.php?workbook=03_02.xlsx&amp;sheet=A0&amp;row=142&amp;col=13&amp;number=2.671e-12&amp;sourceID=30","2.671e-12")</f>
        <v>2.671e-12</v>
      </c>
      <c r="N142" s="4" t="str">
        <f>HYPERLINK("http://141.218.60.56/~jnz1568/getInfo.php?workbook=03_02.xlsx&amp;sheet=A0&amp;row=142&amp;col=14&amp;number=&amp;sourceID=30","")</f>
        <v/>
      </c>
    </row>
    <row r="143" spans="1:14">
      <c r="A143" s="3">
        <v>3</v>
      </c>
      <c r="B143" s="3">
        <v>2</v>
      </c>
      <c r="C143" s="3">
        <v>19</v>
      </c>
      <c r="D143" s="3">
        <v>16</v>
      </c>
      <c r="E143" s="3">
        <f>((1/(INDEX(E0!J$4:J$52,C143,1)-INDEX(E0!J$4:J$52,D143,1))))*100000000</f>
        <v>0</v>
      </c>
      <c r="F143" s="4" t="str">
        <f>HYPERLINK("http://141.218.60.56/~jnz1568/getInfo.php?workbook=03_02.xlsx&amp;sheet=A0&amp;row=143&amp;col=6&amp;number=&amp;sourceID=27","")</f>
        <v/>
      </c>
      <c r="G143" s="4" t="str">
        <f>HYPERLINK("http://141.218.60.56/~jnz1568/getInfo.php?workbook=03_02.xlsx&amp;sheet=A0&amp;row=143&amp;col=7&amp;number=&amp;sourceID=15","")</f>
        <v/>
      </c>
      <c r="H143" s="4" t="str">
        <f>HYPERLINK("http://141.218.60.56/~jnz1568/getInfo.php?workbook=03_02.xlsx&amp;sheet=A0&amp;row=143&amp;col=8&amp;number=77.892&amp;sourceID=15","77.892")</f>
        <v>77.892</v>
      </c>
      <c r="I143" s="4" t="str">
        <f>HYPERLINK("http://141.218.60.56/~jnz1568/getInfo.php?workbook=03_02.xlsx&amp;sheet=A0&amp;row=143&amp;col=9&amp;number=&amp;sourceID=15","")</f>
        <v/>
      </c>
      <c r="J143" s="4" t="str">
        <f>HYPERLINK("http://141.218.60.56/~jnz1568/getInfo.php?workbook=03_02.xlsx&amp;sheet=A0&amp;row=143&amp;col=10&amp;number=&amp;sourceID=15","")</f>
        <v/>
      </c>
      <c r="K143" s="4" t="str">
        <f>HYPERLINK("http://141.218.60.56/~jnz1568/getInfo.php?workbook=03_02.xlsx&amp;sheet=A0&amp;row=143&amp;col=11&amp;number=&amp;sourceID=30","")</f>
        <v/>
      </c>
      <c r="L143" s="4" t="str">
        <f>HYPERLINK("http://141.218.60.56/~jnz1568/getInfo.php?workbook=03_02.xlsx&amp;sheet=A0&amp;row=143&amp;col=12&amp;number=75.5&amp;sourceID=30","75.5")</f>
        <v>75.5</v>
      </c>
      <c r="M143" s="4" t="str">
        <f>HYPERLINK("http://141.218.60.56/~jnz1568/getInfo.php?workbook=03_02.xlsx&amp;sheet=A0&amp;row=143&amp;col=13&amp;number=&amp;sourceID=30","")</f>
        <v/>
      </c>
      <c r="N143" s="4" t="str">
        <f>HYPERLINK("http://141.218.60.56/~jnz1568/getInfo.php?workbook=03_02.xlsx&amp;sheet=A0&amp;row=143&amp;col=14&amp;number=&amp;sourceID=30","")</f>
        <v/>
      </c>
    </row>
    <row r="144" spans="1:14">
      <c r="A144" s="3">
        <v>3</v>
      </c>
      <c r="B144" s="3">
        <v>2</v>
      </c>
      <c r="C144" s="3">
        <v>19</v>
      </c>
      <c r="D144" s="3">
        <v>17</v>
      </c>
      <c r="E144" s="3">
        <f>((1/(INDEX(E0!J$4:J$52,C144,1)-INDEX(E0!J$4:J$52,D144,1))))*100000000</f>
        <v>0</v>
      </c>
      <c r="F144" s="4" t="str">
        <f>HYPERLINK("http://141.218.60.56/~jnz1568/getInfo.php?workbook=03_02.xlsx&amp;sheet=A0&amp;row=144&amp;col=6&amp;number=&amp;sourceID=27","")</f>
        <v/>
      </c>
      <c r="G144" s="4" t="str">
        <f>HYPERLINK("http://141.218.60.56/~jnz1568/getInfo.php?workbook=03_02.xlsx&amp;sheet=A0&amp;row=144&amp;col=7&amp;number=53935000&amp;sourceID=15","53935000")</f>
        <v>53935000</v>
      </c>
      <c r="H144" s="4" t="str">
        <f>HYPERLINK("http://141.218.60.56/~jnz1568/getInfo.php?workbook=03_02.xlsx&amp;sheet=A0&amp;row=144&amp;col=8&amp;number=&amp;sourceID=15","")</f>
        <v/>
      </c>
      <c r="I144" s="4" t="str">
        <f>HYPERLINK("http://141.218.60.56/~jnz1568/getInfo.php?workbook=03_02.xlsx&amp;sheet=A0&amp;row=144&amp;col=9&amp;number=&amp;sourceID=15","")</f>
        <v/>
      </c>
      <c r="J144" s="4" t="str">
        <f>HYPERLINK("http://141.218.60.56/~jnz1568/getInfo.php?workbook=03_02.xlsx&amp;sheet=A0&amp;row=144&amp;col=10&amp;number=&amp;sourceID=15","")</f>
        <v/>
      </c>
      <c r="K144" s="4" t="str">
        <f>HYPERLINK("http://141.218.60.56/~jnz1568/getInfo.php?workbook=03_02.xlsx&amp;sheet=A0&amp;row=144&amp;col=11&amp;number=52720000&amp;sourceID=30","52720000")</f>
        <v>52720000</v>
      </c>
      <c r="L144" s="4" t="str">
        <f>HYPERLINK("http://141.218.60.56/~jnz1568/getInfo.php?workbook=03_02.xlsx&amp;sheet=A0&amp;row=144&amp;col=12&amp;number=&amp;sourceID=30","")</f>
        <v/>
      </c>
      <c r="M144" s="4" t="str">
        <f>HYPERLINK("http://141.218.60.56/~jnz1568/getInfo.php?workbook=03_02.xlsx&amp;sheet=A0&amp;row=144&amp;col=13&amp;number=&amp;sourceID=30","")</f>
        <v/>
      </c>
      <c r="N144" s="4" t="str">
        <f>HYPERLINK("http://141.218.60.56/~jnz1568/getInfo.php?workbook=03_02.xlsx&amp;sheet=A0&amp;row=144&amp;col=14&amp;number=&amp;sourceID=30","")</f>
        <v/>
      </c>
    </row>
    <row r="145" spans="1:14">
      <c r="A145" s="3">
        <v>3</v>
      </c>
      <c r="B145" s="3">
        <v>2</v>
      </c>
      <c r="C145" s="3">
        <v>19</v>
      </c>
      <c r="D145" s="3">
        <v>18</v>
      </c>
      <c r="E145" s="3">
        <f>((1/(INDEX(E0!J$4:J$52,C145,1)-INDEX(E0!J$4:J$52,D145,1))))*100000000</f>
        <v>0</v>
      </c>
      <c r="F145" s="4" t="str">
        <f>HYPERLINK("http://141.218.60.56/~jnz1568/getInfo.php?workbook=03_02.xlsx&amp;sheet=A0&amp;row=145&amp;col=6&amp;number=&amp;sourceID=27","")</f>
        <v/>
      </c>
      <c r="G145" s="4" t="str">
        <f>HYPERLINK("http://141.218.60.56/~jnz1568/getInfo.php?workbook=03_02.xlsx&amp;sheet=A0&amp;row=145&amp;col=7&amp;number=&amp;sourceID=15","")</f>
        <v/>
      </c>
      <c r="H145" s="4" t="str">
        <f>HYPERLINK("http://141.218.60.56/~jnz1568/getInfo.php?workbook=03_02.xlsx&amp;sheet=A0&amp;row=145&amp;col=8&amp;number=&amp;sourceID=15","")</f>
        <v/>
      </c>
      <c r="I145" s="4" t="str">
        <f>HYPERLINK("http://141.218.60.56/~jnz1568/getInfo.php?workbook=03_02.xlsx&amp;sheet=A0&amp;row=145&amp;col=9&amp;number=&amp;sourceID=15","")</f>
        <v/>
      </c>
      <c r="J145" s="4" t="str">
        <f>HYPERLINK("http://141.218.60.56/~jnz1568/getInfo.php?workbook=03_02.xlsx&amp;sheet=A0&amp;row=145&amp;col=10&amp;number=&amp;sourceID=15","")</f>
        <v/>
      </c>
      <c r="K145" s="4" t="str">
        <f>HYPERLINK("http://141.218.60.56/~jnz1568/getInfo.php?workbook=03_02.xlsx&amp;sheet=A0&amp;row=145&amp;col=11&amp;number=&amp;sourceID=30","")</f>
        <v/>
      </c>
      <c r="L145" s="4" t="str">
        <f>HYPERLINK("http://141.218.60.56/~jnz1568/getInfo.php?workbook=03_02.xlsx&amp;sheet=A0&amp;row=145&amp;col=12&amp;number=&amp;sourceID=30","")</f>
        <v/>
      </c>
      <c r="M145" s="4" t="str">
        <f>HYPERLINK("http://141.218.60.56/~jnz1568/getInfo.php?workbook=03_02.xlsx&amp;sheet=A0&amp;row=145&amp;col=13&amp;number=2.529e-08&amp;sourceID=30","2.529e-08")</f>
        <v>2.529e-08</v>
      </c>
      <c r="N145" s="4" t="str">
        <f>HYPERLINK("http://141.218.60.56/~jnz1568/getInfo.php?workbook=03_02.xlsx&amp;sheet=A0&amp;row=145&amp;col=14&amp;number=&amp;sourceID=30","")</f>
        <v/>
      </c>
    </row>
    <row r="146" spans="1:14">
      <c r="A146" s="3">
        <v>3</v>
      </c>
      <c r="B146" s="3">
        <v>2</v>
      </c>
      <c r="C146" s="3">
        <v>20</v>
      </c>
      <c r="D146" s="3">
        <v>2</v>
      </c>
      <c r="E146" s="3">
        <f>((1/(INDEX(E0!J$4:J$52,C146,1)-INDEX(E0!J$4:J$52,D146,1))))*100000000</f>
        <v>0</v>
      </c>
      <c r="F146" s="4" t="str">
        <f>HYPERLINK("http://141.218.60.56/~jnz1568/getInfo.php?workbook=03_02.xlsx&amp;sheet=A0&amp;row=146&amp;col=6&amp;number=&amp;sourceID=27","")</f>
        <v/>
      </c>
      <c r="G146" s="4" t="str">
        <f>HYPERLINK("http://141.218.60.56/~jnz1568/getInfo.php?workbook=03_02.xlsx&amp;sheet=A0&amp;row=146&amp;col=7&amp;number=143290000&amp;sourceID=15","143290000")</f>
        <v>143290000</v>
      </c>
      <c r="H146" s="4" t="str">
        <f>HYPERLINK("http://141.218.60.56/~jnz1568/getInfo.php?workbook=03_02.xlsx&amp;sheet=A0&amp;row=146&amp;col=8&amp;number=&amp;sourceID=15","")</f>
        <v/>
      </c>
      <c r="I146" s="4" t="str">
        <f>HYPERLINK("http://141.218.60.56/~jnz1568/getInfo.php?workbook=03_02.xlsx&amp;sheet=A0&amp;row=146&amp;col=9&amp;number=&amp;sourceID=15","")</f>
        <v/>
      </c>
      <c r="J146" s="4" t="str">
        <f>HYPERLINK("http://141.218.60.56/~jnz1568/getInfo.php?workbook=03_02.xlsx&amp;sheet=A0&amp;row=146&amp;col=10&amp;number=&amp;sourceID=15","")</f>
        <v/>
      </c>
      <c r="K146" s="4" t="str">
        <f>HYPERLINK("http://141.218.60.56/~jnz1568/getInfo.php?workbook=03_02.xlsx&amp;sheet=A0&amp;row=146&amp;col=11&amp;number=113400000&amp;sourceID=30","113400000")</f>
        <v>113400000</v>
      </c>
      <c r="L146" s="4" t="str">
        <f>HYPERLINK("http://141.218.60.56/~jnz1568/getInfo.php?workbook=03_02.xlsx&amp;sheet=A0&amp;row=146&amp;col=12&amp;number=&amp;sourceID=30","")</f>
        <v/>
      </c>
      <c r="M146" s="4" t="str">
        <f>HYPERLINK("http://141.218.60.56/~jnz1568/getInfo.php?workbook=03_02.xlsx&amp;sheet=A0&amp;row=146&amp;col=13&amp;number=&amp;sourceID=30","")</f>
        <v/>
      </c>
      <c r="N146" s="4" t="str">
        <f>HYPERLINK("http://141.218.60.56/~jnz1568/getInfo.php?workbook=03_02.xlsx&amp;sheet=A0&amp;row=146&amp;col=14&amp;number=&amp;sourceID=30","")</f>
        <v/>
      </c>
    </row>
    <row r="147" spans="1:14">
      <c r="A147" s="3">
        <v>3</v>
      </c>
      <c r="B147" s="3">
        <v>2</v>
      </c>
      <c r="C147" s="3">
        <v>20</v>
      </c>
      <c r="D147" s="3">
        <v>4</v>
      </c>
      <c r="E147" s="3">
        <f>((1/(INDEX(E0!J$4:J$52,C147,1)-INDEX(E0!J$4:J$52,D147,1))))*100000000</f>
        <v>0</v>
      </c>
      <c r="F147" s="4" t="str">
        <f>HYPERLINK("http://141.218.60.56/~jnz1568/getInfo.php?workbook=03_02.xlsx&amp;sheet=A0&amp;row=147&amp;col=6&amp;number=&amp;sourceID=27","")</f>
        <v/>
      </c>
      <c r="G147" s="4" t="str">
        <f>HYPERLINK("http://141.218.60.56/~jnz1568/getInfo.php?workbook=03_02.xlsx&amp;sheet=A0&amp;row=147&amp;col=7&amp;number=&amp;sourceID=15","")</f>
        <v/>
      </c>
      <c r="H147" s="4" t="str">
        <f>HYPERLINK("http://141.218.60.56/~jnz1568/getInfo.php?workbook=03_02.xlsx&amp;sheet=A0&amp;row=147&amp;col=8&amp;number=&amp;sourceID=15","")</f>
        <v/>
      </c>
      <c r="I147" s="4" t="str">
        <f>HYPERLINK("http://141.218.60.56/~jnz1568/getInfo.php?workbook=03_02.xlsx&amp;sheet=A0&amp;row=147&amp;col=9&amp;number=&amp;sourceID=15","")</f>
        <v/>
      </c>
      <c r="J147" s="4" t="str">
        <f>HYPERLINK("http://141.218.60.56/~jnz1568/getInfo.php?workbook=03_02.xlsx&amp;sheet=A0&amp;row=147&amp;col=10&amp;number=&amp;sourceID=15","")</f>
        <v/>
      </c>
      <c r="K147" s="4" t="str">
        <f>HYPERLINK("http://141.218.60.56/~jnz1568/getInfo.php?workbook=03_02.xlsx&amp;sheet=A0&amp;row=147&amp;col=11&amp;number=&amp;sourceID=30","")</f>
        <v/>
      </c>
      <c r="L147" s="4" t="str">
        <f>HYPERLINK("http://141.218.60.56/~jnz1568/getInfo.php?workbook=03_02.xlsx&amp;sheet=A0&amp;row=147&amp;col=12&amp;number=&amp;sourceID=30","")</f>
        <v/>
      </c>
      <c r="M147" s="4" t="str">
        <f>HYPERLINK("http://141.218.60.56/~jnz1568/getInfo.php?workbook=03_02.xlsx&amp;sheet=A0&amp;row=147&amp;col=13&amp;number=1.156e-05&amp;sourceID=30","1.156e-05")</f>
        <v>1.156e-05</v>
      </c>
      <c r="N147" s="4" t="str">
        <f>HYPERLINK("http://141.218.60.56/~jnz1568/getInfo.php?workbook=03_02.xlsx&amp;sheet=A0&amp;row=147&amp;col=14&amp;number=&amp;sourceID=30","")</f>
        <v/>
      </c>
    </row>
    <row r="148" spans="1:14">
      <c r="A148" s="3">
        <v>3</v>
      </c>
      <c r="B148" s="3">
        <v>2</v>
      </c>
      <c r="C148" s="3">
        <v>20</v>
      </c>
      <c r="D148" s="3">
        <v>5</v>
      </c>
      <c r="E148" s="3">
        <f>((1/(INDEX(E0!J$4:J$52,C148,1)-INDEX(E0!J$4:J$52,D148,1))))*100000000</f>
        <v>0</v>
      </c>
      <c r="F148" s="4" t="str">
        <f>HYPERLINK("http://141.218.60.56/~jnz1568/getInfo.php?workbook=03_02.xlsx&amp;sheet=A0&amp;row=148&amp;col=6&amp;number=&amp;sourceID=27","")</f>
        <v/>
      </c>
      <c r="G148" s="4" t="str">
        <f>HYPERLINK("http://141.218.60.56/~jnz1568/getInfo.php?workbook=03_02.xlsx&amp;sheet=A0&amp;row=148&amp;col=7&amp;number=&amp;sourceID=15","")</f>
        <v/>
      </c>
      <c r="H148" s="4" t="str">
        <f>HYPERLINK("http://141.218.60.56/~jnz1568/getInfo.php?workbook=03_02.xlsx&amp;sheet=A0&amp;row=148&amp;col=8&amp;number=&amp;sourceID=15","")</f>
        <v/>
      </c>
      <c r="I148" s="4" t="str">
        <f>HYPERLINK("http://141.218.60.56/~jnz1568/getInfo.php?workbook=03_02.xlsx&amp;sheet=A0&amp;row=148&amp;col=9&amp;number=&amp;sourceID=15","")</f>
        <v/>
      </c>
      <c r="J148" s="4" t="str">
        <f>HYPERLINK("http://141.218.60.56/~jnz1568/getInfo.php?workbook=03_02.xlsx&amp;sheet=A0&amp;row=148&amp;col=10&amp;number=&amp;sourceID=15","")</f>
        <v/>
      </c>
      <c r="K148" s="4" t="str">
        <f>HYPERLINK("http://141.218.60.56/~jnz1568/getInfo.php?workbook=03_02.xlsx&amp;sheet=A0&amp;row=148&amp;col=11&amp;number=&amp;sourceID=30","")</f>
        <v/>
      </c>
      <c r="L148" s="4" t="str">
        <f>HYPERLINK("http://141.218.60.56/~jnz1568/getInfo.php?workbook=03_02.xlsx&amp;sheet=A0&amp;row=148&amp;col=12&amp;number=510.9&amp;sourceID=30","510.9")</f>
        <v>510.9</v>
      </c>
      <c r="M148" s="4" t="str">
        <f>HYPERLINK("http://141.218.60.56/~jnz1568/getInfo.php?workbook=03_02.xlsx&amp;sheet=A0&amp;row=148&amp;col=13&amp;number=&amp;sourceID=30","")</f>
        <v/>
      </c>
      <c r="N148" s="4" t="str">
        <f>HYPERLINK("http://141.218.60.56/~jnz1568/getInfo.php?workbook=03_02.xlsx&amp;sheet=A0&amp;row=148&amp;col=14&amp;number=&amp;sourceID=30","")</f>
        <v/>
      </c>
    </row>
    <row r="149" spans="1:14">
      <c r="A149" s="3">
        <v>3</v>
      </c>
      <c r="B149" s="3">
        <v>2</v>
      </c>
      <c r="C149" s="3">
        <v>20</v>
      </c>
      <c r="D149" s="3">
        <v>7</v>
      </c>
      <c r="E149" s="3">
        <f>((1/(INDEX(E0!J$4:J$52,C149,1)-INDEX(E0!J$4:J$52,D149,1))))*100000000</f>
        <v>0</v>
      </c>
      <c r="F149" s="4" t="str">
        <f>HYPERLINK("http://141.218.60.56/~jnz1568/getInfo.php?workbook=03_02.xlsx&amp;sheet=A0&amp;row=149&amp;col=6&amp;number=&amp;sourceID=27","")</f>
        <v/>
      </c>
      <c r="G149" s="4" t="str">
        <f>HYPERLINK("http://141.218.60.56/~jnz1568/getInfo.php?workbook=03_02.xlsx&amp;sheet=A0&amp;row=149&amp;col=7&amp;number=&amp;sourceID=15","")</f>
        <v/>
      </c>
      <c r="H149" s="4" t="str">
        <f>HYPERLINK("http://141.218.60.56/~jnz1568/getInfo.php?workbook=03_02.xlsx&amp;sheet=A0&amp;row=149&amp;col=8&amp;number=&amp;sourceID=15","")</f>
        <v/>
      </c>
      <c r="I149" s="4" t="str">
        <f>HYPERLINK("http://141.218.60.56/~jnz1568/getInfo.php?workbook=03_02.xlsx&amp;sheet=A0&amp;row=149&amp;col=9&amp;number=&amp;sourceID=15","")</f>
        <v/>
      </c>
      <c r="J149" s="4" t="str">
        <f>HYPERLINK("http://141.218.60.56/~jnz1568/getInfo.php?workbook=03_02.xlsx&amp;sheet=A0&amp;row=149&amp;col=10&amp;number=&amp;sourceID=15","")</f>
        <v/>
      </c>
      <c r="K149" s="4" t="str">
        <f>HYPERLINK("http://141.218.60.56/~jnz1568/getInfo.php?workbook=03_02.xlsx&amp;sheet=A0&amp;row=149&amp;col=11&amp;number=&amp;sourceID=30","")</f>
        <v/>
      </c>
      <c r="L149" s="4" t="str">
        <f>HYPERLINK("http://141.218.60.56/~jnz1568/getInfo.php?workbook=03_02.xlsx&amp;sheet=A0&amp;row=149&amp;col=12&amp;number=&amp;sourceID=30","")</f>
        <v/>
      </c>
      <c r="M149" s="4" t="str">
        <f>HYPERLINK("http://141.218.60.56/~jnz1568/getInfo.php?workbook=03_02.xlsx&amp;sheet=A0&amp;row=149&amp;col=13&amp;number=2.054e-05&amp;sourceID=30","2.054e-05")</f>
        <v>2.054e-05</v>
      </c>
      <c r="N149" s="4" t="str">
        <f>HYPERLINK("http://141.218.60.56/~jnz1568/getInfo.php?workbook=03_02.xlsx&amp;sheet=A0&amp;row=149&amp;col=14&amp;number=&amp;sourceID=30","")</f>
        <v/>
      </c>
    </row>
    <row r="150" spans="1:14">
      <c r="A150" s="3">
        <v>3</v>
      </c>
      <c r="B150" s="3">
        <v>2</v>
      </c>
      <c r="C150" s="3">
        <v>20</v>
      </c>
      <c r="D150" s="3">
        <v>8</v>
      </c>
      <c r="E150" s="3">
        <f>((1/(INDEX(E0!J$4:J$52,C150,1)-INDEX(E0!J$4:J$52,D150,1))))*100000000</f>
        <v>0</v>
      </c>
      <c r="F150" s="4" t="str">
        <f>HYPERLINK("http://141.218.60.56/~jnz1568/getInfo.php?workbook=03_02.xlsx&amp;sheet=A0&amp;row=150&amp;col=6&amp;number=&amp;sourceID=27","")</f>
        <v/>
      </c>
      <c r="G150" s="4" t="str">
        <f>HYPERLINK("http://141.218.60.56/~jnz1568/getInfo.php?workbook=03_02.xlsx&amp;sheet=A0&amp;row=150&amp;col=7&amp;number=30580000&amp;sourceID=15","30580000")</f>
        <v>30580000</v>
      </c>
      <c r="H150" s="4" t="str">
        <f>HYPERLINK("http://141.218.60.56/~jnz1568/getInfo.php?workbook=03_02.xlsx&amp;sheet=A0&amp;row=150&amp;col=8&amp;number=&amp;sourceID=15","")</f>
        <v/>
      </c>
      <c r="I150" s="4" t="str">
        <f>HYPERLINK("http://141.218.60.56/~jnz1568/getInfo.php?workbook=03_02.xlsx&amp;sheet=A0&amp;row=150&amp;col=9&amp;number=&amp;sourceID=15","")</f>
        <v/>
      </c>
      <c r="J150" s="4" t="str">
        <f>HYPERLINK("http://141.218.60.56/~jnz1568/getInfo.php?workbook=03_02.xlsx&amp;sheet=A0&amp;row=150&amp;col=10&amp;number=&amp;sourceID=15","")</f>
        <v/>
      </c>
      <c r="K150" s="4" t="str">
        <f>HYPERLINK("http://141.218.60.56/~jnz1568/getInfo.php?workbook=03_02.xlsx&amp;sheet=A0&amp;row=150&amp;col=11&amp;number=27500000&amp;sourceID=30","27500000")</f>
        <v>27500000</v>
      </c>
      <c r="L150" s="4" t="str">
        <f>HYPERLINK("http://141.218.60.56/~jnz1568/getInfo.php?workbook=03_02.xlsx&amp;sheet=A0&amp;row=150&amp;col=12&amp;number=&amp;sourceID=30","")</f>
        <v/>
      </c>
      <c r="M150" s="4" t="str">
        <f>HYPERLINK("http://141.218.60.56/~jnz1568/getInfo.php?workbook=03_02.xlsx&amp;sheet=A0&amp;row=150&amp;col=13&amp;number=&amp;sourceID=30","")</f>
        <v/>
      </c>
      <c r="N150" s="4" t="str">
        <f>HYPERLINK("http://141.218.60.56/~jnz1568/getInfo.php?workbook=03_02.xlsx&amp;sheet=A0&amp;row=150&amp;col=14&amp;number=&amp;sourceID=30","")</f>
        <v/>
      </c>
    </row>
    <row r="151" spans="1:14">
      <c r="A151" s="3">
        <v>3</v>
      </c>
      <c r="B151" s="3">
        <v>2</v>
      </c>
      <c r="C151" s="3">
        <v>20</v>
      </c>
      <c r="D151" s="3">
        <v>10</v>
      </c>
      <c r="E151" s="3">
        <f>((1/(INDEX(E0!J$4:J$52,C151,1)-INDEX(E0!J$4:J$52,D151,1))))*100000000</f>
        <v>0</v>
      </c>
      <c r="F151" s="4" t="str">
        <f>HYPERLINK("http://141.218.60.56/~jnz1568/getInfo.php?workbook=03_02.xlsx&amp;sheet=A0&amp;row=151&amp;col=6&amp;number=&amp;sourceID=27","")</f>
        <v/>
      </c>
      <c r="G151" s="4" t="str">
        <f>HYPERLINK("http://141.218.60.56/~jnz1568/getInfo.php?workbook=03_02.xlsx&amp;sheet=A0&amp;row=151&amp;col=7&amp;number=&amp;sourceID=15","")</f>
        <v/>
      </c>
      <c r="H151" s="4" t="str">
        <f>HYPERLINK("http://141.218.60.56/~jnz1568/getInfo.php?workbook=03_02.xlsx&amp;sheet=A0&amp;row=151&amp;col=8&amp;number=&amp;sourceID=15","")</f>
        <v/>
      </c>
      <c r="I151" s="4" t="str">
        <f>HYPERLINK("http://141.218.60.56/~jnz1568/getInfo.php?workbook=03_02.xlsx&amp;sheet=A0&amp;row=151&amp;col=9&amp;number=&amp;sourceID=15","")</f>
        <v/>
      </c>
      <c r="J151" s="4" t="str">
        <f>HYPERLINK("http://141.218.60.56/~jnz1568/getInfo.php?workbook=03_02.xlsx&amp;sheet=A0&amp;row=151&amp;col=10&amp;number=&amp;sourceID=15","")</f>
        <v/>
      </c>
      <c r="K151" s="4" t="str">
        <f>HYPERLINK("http://141.218.60.56/~jnz1568/getInfo.php?workbook=03_02.xlsx&amp;sheet=A0&amp;row=151&amp;col=11&amp;number=&amp;sourceID=30","")</f>
        <v/>
      </c>
      <c r="L151" s="4" t="str">
        <f>HYPERLINK("http://141.218.60.56/~jnz1568/getInfo.php?workbook=03_02.xlsx&amp;sheet=A0&amp;row=151&amp;col=12&amp;number=&amp;sourceID=30","")</f>
        <v/>
      </c>
      <c r="M151" s="4" t="str">
        <f>HYPERLINK("http://141.218.60.56/~jnz1568/getInfo.php?workbook=03_02.xlsx&amp;sheet=A0&amp;row=151&amp;col=13&amp;number=8.123e-07&amp;sourceID=30","8.123e-07")</f>
        <v>8.123e-07</v>
      </c>
      <c r="N151" s="4" t="str">
        <f>HYPERLINK("http://141.218.60.56/~jnz1568/getInfo.php?workbook=03_02.xlsx&amp;sheet=A0&amp;row=151&amp;col=14&amp;number=&amp;sourceID=30","")</f>
        <v/>
      </c>
    </row>
    <row r="152" spans="1:14">
      <c r="A152" s="3">
        <v>3</v>
      </c>
      <c r="B152" s="3">
        <v>2</v>
      </c>
      <c r="C152" s="3">
        <v>20</v>
      </c>
      <c r="D152" s="3">
        <v>11</v>
      </c>
      <c r="E152" s="3">
        <f>((1/(INDEX(E0!J$4:J$52,C152,1)-INDEX(E0!J$4:J$52,D152,1))))*100000000</f>
        <v>0</v>
      </c>
      <c r="F152" s="4" t="str">
        <f>HYPERLINK("http://141.218.60.56/~jnz1568/getInfo.php?workbook=03_02.xlsx&amp;sheet=A0&amp;row=152&amp;col=6&amp;number=&amp;sourceID=27","")</f>
        <v/>
      </c>
      <c r="G152" s="4" t="str">
        <f>HYPERLINK("http://141.218.60.56/~jnz1568/getInfo.php?workbook=03_02.xlsx&amp;sheet=A0&amp;row=152&amp;col=7&amp;number=&amp;sourceID=15","")</f>
        <v/>
      </c>
      <c r="H152" s="4" t="str">
        <f>HYPERLINK("http://141.218.60.56/~jnz1568/getInfo.php?workbook=03_02.xlsx&amp;sheet=A0&amp;row=152&amp;col=8&amp;number=&amp;sourceID=15","")</f>
        <v/>
      </c>
      <c r="I152" s="4" t="str">
        <f>HYPERLINK("http://141.218.60.56/~jnz1568/getInfo.php?workbook=03_02.xlsx&amp;sheet=A0&amp;row=152&amp;col=9&amp;number=&amp;sourceID=15","")</f>
        <v/>
      </c>
      <c r="J152" s="4" t="str">
        <f>HYPERLINK("http://141.218.60.56/~jnz1568/getInfo.php?workbook=03_02.xlsx&amp;sheet=A0&amp;row=152&amp;col=10&amp;number=&amp;sourceID=15","")</f>
        <v/>
      </c>
      <c r="K152" s="4" t="str">
        <f>HYPERLINK("http://141.218.60.56/~jnz1568/getInfo.php?workbook=03_02.xlsx&amp;sheet=A0&amp;row=152&amp;col=11&amp;number=&amp;sourceID=30","")</f>
        <v/>
      </c>
      <c r="L152" s="4" t="str">
        <f>HYPERLINK("http://141.218.60.56/~jnz1568/getInfo.php?workbook=03_02.xlsx&amp;sheet=A0&amp;row=152&amp;col=12&amp;number=173.1&amp;sourceID=30","173.1")</f>
        <v>173.1</v>
      </c>
      <c r="M152" s="4" t="str">
        <f>HYPERLINK("http://141.218.60.56/~jnz1568/getInfo.php?workbook=03_02.xlsx&amp;sheet=A0&amp;row=152&amp;col=13&amp;number=&amp;sourceID=30","")</f>
        <v/>
      </c>
      <c r="N152" s="4" t="str">
        <f>HYPERLINK("http://141.218.60.56/~jnz1568/getInfo.php?workbook=03_02.xlsx&amp;sheet=A0&amp;row=152&amp;col=14&amp;number=&amp;sourceID=30","")</f>
        <v/>
      </c>
    </row>
    <row r="153" spans="1:14">
      <c r="A153" s="3">
        <v>3</v>
      </c>
      <c r="B153" s="3">
        <v>2</v>
      </c>
      <c r="C153" s="3">
        <v>20</v>
      </c>
      <c r="D153" s="3">
        <v>13</v>
      </c>
      <c r="E153" s="3">
        <f>((1/(INDEX(E0!J$4:J$52,C153,1)-INDEX(E0!J$4:J$52,D153,1))))*100000000</f>
        <v>0</v>
      </c>
      <c r="F153" s="4" t="str">
        <f>HYPERLINK("http://141.218.60.56/~jnz1568/getInfo.php?workbook=03_02.xlsx&amp;sheet=A0&amp;row=153&amp;col=6&amp;number=&amp;sourceID=27","")</f>
        <v/>
      </c>
      <c r="G153" s="4" t="str">
        <f>HYPERLINK("http://141.218.60.56/~jnz1568/getInfo.php?workbook=03_02.xlsx&amp;sheet=A0&amp;row=153&amp;col=7&amp;number=&amp;sourceID=15","")</f>
        <v/>
      </c>
      <c r="H153" s="4" t="str">
        <f>HYPERLINK("http://141.218.60.56/~jnz1568/getInfo.php?workbook=03_02.xlsx&amp;sheet=A0&amp;row=153&amp;col=8&amp;number=&amp;sourceID=15","")</f>
        <v/>
      </c>
      <c r="I153" s="4" t="str">
        <f>HYPERLINK("http://141.218.60.56/~jnz1568/getInfo.php?workbook=03_02.xlsx&amp;sheet=A0&amp;row=153&amp;col=9&amp;number=&amp;sourceID=15","")</f>
        <v/>
      </c>
      <c r="J153" s="4" t="str">
        <f>HYPERLINK("http://141.218.60.56/~jnz1568/getInfo.php?workbook=03_02.xlsx&amp;sheet=A0&amp;row=153&amp;col=10&amp;number=&amp;sourceID=15","")</f>
        <v/>
      </c>
      <c r="K153" s="4" t="str">
        <f>HYPERLINK("http://141.218.60.56/~jnz1568/getInfo.php?workbook=03_02.xlsx&amp;sheet=A0&amp;row=153&amp;col=11&amp;number=&amp;sourceID=30","")</f>
        <v/>
      </c>
      <c r="L153" s="4" t="str">
        <f>HYPERLINK("http://141.218.60.56/~jnz1568/getInfo.php?workbook=03_02.xlsx&amp;sheet=A0&amp;row=153&amp;col=12&amp;number=&amp;sourceID=30","")</f>
        <v/>
      </c>
      <c r="M153" s="4" t="str">
        <f>HYPERLINK("http://141.218.60.56/~jnz1568/getInfo.php?workbook=03_02.xlsx&amp;sheet=A0&amp;row=153&amp;col=13&amp;number=&amp;sourceID=30","")</f>
        <v/>
      </c>
      <c r="N153" s="4" t="str">
        <f>HYPERLINK("http://141.218.60.56/~jnz1568/getInfo.php?workbook=03_02.xlsx&amp;sheet=A0&amp;row=153&amp;col=14&amp;number=2.582e-06&amp;sourceID=30","2.582e-06")</f>
        <v>2.582e-06</v>
      </c>
    </row>
    <row r="154" spans="1:14">
      <c r="A154" s="3">
        <v>3</v>
      </c>
      <c r="B154" s="3">
        <v>2</v>
      </c>
      <c r="C154" s="3">
        <v>20</v>
      </c>
      <c r="D154" s="3">
        <v>15</v>
      </c>
      <c r="E154" s="3">
        <f>((1/(INDEX(E0!J$4:J$52,C154,1)-INDEX(E0!J$4:J$52,D154,1))))*100000000</f>
        <v>0</v>
      </c>
      <c r="F154" s="4" t="str">
        <f>HYPERLINK("http://141.218.60.56/~jnz1568/getInfo.php?workbook=03_02.xlsx&amp;sheet=A0&amp;row=154&amp;col=6&amp;number=&amp;sourceID=27","")</f>
        <v/>
      </c>
      <c r="G154" s="4" t="str">
        <f>HYPERLINK("http://141.218.60.56/~jnz1568/getInfo.php?workbook=03_02.xlsx&amp;sheet=A0&amp;row=154&amp;col=7&amp;number=9319600&amp;sourceID=15","9319600")</f>
        <v>9319600</v>
      </c>
      <c r="H154" s="4" t="str">
        <f>HYPERLINK("http://141.218.60.56/~jnz1568/getInfo.php?workbook=03_02.xlsx&amp;sheet=A0&amp;row=154&amp;col=8&amp;number=&amp;sourceID=15","")</f>
        <v/>
      </c>
      <c r="I154" s="4" t="str">
        <f>HYPERLINK("http://141.218.60.56/~jnz1568/getInfo.php?workbook=03_02.xlsx&amp;sheet=A0&amp;row=154&amp;col=9&amp;number=&amp;sourceID=15","")</f>
        <v/>
      </c>
      <c r="J154" s="4" t="str">
        <f>HYPERLINK("http://141.218.60.56/~jnz1568/getInfo.php?workbook=03_02.xlsx&amp;sheet=A0&amp;row=154&amp;col=10&amp;number=&amp;sourceID=15","")</f>
        <v/>
      </c>
      <c r="K154" s="4" t="str">
        <f>HYPERLINK("http://141.218.60.56/~jnz1568/getInfo.php?workbook=03_02.xlsx&amp;sheet=A0&amp;row=154&amp;col=11&amp;number=8748000&amp;sourceID=30","8748000")</f>
        <v>8748000</v>
      </c>
      <c r="L154" s="4" t="str">
        <f>HYPERLINK("http://141.218.60.56/~jnz1568/getInfo.php?workbook=03_02.xlsx&amp;sheet=A0&amp;row=154&amp;col=12&amp;number=&amp;sourceID=30","")</f>
        <v/>
      </c>
      <c r="M154" s="4" t="str">
        <f>HYPERLINK("http://141.218.60.56/~jnz1568/getInfo.php?workbook=03_02.xlsx&amp;sheet=A0&amp;row=154&amp;col=13&amp;number=&amp;sourceID=30","")</f>
        <v/>
      </c>
      <c r="N154" s="4" t="str">
        <f>HYPERLINK("http://141.218.60.56/~jnz1568/getInfo.php?workbook=03_02.xlsx&amp;sheet=A0&amp;row=154&amp;col=14&amp;number=&amp;sourceID=30","")</f>
        <v/>
      </c>
    </row>
    <row r="155" spans="1:14">
      <c r="A155" s="3">
        <v>3</v>
      </c>
      <c r="B155" s="3">
        <v>2</v>
      </c>
      <c r="C155" s="3">
        <v>20</v>
      </c>
      <c r="D155" s="3">
        <v>16</v>
      </c>
      <c r="E155" s="3">
        <f>((1/(INDEX(E0!J$4:J$52,C155,1)-INDEX(E0!J$4:J$52,D155,1))))*100000000</f>
        <v>0</v>
      </c>
      <c r="F155" s="4" t="str">
        <f>HYPERLINK("http://141.218.60.56/~jnz1568/getInfo.php?workbook=03_02.xlsx&amp;sheet=A0&amp;row=155&amp;col=6&amp;number=&amp;sourceID=27","")</f>
        <v/>
      </c>
      <c r="G155" s="4" t="str">
        <f>HYPERLINK("http://141.218.60.56/~jnz1568/getInfo.php?workbook=03_02.xlsx&amp;sheet=A0&amp;row=155&amp;col=7&amp;number=&amp;sourceID=15","")</f>
        <v/>
      </c>
      <c r="H155" s="4" t="str">
        <f>HYPERLINK("http://141.218.60.56/~jnz1568/getInfo.php?workbook=03_02.xlsx&amp;sheet=A0&amp;row=155&amp;col=8&amp;number=&amp;sourceID=15","")</f>
        <v/>
      </c>
      <c r="I155" s="4" t="str">
        <f>HYPERLINK("http://141.218.60.56/~jnz1568/getInfo.php?workbook=03_02.xlsx&amp;sheet=A0&amp;row=155&amp;col=9&amp;number=&amp;sourceID=15","")</f>
        <v/>
      </c>
      <c r="J155" s="4" t="str">
        <f>HYPERLINK("http://141.218.60.56/~jnz1568/getInfo.php?workbook=03_02.xlsx&amp;sheet=A0&amp;row=155&amp;col=10&amp;number=&amp;sourceID=15","")</f>
        <v/>
      </c>
      <c r="K155" s="4" t="str">
        <f>HYPERLINK("http://141.218.60.56/~jnz1568/getInfo.php?workbook=03_02.xlsx&amp;sheet=A0&amp;row=155&amp;col=11&amp;number=&amp;sourceID=30","")</f>
        <v/>
      </c>
      <c r="L155" s="4" t="str">
        <f>HYPERLINK("http://141.218.60.56/~jnz1568/getInfo.php?workbook=03_02.xlsx&amp;sheet=A0&amp;row=155&amp;col=12&amp;number=&amp;sourceID=30","")</f>
        <v/>
      </c>
      <c r="M155" s="4" t="str">
        <f>HYPERLINK("http://141.218.60.56/~jnz1568/getInfo.php?workbook=03_02.xlsx&amp;sheet=A0&amp;row=155&amp;col=13&amp;number=&amp;sourceID=30","")</f>
        <v/>
      </c>
      <c r="N155" s="4" t="str">
        <f>HYPERLINK("http://141.218.60.56/~jnz1568/getInfo.php?workbook=03_02.xlsx&amp;sheet=A0&amp;row=155&amp;col=14&amp;number=1.703e-05&amp;sourceID=30","1.703e-05")</f>
        <v>1.703e-05</v>
      </c>
    </row>
    <row r="156" spans="1:14">
      <c r="A156" s="3">
        <v>3</v>
      </c>
      <c r="B156" s="3">
        <v>2</v>
      </c>
      <c r="C156" s="3">
        <v>20</v>
      </c>
      <c r="D156" s="3">
        <v>17</v>
      </c>
      <c r="E156" s="3">
        <f>((1/(INDEX(E0!J$4:J$52,C156,1)-INDEX(E0!J$4:J$52,D156,1))))*100000000</f>
        <v>0</v>
      </c>
      <c r="F156" s="4" t="str">
        <f>HYPERLINK("http://141.218.60.56/~jnz1568/getInfo.php?workbook=03_02.xlsx&amp;sheet=A0&amp;row=156&amp;col=6&amp;number=&amp;sourceID=27","")</f>
        <v/>
      </c>
      <c r="G156" s="4" t="str">
        <f>HYPERLINK("http://141.218.60.56/~jnz1568/getInfo.php?workbook=03_02.xlsx&amp;sheet=A0&amp;row=156&amp;col=7&amp;number=&amp;sourceID=15","")</f>
        <v/>
      </c>
      <c r="H156" s="4" t="str">
        <f>HYPERLINK("http://141.218.60.56/~jnz1568/getInfo.php?workbook=03_02.xlsx&amp;sheet=A0&amp;row=156&amp;col=8&amp;number=&amp;sourceID=15","")</f>
        <v/>
      </c>
      <c r="I156" s="4" t="str">
        <f>HYPERLINK("http://141.218.60.56/~jnz1568/getInfo.php?workbook=03_02.xlsx&amp;sheet=A0&amp;row=156&amp;col=9&amp;number=&amp;sourceID=15","")</f>
        <v/>
      </c>
      <c r="J156" s="4" t="str">
        <f>HYPERLINK("http://141.218.60.56/~jnz1568/getInfo.php?workbook=03_02.xlsx&amp;sheet=A0&amp;row=156&amp;col=10&amp;number=&amp;sourceID=15","")</f>
        <v/>
      </c>
      <c r="K156" s="4" t="str">
        <f>HYPERLINK("http://141.218.60.56/~jnz1568/getInfo.php?workbook=03_02.xlsx&amp;sheet=A0&amp;row=156&amp;col=11&amp;number=&amp;sourceID=30","")</f>
        <v/>
      </c>
      <c r="L156" s="4" t="str">
        <f>HYPERLINK("http://141.218.60.56/~jnz1568/getInfo.php?workbook=03_02.xlsx&amp;sheet=A0&amp;row=156&amp;col=12&amp;number=&amp;sourceID=30","")</f>
        <v/>
      </c>
      <c r="M156" s="4" t="str">
        <f>HYPERLINK("http://141.218.60.56/~jnz1568/getInfo.php?workbook=03_02.xlsx&amp;sheet=A0&amp;row=156&amp;col=13&amp;number=1.746e-06&amp;sourceID=30","1.746e-06")</f>
        <v>1.746e-06</v>
      </c>
      <c r="N156" s="4" t="str">
        <f>HYPERLINK("http://141.218.60.56/~jnz1568/getInfo.php?workbook=03_02.xlsx&amp;sheet=A0&amp;row=156&amp;col=14&amp;number=&amp;sourceID=30","")</f>
        <v/>
      </c>
    </row>
    <row r="157" spans="1:14">
      <c r="A157" s="3">
        <v>3</v>
      </c>
      <c r="B157" s="3">
        <v>2</v>
      </c>
      <c r="C157" s="3">
        <v>20</v>
      </c>
      <c r="D157" s="3">
        <v>18</v>
      </c>
      <c r="E157" s="3">
        <f>((1/(INDEX(E0!J$4:J$52,C157,1)-INDEX(E0!J$4:J$52,D157,1))))*100000000</f>
        <v>0</v>
      </c>
      <c r="F157" s="4" t="str">
        <f>HYPERLINK("http://141.218.60.56/~jnz1568/getInfo.php?workbook=03_02.xlsx&amp;sheet=A0&amp;row=157&amp;col=6&amp;number=&amp;sourceID=27","")</f>
        <v/>
      </c>
      <c r="G157" s="4" t="str">
        <f>HYPERLINK("http://141.218.60.56/~jnz1568/getInfo.php?workbook=03_02.xlsx&amp;sheet=A0&amp;row=157&amp;col=7&amp;number=566800&amp;sourceID=15","566800")</f>
        <v>566800</v>
      </c>
      <c r="H157" s="4" t="str">
        <f>HYPERLINK("http://141.218.60.56/~jnz1568/getInfo.php?workbook=03_02.xlsx&amp;sheet=A0&amp;row=157&amp;col=8&amp;number=&amp;sourceID=15","")</f>
        <v/>
      </c>
      <c r="I157" s="4" t="str">
        <f>HYPERLINK("http://141.218.60.56/~jnz1568/getInfo.php?workbook=03_02.xlsx&amp;sheet=A0&amp;row=157&amp;col=9&amp;number=&amp;sourceID=15","")</f>
        <v/>
      </c>
      <c r="J157" s="4" t="str">
        <f>HYPERLINK("http://141.218.60.56/~jnz1568/getInfo.php?workbook=03_02.xlsx&amp;sheet=A0&amp;row=157&amp;col=10&amp;number=&amp;sourceID=15","")</f>
        <v/>
      </c>
      <c r="K157" s="4" t="str">
        <f>HYPERLINK("http://141.218.60.56/~jnz1568/getInfo.php?workbook=03_02.xlsx&amp;sheet=A0&amp;row=157&amp;col=11&amp;number=612800&amp;sourceID=30","612800")</f>
        <v>612800</v>
      </c>
      <c r="L157" s="4" t="str">
        <f>HYPERLINK("http://141.218.60.56/~jnz1568/getInfo.php?workbook=03_02.xlsx&amp;sheet=A0&amp;row=157&amp;col=12&amp;number=&amp;sourceID=30","")</f>
        <v/>
      </c>
      <c r="M157" s="4" t="str">
        <f>HYPERLINK("http://141.218.60.56/~jnz1568/getInfo.php?workbook=03_02.xlsx&amp;sheet=A0&amp;row=157&amp;col=13&amp;number=&amp;sourceID=30","")</f>
        <v/>
      </c>
      <c r="N157" s="4" t="str">
        <f>HYPERLINK("http://141.218.60.56/~jnz1568/getInfo.php?workbook=03_02.xlsx&amp;sheet=A0&amp;row=157&amp;col=14&amp;number=&amp;sourceID=30","")</f>
        <v/>
      </c>
    </row>
    <row r="158" spans="1:14">
      <c r="A158" s="3">
        <v>3</v>
      </c>
      <c r="B158" s="3">
        <v>2</v>
      </c>
      <c r="C158" s="3">
        <v>21</v>
      </c>
      <c r="D158" s="3">
        <v>1</v>
      </c>
      <c r="E158" s="3">
        <f>((1/(INDEX(E0!J$4:J$52,C158,1)-INDEX(E0!J$4:J$52,D158,1))))*100000000</f>
        <v>0</v>
      </c>
      <c r="F158" s="4" t="str">
        <f>HYPERLINK("http://141.218.60.56/~jnz1568/getInfo.php?workbook=03_02.xlsx&amp;sheet=A0&amp;row=158&amp;col=6&amp;number=&amp;sourceID=27","")</f>
        <v/>
      </c>
      <c r="G158" s="4" t="str">
        <f>HYPERLINK("http://141.218.60.56/~jnz1568/getInfo.php?workbook=03_02.xlsx&amp;sheet=A0&amp;row=158&amp;col=7&amp;number=&amp;sourceID=15","")</f>
        <v/>
      </c>
      <c r="H158" s="4" t="str">
        <f>HYPERLINK("http://141.218.60.56/~jnz1568/getInfo.php?workbook=03_02.xlsx&amp;sheet=A0&amp;row=158&amp;col=8&amp;number=&amp;sourceID=15","")</f>
        <v/>
      </c>
      <c r="I158" s="4" t="str">
        <f>HYPERLINK("http://141.218.60.56/~jnz1568/getInfo.php?workbook=03_02.xlsx&amp;sheet=A0&amp;row=158&amp;col=9&amp;number=&amp;sourceID=15","")</f>
        <v/>
      </c>
      <c r="J158" s="4" t="str">
        <f>HYPERLINK("http://141.218.60.56/~jnz1568/getInfo.php?workbook=03_02.xlsx&amp;sheet=A0&amp;row=158&amp;col=10&amp;number=&amp;sourceID=15","")</f>
        <v/>
      </c>
      <c r="K158" s="4" t="str">
        <f>HYPERLINK("http://141.218.60.56/~jnz1568/getInfo.php?workbook=03_02.xlsx&amp;sheet=A0&amp;row=158&amp;col=11&amp;number=3872&amp;sourceID=30","3872")</f>
        <v>3872</v>
      </c>
      <c r="L158" s="4" t="str">
        <f>HYPERLINK("http://141.218.60.56/~jnz1568/getInfo.php?workbook=03_02.xlsx&amp;sheet=A0&amp;row=158&amp;col=12&amp;number=&amp;sourceID=30","")</f>
        <v/>
      </c>
      <c r="M158" s="4" t="str">
        <f>HYPERLINK("http://141.218.60.56/~jnz1568/getInfo.php?workbook=03_02.xlsx&amp;sheet=A0&amp;row=158&amp;col=13&amp;number=&amp;sourceID=30","")</f>
        <v/>
      </c>
      <c r="N158" s="4" t="str">
        <f>HYPERLINK("http://141.218.60.56/~jnz1568/getInfo.php?workbook=03_02.xlsx&amp;sheet=A0&amp;row=158&amp;col=14&amp;number=&amp;sourceID=30","")</f>
        <v/>
      </c>
    </row>
    <row r="159" spans="1:14">
      <c r="A159" s="3">
        <v>3</v>
      </c>
      <c r="B159" s="3">
        <v>2</v>
      </c>
      <c r="C159" s="3">
        <v>21</v>
      </c>
      <c r="D159" s="3">
        <v>2</v>
      </c>
      <c r="E159" s="3">
        <f>((1/(INDEX(E0!J$4:J$52,C159,1)-INDEX(E0!J$4:J$52,D159,1))))*100000000</f>
        <v>0</v>
      </c>
      <c r="F159" s="4" t="str">
        <f>HYPERLINK("http://141.218.60.56/~jnz1568/getInfo.php?workbook=03_02.xlsx&amp;sheet=A0&amp;row=159&amp;col=6&amp;number=&amp;sourceID=27","")</f>
        <v/>
      </c>
      <c r="G159" s="4" t="str">
        <f>HYPERLINK("http://141.218.60.56/~jnz1568/getInfo.php?workbook=03_02.xlsx&amp;sheet=A0&amp;row=159&amp;col=7&amp;number=143290000&amp;sourceID=15","143290000")</f>
        <v>143290000</v>
      </c>
      <c r="H159" s="4" t="str">
        <f>HYPERLINK("http://141.218.60.56/~jnz1568/getInfo.php?workbook=03_02.xlsx&amp;sheet=A0&amp;row=159&amp;col=8&amp;number=&amp;sourceID=15","")</f>
        <v/>
      </c>
      <c r="I159" s="4" t="str">
        <f>HYPERLINK("http://141.218.60.56/~jnz1568/getInfo.php?workbook=03_02.xlsx&amp;sheet=A0&amp;row=159&amp;col=9&amp;number=&amp;sourceID=15","")</f>
        <v/>
      </c>
      <c r="J159" s="4" t="str">
        <f>HYPERLINK("http://141.218.60.56/~jnz1568/getInfo.php?workbook=03_02.xlsx&amp;sheet=A0&amp;row=159&amp;col=10&amp;number=&amp;sourceID=15","")</f>
        <v/>
      </c>
      <c r="K159" s="4" t="str">
        <f>HYPERLINK("http://141.218.60.56/~jnz1568/getInfo.php?workbook=03_02.xlsx&amp;sheet=A0&amp;row=159&amp;col=11&amp;number=113500000&amp;sourceID=30","113500000")</f>
        <v>113500000</v>
      </c>
      <c r="L159" s="4" t="str">
        <f>HYPERLINK("http://141.218.60.56/~jnz1568/getInfo.php?workbook=03_02.xlsx&amp;sheet=A0&amp;row=159&amp;col=12&amp;number=&amp;sourceID=30","")</f>
        <v/>
      </c>
      <c r="M159" s="4" t="str">
        <f>HYPERLINK("http://141.218.60.56/~jnz1568/getInfo.php?workbook=03_02.xlsx&amp;sheet=A0&amp;row=159&amp;col=13&amp;number=&amp;sourceID=30","")</f>
        <v/>
      </c>
      <c r="N159" s="4" t="str">
        <f>HYPERLINK("http://141.218.60.56/~jnz1568/getInfo.php?workbook=03_02.xlsx&amp;sheet=A0&amp;row=159&amp;col=14&amp;number=0.004634&amp;sourceID=30","0.004634")</f>
        <v>0.004634</v>
      </c>
    </row>
    <row r="160" spans="1:14">
      <c r="A160" s="3">
        <v>3</v>
      </c>
      <c r="B160" s="3">
        <v>2</v>
      </c>
      <c r="C160" s="3">
        <v>21</v>
      </c>
      <c r="D160" s="3">
        <v>3</v>
      </c>
      <c r="E160" s="3">
        <f>((1/(INDEX(E0!J$4:J$52,C160,1)-INDEX(E0!J$4:J$52,D160,1))))*100000000</f>
        <v>0</v>
      </c>
      <c r="F160" s="4" t="str">
        <f>HYPERLINK("http://141.218.60.56/~jnz1568/getInfo.php?workbook=03_02.xlsx&amp;sheet=A0&amp;row=160&amp;col=6&amp;number=&amp;sourceID=27","")</f>
        <v/>
      </c>
      <c r="G160" s="4" t="str">
        <f>HYPERLINK("http://141.218.60.56/~jnz1568/getInfo.php?workbook=03_02.xlsx&amp;sheet=A0&amp;row=160&amp;col=7&amp;number=&amp;sourceID=15","")</f>
        <v/>
      </c>
      <c r="H160" s="4" t="str">
        <f>HYPERLINK("http://141.218.60.56/~jnz1568/getInfo.php?workbook=03_02.xlsx&amp;sheet=A0&amp;row=160&amp;col=8&amp;number=&amp;sourceID=15","")</f>
        <v/>
      </c>
      <c r="I160" s="4" t="str">
        <f>HYPERLINK("http://141.218.60.56/~jnz1568/getInfo.php?workbook=03_02.xlsx&amp;sheet=A0&amp;row=160&amp;col=9&amp;number=&amp;sourceID=15","")</f>
        <v/>
      </c>
      <c r="J160" s="4" t="str">
        <f>HYPERLINK("http://141.218.60.56/~jnz1568/getInfo.php?workbook=03_02.xlsx&amp;sheet=A0&amp;row=160&amp;col=10&amp;number=&amp;sourceID=15","")</f>
        <v/>
      </c>
      <c r="K160" s="4" t="str">
        <f>HYPERLINK("http://141.218.60.56/~jnz1568/getInfo.php?workbook=03_02.xlsx&amp;sheet=A0&amp;row=160&amp;col=11&amp;number=111.5&amp;sourceID=30","111.5")</f>
        <v>111.5</v>
      </c>
      <c r="L160" s="4" t="str">
        <f>HYPERLINK("http://141.218.60.56/~jnz1568/getInfo.php?workbook=03_02.xlsx&amp;sheet=A0&amp;row=160&amp;col=12&amp;number=&amp;sourceID=30","")</f>
        <v/>
      </c>
      <c r="M160" s="4" t="str">
        <f>HYPERLINK("http://141.218.60.56/~jnz1568/getInfo.php?workbook=03_02.xlsx&amp;sheet=A0&amp;row=160&amp;col=13&amp;number=&amp;sourceID=30","")</f>
        <v/>
      </c>
      <c r="N160" s="4" t="str">
        <f>HYPERLINK("http://141.218.60.56/~jnz1568/getInfo.php?workbook=03_02.xlsx&amp;sheet=A0&amp;row=160&amp;col=14&amp;number=&amp;sourceID=30","")</f>
        <v/>
      </c>
    </row>
    <row r="161" spans="1:14">
      <c r="A161" s="3">
        <v>3</v>
      </c>
      <c r="B161" s="3">
        <v>2</v>
      </c>
      <c r="C161" s="3">
        <v>21</v>
      </c>
      <c r="D161" s="3">
        <v>4</v>
      </c>
      <c r="E161" s="3">
        <f>((1/(INDEX(E0!J$4:J$52,C161,1)-INDEX(E0!J$4:J$52,D161,1))))*100000000</f>
        <v>0</v>
      </c>
      <c r="F161" s="4" t="str">
        <f>HYPERLINK("http://141.218.60.56/~jnz1568/getInfo.php?workbook=03_02.xlsx&amp;sheet=A0&amp;row=161&amp;col=6&amp;number=&amp;sourceID=27","")</f>
        <v/>
      </c>
      <c r="G161" s="4" t="str">
        <f>HYPERLINK("http://141.218.60.56/~jnz1568/getInfo.php?workbook=03_02.xlsx&amp;sheet=A0&amp;row=161&amp;col=7&amp;number=&amp;sourceID=15","")</f>
        <v/>
      </c>
      <c r="H161" s="4" t="str">
        <f>HYPERLINK("http://141.218.60.56/~jnz1568/getInfo.php?workbook=03_02.xlsx&amp;sheet=A0&amp;row=161&amp;col=8&amp;number=&amp;sourceID=15","")</f>
        <v/>
      </c>
      <c r="I161" s="4" t="str">
        <f>HYPERLINK("http://141.218.60.56/~jnz1568/getInfo.php?workbook=03_02.xlsx&amp;sheet=A0&amp;row=161&amp;col=9&amp;number=&amp;sourceID=15","")</f>
        <v/>
      </c>
      <c r="J161" s="4" t="str">
        <f>HYPERLINK("http://141.218.60.56/~jnz1568/getInfo.php?workbook=03_02.xlsx&amp;sheet=A0&amp;row=161&amp;col=10&amp;number=&amp;sourceID=15","")</f>
        <v/>
      </c>
      <c r="K161" s="4" t="str">
        <f>HYPERLINK("http://141.218.60.56/~jnz1568/getInfo.php?workbook=03_02.xlsx&amp;sheet=A0&amp;row=161&amp;col=11&amp;number=&amp;sourceID=30","")</f>
        <v/>
      </c>
      <c r="L161" s="4" t="str">
        <f>HYPERLINK("http://141.218.60.56/~jnz1568/getInfo.php?workbook=03_02.xlsx&amp;sheet=A0&amp;row=161&amp;col=12&amp;number=127.8&amp;sourceID=30","127.8")</f>
        <v>127.8</v>
      </c>
      <c r="M161" s="4" t="str">
        <f>HYPERLINK("http://141.218.60.56/~jnz1568/getInfo.php?workbook=03_02.xlsx&amp;sheet=A0&amp;row=161&amp;col=13&amp;number=1.55e-06&amp;sourceID=30","1.55e-06")</f>
        <v>1.55e-06</v>
      </c>
      <c r="N161" s="4" t="str">
        <f>HYPERLINK("http://141.218.60.56/~jnz1568/getInfo.php?workbook=03_02.xlsx&amp;sheet=A0&amp;row=161&amp;col=14&amp;number=&amp;sourceID=30","")</f>
        <v/>
      </c>
    </row>
    <row r="162" spans="1:14">
      <c r="A162" s="3">
        <v>3</v>
      </c>
      <c r="B162" s="3">
        <v>2</v>
      </c>
      <c r="C162" s="3">
        <v>21</v>
      </c>
      <c r="D162" s="3">
        <v>5</v>
      </c>
      <c r="E162" s="3">
        <f>((1/(INDEX(E0!J$4:J$52,C162,1)-INDEX(E0!J$4:J$52,D162,1))))*100000000</f>
        <v>0</v>
      </c>
      <c r="F162" s="4" t="str">
        <f>HYPERLINK("http://141.218.60.56/~jnz1568/getInfo.php?workbook=03_02.xlsx&amp;sheet=A0&amp;row=162&amp;col=6&amp;number=&amp;sourceID=27","")</f>
        <v/>
      </c>
      <c r="G162" s="4" t="str">
        <f>HYPERLINK("http://141.218.60.56/~jnz1568/getInfo.php?workbook=03_02.xlsx&amp;sheet=A0&amp;row=162&amp;col=7&amp;number=&amp;sourceID=15","")</f>
        <v/>
      </c>
      <c r="H162" s="4" t="str">
        <f>HYPERLINK("http://141.218.60.56/~jnz1568/getInfo.php?workbook=03_02.xlsx&amp;sheet=A0&amp;row=162&amp;col=8&amp;number=&amp;sourceID=15","")</f>
        <v/>
      </c>
      <c r="I162" s="4" t="str">
        <f>HYPERLINK("http://141.218.60.56/~jnz1568/getInfo.php?workbook=03_02.xlsx&amp;sheet=A0&amp;row=162&amp;col=9&amp;number=&amp;sourceID=15","")</f>
        <v/>
      </c>
      <c r="J162" s="4" t="str">
        <f>HYPERLINK("http://141.218.60.56/~jnz1568/getInfo.php?workbook=03_02.xlsx&amp;sheet=A0&amp;row=162&amp;col=10&amp;number=&amp;sourceID=15","")</f>
        <v/>
      </c>
      <c r="K162" s="4" t="str">
        <f>HYPERLINK("http://141.218.60.56/~jnz1568/getInfo.php?workbook=03_02.xlsx&amp;sheet=A0&amp;row=162&amp;col=11&amp;number=&amp;sourceID=30","")</f>
        <v/>
      </c>
      <c r="L162" s="4" t="str">
        <f>HYPERLINK("http://141.218.60.56/~jnz1568/getInfo.php?workbook=03_02.xlsx&amp;sheet=A0&amp;row=162&amp;col=12&amp;number=383.1&amp;sourceID=30","383.1")</f>
        <v>383.1</v>
      </c>
      <c r="M162" s="4" t="str">
        <f>HYPERLINK("http://141.218.60.56/~jnz1568/getInfo.php?workbook=03_02.xlsx&amp;sheet=A0&amp;row=162&amp;col=13&amp;number=6.964e-07&amp;sourceID=30","6.964e-07")</f>
        <v>6.964e-07</v>
      </c>
      <c r="N162" s="4" t="str">
        <f>HYPERLINK("http://141.218.60.56/~jnz1568/getInfo.php?workbook=03_02.xlsx&amp;sheet=A0&amp;row=162&amp;col=14&amp;number=&amp;sourceID=30","")</f>
        <v/>
      </c>
    </row>
    <row r="163" spans="1:14">
      <c r="A163" s="3">
        <v>3</v>
      </c>
      <c r="B163" s="3">
        <v>2</v>
      </c>
      <c r="C163" s="3">
        <v>21</v>
      </c>
      <c r="D163" s="3">
        <v>6</v>
      </c>
      <c r="E163" s="3">
        <f>((1/(INDEX(E0!J$4:J$52,C163,1)-INDEX(E0!J$4:J$52,D163,1))))*100000000</f>
        <v>0</v>
      </c>
      <c r="F163" s="4" t="str">
        <f>HYPERLINK("http://141.218.60.56/~jnz1568/getInfo.php?workbook=03_02.xlsx&amp;sheet=A0&amp;row=163&amp;col=6&amp;number=&amp;sourceID=27","")</f>
        <v/>
      </c>
      <c r="G163" s="4" t="str">
        <f>HYPERLINK("http://141.218.60.56/~jnz1568/getInfo.php?workbook=03_02.xlsx&amp;sheet=A0&amp;row=163&amp;col=7&amp;number=&amp;sourceID=15","")</f>
        <v/>
      </c>
      <c r="H163" s="4" t="str">
        <f>HYPERLINK("http://141.218.60.56/~jnz1568/getInfo.php?workbook=03_02.xlsx&amp;sheet=A0&amp;row=163&amp;col=8&amp;number=&amp;sourceID=15","")</f>
        <v/>
      </c>
      <c r="I163" s="4" t="str">
        <f>HYPERLINK("http://141.218.60.56/~jnz1568/getInfo.php?workbook=03_02.xlsx&amp;sheet=A0&amp;row=163&amp;col=9&amp;number=&amp;sourceID=15","")</f>
        <v/>
      </c>
      <c r="J163" s="4" t="str">
        <f>HYPERLINK("http://141.218.60.56/~jnz1568/getInfo.php?workbook=03_02.xlsx&amp;sheet=A0&amp;row=163&amp;col=10&amp;number=&amp;sourceID=15","")</f>
        <v/>
      </c>
      <c r="K163" s="4" t="str">
        <f>HYPERLINK("http://141.218.60.56/~jnz1568/getInfo.php?workbook=03_02.xlsx&amp;sheet=A0&amp;row=163&amp;col=11&amp;number=&amp;sourceID=30","")</f>
        <v/>
      </c>
      <c r="L163" s="4" t="str">
        <f>HYPERLINK("http://141.218.60.56/~jnz1568/getInfo.php?workbook=03_02.xlsx&amp;sheet=A0&amp;row=163&amp;col=12&amp;number=&amp;sourceID=30","")</f>
        <v/>
      </c>
      <c r="M163" s="4" t="str">
        <f>HYPERLINK("http://141.218.60.56/~jnz1568/getInfo.php?workbook=03_02.xlsx&amp;sheet=A0&amp;row=163&amp;col=13&amp;number=2.911e-06&amp;sourceID=30","2.911e-06")</f>
        <v>2.911e-06</v>
      </c>
      <c r="N163" s="4" t="str">
        <f>HYPERLINK("http://141.218.60.56/~jnz1568/getInfo.php?workbook=03_02.xlsx&amp;sheet=A0&amp;row=163&amp;col=14&amp;number=&amp;sourceID=30","")</f>
        <v/>
      </c>
    </row>
    <row r="164" spans="1:14">
      <c r="A164" s="3">
        <v>3</v>
      </c>
      <c r="B164" s="3">
        <v>2</v>
      </c>
      <c r="C164" s="3">
        <v>21</v>
      </c>
      <c r="D164" s="3">
        <v>7</v>
      </c>
      <c r="E164" s="3">
        <f>((1/(INDEX(E0!J$4:J$52,C164,1)-INDEX(E0!J$4:J$52,D164,1))))*100000000</f>
        <v>0</v>
      </c>
      <c r="F164" s="4" t="str">
        <f>HYPERLINK("http://141.218.60.56/~jnz1568/getInfo.php?workbook=03_02.xlsx&amp;sheet=A0&amp;row=164&amp;col=6&amp;number=&amp;sourceID=27","")</f>
        <v/>
      </c>
      <c r="G164" s="4" t="str">
        <f>HYPERLINK("http://141.218.60.56/~jnz1568/getInfo.php?workbook=03_02.xlsx&amp;sheet=A0&amp;row=164&amp;col=7&amp;number=&amp;sourceID=15","")</f>
        <v/>
      </c>
      <c r="H164" s="4" t="str">
        <f>HYPERLINK("http://141.218.60.56/~jnz1568/getInfo.php?workbook=03_02.xlsx&amp;sheet=A0&amp;row=164&amp;col=8&amp;number=&amp;sourceID=15","")</f>
        <v/>
      </c>
      <c r="I164" s="4" t="str">
        <f>HYPERLINK("http://141.218.60.56/~jnz1568/getInfo.php?workbook=03_02.xlsx&amp;sheet=A0&amp;row=164&amp;col=9&amp;number=&amp;sourceID=15","")</f>
        <v/>
      </c>
      <c r="J164" s="4" t="str">
        <f>HYPERLINK("http://141.218.60.56/~jnz1568/getInfo.php?workbook=03_02.xlsx&amp;sheet=A0&amp;row=164&amp;col=10&amp;number=&amp;sourceID=15","")</f>
        <v/>
      </c>
      <c r="K164" s="4" t="str">
        <f>HYPERLINK("http://141.218.60.56/~jnz1568/getInfo.php?workbook=03_02.xlsx&amp;sheet=A0&amp;row=164&amp;col=11&amp;number=&amp;sourceID=30","")</f>
        <v/>
      </c>
      <c r="L164" s="4" t="str">
        <f>HYPERLINK("http://141.218.60.56/~jnz1568/getInfo.php?workbook=03_02.xlsx&amp;sheet=A0&amp;row=164&amp;col=12&amp;number=0.0008857&amp;sourceID=30","0.0008857")</f>
        <v>0.0008857</v>
      </c>
      <c r="M164" s="4" t="str">
        <f>HYPERLINK("http://141.218.60.56/~jnz1568/getInfo.php?workbook=03_02.xlsx&amp;sheet=A0&amp;row=164&amp;col=13&amp;number=7.142e-06&amp;sourceID=30","7.142e-06")</f>
        <v>7.142e-06</v>
      </c>
      <c r="N164" s="4" t="str">
        <f>HYPERLINK("http://141.218.60.56/~jnz1568/getInfo.php?workbook=03_02.xlsx&amp;sheet=A0&amp;row=164&amp;col=14&amp;number=&amp;sourceID=30","")</f>
        <v/>
      </c>
    </row>
    <row r="165" spans="1:14">
      <c r="A165" s="3">
        <v>3</v>
      </c>
      <c r="B165" s="3">
        <v>2</v>
      </c>
      <c r="C165" s="3">
        <v>21</v>
      </c>
      <c r="D165" s="3">
        <v>8</v>
      </c>
      <c r="E165" s="3">
        <f>((1/(INDEX(E0!J$4:J$52,C165,1)-INDEX(E0!J$4:J$52,D165,1))))*100000000</f>
        <v>0</v>
      </c>
      <c r="F165" s="4" t="str">
        <f>HYPERLINK("http://141.218.60.56/~jnz1568/getInfo.php?workbook=03_02.xlsx&amp;sheet=A0&amp;row=165&amp;col=6&amp;number=&amp;sourceID=27","")</f>
        <v/>
      </c>
      <c r="G165" s="4" t="str">
        <f>HYPERLINK("http://141.218.60.56/~jnz1568/getInfo.php?workbook=03_02.xlsx&amp;sheet=A0&amp;row=165&amp;col=7&amp;number=30580000&amp;sourceID=15","30580000")</f>
        <v>30580000</v>
      </c>
      <c r="H165" s="4" t="str">
        <f>HYPERLINK("http://141.218.60.56/~jnz1568/getInfo.php?workbook=03_02.xlsx&amp;sheet=A0&amp;row=165&amp;col=8&amp;number=&amp;sourceID=15","")</f>
        <v/>
      </c>
      <c r="I165" s="4" t="str">
        <f>HYPERLINK("http://141.218.60.56/~jnz1568/getInfo.php?workbook=03_02.xlsx&amp;sheet=A0&amp;row=165&amp;col=9&amp;number=&amp;sourceID=15","")</f>
        <v/>
      </c>
      <c r="J165" s="4" t="str">
        <f>HYPERLINK("http://141.218.60.56/~jnz1568/getInfo.php?workbook=03_02.xlsx&amp;sheet=A0&amp;row=165&amp;col=10&amp;number=&amp;sourceID=15","")</f>
        <v/>
      </c>
      <c r="K165" s="4" t="str">
        <f>HYPERLINK("http://141.218.60.56/~jnz1568/getInfo.php?workbook=03_02.xlsx&amp;sheet=A0&amp;row=165&amp;col=11&amp;number=27510000&amp;sourceID=30","27510000")</f>
        <v>27510000</v>
      </c>
      <c r="L165" s="4" t="str">
        <f>HYPERLINK("http://141.218.60.56/~jnz1568/getInfo.php?workbook=03_02.xlsx&amp;sheet=A0&amp;row=165&amp;col=12&amp;number=&amp;sourceID=30","")</f>
        <v/>
      </c>
      <c r="M165" s="4" t="str">
        <f>HYPERLINK("http://141.218.60.56/~jnz1568/getInfo.php?workbook=03_02.xlsx&amp;sheet=A0&amp;row=165&amp;col=13&amp;number=&amp;sourceID=30","")</f>
        <v/>
      </c>
      <c r="N165" s="4" t="str">
        <f>HYPERLINK("http://141.218.60.56/~jnz1568/getInfo.php?workbook=03_02.xlsx&amp;sheet=A0&amp;row=165&amp;col=14&amp;number=7.416e-05&amp;sourceID=30","7.416e-05")</f>
        <v>7.416e-05</v>
      </c>
    </row>
    <row r="166" spans="1:14">
      <c r="A166" s="3">
        <v>3</v>
      </c>
      <c r="B166" s="3">
        <v>2</v>
      </c>
      <c r="C166" s="3">
        <v>21</v>
      </c>
      <c r="D166" s="3">
        <v>9</v>
      </c>
      <c r="E166" s="3">
        <f>((1/(INDEX(E0!J$4:J$52,C166,1)-INDEX(E0!J$4:J$52,D166,1))))*100000000</f>
        <v>0</v>
      </c>
      <c r="F166" s="4" t="str">
        <f>HYPERLINK("http://141.218.60.56/~jnz1568/getInfo.php?workbook=03_02.xlsx&amp;sheet=A0&amp;row=166&amp;col=6&amp;number=&amp;sourceID=27","")</f>
        <v/>
      </c>
      <c r="G166" s="4" t="str">
        <f>HYPERLINK("http://141.218.60.56/~jnz1568/getInfo.php?workbook=03_02.xlsx&amp;sheet=A0&amp;row=166&amp;col=7&amp;number=&amp;sourceID=15","")</f>
        <v/>
      </c>
      <c r="H166" s="4" t="str">
        <f>HYPERLINK("http://141.218.60.56/~jnz1568/getInfo.php?workbook=03_02.xlsx&amp;sheet=A0&amp;row=166&amp;col=8&amp;number=&amp;sourceID=15","")</f>
        <v/>
      </c>
      <c r="I166" s="4" t="str">
        <f>HYPERLINK("http://141.218.60.56/~jnz1568/getInfo.php?workbook=03_02.xlsx&amp;sheet=A0&amp;row=166&amp;col=9&amp;number=&amp;sourceID=15","")</f>
        <v/>
      </c>
      <c r="J166" s="4" t="str">
        <f>HYPERLINK("http://141.218.60.56/~jnz1568/getInfo.php?workbook=03_02.xlsx&amp;sheet=A0&amp;row=166&amp;col=10&amp;number=&amp;sourceID=15","")</f>
        <v/>
      </c>
      <c r="K166" s="4" t="str">
        <f>HYPERLINK("http://141.218.60.56/~jnz1568/getInfo.php?workbook=03_02.xlsx&amp;sheet=A0&amp;row=166&amp;col=11&amp;number=27.63&amp;sourceID=30","27.63")</f>
        <v>27.63</v>
      </c>
      <c r="L166" s="4" t="str">
        <f>HYPERLINK("http://141.218.60.56/~jnz1568/getInfo.php?workbook=03_02.xlsx&amp;sheet=A0&amp;row=166&amp;col=12&amp;number=&amp;sourceID=30","")</f>
        <v/>
      </c>
      <c r="M166" s="4" t="str">
        <f>HYPERLINK("http://141.218.60.56/~jnz1568/getInfo.php?workbook=03_02.xlsx&amp;sheet=A0&amp;row=166&amp;col=13&amp;number=&amp;sourceID=30","")</f>
        <v/>
      </c>
      <c r="N166" s="4" t="str">
        <f>HYPERLINK("http://141.218.60.56/~jnz1568/getInfo.php?workbook=03_02.xlsx&amp;sheet=A0&amp;row=166&amp;col=14&amp;number=&amp;sourceID=30","")</f>
        <v/>
      </c>
    </row>
    <row r="167" spans="1:14">
      <c r="A167" s="3">
        <v>3</v>
      </c>
      <c r="B167" s="3">
        <v>2</v>
      </c>
      <c r="C167" s="3">
        <v>21</v>
      </c>
      <c r="D167" s="3">
        <v>10</v>
      </c>
      <c r="E167" s="3">
        <f>((1/(INDEX(E0!J$4:J$52,C167,1)-INDEX(E0!J$4:J$52,D167,1))))*100000000</f>
        <v>0</v>
      </c>
      <c r="F167" s="4" t="str">
        <f>HYPERLINK("http://141.218.60.56/~jnz1568/getInfo.php?workbook=03_02.xlsx&amp;sheet=A0&amp;row=167&amp;col=6&amp;number=&amp;sourceID=27","")</f>
        <v/>
      </c>
      <c r="G167" s="4" t="str">
        <f>HYPERLINK("http://141.218.60.56/~jnz1568/getInfo.php?workbook=03_02.xlsx&amp;sheet=A0&amp;row=167&amp;col=7&amp;number=&amp;sourceID=15","")</f>
        <v/>
      </c>
      <c r="H167" s="4" t="str">
        <f>HYPERLINK("http://141.218.60.56/~jnz1568/getInfo.php?workbook=03_02.xlsx&amp;sheet=A0&amp;row=167&amp;col=8&amp;number=&amp;sourceID=15","")</f>
        <v/>
      </c>
      <c r="I167" s="4" t="str">
        <f>HYPERLINK("http://141.218.60.56/~jnz1568/getInfo.php?workbook=03_02.xlsx&amp;sheet=A0&amp;row=167&amp;col=9&amp;number=&amp;sourceID=15","")</f>
        <v/>
      </c>
      <c r="J167" s="4" t="str">
        <f>HYPERLINK("http://141.218.60.56/~jnz1568/getInfo.php?workbook=03_02.xlsx&amp;sheet=A0&amp;row=167&amp;col=10&amp;number=&amp;sourceID=15","")</f>
        <v/>
      </c>
      <c r="K167" s="4" t="str">
        <f>HYPERLINK("http://141.218.60.56/~jnz1568/getInfo.php?workbook=03_02.xlsx&amp;sheet=A0&amp;row=167&amp;col=11&amp;number=&amp;sourceID=30","")</f>
        <v/>
      </c>
      <c r="L167" s="4" t="str">
        <f>HYPERLINK("http://141.218.60.56/~jnz1568/getInfo.php?workbook=03_02.xlsx&amp;sheet=A0&amp;row=167&amp;col=12&amp;number=43.28&amp;sourceID=30","43.28")</f>
        <v>43.28</v>
      </c>
      <c r="M167" s="4" t="str">
        <f>HYPERLINK("http://141.218.60.56/~jnz1568/getInfo.php?workbook=03_02.xlsx&amp;sheet=A0&amp;row=167&amp;col=13&amp;number=2.109e-08&amp;sourceID=30","2.109e-08")</f>
        <v>2.109e-08</v>
      </c>
      <c r="N167" s="4" t="str">
        <f>HYPERLINK("http://141.218.60.56/~jnz1568/getInfo.php?workbook=03_02.xlsx&amp;sheet=A0&amp;row=167&amp;col=14&amp;number=&amp;sourceID=30","")</f>
        <v/>
      </c>
    </row>
    <row r="168" spans="1:14">
      <c r="A168" s="3">
        <v>3</v>
      </c>
      <c r="B168" s="3">
        <v>2</v>
      </c>
      <c r="C168" s="3">
        <v>21</v>
      </c>
      <c r="D168" s="3">
        <v>11</v>
      </c>
      <c r="E168" s="3">
        <f>((1/(INDEX(E0!J$4:J$52,C168,1)-INDEX(E0!J$4:J$52,D168,1))))*100000000</f>
        <v>0</v>
      </c>
      <c r="F168" s="4" t="str">
        <f>HYPERLINK("http://141.218.60.56/~jnz1568/getInfo.php?workbook=03_02.xlsx&amp;sheet=A0&amp;row=168&amp;col=6&amp;number=&amp;sourceID=27","")</f>
        <v/>
      </c>
      <c r="G168" s="4" t="str">
        <f>HYPERLINK("http://141.218.60.56/~jnz1568/getInfo.php?workbook=03_02.xlsx&amp;sheet=A0&amp;row=168&amp;col=7&amp;number=&amp;sourceID=15","")</f>
        <v/>
      </c>
      <c r="H168" s="4" t="str">
        <f>HYPERLINK("http://141.218.60.56/~jnz1568/getInfo.php?workbook=03_02.xlsx&amp;sheet=A0&amp;row=168&amp;col=8&amp;number=&amp;sourceID=15","")</f>
        <v/>
      </c>
      <c r="I168" s="4" t="str">
        <f>HYPERLINK("http://141.218.60.56/~jnz1568/getInfo.php?workbook=03_02.xlsx&amp;sheet=A0&amp;row=168&amp;col=9&amp;number=&amp;sourceID=15","")</f>
        <v/>
      </c>
      <c r="J168" s="4" t="str">
        <f>HYPERLINK("http://141.218.60.56/~jnz1568/getInfo.php?workbook=03_02.xlsx&amp;sheet=A0&amp;row=168&amp;col=10&amp;number=&amp;sourceID=15","")</f>
        <v/>
      </c>
      <c r="K168" s="4" t="str">
        <f>HYPERLINK("http://141.218.60.56/~jnz1568/getInfo.php?workbook=03_02.xlsx&amp;sheet=A0&amp;row=168&amp;col=11&amp;number=&amp;sourceID=30","")</f>
        <v/>
      </c>
      <c r="L168" s="4" t="str">
        <f>HYPERLINK("http://141.218.60.56/~jnz1568/getInfo.php?workbook=03_02.xlsx&amp;sheet=A0&amp;row=168&amp;col=12&amp;number=129.8&amp;sourceID=30","129.8")</f>
        <v>129.8</v>
      </c>
      <c r="M168" s="4" t="str">
        <f>HYPERLINK("http://141.218.60.56/~jnz1568/getInfo.php?workbook=03_02.xlsx&amp;sheet=A0&amp;row=168&amp;col=13&amp;number=6.984e-08&amp;sourceID=30","6.984e-08")</f>
        <v>6.984e-08</v>
      </c>
      <c r="N168" s="4" t="str">
        <f>HYPERLINK("http://141.218.60.56/~jnz1568/getInfo.php?workbook=03_02.xlsx&amp;sheet=A0&amp;row=168&amp;col=14&amp;number=&amp;sourceID=30","")</f>
        <v/>
      </c>
    </row>
    <row r="169" spans="1:14">
      <c r="A169" s="3">
        <v>3</v>
      </c>
      <c r="B169" s="3">
        <v>2</v>
      </c>
      <c r="C169" s="3">
        <v>21</v>
      </c>
      <c r="D169" s="3">
        <v>12</v>
      </c>
      <c r="E169" s="3">
        <f>((1/(INDEX(E0!J$4:J$52,C169,1)-INDEX(E0!J$4:J$52,D169,1))))*100000000</f>
        <v>0</v>
      </c>
      <c r="F169" s="4" t="str">
        <f>HYPERLINK("http://141.218.60.56/~jnz1568/getInfo.php?workbook=03_02.xlsx&amp;sheet=A0&amp;row=169&amp;col=6&amp;number=&amp;sourceID=27","")</f>
        <v/>
      </c>
      <c r="G169" s="4" t="str">
        <f>HYPERLINK("http://141.218.60.56/~jnz1568/getInfo.php?workbook=03_02.xlsx&amp;sheet=A0&amp;row=169&amp;col=7&amp;number=&amp;sourceID=15","")</f>
        <v/>
      </c>
      <c r="H169" s="4" t="str">
        <f>HYPERLINK("http://141.218.60.56/~jnz1568/getInfo.php?workbook=03_02.xlsx&amp;sheet=A0&amp;row=169&amp;col=8&amp;number=&amp;sourceID=15","")</f>
        <v/>
      </c>
      <c r="I169" s="4" t="str">
        <f>HYPERLINK("http://141.218.60.56/~jnz1568/getInfo.php?workbook=03_02.xlsx&amp;sheet=A0&amp;row=169&amp;col=9&amp;number=&amp;sourceID=15","")</f>
        <v/>
      </c>
      <c r="J169" s="4" t="str">
        <f>HYPERLINK("http://141.218.60.56/~jnz1568/getInfo.php?workbook=03_02.xlsx&amp;sheet=A0&amp;row=169&amp;col=10&amp;number=&amp;sourceID=15","")</f>
        <v/>
      </c>
      <c r="K169" s="4" t="str">
        <f>HYPERLINK("http://141.218.60.56/~jnz1568/getInfo.php?workbook=03_02.xlsx&amp;sheet=A0&amp;row=169&amp;col=11&amp;number=&amp;sourceID=30","")</f>
        <v/>
      </c>
      <c r="L169" s="4" t="str">
        <f>HYPERLINK("http://141.218.60.56/~jnz1568/getInfo.php?workbook=03_02.xlsx&amp;sheet=A0&amp;row=169&amp;col=12&amp;number=&amp;sourceID=30","")</f>
        <v/>
      </c>
      <c r="M169" s="4" t="str">
        <f>HYPERLINK("http://141.218.60.56/~jnz1568/getInfo.php?workbook=03_02.xlsx&amp;sheet=A0&amp;row=169&amp;col=13&amp;number=2.309e-07&amp;sourceID=30","2.309e-07")</f>
        <v>2.309e-07</v>
      </c>
      <c r="N169" s="4" t="str">
        <f>HYPERLINK("http://141.218.60.56/~jnz1568/getInfo.php?workbook=03_02.xlsx&amp;sheet=A0&amp;row=169&amp;col=14&amp;number=&amp;sourceID=30","")</f>
        <v/>
      </c>
    </row>
    <row r="170" spans="1:14">
      <c r="A170" s="3">
        <v>3</v>
      </c>
      <c r="B170" s="3">
        <v>2</v>
      </c>
      <c r="C170" s="3">
        <v>21</v>
      </c>
      <c r="D170" s="3">
        <v>13</v>
      </c>
      <c r="E170" s="3">
        <f>((1/(INDEX(E0!J$4:J$52,C170,1)-INDEX(E0!J$4:J$52,D170,1))))*100000000</f>
        <v>0</v>
      </c>
      <c r="F170" s="4" t="str">
        <f>HYPERLINK("http://141.218.60.56/~jnz1568/getInfo.php?workbook=03_02.xlsx&amp;sheet=A0&amp;row=170&amp;col=6&amp;number=&amp;sourceID=27","")</f>
        <v/>
      </c>
      <c r="G170" s="4" t="str">
        <f>HYPERLINK("http://141.218.60.56/~jnz1568/getInfo.php?workbook=03_02.xlsx&amp;sheet=A0&amp;row=170&amp;col=7&amp;number=6987300&amp;sourceID=15","6987300")</f>
        <v>6987300</v>
      </c>
      <c r="H170" s="4" t="str">
        <f>HYPERLINK("http://141.218.60.56/~jnz1568/getInfo.php?workbook=03_02.xlsx&amp;sheet=A0&amp;row=170&amp;col=8&amp;number=&amp;sourceID=15","")</f>
        <v/>
      </c>
      <c r="I170" s="4" t="str">
        <f>HYPERLINK("http://141.218.60.56/~jnz1568/getInfo.php?workbook=03_02.xlsx&amp;sheet=A0&amp;row=170&amp;col=9&amp;number=&amp;sourceID=15","")</f>
        <v/>
      </c>
      <c r="J170" s="4" t="str">
        <f>HYPERLINK("http://141.218.60.56/~jnz1568/getInfo.php?workbook=03_02.xlsx&amp;sheet=A0&amp;row=170&amp;col=10&amp;number=&amp;sourceID=15","")</f>
        <v/>
      </c>
      <c r="K170" s="4" t="str">
        <f>HYPERLINK("http://141.218.60.56/~jnz1568/getInfo.php?workbook=03_02.xlsx&amp;sheet=A0&amp;row=170&amp;col=11&amp;number=6561000&amp;sourceID=30","6561000")</f>
        <v>6561000</v>
      </c>
      <c r="L170" s="4" t="str">
        <f>HYPERLINK("http://141.218.60.56/~jnz1568/getInfo.php?workbook=03_02.xlsx&amp;sheet=A0&amp;row=170&amp;col=12&amp;number=&amp;sourceID=30","")</f>
        <v/>
      </c>
      <c r="M170" s="4" t="str">
        <f>HYPERLINK("http://141.218.60.56/~jnz1568/getInfo.php?workbook=03_02.xlsx&amp;sheet=A0&amp;row=170&amp;col=13&amp;number=&amp;sourceID=30","")</f>
        <v/>
      </c>
      <c r="N170" s="4" t="str">
        <f>HYPERLINK("http://141.218.60.56/~jnz1568/getInfo.php?workbook=03_02.xlsx&amp;sheet=A0&amp;row=170&amp;col=14&amp;number=1.435e-05&amp;sourceID=30","1.435e-05")</f>
        <v>1.435e-05</v>
      </c>
    </row>
    <row r="171" spans="1:14">
      <c r="A171" s="3">
        <v>3</v>
      </c>
      <c r="B171" s="3">
        <v>2</v>
      </c>
      <c r="C171" s="3">
        <v>21</v>
      </c>
      <c r="D171" s="3">
        <v>14</v>
      </c>
      <c r="E171" s="3">
        <f>((1/(INDEX(E0!J$4:J$52,C171,1)-INDEX(E0!J$4:J$52,D171,1))))*100000000</f>
        <v>0</v>
      </c>
      <c r="F171" s="4" t="str">
        <f>HYPERLINK("http://141.218.60.56/~jnz1568/getInfo.php?workbook=03_02.xlsx&amp;sheet=A0&amp;row=171&amp;col=6&amp;number=&amp;sourceID=27","")</f>
        <v/>
      </c>
      <c r="G171" s="4" t="str">
        <f>HYPERLINK("http://141.218.60.56/~jnz1568/getInfo.php?workbook=03_02.xlsx&amp;sheet=A0&amp;row=171&amp;col=7&amp;number=&amp;sourceID=15","")</f>
        <v/>
      </c>
      <c r="H171" s="4" t="str">
        <f>HYPERLINK("http://141.218.60.56/~jnz1568/getInfo.php?workbook=03_02.xlsx&amp;sheet=A0&amp;row=171&amp;col=8&amp;number=&amp;sourceID=15","")</f>
        <v/>
      </c>
      <c r="I171" s="4" t="str">
        <f>HYPERLINK("http://141.218.60.56/~jnz1568/getInfo.php?workbook=03_02.xlsx&amp;sheet=A0&amp;row=171&amp;col=9&amp;number=&amp;sourceID=15","")</f>
        <v/>
      </c>
      <c r="J171" s="4" t="str">
        <f>HYPERLINK("http://141.218.60.56/~jnz1568/getInfo.php?workbook=03_02.xlsx&amp;sheet=A0&amp;row=171&amp;col=10&amp;number=&amp;sourceID=15","")</f>
        <v/>
      </c>
      <c r="K171" s="4" t="str">
        <f>HYPERLINK("http://141.218.60.56/~jnz1568/getInfo.php?workbook=03_02.xlsx&amp;sheet=A0&amp;row=171&amp;col=11&amp;number=&amp;sourceID=30","")</f>
        <v/>
      </c>
      <c r="L171" s="4" t="str">
        <f>HYPERLINK("http://141.218.60.56/~jnz1568/getInfo.php?workbook=03_02.xlsx&amp;sheet=A0&amp;row=171&amp;col=12&amp;number=&amp;sourceID=30","")</f>
        <v/>
      </c>
      <c r="M171" s="4" t="str">
        <f>HYPERLINK("http://141.218.60.56/~jnz1568/getInfo.php?workbook=03_02.xlsx&amp;sheet=A0&amp;row=171&amp;col=13&amp;number=&amp;sourceID=30","")</f>
        <v/>
      </c>
      <c r="N171" s="4" t="str">
        <f>HYPERLINK("http://141.218.60.56/~jnz1568/getInfo.php?workbook=03_02.xlsx&amp;sheet=A0&amp;row=171&amp;col=14&amp;number=1.295e-06&amp;sourceID=30","1.295e-06")</f>
        <v>1.295e-06</v>
      </c>
    </row>
    <row r="172" spans="1:14">
      <c r="A172" s="3">
        <v>3</v>
      </c>
      <c r="B172" s="3">
        <v>2</v>
      </c>
      <c r="C172" s="3">
        <v>21</v>
      </c>
      <c r="D172" s="3">
        <v>15</v>
      </c>
      <c r="E172" s="3">
        <f>((1/(INDEX(E0!J$4:J$52,C172,1)-INDEX(E0!J$4:J$52,D172,1))))*100000000</f>
        <v>0</v>
      </c>
      <c r="F172" s="4" t="str">
        <f>HYPERLINK("http://141.218.60.56/~jnz1568/getInfo.php?workbook=03_02.xlsx&amp;sheet=A0&amp;row=172&amp;col=6&amp;number=&amp;sourceID=27","")</f>
        <v/>
      </c>
      <c r="G172" s="4" t="str">
        <f>HYPERLINK("http://141.218.60.56/~jnz1568/getInfo.php?workbook=03_02.xlsx&amp;sheet=A0&amp;row=172&amp;col=7&amp;number=2329900&amp;sourceID=15","2329900")</f>
        <v>2329900</v>
      </c>
      <c r="H172" s="4" t="str">
        <f>HYPERLINK("http://141.218.60.56/~jnz1568/getInfo.php?workbook=03_02.xlsx&amp;sheet=A0&amp;row=172&amp;col=8&amp;number=&amp;sourceID=15","")</f>
        <v/>
      </c>
      <c r="I172" s="4" t="str">
        <f>HYPERLINK("http://141.218.60.56/~jnz1568/getInfo.php?workbook=03_02.xlsx&amp;sheet=A0&amp;row=172&amp;col=9&amp;number=&amp;sourceID=15","")</f>
        <v/>
      </c>
      <c r="J172" s="4" t="str">
        <f>HYPERLINK("http://141.218.60.56/~jnz1568/getInfo.php?workbook=03_02.xlsx&amp;sheet=A0&amp;row=172&amp;col=10&amp;number=&amp;sourceID=15","")</f>
        <v/>
      </c>
      <c r="K172" s="4" t="str">
        <f>HYPERLINK("http://141.218.60.56/~jnz1568/getInfo.php?workbook=03_02.xlsx&amp;sheet=A0&amp;row=172&amp;col=11&amp;number=2188000&amp;sourceID=30","2188000")</f>
        <v>2188000</v>
      </c>
      <c r="L172" s="4" t="str">
        <f>HYPERLINK("http://141.218.60.56/~jnz1568/getInfo.php?workbook=03_02.xlsx&amp;sheet=A0&amp;row=172&amp;col=12&amp;number=&amp;sourceID=30","")</f>
        <v/>
      </c>
      <c r="M172" s="4" t="str">
        <f>HYPERLINK("http://141.218.60.56/~jnz1568/getInfo.php?workbook=03_02.xlsx&amp;sheet=A0&amp;row=172&amp;col=13&amp;number=&amp;sourceID=30","")</f>
        <v/>
      </c>
      <c r="N172" s="4" t="str">
        <f>HYPERLINK("http://141.218.60.56/~jnz1568/getInfo.php?workbook=03_02.xlsx&amp;sheet=A0&amp;row=172&amp;col=14&amp;number=5.526e-07&amp;sourceID=30","5.526e-07")</f>
        <v>5.526e-07</v>
      </c>
    </row>
    <row r="173" spans="1:14">
      <c r="A173" s="3">
        <v>3</v>
      </c>
      <c r="B173" s="3">
        <v>2</v>
      </c>
      <c r="C173" s="3">
        <v>21</v>
      </c>
      <c r="D173" s="3">
        <v>16</v>
      </c>
      <c r="E173" s="3">
        <f>((1/(INDEX(E0!J$4:J$52,C173,1)-INDEX(E0!J$4:J$52,D173,1))))*100000000</f>
        <v>0</v>
      </c>
      <c r="F173" s="4" t="str">
        <f>HYPERLINK("http://141.218.60.56/~jnz1568/getInfo.php?workbook=03_02.xlsx&amp;sheet=A0&amp;row=173&amp;col=6&amp;number=&amp;sourceID=27","")</f>
        <v/>
      </c>
      <c r="G173" s="4" t="str">
        <f>HYPERLINK("http://141.218.60.56/~jnz1568/getInfo.php?workbook=03_02.xlsx&amp;sheet=A0&amp;row=173&amp;col=7&amp;number=&amp;sourceID=15","")</f>
        <v/>
      </c>
      <c r="H173" s="4" t="str">
        <f>HYPERLINK("http://141.218.60.56/~jnz1568/getInfo.php?workbook=03_02.xlsx&amp;sheet=A0&amp;row=173&amp;col=8&amp;number=&amp;sourceID=15","")</f>
        <v/>
      </c>
      <c r="I173" s="4" t="str">
        <f>HYPERLINK("http://141.218.60.56/~jnz1568/getInfo.php?workbook=03_02.xlsx&amp;sheet=A0&amp;row=173&amp;col=9&amp;number=&amp;sourceID=15","")</f>
        <v/>
      </c>
      <c r="J173" s="4" t="str">
        <f>HYPERLINK("http://141.218.60.56/~jnz1568/getInfo.php?workbook=03_02.xlsx&amp;sheet=A0&amp;row=173&amp;col=10&amp;number=&amp;sourceID=15","")</f>
        <v/>
      </c>
      <c r="K173" s="4" t="str">
        <f>HYPERLINK("http://141.218.60.56/~jnz1568/getInfo.php?workbook=03_02.xlsx&amp;sheet=A0&amp;row=173&amp;col=11&amp;number=1020&amp;sourceID=30","1020")</f>
        <v>1020</v>
      </c>
      <c r="L173" s="4" t="str">
        <f>HYPERLINK("http://141.218.60.56/~jnz1568/getInfo.php?workbook=03_02.xlsx&amp;sheet=A0&amp;row=173&amp;col=12&amp;number=&amp;sourceID=30","")</f>
        <v/>
      </c>
      <c r="M173" s="4" t="str">
        <f>HYPERLINK("http://141.218.60.56/~jnz1568/getInfo.php?workbook=03_02.xlsx&amp;sheet=A0&amp;row=173&amp;col=13&amp;number=&amp;sourceID=30","")</f>
        <v/>
      </c>
      <c r="N173" s="4" t="str">
        <f>HYPERLINK("http://141.218.60.56/~jnz1568/getInfo.php?workbook=03_02.xlsx&amp;sheet=A0&amp;row=173&amp;col=14&amp;number=1.298e-05&amp;sourceID=30","1.298e-05")</f>
        <v>1.298e-05</v>
      </c>
    </row>
    <row r="174" spans="1:14">
      <c r="A174" s="3">
        <v>3</v>
      </c>
      <c r="B174" s="3">
        <v>2</v>
      </c>
      <c r="C174" s="3">
        <v>21</v>
      </c>
      <c r="D174" s="3">
        <v>17</v>
      </c>
      <c r="E174" s="3">
        <f>((1/(INDEX(E0!J$4:J$52,C174,1)-INDEX(E0!J$4:J$52,D174,1))))*100000000</f>
        <v>0</v>
      </c>
      <c r="F174" s="4" t="str">
        <f>HYPERLINK("http://141.218.60.56/~jnz1568/getInfo.php?workbook=03_02.xlsx&amp;sheet=A0&amp;row=174&amp;col=6&amp;number=&amp;sourceID=27","")</f>
        <v/>
      </c>
      <c r="G174" s="4" t="str">
        <f>HYPERLINK("http://141.218.60.56/~jnz1568/getInfo.php?workbook=03_02.xlsx&amp;sheet=A0&amp;row=174&amp;col=7&amp;number=&amp;sourceID=15","")</f>
        <v/>
      </c>
      <c r="H174" s="4" t="str">
        <f>HYPERLINK("http://141.218.60.56/~jnz1568/getInfo.php?workbook=03_02.xlsx&amp;sheet=A0&amp;row=174&amp;col=8&amp;number=&amp;sourceID=15","")</f>
        <v/>
      </c>
      <c r="I174" s="4" t="str">
        <f>HYPERLINK("http://141.218.60.56/~jnz1568/getInfo.php?workbook=03_02.xlsx&amp;sheet=A0&amp;row=174&amp;col=9&amp;number=&amp;sourceID=15","")</f>
        <v/>
      </c>
      <c r="J174" s="4" t="str">
        <f>HYPERLINK("http://141.218.60.56/~jnz1568/getInfo.php?workbook=03_02.xlsx&amp;sheet=A0&amp;row=174&amp;col=10&amp;number=&amp;sourceID=15","")</f>
        <v/>
      </c>
      <c r="K174" s="4" t="str">
        <f>HYPERLINK("http://141.218.60.56/~jnz1568/getInfo.php?workbook=03_02.xlsx&amp;sheet=A0&amp;row=174&amp;col=11&amp;number=&amp;sourceID=30","")</f>
        <v/>
      </c>
      <c r="L174" s="4" t="str">
        <f>HYPERLINK("http://141.218.60.56/~jnz1568/getInfo.php?workbook=03_02.xlsx&amp;sheet=A0&amp;row=174&amp;col=12&amp;number=0.0001627&amp;sourceID=30","0.0001627")</f>
        <v>0.0001627</v>
      </c>
      <c r="M174" s="4" t="str">
        <f>HYPERLINK("http://141.218.60.56/~jnz1568/getInfo.php?workbook=03_02.xlsx&amp;sheet=A0&amp;row=174&amp;col=13&amp;number=6.046e-07&amp;sourceID=30","6.046e-07")</f>
        <v>6.046e-07</v>
      </c>
      <c r="N174" s="4" t="str">
        <f>HYPERLINK("http://141.218.60.56/~jnz1568/getInfo.php?workbook=03_02.xlsx&amp;sheet=A0&amp;row=174&amp;col=14&amp;number=&amp;sourceID=30","")</f>
        <v/>
      </c>
    </row>
    <row r="175" spans="1:14">
      <c r="A175" s="3">
        <v>3</v>
      </c>
      <c r="B175" s="3">
        <v>2</v>
      </c>
      <c r="C175" s="3">
        <v>21</v>
      </c>
      <c r="D175" s="3">
        <v>18</v>
      </c>
      <c r="E175" s="3">
        <f>((1/(INDEX(E0!J$4:J$52,C175,1)-INDEX(E0!J$4:J$52,D175,1))))*100000000</f>
        <v>0</v>
      </c>
      <c r="F175" s="4" t="str">
        <f>HYPERLINK("http://141.218.60.56/~jnz1568/getInfo.php?workbook=03_02.xlsx&amp;sheet=A0&amp;row=175&amp;col=6&amp;number=&amp;sourceID=27","")</f>
        <v/>
      </c>
      <c r="G175" s="4" t="str">
        <f>HYPERLINK("http://141.218.60.56/~jnz1568/getInfo.php?workbook=03_02.xlsx&amp;sheet=A0&amp;row=175&amp;col=7&amp;number=566800&amp;sourceID=15","566800")</f>
        <v>566800</v>
      </c>
      <c r="H175" s="4" t="str">
        <f>HYPERLINK("http://141.218.60.56/~jnz1568/getInfo.php?workbook=03_02.xlsx&amp;sheet=A0&amp;row=175&amp;col=8&amp;number=&amp;sourceID=15","")</f>
        <v/>
      </c>
      <c r="I175" s="4" t="str">
        <f>HYPERLINK("http://141.218.60.56/~jnz1568/getInfo.php?workbook=03_02.xlsx&amp;sheet=A0&amp;row=175&amp;col=9&amp;number=&amp;sourceID=15","")</f>
        <v/>
      </c>
      <c r="J175" s="4" t="str">
        <f>HYPERLINK("http://141.218.60.56/~jnz1568/getInfo.php?workbook=03_02.xlsx&amp;sheet=A0&amp;row=175&amp;col=10&amp;number=&amp;sourceID=15","")</f>
        <v/>
      </c>
      <c r="K175" s="4" t="str">
        <f>HYPERLINK("http://141.218.60.56/~jnz1568/getInfo.php?workbook=03_02.xlsx&amp;sheet=A0&amp;row=175&amp;col=11&amp;number=612300&amp;sourceID=30","612300")</f>
        <v>612300</v>
      </c>
      <c r="L175" s="4" t="str">
        <f>HYPERLINK("http://141.218.60.56/~jnz1568/getInfo.php?workbook=03_02.xlsx&amp;sheet=A0&amp;row=175&amp;col=12&amp;number=&amp;sourceID=30","")</f>
        <v/>
      </c>
      <c r="M175" s="4" t="str">
        <f>HYPERLINK("http://141.218.60.56/~jnz1568/getInfo.php?workbook=03_02.xlsx&amp;sheet=A0&amp;row=175&amp;col=13&amp;number=&amp;sourceID=30","")</f>
        <v/>
      </c>
      <c r="N175" s="4" t="str">
        <f>HYPERLINK("http://141.218.60.56/~jnz1568/getInfo.php?workbook=03_02.xlsx&amp;sheet=A0&amp;row=175&amp;col=14&amp;number=8.475e-09&amp;sourceID=30","8.475e-09")</f>
        <v>8.475e-09</v>
      </c>
    </row>
    <row r="176" spans="1:14">
      <c r="A176" s="3">
        <v>3</v>
      </c>
      <c r="B176" s="3">
        <v>2</v>
      </c>
      <c r="C176" s="3">
        <v>21</v>
      </c>
      <c r="D176" s="3">
        <v>20</v>
      </c>
      <c r="E176" s="3">
        <f>((1/(INDEX(E0!J$4:J$52,C176,1)-INDEX(E0!J$4:J$52,D176,1))))*100000000</f>
        <v>0</v>
      </c>
      <c r="F176" s="4" t="str">
        <f>HYPERLINK("http://141.218.60.56/~jnz1568/getInfo.php?workbook=03_02.xlsx&amp;sheet=A0&amp;row=176&amp;col=6&amp;number=&amp;sourceID=27","")</f>
        <v/>
      </c>
      <c r="G176" s="4" t="str">
        <f>HYPERLINK("http://141.218.60.56/~jnz1568/getInfo.php?workbook=03_02.xlsx&amp;sheet=A0&amp;row=176&amp;col=7&amp;number=&amp;sourceID=15","")</f>
        <v/>
      </c>
      <c r="H176" s="4" t="str">
        <f>HYPERLINK("http://141.218.60.56/~jnz1568/getInfo.php?workbook=03_02.xlsx&amp;sheet=A0&amp;row=176&amp;col=8&amp;number=&amp;sourceID=15","")</f>
        <v/>
      </c>
      <c r="I176" s="4" t="str">
        <f>HYPERLINK("http://141.218.60.56/~jnz1568/getInfo.php?workbook=03_02.xlsx&amp;sheet=A0&amp;row=176&amp;col=9&amp;number=&amp;sourceID=15","")</f>
        <v/>
      </c>
      <c r="J176" s="4" t="str">
        <f>HYPERLINK("http://141.218.60.56/~jnz1568/getInfo.php?workbook=03_02.xlsx&amp;sheet=A0&amp;row=176&amp;col=10&amp;number=&amp;sourceID=15","")</f>
        <v/>
      </c>
      <c r="K176" s="4" t="str">
        <f>HYPERLINK("http://141.218.60.56/~jnz1568/getInfo.php?workbook=03_02.xlsx&amp;sheet=A0&amp;row=176&amp;col=11&amp;number=&amp;sourceID=30","")</f>
        <v/>
      </c>
      <c r="L176" s="4" t="str">
        <f>HYPERLINK("http://141.218.60.56/~jnz1568/getInfo.php?workbook=03_02.xlsx&amp;sheet=A0&amp;row=176&amp;col=12&amp;number=&amp;sourceID=30","")</f>
        <v/>
      </c>
      <c r="M176" s="4" t="str">
        <f>HYPERLINK("http://141.218.60.56/~jnz1568/getInfo.php?workbook=03_02.xlsx&amp;sheet=A0&amp;row=176&amp;col=13&amp;number=6.793e-12&amp;sourceID=30","6.793e-12")</f>
        <v>6.793e-12</v>
      </c>
      <c r="N176" s="4" t="str">
        <f>HYPERLINK("http://141.218.60.56/~jnz1568/getInfo.php?workbook=03_02.xlsx&amp;sheet=A0&amp;row=176&amp;col=14&amp;number=&amp;sourceID=30","")</f>
        <v/>
      </c>
    </row>
    <row r="177" spans="1:14">
      <c r="A177" s="3">
        <v>3</v>
      </c>
      <c r="B177" s="3">
        <v>2</v>
      </c>
      <c r="C177" s="3">
        <v>22</v>
      </c>
      <c r="D177" s="3">
        <v>1</v>
      </c>
      <c r="E177" s="3">
        <f>((1/(INDEX(E0!J$4:J$52,C177,1)-INDEX(E0!J$4:J$52,D177,1))))*100000000</f>
        <v>0</v>
      </c>
      <c r="F177" s="4" t="str">
        <f>HYPERLINK("http://141.218.60.56/~jnz1568/getInfo.php?workbook=03_02.xlsx&amp;sheet=A0&amp;row=177&amp;col=6&amp;number=&amp;sourceID=27","")</f>
        <v/>
      </c>
      <c r="G177" s="4" t="str">
        <f>HYPERLINK("http://141.218.60.56/~jnz1568/getInfo.php?workbook=03_02.xlsx&amp;sheet=A0&amp;row=177&amp;col=7&amp;number=&amp;sourceID=15","")</f>
        <v/>
      </c>
      <c r="H177" s="4" t="str">
        <f>HYPERLINK("http://141.218.60.56/~jnz1568/getInfo.php?workbook=03_02.xlsx&amp;sheet=A0&amp;row=177&amp;col=8&amp;number=&amp;sourceID=15","")</f>
        <v/>
      </c>
      <c r="I177" s="4" t="str">
        <f>HYPERLINK("http://141.218.60.56/~jnz1568/getInfo.php?workbook=03_02.xlsx&amp;sheet=A0&amp;row=177&amp;col=9&amp;number=&amp;sourceID=15","")</f>
        <v/>
      </c>
      <c r="J177" s="4" t="str">
        <f>HYPERLINK("http://141.218.60.56/~jnz1568/getInfo.php?workbook=03_02.xlsx&amp;sheet=A0&amp;row=177&amp;col=10&amp;number=5.32&amp;sourceID=15","5.32")</f>
        <v>5.32</v>
      </c>
      <c r="K177" s="4" t="str">
        <f>HYPERLINK("http://141.218.60.56/~jnz1568/getInfo.php?workbook=03_02.xlsx&amp;sheet=A0&amp;row=177&amp;col=11&amp;number=&amp;sourceID=30","")</f>
        <v/>
      </c>
      <c r="L177" s="4" t="str">
        <f>HYPERLINK("http://141.218.60.56/~jnz1568/getInfo.php?workbook=03_02.xlsx&amp;sheet=A0&amp;row=177&amp;col=12&amp;number=&amp;sourceID=30","")</f>
        <v/>
      </c>
      <c r="M177" s="4" t="str">
        <f>HYPERLINK("http://141.218.60.56/~jnz1568/getInfo.php?workbook=03_02.xlsx&amp;sheet=A0&amp;row=177&amp;col=13&amp;number=&amp;sourceID=30","")</f>
        <v/>
      </c>
      <c r="N177" s="4" t="str">
        <f>HYPERLINK("http://141.218.60.56/~jnz1568/getInfo.php?workbook=03_02.xlsx&amp;sheet=A0&amp;row=177&amp;col=14&amp;number=10.76&amp;sourceID=30","10.76")</f>
        <v>10.76</v>
      </c>
    </row>
    <row r="178" spans="1:14">
      <c r="A178" s="3">
        <v>3</v>
      </c>
      <c r="B178" s="3">
        <v>2</v>
      </c>
      <c r="C178" s="3">
        <v>22</v>
      </c>
      <c r="D178" s="3">
        <v>2</v>
      </c>
      <c r="E178" s="3">
        <f>((1/(INDEX(E0!J$4:J$52,C178,1)-INDEX(E0!J$4:J$52,D178,1))))*100000000</f>
        <v>0</v>
      </c>
      <c r="F178" s="4" t="str">
        <f>HYPERLINK("http://141.218.60.56/~jnz1568/getInfo.php?workbook=03_02.xlsx&amp;sheet=A0&amp;row=178&amp;col=6&amp;number=&amp;sourceID=27","")</f>
        <v/>
      </c>
      <c r="G178" s="4" t="str">
        <f>HYPERLINK("http://141.218.60.56/~jnz1568/getInfo.php?workbook=03_02.xlsx&amp;sheet=A0&amp;row=178&amp;col=7&amp;number=143290000&amp;sourceID=15","143290000")</f>
        <v>143290000</v>
      </c>
      <c r="H178" s="4" t="str">
        <f>HYPERLINK("http://141.218.60.56/~jnz1568/getInfo.php?workbook=03_02.xlsx&amp;sheet=A0&amp;row=178&amp;col=8&amp;number=&amp;sourceID=15","")</f>
        <v/>
      </c>
      <c r="I178" s="4" t="str">
        <f>HYPERLINK("http://141.218.60.56/~jnz1568/getInfo.php?workbook=03_02.xlsx&amp;sheet=A0&amp;row=178&amp;col=9&amp;number=&amp;sourceID=15","")</f>
        <v/>
      </c>
      <c r="J178" s="4" t="str">
        <f>HYPERLINK("http://141.218.60.56/~jnz1568/getInfo.php?workbook=03_02.xlsx&amp;sheet=A0&amp;row=178&amp;col=10&amp;number=&amp;sourceID=15","")</f>
        <v/>
      </c>
      <c r="K178" s="4" t="str">
        <f>HYPERLINK("http://141.218.60.56/~jnz1568/getInfo.php?workbook=03_02.xlsx&amp;sheet=A0&amp;row=178&amp;col=11&amp;number=113400000&amp;sourceID=30","113400000")</f>
        <v>113400000</v>
      </c>
      <c r="L178" s="4" t="str">
        <f>HYPERLINK("http://141.218.60.56/~jnz1568/getInfo.php?workbook=03_02.xlsx&amp;sheet=A0&amp;row=178&amp;col=12&amp;number=&amp;sourceID=30","")</f>
        <v/>
      </c>
      <c r="M178" s="4" t="str">
        <f>HYPERLINK("http://141.218.60.56/~jnz1568/getInfo.php?workbook=03_02.xlsx&amp;sheet=A0&amp;row=178&amp;col=13&amp;number=&amp;sourceID=30","")</f>
        <v/>
      </c>
      <c r="N178" s="4" t="str">
        <f>HYPERLINK("http://141.218.60.56/~jnz1568/getInfo.php?workbook=03_02.xlsx&amp;sheet=A0&amp;row=178&amp;col=14&amp;number=0.008356&amp;sourceID=30","0.008356")</f>
        <v>0.008356</v>
      </c>
    </row>
    <row r="179" spans="1:14">
      <c r="A179" s="3">
        <v>3</v>
      </c>
      <c r="B179" s="3">
        <v>2</v>
      </c>
      <c r="C179" s="3">
        <v>22</v>
      </c>
      <c r="D179" s="3">
        <v>3</v>
      </c>
      <c r="E179" s="3">
        <f>((1/(INDEX(E0!J$4:J$52,C179,1)-INDEX(E0!J$4:J$52,D179,1))))*100000000</f>
        <v>0</v>
      </c>
      <c r="F179" s="4" t="str">
        <f>HYPERLINK("http://141.218.60.56/~jnz1568/getInfo.php?workbook=03_02.xlsx&amp;sheet=A0&amp;row=179&amp;col=6&amp;number=&amp;sourceID=27","")</f>
        <v/>
      </c>
      <c r="G179" s="4" t="str">
        <f>HYPERLINK("http://141.218.60.56/~jnz1568/getInfo.php?workbook=03_02.xlsx&amp;sheet=A0&amp;row=179&amp;col=7&amp;number=&amp;sourceID=15","")</f>
        <v/>
      </c>
      <c r="H179" s="4" t="str">
        <f>HYPERLINK("http://141.218.60.56/~jnz1568/getInfo.php?workbook=03_02.xlsx&amp;sheet=A0&amp;row=179&amp;col=8&amp;number=&amp;sourceID=15","")</f>
        <v/>
      </c>
      <c r="I179" s="4" t="str">
        <f>HYPERLINK("http://141.218.60.56/~jnz1568/getInfo.php?workbook=03_02.xlsx&amp;sheet=A0&amp;row=179&amp;col=9&amp;number=&amp;sourceID=15","")</f>
        <v/>
      </c>
      <c r="J179" s="4" t="str">
        <f>HYPERLINK("http://141.218.60.56/~jnz1568/getInfo.php?workbook=03_02.xlsx&amp;sheet=A0&amp;row=179&amp;col=10&amp;number=&amp;sourceID=15","")</f>
        <v/>
      </c>
      <c r="K179" s="4" t="str">
        <f>HYPERLINK("http://141.218.60.56/~jnz1568/getInfo.php?workbook=03_02.xlsx&amp;sheet=A0&amp;row=179&amp;col=11&amp;number=&amp;sourceID=30","")</f>
        <v/>
      </c>
      <c r="L179" s="4" t="str">
        <f>HYPERLINK("http://141.218.60.56/~jnz1568/getInfo.php?workbook=03_02.xlsx&amp;sheet=A0&amp;row=179&amp;col=12&amp;number=&amp;sourceID=30","")</f>
        <v/>
      </c>
      <c r="M179" s="4" t="str">
        <f>HYPERLINK("http://141.218.60.56/~jnz1568/getInfo.php?workbook=03_02.xlsx&amp;sheet=A0&amp;row=179&amp;col=13&amp;number=&amp;sourceID=30","")</f>
        <v/>
      </c>
      <c r="N179" s="4" t="str">
        <f>HYPERLINK("http://141.218.60.56/~jnz1568/getInfo.php?workbook=03_02.xlsx&amp;sheet=A0&amp;row=179&amp;col=14&amp;number=0.008187&amp;sourceID=30","0.008187")</f>
        <v>0.008187</v>
      </c>
    </row>
    <row r="180" spans="1:14">
      <c r="A180" s="3">
        <v>3</v>
      </c>
      <c r="B180" s="3">
        <v>2</v>
      </c>
      <c r="C180" s="3">
        <v>22</v>
      </c>
      <c r="D180" s="3">
        <v>4</v>
      </c>
      <c r="E180" s="3">
        <f>((1/(INDEX(E0!J$4:J$52,C180,1)-INDEX(E0!J$4:J$52,D180,1))))*100000000</f>
        <v>0</v>
      </c>
      <c r="F180" s="4" t="str">
        <f>HYPERLINK("http://141.218.60.56/~jnz1568/getInfo.php?workbook=03_02.xlsx&amp;sheet=A0&amp;row=180&amp;col=6&amp;number=&amp;sourceID=27","")</f>
        <v/>
      </c>
      <c r="G180" s="4" t="str">
        <f>HYPERLINK("http://141.218.60.56/~jnz1568/getInfo.php?workbook=03_02.xlsx&amp;sheet=A0&amp;row=180&amp;col=7&amp;number=&amp;sourceID=15","")</f>
        <v/>
      </c>
      <c r="H180" s="4" t="str">
        <f>HYPERLINK("http://141.218.60.56/~jnz1568/getInfo.php?workbook=03_02.xlsx&amp;sheet=A0&amp;row=180&amp;col=8&amp;number=&amp;sourceID=15","")</f>
        <v/>
      </c>
      <c r="I180" s="4" t="str">
        <f>HYPERLINK("http://141.218.60.56/~jnz1568/getInfo.php?workbook=03_02.xlsx&amp;sheet=A0&amp;row=180&amp;col=9&amp;number=&amp;sourceID=15","")</f>
        <v/>
      </c>
      <c r="J180" s="4" t="str">
        <f>HYPERLINK("http://141.218.60.56/~jnz1568/getInfo.php?workbook=03_02.xlsx&amp;sheet=A0&amp;row=180&amp;col=10&amp;number=&amp;sourceID=15","")</f>
        <v/>
      </c>
      <c r="K180" s="4" t="str">
        <f>HYPERLINK("http://141.218.60.56/~jnz1568/getInfo.php?workbook=03_02.xlsx&amp;sheet=A0&amp;row=180&amp;col=11&amp;number=&amp;sourceID=30","")</f>
        <v/>
      </c>
      <c r="L180" s="4" t="str">
        <f>HYPERLINK("http://141.218.60.56/~jnz1568/getInfo.php?workbook=03_02.xlsx&amp;sheet=A0&amp;row=180&amp;col=12&amp;number=230&amp;sourceID=30","230")</f>
        <v>230</v>
      </c>
      <c r="M180" s="4" t="str">
        <f>HYPERLINK("http://141.218.60.56/~jnz1568/getInfo.php?workbook=03_02.xlsx&amp;sheet=A0&amp;row=180&amp;col=13&amp;number=5.381e-07&amp;sourceID=30","5.381e-07")</f>
        <v>5.381e-07</v>
      </c>
      <c r="N180" s="4" t="str">
        <f>HYPERLINK("http://141.218.60.56/~jnz1568/getInfo.php?workbook=03_02.xlsx&amp;sheet=A0&amp;row=180&amp;col=14&amp;number=&amp;sourceID=30","")</f>
        <v/>
      </c>
    </row>
    <row r="181" spans="1:14">
      <c r="A181" s="3">
        <v>3</v>
      </c>
      <c r="B181" s="3">
        <v>2</v>
      </c>
      <c r="C181" s="3">
        <v>22</v>
      </c>
      <c r="D181" s="3">
        <v>5</v>
      </c>
      <c r="E181" s="3">
        <f>((1/(INDEX(E0!J$4:J$52,C181,1)-INDEX(E0!J$4:J$52,D181,1))))*100000000</f>
        <v>0</v>
      </c>
      <c r="F181" s="4" t="str">
        <f>HYPERLINK("http://141.218.60.56/~jnz1568/getInfo.php?workbook=03_02.xlsx&amp;sheet=A0&amp;row=181&amp;col=6&amp;number=&amp;sourceID=27","")</f>
        <v/>
      </c>
      <c r="G181" s="4" t="str">
        <f>HYPERLINK("http://141.218.60.56/~jnz1568/getInfo.php?workbook=03_02.xlsx&amp;sheet=A0&amp;row=181&amp;col=7&amp;number=&amp;sourceID=15","")</f>
        <v/>
      </c>
      <c r="H181" s="4" t="str">
        <f>HYPERLINK("http://141.218.60.56/~jnz1568/getInfo.php?workbook=03_02.xlsx&amp;sheet=A0&amp;row=181&amp;col=8&amp;number=&amp;sourceID=15","")</f>
        <v/>
      </c>
      <c r="I181" s="4" t="str">
        <f>HYPERLINK("http://141.218.60.56/~jnz1568/getInfo.php?workbook=03_02.xlsx&amp;sheet=A0&amp;row=181&amp;col=9&amp;number=&amp;sourceID=15","")</f>
        <v/>
      </c>
      <c r="J181" s="4" t="str">
        <f>HYPERLINK("http://141.218.60.56/~jnz1568/getInfo.php?workbook=03_02.xlsx&amp;sheet=A0&amp;row=181&amp;col=10&amp;number=&amp;sourceID=15","")</f>
        <v/>
      </c>
      <c r="K181" s="4" t="str">
        <f>HYPERLINK("http://141.218.60.56/~jnz1568/getInfo.php?workbook=03_02.xlsx&amp;sheet=A0&amp;row=181&amp;col=11&amp;number=&amp;sourceID=30","")</f>
        <v/>
      </c>
      <c r="L181" s="4" t="str">
        <f>HYPERLINK("http://141.218.60.56/~jnz1568/getInfo.php?workbook=03_02.xlsx&amp;sheet=A0&amp;row=181&amp;col=12&amp;number=178.7&amp;sourceID=30","178.7")</f>
        <v>178.7</v>
      </c>
      <c r="M181" s="4" t="str">
        <f>HYPERLINK("http://141.218.60.56/~jnz1568/getInfo.php?workbook=03_02.xlsx&amp;sheet=A0&amp;row=181&amp;col=13&amp;number=4.017e-06&amp;sourceID=30","4.017e-06")</f>
        <v>4.017e-06</v>
      </c>
      <c r="N181" s="4" t="str">
        <f>HYPERLINK("http://141.218.60.56/~jnz1568/getInfo.php?workbook=03_02.xlsx&amp;sheet=A0&amp;row=181&amp;col=14&amp;number=&amp;sourceID=30","")</f>
        <v/>
      </c>
    </row>
    <row r="182" spans="1:14">
      <c r="A182" s="3">
        <v>3</v>
      </c>
      <c r="B182" s="3">
        <v>2</v>
      </c>
      <c r="C182" s="3">
        <v>22</v>
      </c>
      <c r="D182" s="3">
        <v>6</v>
      </c>
      <c r="E182" s="3">
        <f>((1/(INDEX(E0!J$4:J$52,C182,1)-INDEX(E0!J$4:J$52,D182,1))))*100000000</f>
        <v>0</v>
      </c>
      <c r="F182" s="4" t="str">
        <f>HYPERLINK("http://141.218.60.56/~jnz1568/getInfo.php?workbook=03_02.xlsx&amp;sheet=A0&amp;row=182&amp;col=6&amp;number=&amp;sourceID=27","")</f>
        <v/>
      </c>
      <c r="G182" s="4" t="str">
        <f>HYPERLINK("http://141.218.60.56/~jnz1568/getInfo.php?workbook=03_02.xlsx&amp;sheet=A0&amp;row=182&amp;col=7&amp;number=&amp;sourceID=15","")</f>
        <v/>
      </c>
      <c r="H182" s="4" t="str">
        <f>HYPERLINK("http://141.218.60.56/~jnz1568/getInfo.php?workbook=03_02.xlsx&amp;sheet=A0&amp;row=182&amp;col=8&amp;number=&amp;sourceID=15","")</f>
        <v/>
      </c>
      <c r="I182" s="4" t="str">
        <f>HYPERLINK("http://141.218.60.56/~jnz1568/getInfo.php?workbook=03_02.xlsx&amp;sheet=A0&amp;row=182&amp;col=9&amp;number=&amp;sourceID=15","")</f>
        <v/>
      </c>
      <c r="J182" s="4" t="str">
        <f>HYPERLINK("http://141.218.60.56/~jnz1568/getInfo.php?workbook=03_02.xlsx&amp;sheet=A0&amp;row=182&amp;col=10&amp;number=&amp;sourceID=15","")</f>
        <v/>
      </c>
      <c r="K182" s="4" t="str">
        <f>HYPERLINK("http://141.218.60.56/~jnz1568/getInfo.php?workbook=03_02.xlsx&amp;sheet=A0&amp;row=182&amp;col=11&amp;number=&amp;sourceID=30","")</f>
        <v/>
      </c>
      <c r="L182" s="4" t="str">
        <f>HYPERLINK("http://141.218.60.56/~jnz1568/getInfo.php?workbook=03_02.xlsx&amp;sheet=A0&amp;row=182&amp;col=12&amp;number=102.3&amp;sourceID=30","102.3")</f>
        <v>102.3</v>
      </c>
      <c r="M182" s="4" t="str">
        <f>HYPERLINK("http://141.218.60.56/~jnz1568/getInfo.php?workbook=03_02.xlsx&amp;sheet=A0&amp;row=182&amp;col=13&amp;number=&amp;sourceID=30","")</f>
        <v/>
      </c>
      <c r="N182" s="4" t="str">
        <f>HYPERLINK("http://141.218.60.56/~jnz1568/getInfo.php?workbook=03_02.xlsx&amp;sheet=A0&amp;row=182&amp;col=14&amp;number=&amp;sourceID=30","")</f>
        <v/>
      </c>
    </row>
    <row r="183" spans="1:14">
      <c r="A183" s="3">
        <v>3</v>
      </c>
      <c r="B183" s="3">
        <v>2</v>
      </c>
      <c r="C183" s="3">
        <v>22</v>
      </c>
      <c r="D183" s="3">
        <v>7</v>
      </c>
      <c r="E183" s="3">
        <f>((1/(INDEX(E0!J$4:J$52,C183,1)-INDEX(E0!J$4:J$52,D183,1))))*100000000</f>
        <v>0</v>
      </c>
      <c r="F183" s="4" t="str">
        <f>HYPERLINK("http://141.218.60.56/~jnz1568/getInfo.php?workbook=03_02.xlsx&amp;sheet=A0&amp;row=183&amp;col=6&amp;number=&amp;sourceID=27","")</f>
        <v/>
      </c>
      <c r="G183" s="4" t="str">
        <f>HYPERLINK("http://141.218.60.56/~jnz1568/getInfo.php?workbook=03_02.xlsx&amp;sheet=A0&amp;row=183&amp;col=7&amp;number=&amp;sourceID=15","")</f>
        <v/>
      </c>
      <c r="H183" s="4" t="str">
        <f>HYPERLINK("http://141.218.60.56/~jnz1568/getInfo.php?workbook=03_02.xlsx&amp;sheet=A0&amp;row=183&amp;col=8&amp;number=&amp;sourceID=15","")</f>
        <v/>
      </c>
      <c r="I183" s="4" t="str">
        <f>HYPERLINK("http://141.218.60.56/~jnz1568/getInfo.php?workbook=03_02.xlsx&amp;sheet=A0&amp;row=183&amp;col=9&amp;number=&amp;sourceID=15","")</f>
        <v/>
      </c>
      <c r="J183" s="4" t="str">
        <f>HYPERLINK("http://141.218.60.56/~jnz1568/getInfo.php?workbook=03_02.xlsx&amp;sheet=A0&amp;row=183&amp;col=10&amp;number=&amp;sourceID=15","")</f>
        <v/>
      </c>
      <c r="K183" s="4" t="str">
        <f>HYPERLINK("http://141.218.60.56/~jnz1568/getInfo.php?workbook=03_02.xlsx&amp;sheet=A0&amp;row=183&amp;col=11&amp;number=&amp;sourceID=30","")</f>
        <v/>
      </c>
      <c r="L183" s="4" t="str">
        <f>HYPERLINK("http://141.218.60.56/~jnz1568/getInfo.php?workbook=03_02.xlsx&amp;sheet=A0&amp;row=183&amp;col=12&amp;number=0.0001391&amp;sourceID=30","0.0001391")</f>
        <v>0.0001391</v>
      </c>
      <c r="M183" s="4" t="str">
        <f>HYPERLINK("http://141.218.60.56/~jnz1568/getInfo.php?workbook=03_02.xlsx&amp;sheet=A0&amp;row=183&amp;col=13&amp;number=3.314e-07&amp;sourceID=30","3.314e-07")</f>
        <v>3.314e-07</v>
      </c>
      <c r="N183" s="4" t="str">
        <f>HYPERLINK("http://141.218.60.56/~jnz1568/getInfo.php?workbook=03_02.xlsx&amp;sheet=A0&amp;row=183&amp;col=14&amp;number=&amp;sourceID=30","")</f>
        <v/>
      </c>
    </row>
    <row r="184" spans="1:14">
      <c r="A184" s="3">
        <v>3</v>
      </c>
      <c r="B184" s="3">
        <v>2</v>
      </c>
      <c r="C184" s="3">
        <v>22</v>
      </c>
      <c r="D184" s="3">
        <v>8</v>
      </c>
      <c r="E184" s="3">
        <f>((1/(INDEX(E0!J$4:J$52,C184,1)-INDEX(E0!J$4:J$52,D184,1))))*100000000</f>
        <v>0</v>
      </c>
      <c r="F184" s="4" t="str">
        <f>HYPERLINK("http://141.218.60.56/~jnz1568/getInfo.php?workbook=03_02.xlsx&amp;sheet=A0&amp;row=184&amp;col=6&amp;number=&amp;sourceID=27","")</f>
        <v/>
      </c>
      <c r="G184" s="4" t="str">
        <f>HYPERLINK("http://141.218.60.56/~jnz1568/getInfo.php?workbook=03_02.xlsx&amp;sheet=A0&amp;row=184&amp;col=7&amp;number=30580000&amp;sourceID=15","30580000")</f>
        <v>30580000</v>
      </c>
      <c r="H184" s="4" t="str">
        <f>HYPERLINK("http://141.218.60.56/~jnz1568/getInfo.php?workbook=03_02.xlsx&amp;sheet=A0&amp;row=184&amp;col=8&amp;number=&amp;sourceID=15","")</f>
        <v/>
      </c>
      <c r="I184" s="4" t="str">
        <f>HYPERLINK("http://141.218.60.56/~jnz1568/getInfo.php?workbook=03_02.xlsx&amp;sheet=A0&amp;row=184&amp;col=9&amp;number=&amp;sourceID=15","")</f>
        <v/>
      </c>
      <c r="J184" s="4" t="str">
        <f>HYPERLINK("http://141.218.60.56/~jnz1568/getInfo.php?workbook=03_02.xlsx&amp;sheet=A0&amp;row=184&amp;col=10&amp;number=&amp;sourceID=15","")</f>
        <v/>
      </c>
      <c r="K184" s="4" t="str">
        <f>HYPERLINK("http://141.218.60.56/~jnz1568/getInfo.php?workbook=03_02.xlsx&amp;sheet=A0&amp;row=184&amp;col=11&amp;number=27500000&amp;sourceID=30","27500000")</f>
        <v>27500000</v>
      </c>
      <c r="L184" s="4" t="str">
        <f>HYPERLINK("http://141.218.60.56/~jnz1568/getInfo.php?workbook=03_02.xlsx&amp;sheet=A0&amp;row=184&amp;col=12&amp;number=&amp;sourceID=30","")</f>
        <v/>
      </c>
      <c r="M184" s="4" t="str">
        <f>HYPERLINK("http://141.218.60.56/~jnz1568/getInfo.php?workbook=03_02.xlsx&amp;sheet=A0&amp;row=184&amp;col=13&amp;number=&amp;sourceID=30","")</f>
        <v/>
      </c>
      <c r="N184" s="4" t="str">
        <f>HYPERLINK("http://141.218.60.56/~jnz1568/getInfo.php?workbook=03_02.xlsx&amp;sheet=A0&amp;row=184&amp;col=14&amp;number=0.0001337&amp;sourceID=30","0.0001337")</f>
        <v>0.0001337</v>
      </c>
    </row>
    <row r="185" spans="1:14">
      <c r="A185" s="3">
        <v>3</v>
      </c>
      <c r="B185" s="3">
        <v>2</v>
      </c>
      <c r="C185" s="3">
        <v>22</v>
      </c>
      <c r="D185" s="3">
        <v>9</v>
      </c>
      <c r="E185" s="3">
        <f>((1/(INDEX(E0!J$4:J$52,C185,1)-INDEX(E0!J$4:J$52,D185,1))))*100000000</f>
        <v>0</v>
      </c>
      <c r="F185" s="4" t="str">
        <f>HYPERLINK("http://141.218.60.56/~jnz1568/getInfo.php?workbook=03_02.xlsx&amp;sheet=A0&amp;row=185&amp;col=6&amp;number=&amp;sourceID=27","")</f>
        <v/>
      </c>
      <c r="G185" s="4" t="str">
        <f>HYPERLINK("http://141.218.60.56/~jnz1568/getInfo.php?workbook=03_02.xlsx&amp;sheet=A0&amp;row=185&amp;col=7&amp;number=&amp;sourceID=15","")</f>
        <v/>
      </c>
      <c r="H185" s="4" t="str">
        <f>HYPERLINK("http://141.218.60.56/~jnz1568/getInfo.php?workbook=03_02.xlsx&amp;sheet=A0&amp;row=185&amp;col=8&amp;number=&amp;sourceID=15","")</f>
        <v/>
      </c>
      <c r="I185" s="4" t="str">
        <f>HYPERLINK("http://141.218.60.56/~jnz1568/getInfo.php?workbook=03_02.xlsx&amp;sheet=A0&amp;row=185&amp;col=9&amp;number=&amp;sourceID=15","")</f>
        <v/>
      </c>
      <c r="J185" s="4" t="str">
        <f>HYPERLINK("http://141.218.60.56/~jnz1568/getInfo.php?workbook=03_02.xlsx&amp;sheet=A0&amp;row=185&amp;col=10&amp;number=&amp;sourceID=15","")</f>
        <v/>
      </c>
      <c r="K185" s="4" t="str">
        <f>HYPERLINK("http://141.218.60.56/~jnz1568/getInfo.php?workbook=03_02.xlsx&amp;sheet=A0&amp;row=185&amp;col=11&amp;number=&amp;sourceID=30","")</f>
        <v/>
      </c>
      <c r="L185" s="4" t="str">
        <f>HYPERLINK("http://141.218.60.56/~jnz1568/getInfo.php?workbook=03_02.xlsx&amp;sheet=A0&amp;row=185&amp;col=12&amp;number=&amp;sourceID=30","")</f>
        <v/>
      </c>
      <c r="M185" s="4" t="str">
        <f>HYPERLINK("http://141.218.60.56/~jnz1568/getInfo.php?workbook=03_02.xlsx&amp;sheet=A0&amp;row=185&amp;col=13&amp;number=&amp;sourceID=30","")</f>
        <v/>
      </c>
      <c r="N185" s="4" t="str">
        <f>HYPERLINK("http://141.218.60.56/~jnz1568/getInfo.php?workbook=03_02.xlsx&amp;sheet=A0&amp;row=185&amp;col=14&amp;number=0.0001297&amp;sourceID=30","0.0001297")</f>
        <v>0.0001297</v>
      </c>
    </row>
    <row r="186" spans="1:14">
      <c r="A186" s="3">
        <v>3</v>
      </c>
      <c r="B186" s="3">
        <v>2</v>
      </c>
      <c r="C186" s="3">
        <v>22</v>
      </c>
      <c r="D186" s="3">
        <v>10</v>
      </c>
      <c r="E186" s="3">
        <f>((1/(INDEX(E0!J$4:J$52,C186,1)-INDEX(E0!J$4:J$52,D186,1))))*100000000</f>
        <v>0</v>
      </c>
      <c r="F186" s="4" t="str">
        <f>HYPERLINK("http://141.218.60.56/~jnz1568/getInfo.php?workbook=03_02.xlsx&amp;sheet=A0&amp;row=186&amp;col=6&amp;number=&amp;sourceID=27","")</f>
        <v/>
      </c>
      <c r="G186" s="4" t="str">
        <f>HYPERLINK("http://141.218.60.56/~jnz1568/getInfo.php?workbook=03_02.xlsx&amp;sheet=A0&amp;row=186&amp;col=7&amp;number=&amp;sourceID=15","")</f>
        <v/>
      </c>
      <c r="H186" s="4" t="str">
        <f>HYPERLINK("http://141.218.60.56/~jnz1568/getInfo.php?workbook=03_02.xlsx&amp;sheet=A0&amp;row=186&amp;col=8&amp;number=&amp;sourceID=15","")</f>
        <v/>
      </c>
      <c r="I186" s="4" t="str">
        <f>HYPERLINK("http://141.218.60.56/~jnz1568/getInfo.php?workbook=03_02.xlsx&amp;sheet=A0&amp;row=186&amp;col=9&amp;number=&amp;sourceID=15","")</f>
        <v/>
      </c>
      <c r="J186" s="4" t="str">
        <f>HYPERLINK("http://141.218.60.56/~jnz1568/getInfo.php?workbook=03_02.xlsx&amp;sheet=A0&amp;row=186&amp;col=10&amp;number=&amp;sourceID=15","")</f>
        <v/>
      </c>
      <c r="K186" s="4" t="str">
        <f>HYPERLINK("http://141.218.60.56/~jnz1568/getInfo.php?workbook=03_02.xlsx&amp;sheet=A0&amp;row=186&amp;col=11&amp;number=&amp;sourceID=30","")</f>
        <v/>
      </c>
      <c r="L186" s="4" t="str">
        <f>HYPERLINK("http://141.218.60.56/~jnz1568/getInfo.php?workbook=03_02.xlsx&amp;sheet=A0&amp;row=186&amp;col=12&amp;number=77.91&amp;sourceID=30","77.91")</f>
        <v>77.91</v>
      </c>
      <c r="M186" s="4" t="str">
        <f>HYPERLINK("http://141.218.60.56/~jnz1568/getInfo.php?workbook=03_02.xlsx&amp;sheet=A0&amp;row=186&amp;col=13&amp;number=4.766e-08&amp;sourceID=30","4.766e-08")</f>
        <v>4.766e-08</v>
      </c>
      <c r="N186" s="4" t="str">
        <f>HYPERLINK("http://141.218.60.56/~jnz1568/getInfo.php?workbook=03_02.xlsx&amp;sheet=A0&amp;row=186&amp;col=14&amp;number=&amp;sourceID=30","")</f>
        <v/>
      </c>
    </row>
    <row r="187" spans="1:14">
      <c r="A187" s="3">
        <v>3</v>
      </c>
      <c r="B187" s="3">
        <v>2</v>
      </c>
      <c r="C187" s="3">
        <v>22</v>
      </c>
      <c r="D187" s="3">
        <v>11</v>
      </c>
      <c r="E187" s="3">
        <f>((1/(INDEX(E0!J$4:J$52,C187,1)-INDEX(E0!J$4:J$52,D187,1))))*100000000</f>
        <v>0</v>
      </c>
      <c r="F187" s="4" t="str">
        <f>HYPERLINK("http://141.218.60.56/~jnz1568/getInfo.php?workbook=03_02.xlsx&amp;sheet=A0&amp;row=187&amp;col=6&amp;number=&amp;sourceID=27","")</f>
        <v/>
      </c>
      <c r="G187" s="4" t="str">
        <f>HYPERLINK("http://141.218.60.56/~jnz1568/getInfo.php?workbook=03_02.xlsx&amp;sheet=A0&amp;row=187&amp;col=7&amp;number=&amp;sourceID=15","")</f>
        <v/>
      </c>
      <c r="H187" s="4" t="str">
        <f>HYPERLINK("http://141.218.60.56/~jnz1568/getInfo.php?workbook=03_02.xlsx&amp;sheet=A0&amp;row=187&amp;col=8&amp;number=&amp;sourceID=15","")</f>
        <v/>
      </c>
      <c r="I187" s="4" t="str">
        <f>HYPERLINK("http://141.218.60.56/~jnz1568/getInfo.php?workbook=03_02.xlsx&amp;sheet=A0&amp;row=187&amp;col=9&amp;number=&amp;sourceID=15","")</f>
        <v/>
      </c>
      <c r="J187" s="4" t="str">
        <f>HYPERLINK("http://141.218.60.56/~jnz1568/getInfo.php?workbook=03_02.xlsx&amp;sheet=A0&amp;row=187&amp;col=10&amp;number=&amp;sourceID=15","")</f>
        <v/>
      </c>
      <c r="K187" s="4" t="str">
        <f>HYPERLINK("http://141.218.60.56/~jnz1568/getInfo.php?workbook=03_02.xlsx&amp;sheet=A0&amp;row=187&amp;col=11&amp;number=&amp;sourceID=30","")</f>
        <v/>
      </c>
      <c r="L187" s="4" t="str">
        <f>HYPERLINK("http://141.218.60.56/~jnz1568/getInfo.php?workbook=03_02.xlsx&amp;sheet=A0&amp;row=187&amp;col=12&amp;number=60.59&amp;sourceID=30","60.59")</f>
        <v>60.59</v>
      </c>
      <c r="M187" s="4" t="str">
        <f>HYPERLINK("http://141.218.60.56/~jnz1568/getInfo.php?workbook=03_02.xlsx&amp;sheet=A0&amp;row=187&amp;col=13&amp;number=5.191e-08&amp;sourceID=30","5.191e-08")</f>
        <v>5.191e-08</v>
      </c>
      <c r="N187" s="4" t="str">
        <f>HYPERLINK("http://141.218.60.56/~jnz1568/getInfo.php?workbook=03_02.xlsx&amp;sheet=A0&amp;row=187&amp;col=14&amp;number=&amp;sourceID=30","")</f>
        <v/>
      </c>
    </row>
    <row r="188" spans="1:14">
      <c r="A188" s="3">
        <v>3</v>
      </c>
      <c r="B188" s="3">
        <v>2</v>
      </c>
      <c r="C188" s="3">
        <v>22</v>
      </c>
      <c r="D188" s="3">
        <v>12</v>
      </c>
      <c r="E188" s="3">
        <f>((1/(INDEX(E0!J$4:J$52,C188,1)-INDEX(E0!J$4:J$52,D188,1))))*100000000</f>
        <v>0</v>
      </c>
      <c r="F188" s="4" t="str">
        <f>HYPERLINK("http://141.218.60.56/~jnz1568/getInfo.php?workbook=03_02.xlsx&amp;sheet=A0&amp;row=188&amp;col=6&amp;number=&amp;sourceID=27","")</f>
        <v/>
      </c>
      <c r="G188" s="4" t="str">
        <f>HYPERLINK("http://141.218.60.56/~jnz1568/getInfo.php?workbook=03_02.xlsx&amp;sheet=A0&amp;row=188&amp;col=7&amp;number=&amp;sourceID=15","")</f>
        <v/>
      </c>
      <c r="H188" s="4" t="str">
        <f>HYPERLINK("http://141.218.60.56/~jnz1568/getInfo.php?workbook=03_02.xlsx&amp;sheet=A0&amp;row=188&amp;col=8&amp;number=&amp;sourceID=15","")</f>
        <v/>
      </c>
      <c r="I188" s="4" t="str">
        <f>HYPERLINK("http://141.218.60.56/~jnz1568/getInfo.php?workbook=03_02.xlsx&amp;sheet=A0&amp;row=188&amp;col=9&amp;number=&amp;sourceID=15","")</f>
        <v/>
      </c>
      <c r="J188" s="4" t="str">
        <f>HYPERLINK("http://141.218.60.56/~jnz1568/getInfo.php?workbook=03_02.xlsx&amp;sheet=A0&amp;row=188&amp;col=10&amp;number=&amp;sourceID=15","")</f>
        <v/>
      </c>
      <c r="K188" s="4" t="str">
        <f>HYPERLINK("http://141.218.60.56/~jnz1568/getInfo.php?workbook=03_02.xlsx&amp;sheet=A0&amp;row=188&amp;col=11&amp;number=&amp;sourceID=30","")</f>
        <v/>
      </c>
      <c r="L188" s="4" t="str">
        <f>HYPERLINK("http://141.218.60.56/~jnz1568/getInfo.php?workbook=03_02.xlsx&amp;sheet=A0&amp;row=188&amp;col=12&amp;number=34.63&amp;sourceID=30","34.63")</f>
        <v>34.63</v>
      </c>
      <c r="M188" s="4" t="str">
        <f>HYPERLINK("http://141.218.60.56/~jnz1568/getInfo.php?workbook=03_02.xlsx&amp;sheet=A0&amp;row=188&amp;col=13&amp;number=&amp;sourceID=30","")</f>
        <v/>
      </c>
      <c r="N188" s="4" t="str">
        <f>HYPERLINK("http://141.218.60.56/~jnz1568/getInfo.php?workbook=03_02.xlsx&amp;sheet=A0&amp;row=188&amp;col=14&amp;number=&amp;sourceID=30","")</f>
        <v/>
      </c>
    </row>
    <row r="189" spans="1:14">
      <c r="A189" s="3">
        <v>3</v>
      </c>
      <c r="B189" s="3">
        <v>2</v>
      </c>
      <c r="C189" s="3">
        <v>22</v>
      </c>
      <c r="D189" s="3">
        <v>13</v>
      </c>
      <c r="E189" s="3">
        <f>((1/(INDEX(E0!J$4:J$52,C189,1)-INDEX(E0!J$4:J$52,D189,1))))*100000000</f>
        <v>0</v>
      </c>
      <c r="F189" s="4" t="str">
        <f>HYPERLINK("http://141.218.60.56/~jnz1568/getInfo.php?workbook=03_02.xlsx&amp;sheet=A0&amp;row=189&amp;col=6&amp;number=&amp;sourceID=27","")</f>
        <v/>
      </c>
      <c r="G189" s="4" t="str">
        <f>HYPERLINK("http://141.218.60.56/~jnz1568/getInfo.php?workbook=03_02.xlsx&amp;sheet=A0&amp;row=189&amp;col=7&amp;number=1397400&amp;sourceID=15","1397400")</f>
        <v>1397400</v>
      </c>
      <c r="H189" s="4" t="str">
        <f>HYPERLINK("http://141.218.60.56/~jnz1568/getInfo.php?workbook=03_02.xlsx&amp;sheet=A0&amp;row=189&amp;col=8&amp;number=&amp;sourceID=15","")</f>
        <v/>
      </c>
      <c r="I189" s="4" t="str">
        <f>HYPERLINK("http://141.218.60.56/~jnz1568/getInfo.php?workbook=03_02.xlsx&amp;sheet=A0&amp;row=189&amp;col=9&amp;number=&amp;sourceID=15","")</f>
        <v/>
      </c>
      <c r="J189" s="4" t="str">
        <f>HYPERLINK("http://141.218.60.56/~jnz1568/getInfo.php?workbook=03_02.xlsx&amp;sheet=A0&amp;row=189&amp;col=10&amp;number=&amp;sourceID=15","")</f>
        <v/>
      </c>
      <c r="K189" s="4" t="str">
        <f>HYPERLINK("http://141.218.60.56/~jnz1568/getInfo.php?workbook=03_02.xlsx&amp;sheet=A0&amp;row=189&amp;col=11&amp;number=1312000&amp;sourceID=30","1312000")</f>
        <v>1312000</v>
      </c>
      <c r="L189" s="4" t="str">
        <f>HYPERLINK("http://141.218.60.56/~jnz1568/getInfo.php?workbook=03_02.xlsx&amp;sheet=A0&amp;row=189&amp;col=12&amp;number=&amp;sourceID=30","")</f>
        <v/>
      </c>
      <c r="M189" s="4" t="str">
        <f>HYPERLINK("http://141.218.60.56/~jnz1568/getInfo.php?workbook=03_02.xlsx&amp;sheet=A0&amp;row=189&amp;col=13&amp;number=&amp;sourceID=30","")</f>
        <v/>
      </c>
      <c r="N189" s="4" t="str">
        <f>HYPERLINK("http://141.218.60.56/~jnz1568/getInfo.php?workbook=03_02.xlsx&amp;sheet=A0&amp;row=189&amp;col=14&amp;number=3.737e-06&amp;sourceID=30","3.737e-06")</f>
        <v>3.737e-06</v>
      </c>
    </row>
    <row r="190" spans="1:14">
      <c r="A190" s="3">
        <v>3</v>
      </c>
      <c r="B190" s="3">
        <v>2</v>
      </c>
      <c r="C190" s="3">
        <v>22</v>
      </c>
      <c r="D190" s="3">
        <v>14</v>
      </c>
      <c r="E190" s="3">
        <f>((1/(INDEX(E0!J$4:J$52,C190,1)-INDEX(E0!J$4:J$52,D190,1))))*100000000</f>
        <v>0</v>
      </c>
      <c r="F190" s="4" t="str">
        <f>HYPERLINK("http://141.218.60.56/~jnz1568/getInfo.php?workbook=03_02.xlsx&amp;sheet=A0&amp;row=190&amp;col=6&amp;number=&amp;sourceID=27","")</f>
        <v/>
      </c>
      <c r="G190" s="4" t="str">
        <f>HYPERLINK("http://141.218.60.56/~jnz1568/getInfo.php?workbook=03_02.xlsx&amp;sheet=A0&amp;row=190&amp;col=7&amp;number=7828500&amp;sourceID=15","7828500")</f>
        <v>7828500</v>
      </c>
      <c r="H190" s="4" t="str">
        <f>HYPERLINK("http://141.218.60.56/~jnz1568/getInfo.php?workbook=03_02.xlsx&amp;sheet=A0&amp;row=190&amp;col=8&amp;number=&amp;sourceID=15","")</f>
        <v/>
      </c>
      <c r="I190" s="4" t="str">
        <f>HYPERLINK("http://141.218.60.56/~jnz1568/getInfo.php?workbook=03_02.xlsx&amp;sheet=A0&amp;row=190&amp;col=9&amp;number=&amp;sourceID=15","")</f>
        <v/>
      </c>
      <c r="J190" s="4" t="str">
        <f>HYPERLINK("http://141.218.60.56/~jnz1568/getInfo.php?workbook=03_02.xlsx&amp;sheet=A0&amp;row=190&amp;col=10&amp;number=&amp;sourceID=15","")</f>
        <v/>
      </c>
      <c r="K190" s="4" t="str">
        <f>HYPERLINK("http://141.218.60.56/~jnz1568/getInfo.php?workbook=03_02.xlsx&amp;sheet=A0&amp;row=190&amp;col=11&amp;number=7349000&amp;sourceID=30","7349000")</f>
        <v>7349000</v>
      </c>
      <c r="L190" s="4" t="str">
        <f>HYPERLINK("http://141.218.60.56/~jnz1568/getInfo.php?workbook=03_02.xlsx&amp;sheet=A0&amp;row=190&amp;col=12&amp;number=&amp;sourceID=30","")</f>
        <v/>
      </c>
      <c r="M190" s="4" t="str">
        <f>HYPERLINK("http://141.218.60.56/~jnz1568/getInfo.php?workbook=03_02.xlsx&amp;sheet=A0&amp;row=190&amp;col=13&amp;number=&amp;sourceID=30","")</f>
        <v/>
      </c>
      <c r="N190" s="4" t="str">
        <f>HYPERLINK("http://141.218.60.56/~jnz1568/getInfo.php?workbook=03_02.xlsx&amp;sheet=A0&amp;row=190&amp;col=14&amp;number=3.862e-05&amp;sourceID=30","3.862e-05")</f>
        <v>3.862e-05</v>
      </c>
    </row>
    <row r="191" spans="1:14">
      <c r="A191" s="3">
        <v>3</v>
      </c>
      <c r="B191" s="3">
        <v>2</v>
      </c>
      <c r="C191" s="3">
        <v>22</v>
      </c>
      <c r="D191" s="3">
        <v>15</v>
      </c>
      <c r="E191" s="3">
        <f>((1/(INDEX(E0!J$4:J$52,C191,1)-INDEX(E0!J$4:J$52,D191,1))))*100000000</f>
        <v>0</v>
      </c>
      <c r="F191" s="4" t="str">
        <f>HYPERLINK("http://141.218.60.56/~jnz1568/getInfo.php?workbook=03_02.xlsx&amp;sheet=A0&amp;row=191&amp;col=6&amp;number=&amp;sourceID=27","")</f>
        <v/>
      </c>
      <c r="G191" s="4" t="str">
        <f>HYPERLINK("http://141.218.60.56/~jnz1568/getInfo.php?workbook=03_02.xlsx&amp;sheet=A0&amp;row=191&amp;col=7&amp;number=93196&amp;sourceID=15","93196")</f>
        <v>93196</v>
      </c>
      <c r="H191" s="4" t="str">
        <f>HYPERLINK("http://141.218.60.56/~jnz1568/getInfo.php?workbook=03_02.xlsx&amp;sheet=A0&amp;row=191&amp;col=8&amp;number=&amp;sourceID=15","")</f>
        <v/>
      </c>
      <c r="I191" s="4" t="str">
        <f>HYPERLINK("http://141.218.60.56/~jnz1568/getInfo.php?workbook=03_02.xlsx&amp;sheet=A0&amp;row=191&amp;col=9&amp;number=&amp;sourceID=15","")</f>
        <v/>
      </c>
      <c r="J191" s="4" t="str">
        <f>HYPERLINK("http://141.218.60.56/~jnz1568/getInfo.php?workbook=03_02.xlsx&amp;sheet=A0&amp;row=191&amp;col=10&amp;number=&amp;sourceID=15","")</f>
        <v/>
      </c>
      <c r="K191" s="4" t="str">
        <f>HYPERLINK("http://141.218.60.56/~jnz1568/getInfo.php?workbook=03_02.xlsx&amp;sheet=A0&amp;row=191&amp;col=11&amp;number=87450&amp;sourceID=30","87450")</f>
        <v>87450</v>
      </c>
      <c r="L191" s="4" t="str">
        <f>HYPERLINK("http://141.218.60.56/~jnz1568/getInfo.php?workbook=03_02.xlsx&amp;sheet=A0&amp;row=191&amp;col=12&amp;number=&amp;sourceID=30","")</f>
        <v/>
      </c>
      <c r="M191" s="4" t="str">
        <f>HYPERLINK("http://141.218.60.56/~jnz1568/getInfo.php?workbook=03_02.xlsx&amp;sheet=A0&amp;row=191&amp;col=13&amp;number=&amp;sourceID=30","")</f>
        <v/>
      </c>
      <c r="N191" s="4" t="str">
        <f>HYPERLINK("http://141.218.60.56/~jnz1568/getInfo.php?workbook=03_02.xlsx&amp;sheet=A0&amp;row=191&amp;col=14&amp;number=2.1e-14&amp;sourceID=30","2.1e-14")</f>
        <v>2.1e-14</v>
      </c>
    </row>
    <row r="192" spans="1:14">
      <c r="A192" s="3">
        <v>3</v>
      </c>
      <c r="B192" s="3">
        <v>2</v>
      </c>
      <c r="C192" s="3">
        <v>22</v>
      </c>
      <c r="D192" s="3">
        <v>16</v>
      </c>
      <c r="E192" s="3">
        <f>((1/(INDEX(E0!J$4:J$52,C192,1)-INDEX(E0!J$4:J$52,D192,1))))*100000000</f>
        <v>0</v>
      </c>
      <c r="F192" s="4" t="str">
        <f>HYPERLINK("http://141.218.60.56/~jnz1568/getInfo.php?workbook=03_02.xlsx&amp;sheet=A0&amp;row=192&amp;col=6&amp;number=&amp;sourceID=27","")</f>
        <v/>
      </c>
      <c r="G192" s="4" t="str">
        <f>HYPERLINK("http://141.218.60.56/~jnz1568/getInfo.php?workbook=03_02.xlsx&amp;sheet=A0&amp;row=192&amp;col=7&amp;number=&amp;sourceID=15","")</f>
        <v/>
      </c>
      <c r="H192" s="4" t="str">
        <f>HYPERLINK("http://141.218.60.56/~jnz1568/getInfo.php?workbook=03_02.xlsx&amp;sheet=A0&amp;row=192&amp;col=8&amp;number=&amp;sourceID=15","")</f>
        <v/>
      </c>
      <c r="I192" s="4" t="str">
        <f>HYPERLINK("http://141.218.60.56/~jnz1568/getInfo.php?workbook=03_02.xlsx&amp;sheet=A0&amp;row=192&amp;col=9&amp;number=&amp;sourceID=15","")</f>
        <v/>
      </c>
      <c r="J192" s="4" t="str">
        <f>HYPERLINK("http://141.218.60.56/~jnz1568/getInfo.php?workbook=03_02.xlsx&amp;sheet=A0&amp;row=192&amp;col=10&amp;number=&amp;sourceID=15","")</f>
        <v/>
      </c>
      <c r="K192" s="4" t="str">
        <f>HYPERLINK("http://141.218.60.56/~jnz1568/getInfo.php?workbook=03_02.xlsx&amp;sheet=A0&amp;row=192&amp;col=11&amp;number=230.1&amp;sourceID=30","230.1")</f>
        <v>230.1</v>
      </c>
      <c r="L192" s="4" t="str">
        <f>HYPERLINK("http://141.218.60.56/~jnz1568/getInfo.php?workbook=03_02.xlsx&amp;sheet=A0&amp;row=192&amp;col=12&amp;number=&amp;sourceID=30","")</f>
        <v/>
      </c>
      <c r="M192" s="4" t="str">
        <f>HYPERLINK("http://141.218.60.56/~jnz1568/getInfo.php?workbook=03_02.xlsx&amp;sheet=A0&amp;row=192&amp;col=13&amp;number=&amp;sourceID=30","")</f>
        <v/>
      </c>
      <c r="N192" s="4" t="str">
        <f>HYPERLINK("http://141.218.60.56/~jnz1568/getInfo.php?workbook=03_02.xlsx&amp;sheet=A0&amp;row=192&amp;col=14&amp;number=6.024e-06&amp;sourceID=30","6.024e-06")</f>
        <v>6.024e-06</v>
      </c>
    </row>
    <row r="193" spans="1:14">
      <c r="A193" s="3">
        <v>3</v>
      </c>
      <c r="B193" s="3">
        <v>2</v>
      </c>
      <c r="C193" s="3">
        <v>22</v>
      </c>
      <c r="D193" s="3">
        <v>17</v>
      </c>
      <c r="E193" s="3">
        <f>((1/(INDEX(E0!J$4:J$52,C193,1)-INDEX(E0!J$4:J$52,D193,1))))*100000000</f>
        <v>0</v>
      </c>
      <c r="F193" s="4" t="str">
        <f>HYPERLINK("http://141.218.60.56/~jnz1568/getInfo.php?workbook=03_02.xlsx&amp;sheet=A0&amp;row=193&amp;col=6&amp;number=&amp;sourceID=27","")</f>
        <v/>
      </c>
      <c r="G193" s="4" t="str">
        <f>HYPERLINK("http://141.218.60.56/~jnz1568/getInfo.php?workbook=03_02.xlsx&amp;sheet=A0&amp;row=193&amp;col=7&amp;number=&amp;sourceID=15","")</f>
        <v/>
      </c>
      <c r="H193" s="4" t="str">
        <f>HYPERLINK("http://141.218.60.56/~jnz1568/getInfo.php?workbook=03_02.xlsx&amp;sheet=A0&amp;row=193&amp;col=8&amp;number=&amp;sourceID=15","")</f>
        <v/>
      </c>
      <c r="I193" s="4" t="str">
        <f>HYPERLINK("http://141.218.60.56/~jnz1568/getInfo.php?workbook=03_02.xlsx&amp;sheet=A0&amp;row=193&amp;col=9&amp;number=&amp;sourceID=15","")</f>
        <v/>
      </c>
      <c r="J193" s="4" t="str">
        <f>HYPERLINK("http://141.218.60.56/~jnz1568/getInfo.php?workbook=03_02.xlsx&amp;sheet=A0&amp;row=193&amp;col=10&amp;number=&amp;sourceID=15","")</f>
        <v/>
      </c>
      <c r="K193" s="4" t="str">
        <f>HYPERLINK("http://141.218.60.56/~jnz1568/getInfo.php?workbook=03_02.xlsx&amp;sheet=A0&amp;row=193&amp;col=11&amp;number=&amp;sourceID=30","")</f>
        <v/>
      </c>
      <c r="L193" s="4" t="str">
        <f>HYPERLINK("http://141.218.60.56/~jnz1568/getInfo.php?workbook=03_02.xlsx&amp;sheet=A0&amp;row=193&amp;col=12&amp;number=3.255e-05&amp;sourceID=30","3.255e-05")</f>
        <v>3.255e-05</v>
      </c>
      <c r="M193" s="4" t="str">
        <f>HYPERLINK("http://141.218.60.56/~jnz1568/getInfo.php?workbook=03_02.xlsx&amp;sheet=A0&amp;row=193&amp;col=13&amp;number=7.261e-08&amp;sourceID=30","7.261e-08")</f>
        <v>7.261e-08</v>
      </c>
      <c r="N193" s="4" t="str">
        <f>HYPERLINK("http://141.218.60.56/~jnz1568/getInfo.php?workbook=03_02.xlsx&amp;sheet=A0&amp;row=193&amp;col=14&amp;number=&amp;sourceID=30","")</f>
        <v/>
      </c>
    </row>
    <row r="194" spans="1:14">
      <c r="A194" s="3">
        <v>3</v>
      </c>
      <c r="B194" s="3">
        <v>2</v>
      </c>
      <c r="C194" s="3">
        <v>22</v>
      </c>
      <c r="D194" s="3">
        <v>18</v>
      </c>
      <c r="E194" s="3">
        <f>((1/(INDEX(E0!J$4:J$52,C194,1)-INDEX(E0!J$4:J$52,D194,1))))*100000000</f>
        <v>0</v>
      </c>
      <c r="F194" s="4" t="str">
        <f>HYPERLINK("http://141.218.60.56/~jnz1568/getInfo.php?workbook=03_02.xlsx&amp;sheet=A0&amp;row=194&amp;col=6&amp;number=&amp;sourceID=27","")</f>
        <v/>
      </c>
      <c r="G194" s="4" t="str">
        <f>HYPERLINK("http://141.218.60.56/~jnz1568/getInfo.php?workbook=03_02.xlsx&amp;sheet=A0&amp;row=194&amp;col=7&amp;number=566800&amp;sourceID=15","566800")</f>
        <v>566800</v>
      </c>
      <c r="H194" s="4" t="str">
        <f>HYPERLINK("http://141.218.60.56/~jnz1568/getInfo.php?workbook=03_02.xlsx&amp;sheet=A0&amp;row=194&amp;col=8&amp;number=&amp;sourceID=15","")</f>
        <v/>
      </c>
      <c r="I194" s="4" t="str">
        <f>HYPERLINK("http://141.218.60.56/~jnz1568/getInfo.php?workbook=03_02.xlsx&amp;sheet=A0&amp;row=194&amp;col=9&amp;number=&amp;sourceID=15","")</f>
        <v/>
      </c>
      <c r="J194" s="4" t="str">
        <f>HYPERLINK("http://141.218.60.56/~jnz1568/getInfo.php?workbook=03_02.xlsx&amp;sheet=A0&amp;row=194&amp;col=10&amp;number=&amp;sourceID=15","")</f>
        <v/>
      </c>
      <c r="K194" s="4" t="str">
        <f>HYPERLINK("http://141.218.60.56/~jnz1568/getInfo.php?workbook=03_02.xlsx&amp;sheet=A0&amp;row=194&amp;col=11&amp;number=612600&amp;sourceID=30","612600")</f>
        <v>612600</v>
      </c>
      <c r="L194" s="4" t="str">
        <f>HYPERLINK("http://141.218.60.56/~jnz1568/getInfo.php?workbook=03_02.xlsx&amp;sheet=A0&amp;row=194&amp;col=12&amp;number=&amp;sourceID=30","")</f>
        <v/>
      </c>
      <c r="M194" s="4" t="str">
        <f>HYPERLINK("http://141.218.60.56/~jnz1568/getInfo.php?workbook=03_02.xlsx&amp;sheet=A0&amp;row=194&amp;col=13&amp;number=&amp;sourceID=30","")</f>
        <v/>
      </c>
      <c r="N194" s="4" t="str">
        <f>HYPERLINK("http://141.218.60.56/~jnz1568/getInfo.php?workbook=03_02.xlsx&amp;sheet=A0&amp;row=194&amp;col=14&amp;number=1.529e-08&amp;sourceID=30","1.529e-08")</f>
        <v>1.529e-08</v>
      </c>
    </row>
    <row r="195" spans="1:14">
      <c r="A195" s="3">
        <v>3</v>
      </c>
      <c r="B195" s="3">
        <v>2</v>
      </c>
      <c r="C195" s="3">
        <v>22</v>
      </c>
      <c r="D195" s="3">
        <v>20</v>
      </c>
      <c r="E195" s="3">
        <f>((1/(INDEX(E0!J$4:J$52,C195,1)-INDEX(E0!J$4:J$52,D195,1))))*100000000</f>
        <v>0</v>
      </c>
      <c r="F195" s="4" t="str">
        <f>HYPERLINK("http://141.218.60.56/~jnz1568/getInfo.php?workbook=03_02.xlsx&amp;sheet=A0&amp;row=195&amp;col=6&amp;number=&amp;sourceID=27","")</f>
        <v/>
      </c>
      <c r="G195" s="4" t="str">
        <f>HYPERLINK("http://141.218.60.56/~jnz1568/getInfo.php?workbook=03_02.xlsx&amp;sheet=A0&amp;row=195&amp;col=7&amp;number=&amp;sourceID=15","")</f>
        <v/>
      </c>
      <c r="H195" s="4" t="str">
        <f>HYPERLINK("http://141.218.60.56/~jnz1568/getInfo.php?workbook=03_02.xlsx&amp;sheet=A0&amp;row=195&amp;col=8&amp;number=&amp;sourceID=15","")</f>
        <v/>
      </c>
      <c r="I195" s="4" t="str">
        <f>HYPERLINK("http://141.218.60.56/~jnz1568/getInfo.php?workbook=03_02.xlsx&amp;sheet=A0&amp;row=195&amp;col=9&amp;number=&amp;sourceID=15","")</f>
        <v/>
      </c>
      <c r="J195" s="4" t="str">
        <f>HYPERLINK("http://141.218.60.56/~jnz1568/getInfo.php?workbook=03_02.xlsx&amp;sheet=A0&amp;row=195&amp;col=10&amp;number=&amp;sourceID=15","")</f>
        <v/>
      </c>
      <c r="K195" s="4" t="str">
        <f>HYPERLINK("http://141.218.60.56/~jnz1568/getInfo.php?workbook=03_02.xlsx&amp;sheet=A0&amp;row=195&amp;col=11&amp;number=&amp;sourceID=30","")</f>
        <v/>
      </c>
      <c r="L195" s="4" t="str">
        <f>HYPERLINK("http://141.218.60.56/~jnz1568/getInfo.php?workbook=03_02.xlsx&amp;sheet=A0&amp;row=195&amp;col=12&amp;number=0&amp;sourceID=30","0")</f>
        <v>0</v>
      </c>
      <c r="M195" s="4" t="str">
        <f>HYPERLINK("http://141.218.60.56/~jnz1568/getInfo.php?workbook=03_02.xlsx&amp;sheet=A0&amp;row=195&amp;col=13&amp;number=&amp;sourceID=30","")</f>
        <v/>
      </c>
      <c r="N195" s="4" t="str">
        <f>HYPERLINK("http://141.218.60.56/~jnz1568/getInfo.php?workbook=03_02.xlsx&amp;sheet=A0&amp;row=195&amp;col=14&amp;number=&amp;sourceID=30","")</f>
        <v/>
      </c>
    </row>
    <row r="196" spans="1:14">
      <c r="A196" s="3">
        <v>3</v>
      </c>
      <c r="B196" s="3">
        <v>2</v>
      </c>
      <c r="C196" s="3">
        <v>22</v>
      </c>
      <c r="D196" s="3">
        <v>21</v>
      </c>
      <c r="E196" s="3">
        <f>((1/(INDEX(E0!J$4:J$52,C196,1)-INDEX(E0!J$4:J$52,D196,1))))*100000000</f>
        <v>0</v>
      </c>
      <c r="F196" s="4" t="str">
        <f>HYPERLINK("http://141.218.60.56/~jnz1568/getInfo.php?workbook=03_02.xlsx&amp;sheet=A0&amp;row=196&amp;col=6&amp;number=&amp;sourceID=27","")</f>
        <v/>
      </c>
      <c r="G196" s="4" t="str">
        <f>HYPERLINK("http://141.218.60.56/~jnz1568/getInfo.php?workbook=03_02.xlsx&amp;sheet=A0&amp;row=196&amp;col=7&amp;number=&amp;sourceID=15","")</f>
        <v/>
      </c>
      <c r="H196" s="4" t="str">
        <f>HYPERLINK("http://141.218.60.56/~jnz1568/getInfo.php?workbook=03_02.xlsx&amp;sheet=A0&amp;row=196&amp;col=8&amp;number=&amp;sourceID=15","")</f>
        <v/>
      </c>
      <c r="I196" s="4" t="str">
        <f>HYPERLINK("http://141.218.60.56/~jnz1568/getInfo.php?workbook=03_02.xlsx&amp;sheet=A0&amp;row=196&amp;col=9&amp;number=&amp;sourceID=15","")</f>
        <v/>
      </c>
      <c r="J196" s="4" t="str">
        <f>HYPERLINK("http://141.218.60.56/~jnz1568/getInfo.php?workbook=03_02.xlsx&amp;sheet=A0&amp;row=196&amp;col=10&amp;number=&amp;sourceID=15","")</f>
        <v/>
      </c>
      <c r="K196" s="4" t="str">
        <f>HYPERLINK("http://141.218.60.56/~jnz1568/getInfo.php?workbook=03_02.xlsx&amp;sheet=A0&amp;row=196&amp;col=11&amp;number=&amp;sourceID=30","")</f>
        <v/>
      </c>
      <c r="L196" s="4" t="str">
        <f>HYPERLINK("http://141.218.60.56/~jnz1568/getInfo.php?workbook=03_02.xlsx&amp;sheet=A0&amp;row=196&amp;col=12&amp;number=0&amp;sourceID=30","0")</f>
        <v>0</v>
      </c>
      <c r="M196" s="4" t="str">
        <f>HYPERLINK("http://141.218.60.56/~jnz1568/getInfo.php?workbook=03_02.xlsx&amp;sheet=A0&amp;row=196&amp;col=13&amp;number=2.48e-13&amp;sourceID=30","2.48e-13")</f>
        <v>2.48e-13</v>
      </c>
      <c r="N196" s="4" t="str">
        <f>HYPERLINK("http://141.218.60.56/~jnz1568/getInfo.php?workbook=03_02.xlsx&amp;sheet=A0&amp;row=196&amp;col=14&amp;number=&amp;sourceID=30","")</f>
        <v/>
      </c>
    </row>
    <row r="197" spans="1:14">
      <c r="A197" s="3">
        <v>3</v>
      </c>
      <c r="B197" s="3">
        <v>2</v>
      </c>
      <c r="C197" s="3">
        <v>23</v>
      </c>
      <c r="D197" s="3">
        <v>1</v>
      </c>
      <c r="E197" s="3">
        <f>((1/(INDEX(E0!J$4:J$52,C197,1)-INDEX(E0!J$4:J$52,D197,1))))*100000000</f>
        <v>0</v>
      </c>
      <c r="F197" s="4" t="str">
        <f>HYPERLINK("http://141.218.60.56/~jnz1568/getInfo.php?workbook=03_02.xlsx&amp;sheet=A0&amp;row=197&amp;col=6&amp;number=&amp;sourceID=27","")</f>
        <v/>
      </c>
      <c r="G197" s="4" t="str">
        <f>HYPERLINK("http://141.218.60.56/~jnz1568/getInfo.php?workbook=03_02.xlsx&amp;sheet=A0&amp;row=197&amp;col=7&amp;number=&amp;sourceID=15","")</f>
        <v/>
      </c>
      <c r="H197" s="4" t="str">
        <f>HYPERLINK("http://141.218.60.56/~jnz1568/getInfo.php?workbook=03_02.xlsx&amp;sheet=A0&amp;row=197&amp;col=8&amp;number=&amp;sourceID=15","")</f>
        <v/>
      </c>
      <c r="I197" s="4" t="str">
        <f>HYPERLINK("http://141.218.60.56/~jnz1568/getInfo.php?workbook=03_02.xlsx&amp;sheet=A0&amp;row=197&amp;col=9&amp;number=&amp;sourceID=15","")</f>
        <v/>
      </c>
      <c r="J197" s="4" t="str">
        <f>HYPERLINK("http://141.218.60.56/~jnz1568/getInfo.php?workbook=03_02.xlsx&amp;sheet=A0&amp;row=197&amp;col=10&amp;number=&amp;sourceID=15","")</f>
        <v/>
      </c>
      <c r="K197" s="4" t="str">
        <f>HYPERLINK("http://141.218.60.56/~jnz1568/getInfo.php?workbook=03_02.xlsx&amp;sheet=A0&amp;row=197&amp;col=11&amp;number=&amp;sourceID=30","")</f>
        <v/>
      </c>
      <c r="L197" s="4" t="str">
        <f>HYPERLINK("http://141.218.60.56/~jnz1568/getInfo.php?workbook=03_02.xlsx&amp;sheet=A0&amp;row=197&amp;col=12&amp;number=&amp;sourceID=30","")</f>
        <v/>
      </c>
      <c r="M197" s="4" t="str">
        <f>HYPERLINK("http://141.218.60.56/~jnz1568/getInfo.php?workbook=03_02.xlsx&amp;sheet=A0&amp;row=197&amp;col=13&amp;number=0.0007448&amp;sourceID=30","0.0007448")</f>
        <v>0.0007448</v>
      </c>
      <c r="N197" s="4" t="str">
        <f>HYPERLINK("http://141.218.60.56/~jnz1568/getInfo.php?workbook=03_02.xlsx&amp;sheet=A0&amp;row=197&amp;col=14&amp;number=&amp;sourceID=30","")</f>
        <v/>
      </c>
    </row>
    <row r="198" spans="1:14">
      <c r="A198" s="3">
        <v>3</v>
      </c>
      <c r="B198" s="3">
        <v>2</v>
      </c>
      <c r="C198" s="3">
        <v>23</v>
      </c>
      <c r="D198" s="3">
        <v>2</v>
      </c>
      <c r="E198" s="3">
        <f>((1/(INDEX(E0!J$4:J$52,C198,1)-INDEX(E0!J$4:J$52,D198,1))))*100000000</f>
        <v>0</v>
      </c>
      <c r="F198" s="4" t="str">
        <f>HYPERLINK("http://141.218.60.56/~jnz1568/getInfo.php?workbook=03_02.xlsx&amp;sheet=A0&amp;row=198&amp;col=6&amp;number=&amp;sourceID=27","")</f>
        <v/>
      </c>
      <c r="G198" s="4" t="str">
        <f>HYPERLINK("http://141.218.60.56/~jnz1568/getInfo.php?workbook=03_02.xlsx&amp;sheet=A0&amp;row=198&amp;col=7&amp;number=&amp;sourceID=15","")</f>
        <v/>
      </c>
      <c r="H198" s="4" t="str">
        <f>HYPERLINK("http://141.218.60.56/~jnz1568/getInfo.php?workbook=03_02.xlsx&amp;sheet=A0&amp;row=198&amp;col=8&amp;number=&amp;sourceID=15","")</f>
        <v/>
      </c>
      <c r="I198" s="4" t="str">
        <f>HYPERLINK("http://141.218.60.56/~jnz1568/getInfo.php?workbook=03_02.xlsx&amp;sheet=A0&amp;row=198&amp;col=9&amp;number=&amp;sourceID=15","")</f>
        <v/>
      </c>
      <c r="J198" s="4" t="str">
        <f>HYPERLINK("http://141.218.60.56/~jnz1568/getInfo.php?workbook=03_02.xlsx&amp;sheet=A0&amp;row=198&amp;col=10&amp;number=&amp;sourceID=15","")</f>
        <v/>
      </c>
      <c r="K198" s="4" t="str">
        <f>HYPERLINK("http://141.218.60.56/~jnz1568/getInfo.php?workbook=03_02.xlsx&amp;sheet=A0&amp;row=198&amp;col=11&amp;number=&amp;sourceID=30","")</f>
        <v/>
      </c>
      <c r="L198" s="4" t="str">
        <f>HYPERLINK("http://141.218.60.56/~jnz1568/getInfo.php?workbook=03_02.xlsx&amp;sheet=A0&amp;row=198&amp;col=12&amp;number=1656&amp;sourceID=30","1656")</f>
        <v>1656</v>
      </c>
      <c r="M198" s="4" t="str">
        <f>HYPERLINK("http://141.218.60.56/~jnz1568/getInfo.php?workbook=03_02.xlsx&amp;sheet=A0&amp;row=198&amp;col=13&amp;number=1.348e-06&amp;sourceID=30","1.348e-06")</f>
        <v>1.348e-06</v>
      </c>
      <c r="N198" s="4" t="str">
        <f>HYPERLINK("http://141.218.60.56/~jnz1568/getInfo.php?workbook=03_02.xlsx&amp;sheet=A0&amp;row=198&amp;col=14&amp;number=&amp;sourceID=30","")</f>
        <v/>
      </c>
    </row>
    <row r="199" spans="1:14">
      <c r="A199" s="3">
        <v>3</v>
      </c>
      <c r="B199" s="3">
        <v>2</v>
      </c>
      <c r="C199" s="3">
        <v>23</v>
      </c>
      <c r="D199" s="3">
        <v>3</v>
      </c>
      <c r="E199" s="3">
        <f>((1/(INDEX(E0!J$4:J$52,C199,1)-INDEX(E0!J$4:J$52,D199,1))))*100000000</f>
        <v>0</v>
      </c>
      <c r="F199" s="4" t="str">
        <f>HYPERLINK("http://141.218.60.56/~jnz1568/getInfo.php?workbook=03_02.xlsx&amp;sheet=A0&amp;row=199&amp;col=6&amp;number=&amp;sourceID=27","")</f>
        <v/>
      </c>
      <c r="G199" s="4" t="str">
        <f>HYPERLINK("http://141.218.60.56/~jnz1568/getInfo.php?workbook=03_02.xlsx&amp;sheet=A0&amp;row=199&amp;col=7&amp;number=&amp;sourceID=15","")</f>
        <v/>
      </c>
      <c r="H199" s="4" t="str">
        <f>HYPERLINK("http://141.218.60.56/~jnz1568/getInfo.php?workbook=03_02.xlsx&amp;sheet=A0&amp;row=199&amp;col=8&amp;number=&amp;sourceID=15","")</f>
        <v/>
      </c>
      <c r="I199" s="4" t="str">
        <f>HYPERLINK("http://141.218.60.56/~jnz1568/getInfo.php?workbook=03_02.xlsx&amp;sheet=A0&amp;row=199&amp;col=9&amp;number=&amp;sourceID=15","")</f>
        <v/>
      </c>
      <c r="J199" s="4" t="str">
        <f>HYPERLINK("http://141.218.60.56/~jnz1568/getInfo.php?workbook=03_02.xlsx&amp;sheet=A0&amp;row=199&amp;col=10&amp;number=&amp;sourceID=15","")</f>
        <v/>
      </c>
      <c r="K199" s="4" t="str">
        <f>HYPERLINK("http://141.218.60.56/~jnz1568/getInfo.php?workbook=03_02.xlsx&amp;sheet=A0&amp;row=199&amp;col=11&amp;number=&amp;sourceID=30","")</f>
        <v/>
      </c>
      <c r="L199" s="4" t="str">
        <f>HYPERLINK("http://141.218.60.56/~jnz1568/getInfo.php?workbook=03_02.xlsx&amp;sheet=A0&amp;row=199&amp;col=12&amp;number=&amp;sourceID=30","")</f>
        <v/>
      </c>
      <c r="M199" s="4" t="str">
        <f>HYPERLINK("http://141.218.60.56/~jnz1568/getInfo.php?workbook=03_02.xlsx&amp;sheet=A0&amp;row=199&amp;col=13&amp;number=3.448e-08&amp;sourceID=30","3.448e-08")</f>
        <v>3.448e-08</v>
      </c>
      <c r="N199" s="4" t="str">
        <f>HYPERLINK("http://141.218.60.56/~jnz1568/getInfo.php?workbook=03_02.xlsx&amp;sheet=A0&amp;row=199&amp;col=14&amp;number=&amp;sourceID=30","")</f>
        <v/>
      </c>
    </row>
    <row r="200" spans="1:14">
      <c r="A200" s="3">
        <v>3</v>
      </c>
      <c r="B200" s="3">
        <v>2</v>
      </c>
      <c r="C200" s="3">
        <v>23</v>
      </c>
      <c r="D200" s="3">
        <v>4</v>
      </c>
      <c r="E200" s="3">
        <f>((1/(INDEX(E0!J$4:J$52,C200,1)-INDEX(E0!J$4:J$52,D200,1))))*100000000</f>
        <v>0</v>
      </c>
      <c r="F200" s="4" t="str">
        <f>HYPERLINK("http://141.218.60.56/~jnz1568/getInfo.php?workbook=03_02.xlsx&amp;sheet=A0&amp;row=200&amp;col=6&amp;number=&amp;sourceID=27","")</f>
        <v/>
      </c>
      <c r="G200" s="4" t="str">
        <f>HYPERLINK("http://141.218.60.56/~jnz1568/getInfo.php?workbook=03_02.xlsx&amp;sheet=A0&amp;row=200&amp;col=7&amp;number=160390000&amp;sourceID=15","160390000")</f>
        <v>160390000</v>
      </c>
      <c r="H200" s="4" t="str">
        <f>HYPERLINK("http://141.218.60.56/~jnz1568/getInfo.php?workbook=03_02.xlsx&amp;sheet=A0&amp;row=200&amp;col=8&amp;number=&amp;sourceID=15","")</f>
        <v/>
      </c>
      <c r="I200" s="4" t="str">
        <f>HYPERLINK("http://141.218.60.56/~jnz1568/getInfo.php?workbook=03_02.xlsx&amp;sheet=A0&amp;row=200&amp;col=9&amp;number=&amp;sourceID=15","")</f>
        <v/>
      </c>
      <c r="J200" s="4" t="str">
        <f>HYPERLINK("http://141.218.60.56/~jnz1568/getInfo.php?workbook=03_02.xlsx&amp;sheet=A0&amp;row=200&amp;col=10&amp;number=&amp;sourceID=15","")</f>
        <v/>
      </c>
      <c r="K200" s="4" t="str">
        <f>HYPERLINK("http://141.218.60.56/~jnz1568/getInfo.php?workbook=03_02.xlsx&amp;sheet=A0&amp;row=200&amp;col=11&amp;number=154400000&amp;sourceID=30","154400000")</f>
        <v>154400000</v>
      </c>
      <c r="L200" s="4" t="str">
        <f>HYPERLINK("http://141.218.60.56/~jnz1568/getInfo.php?workbook=03_02.xlsx&amp;sheet=A0&amp;row=200&amp;col=12&amp;number=&amp;sourceID=30","")</f>
        <v/>
      </c>
      <c r="M200" s="4" t="str">
        <f>HYPERLINK("http://141.218.60.56/~jnz1568/getInfo.php?workbook=03_02.xlsx&amp;sheet=A0&amp;row=200&amp;col=13&amp;number=&amp;sourceID=30","")</f>
        <v/>
      </c>
      <c r="N200" s="4" t="str">
        <f>HYPERLINK("http://141.218.60.56/~jnz1568/getInfo.php?workbook=03_02.xlsx&amp;sheet=A0&amp;row=200&amp;col=14&amp;number=0.000697&amp;sourceID=30","0.000697")</f>
        <v>0.000697</v>
      </c>
    </row>
    <row r="201" spans="1:14">
      <c r="A201" s="3">
        <v>3</v>
      </c>
      <c r="B201" s="3">
        <v>2</v>
      </c>
      <c r="C201" s="3">
        <v>23</v>
      </c>
      <c r="D201" s="3">
        <v>5</v>
      </c>
      <c r="E201" s="3">
        <f>((1/(INDEX(E0!J$4:J$52,C201,1)-INDEX(E0!J$4:J$52,D201,1))))*100000000</f>
        <v>0</v>
      </c>
      <c r="F201" s="4" t="str">
        <f>HYPERLINK("http://141.218.60.56/~jnz1568/getInfo.php?workbook=03_02.xlsx&amp;sheet=A0&amp;row=201&amp;col=6&amp;number=&amp;sourceID=27","")</f>
        <v/>
      </c>
      <c r="G201" s="4" t="str">
        <f>HYPERLINK("http://141.218.60.56/~jnz1568/getInfo.php?workbook=03_02.xlsx&amp;sheet=A0&amp;row=201&amp;col=7&amp;number=10693000&amp;sourceID=15","10693000")</f>
        <v>10693000</v>
      </c>
      <c r="H201" s="4" t="str">
        <f>HYPERLINK("http://141.218.60.56/~jnz1568/getInfo.php?workbook=03_02.xlsx&amp;sheet=A0&amp;row=201&amp;col=8&amp;number=&amp;sourceID=15","")</f>
        <v/>
      </c>
      <c r="I201" s="4" t="str">
        <f>HYPERLINK("http://141.218.60.56/~jnz1568/getInfo.php?workbook=03_02.xlsx&amp;sheet=A0&amp;row=201&amp;col=9&amp;number=&amp;sourceID=15","")</f>
        <v/>
      </c>
      <c r="J201" s="4" t="str">
        <f>HYPERLINK("http://141.218.60.56/~jnz1568/getInfo.php?workbook=03_02.xlsx&amp;sheet=A0&amp;row=201&amp;col=10&amp;number=&amp;sourceID=15","")</f>
        <v/>
      </c>
      <c r="K201" s="4" t="str">
        <f>HYPERLINK("http://141.218.60.56/~jnz1568/getInfo.php?workbook=03_02.xlsx&amp;sheet=A0&amp;row=201&amp;col=11&amp;number=10290000&amp;sourceID=30","10290000")</f>
        <v>10290000</v>
      </c>
      <c r="L201" s="4" t="str">
        <f>HYPERLINK("http://141.218.60.56/~jnz1568/getInfo.php?workbook=03_02.xlsx&amp;sheet=A0&amp;row=201&amp;col=12&amp;number=&amp;sourceID=30","")</f>
        <v/>
      </c>
      <c r="M201" s="4" t="str">
        <f>HYPERLINK("http://141.218.60.56/~jnz1568/getInfo.php?workbook=03_02.xlsx&amp;sheet=A0&amp;row=201&amp;col=13&amp;number=&amp;sourceID=30","")</f>
        <v/>
      </c>
      <c r="N201" s="4" t="str">
        <f>HYPERLINK("http://141.218.60.56/~jnz1568/getInfo.php?workbook=03_02.xlsx&amp;sheet=A0&amp;row=201&amp;col=14&amp;number=2.9e-14&amp;sourceID=30","2.9e-14")</f>
        <v>2.9e-14</v>
      </c>
    </row>
    <row r="202" spans="1:14">
      <c r="A202" s="3">
        <v>3</v>
      </c>
      <c r="B202" s="3">
        <v>2</v>
      </c>
      <c r="C202" s="3">
        <v>23</v>
      </c>
      <c r="D202" s="3">
        <v>6</v>
      </c>
      <c r="E202" s="3">
        <f>((1/(INDEX(E0!J$4:J$52,C202,1)-INDEX(E0!J$4:J$52,D202,1))))*100000000</f>
        <v>0</v>
      </c>
      <c r="F202" s="4" t="str">
        <f>HYPERLINK("http://141.218.60.56/~jnz1568/getInfo.php?workbook=03_02.xlsx&amp;sheet=A0&amp;row=202&amp;col=6&amp;number=&amp;sourceID=27","")</f>
        <v/>
      </c>
      <c r="G202" s="4" t="str">
        <f>HYPERLINK("http://141.218.60.56/~jnz1568/getInfo.php?workbook=03_02.xlsx&amp;sheet=A0&amp;row=202&amp;col=7&amp;number=213860000&amp;sourceID=15","213860000")</f>
        <v>213860000</v>
      </c>
      <c r="H202" s="4" t="str">
        <f>HYPERLINK("http://141.218.60.56/~jnz1568/getInfo.php?workbook=03_02.xlsx&amp;sheet=A0&amp;row=202&amp;col=8&amp;number=&amp;sourceID=15","")</f>
        <v/>
      </c>
      <c r="I202" s="4" t="str">
        <f>HYPERLINK("http://141.218.60.56/~jnz1568/getInfo.php?workbook=03_02.xlsx&amp;sheet=A0&amp;row=202&amp;col=9&amp;number=&amp;sourceID=15","")</f>
        <v/>
      </c>
      <c r="J202" s="4" t="str">
        <f>HYPERLINK("http://141.218.60.56/~jnz1568/getInfo.php?workbook=03_02.xlsx&amp;sheet=A0&amp;row=202&amp;col=10&amp;number=&amp;sourceID=15","")</f>
        <v/>
      </c>
      <c r="K202" s="4" t="str">
        <f>HYPERLINK("http://141.218.60.56/~jnz1568/getInfo.php?workbook=03_02.xlsx&amp;sheet=A0&amp;row=202&amp;col=11&amp;number=205800000&amp;sourceID=30","205800000")</f>
        <v>205800000</v>
      </c>
      <c r="L202" s="4" t="str">
        <f>HYPERLINK("http://141.218.60.56/~jnz1568/getInfo.php?workbook=03_02.xlsx&amp;sheet=A0&amp;row=202&amp;col=12&amp;number=&amp;sourceID=30","")</f>
        <v/>
      </c>
      <c r="M202" s="4" t="str">
        <f>HYPERLINK("http://141.218.60.56/~jnz1568/getInfo.php?workbook=03_02.xlsx&amp;sheet=A0&amp;row=202&amp;col=13&amp;number=&amp;sourceID=30","")</f>
        <v/>
      </c>
      <c r="N202" s="4" t="str">
        <f>HYPERLINK("http://141.218.60.56/~jnz1568/getInfo.php?workbook=03_02.xlsx&amp;sheet=A0&amp;row=202&amp;col=14&amp;number=&amp;sourceID=30","")</f>
        <v/>
      </c>
    </row>
    <row r="203" spans="1:14">
      <c r="A203" s="3">
        <v>3</v>
      </c>
      <c r="B203" s="3">
        <v>2</v>
      </c>
      <c r="C203" s="3">
        <v>23</v>
      </c>
      <c r="D203" s="3">
        <v>7</v>
      </c>
      <c r="E203" s="3">
        <f>((1/(INDEX(E0!J$4:J$52,C203,1)-INDEX(E0!J$4:J$52,D203,1))))*100000000</f>
        <v>0</v>
      </c>
      <c r="F203" s="4" t="str">
        <f>HYPERLINK("http://141.218.60.56/~jnz1568/getInfo.php?workbook=03_02.xlsx&amp;sheet=A0&amp;row=203&amp;col=6&amp;number=&amp;sourceID=27","")</f>
        <v/>
      </c>
      <c r="G203" s="4" t="str">
        <f>HYPERLINK("http://141.218.60.56/~jnz1568/getInfo.php?workbook=03_02.xlsx&amp;sheet=A0&amp;row=203&amp;col=7&amp;number=&amp;sourceID=15","")</f>
        <v/>
      </c>
      <c r="H203" s="4" t="str">
        <f>HYPERLINK("http://141.218.60.56/~jnz1568/getInfo.php?workbook=03_02.xlsx&amp;sheet=A0&amp;row=203&amp;col=8&amp;number=&amp;sourceID=15","")</f>
        <v/>
      </c>
      <c r="I203" s="4" t="str">
        <f>HYPERLINK("http://141.218.60.56/~jnz1568/getInfo.php?workbook=03_02.xlsx&amp;sheet=A0&amp;row=203&amp;col=9&amp;number=&amp;sourceID=15","")</f>
        <v/>
      </c>
      <c r="J203" s="4" t="str">
        <f>HYPERLINK("http://141.218.60.56/~jnz1568/getInfo.php?workbook=03_02.xlsx&amp;sheet=A0&amp;row=203&amp;col=10&amp;number=&amp;sourceID=15","")</f>
        <v/>
      </c>
      <c r="K203" s="4" t="str">
        <f>HYPERLINK("http://141.218.60.56/~jnz1568/getInfo.php?workbook=03_02.xlsx&amp;sheet=A0&amp;row=203&amp;col=11&amp;number=63.64&amp;sourceID=30","63.64")</f>
        <v>63.64</v>
      </c>
      <c r="L203" s="4" t="str">
        <f>HYPERLINK("http://141.218.60.56/~jnz1568/getInfo.php?workbook=03_02.xlsx&amp;sheet=A0&amp;row=203&amp;col=12&amp;number=&amp;sourceID=30","")</f>
        <v/>
      </c>
      <c r="M203" s="4" t="str">
        <f>HYPERLINK("http://141.218.60.56/~jnz1568/getInfo.php?workbook=03_02.xlsx&amp;sheet=A0&amp;row=203&amp;col=13&amp;number=&amp;sourceID=30","")</f>
        <v/>
      </c>
      <c r="N203" s="4" t="str">
        <f>HYPERLINK("http://141.218.60.56/~jnz1568/getInfo.php?workbook=03_02.xlsx&amp;sheet=A0&amp;row=203&amp;col=14&amp;number=0.0002485&amp;sourceID=30","0.0002485")</f>
        <v>0.0002485</v>
      </c>
    </row>
    <row r="204" spans="1:14">
      <c r="A204" s="3">
        <v>3</v>
      </c>
      <c r="B204" s="3">
        <v>2</v>
      </c>
      <c r="C204" s="3">
        <v>23</v>
      </c>
      <c r="D204" s="3">
        <v>8</v>
      </c>
      <c r="E204" s="3">
        <f>((1/(INDEX(E0!J$4:J$52,C204,1)-INDEX(E0!J$4:J$52,D204,1))))*100000000</f>
        <v>0</v>
      </c>
      <c r="F204" s="4" t="str">
        <f>HYPERLINK("http://141.218.60.56/~jnz1568/getInfo.php?workbook=03_02.xlsx&amp;sheet=A0&amp;row=204&amp;col=6&amp;number=&amp;sourceID=27","")</f>
        <v/>
      </c>
      <c r="G204" s="4" t="str">
        <f>HYPERLINK("http://141.218.60.56/~jnz1568/getInfo.php?workbook=03_02.xlsx&amp;sheet=A0&amp;row=204&amp;col=7&amp;number=&amp;sourceID=15","")</f>
        <v/>
      </c>
      <c r="H204" s="4" t="str">
        <f>HYPERLINK("http://141.218.60.56/~jnz1568/getInfo.php?workbook=03_02.xlsx&amp;sheet=A0&amp;row=204&amp;col=8&amp;number=&amp;sourceID=15","")</f>
        <v/>
      </c>
      <c r="I204" s="4" t="str">
        <f>HYPERLINK("http://141.218.60.56/~jnz1568/getInfo.php?workbook=03_02.xlsx&amp;sheet=A0&amp;row=204&amp;col=9&amp;number=&amp;sourceID=15","")</f>
        <v/>
      </c>
      <c r="J204" s="4" t="str">
        <f>HYPERLINK("http://141.218.60.56/~jnz1568/getInfo.php?workbook=03_02.xlsx&amp;sheet=A0&amp;row=204&amp;col=10&amp;number=&amp;sourceID=15","")</f>
        <v/>
      </c>
      <c r="K204" s="4" t="str">
        <f>HYPERLINK("http://141.218.60.56/~jnz1568/getInfo.php?workbook=03_02.xlsx&amp;sheet=A0&amp;row=204&amp;col=11&amp;number=&amp;sourceID=30","")</f>
        <v/>
      </c>
      <c r="L204" s="4" t="str">
        <f>HYPERLINK("http://141.218.60.56/~jnz1568/getInfo.php?workbook=03_02.xlsx&amp;sheet=A0&amp;row=204&amp;col=12&amp;number=379.9&amp;sourceID=30","379.9")</f>
        <v>379.9</v>
      </c>
      <c r="M204" s="4" t="str">
        <f>HYPERLINK("http://141.218.60.56/~jnz1568/getInfo.php?workbook=03_02.xlsx&amp;sheet=A0&amp;row=204&amp;col=13&amp;number=2.679e-08&amp;sourceID=30","2.679e-08")</f>
        <v>2.679e-08</v>
      </c>
      <c r="N204" s="4" t="str">
        <f>HYPERLINK("http://141.218.60.56/~jnz1568/getInfo.php?workbook=03_02.xlsx&amp;sheet=A0&amp;row=204&amp;col=14&amp;number=&amp;sourceID=30","")</f>
        <v/>
      </c>
    </row>
    <row r="205" spans="1:14">
      <c r="A205" s="3">
        <v>3</v>
      </c>
      <c r="B205" s="3">
        <v>2</v>
      </c>
      <c r="C205" s="3">
        <v>23</v>
      </c>
      <c r="D205" s="3">
        <v>9</v>
      </c>
      <c r="E205" s="3">
        <f>((1/(INDEX(E0!J$4:J$52,C205,1)-INDEX(E0!J$4:J$52,D205,1))))*100000000</f>
        <v>0</v>
      </c>
      <c r="F205" s="4" t="str">
        <f>HYPERLINK("http://141.218.60.56/~jnz1568/getInfo.php?workbook=03_02.xlsx&amp;sheet=A0&amp;row=205&amp;col=6&amp;number=&amp;sourceID=27","")</f>
        <v/>
      </c>
      <c r="G205" s="4" t="str">
        <f>HYPERLINK("http://141.218.60.56/~jnz1568/getInfo.php?workbook=03_02.xlsx&amp;sheet=A0&amp;row=205&amp;col=7&amp;number=&amp;sourceID=15","")</f>
        <v/>
      </c>
      <c r="H205" s="4" t="str">
        <f>HYPERLINK("http://141.218.60.56/~jnz1568/getInfo.php?workbook=03_02.xlsx&amp;sheet=A0&amp;row=205&amp;col=8&amp;number=&amp;sourceID=15","")</f>
        <v/>
      </c>
      <c r="I205" s="4" t="str">
        <f>HYPERLINK("http://141.218.60.56/~jnz1568/getInfo.php?workbook=03_02.xlsx&amp;sheet=A0&amp;row=205&amp;col=9&amp;number=&amp;sourceID=15","")</f>
        <v/>
      </c>
      <c r="J205" s="4" t="str">
        <f>HYPERLINK("http://141.218.60.56/~jnz1568/getInfo.php?workbook=03_02.xlsx&amp;sheet=A0&amp;row=205&amp;col=10&amp;number=&amp;sourceID=15","")</f>
        <v/>
      </c>
      <c r="K205" s="4" t="str">
        <f>HYPERLINK("http://141.218.60.56/~jnz1568/getInfo.php?workbook=03_02.xlsx&amp;sheet=A0&amp;row=205&amp;col=11&amp;number=&amp;sourceID=30","")</f>
        <v/>
      </c>
      <c r="L205" s="4" t="str">
        <f>HYPERLINK("http://141.218.60.56/~jnz1568/getInfo.php?workbook=03_02.xlsx&amp;sheet=A0&amp;row=205&amp;col=12&amp;number=&amp;sourceID=30","")</f>
        <v/>
      </c>
      <c r="M205" s="4" t="str">
        <f>HYPERLINK("http://141.218.60.56/~jnz1568/getInfo.php?workbook=03_02.xlsx&amp;sheet=A0&amp;row=205&amp;col=13&amp;number=3.917e-10&amp;sourceID=30","3.917e-10")</f>
        <v>3.917e-10</v>
      </c>
      <c r="N205" s="4" t="str">
        <f>HYPERLINK("http://141.218.60.56/~jnz1568/getInfo.php?workbook=03_02.xlsx&amp;sheet=A0&amp;row=205&amp;col=14&amp;number=&amp;sourceID=30","")</f>
        <v/>
      </c>
    </row>
    <row r="206" spans="1:14">
      <c r="A206" s="3">
        <v>3</v>
      </c>
      <c r="B206" s="3">
        <v>2</v>
      </c>
      <c r="C206" s="3">
        <v>23</v>
      </c>
      <c r="D206" s="3">
        <v>10</v>
      </c>
      <c r="E206" s="3">
        <f>((1/(INDEX(E0!J$4:J$52,C206,1)-INDEX(E0!J$4:J$52,D206,1))))*100000000</f>
        <v>0</v>
      </c>
      <c r="F206" s="4" t="str">
        <f>HYPERLINK("http://141.218.60.56/~jnz1568/getInfo.php?workbook=03_02.xlsx&amp;sheet=A0&amp;row=206&amp;col=6&amp;number=&amp;sourceID=27","")</f>
        <v/>
      </c>
      <c r="G206" s="4" t="str">
        <f>HYPERLINK("http://141.218.60.56/~jnz1568/getInfo.php?workbook=03_02.xlsx&amp;sheet=A0&amp;row=206&amp;col=7&amp;number=44842000&amp;sourceID=15","44842000")</f>
        <v>44842000</v>
      </c>
      <c r="H206" s="4" t="str">
        <f>HYPERLINK("http://141.218.60.56/~jnz1568/getInfo.php?workbook=03_02.xlsx&amp;sheet=A0&amp;row=206&amp;col=8&amp;number=&amp;sourceID=15","")</f>
        <v/>
      </c>
      <c r="I206" s="4" t="str">
        <f>HYPERLINK("http://141.218.60.56/~jnz1568/getInfo.php?workbook=03_02.xlsx&amp;sheet=A0&amp;row=206&amp;col=9&amp;number=&amp;sourceID=15","")</f>
        <v/>
      </c>
      <c r="J206" s="4" t="str">
        <f>HYPERLINK("http://141.218.60.56/~jnz1568/getInfo.php?workbook=03_02.xlsx&amp;sheet=A0&amp;row=206&amp;col=10&amp;number=&amp;sourceID=15","")</f>
        <v/>
      </c>
      <c r="K206" s="4" t="str">
        <f>HYPERLINK("http://141.218.60.56/~jnz1568/getInfo.php?workbook=03_02.xlsx&amp;sheet=A0&amp;row=206&amp;col=11&amp;number=44710000&amp;sourceID=30","44710000")</f>
        <v>44710000</v>
      </c>
      <c r="L206" s="4" t="str">
        <f>HYPERLINK("http://141.218.60.56/~jnz1568/getInfo.php?workbook=03_02.xlsx&amp;sheet=A0&amp;row=206&amp;col=12&amp;number=&amp;sourceID=30","")</f>
        <v/>
      </c>
      <c r="M206" s="4" t="str">
        <f>HYPERLINK("http://141.218.60.56/~jnz1568/getInfo.php?workbook=03_02.xlsx&amp;sheet=A0&amp;row=206&amp;col=13&amp;number=&amp;sourceID=30","")</f>
        <v/>
      </c>
      <c r="N206" s="4" t="str">
        <f>HYPERLINK("http://141.218.60.56/~jnz1568/getInfo.php?workbook=03_02.xlsx&amp;sheet=A0&amp;row=206&amp;col=14&amp;number=1.382e-05&amp;sourceID=30","1.382e-05")</f>
        <v>1.382e-05</v>
      </c>
    </row>
    <row r="207" spans="1:14">
      <c r="A207" s="3">
        <v>3</v>
      </c>
      <c r="B207" s="3">
        <v>2</v>
      </c>
      <c r="C207" s="3">
        <v>23</v>
      </c>
      <c r="D207" s="3">
        <v>11</v>
      </c>
      <c r="E207" s="3">
        <f>((1/(INDEX(E0!J$4:J$52,C207,1)-INDEX(E0!J$4:J$52,D207,1))))*100000000</f>
        <v>0</v>
      </c>
      <c r="F207" s="4" t="str">
        <f>HYPERLINK("http://141.218.60.56/~jnz1568/getInfo.php?workbook=03_02.xlsx&amp;sheet=A0&amp;row=207&amp;col=6&amp;number=&amp;sourceID=27","")</f>
        <v/>
      </c>
      <c r="G207" s="4" t="str">
        <f>HYPERLINK("http://141.218.60.56/~jnz1568/getInfo.php?workbook=03_02.xlsx&amp;sheet=A0&amp;row=207&amp;col=7&amp;number=2989400&amp;sourceID=15","2989400")</f>
        <v>2989400</v>
      </c>
      <c r="H207" s="4" t="str">
        <f>HYPERLINK("http://141.218.60.56/~jnz1568/getInfo.php?workbook=03_02.xlsx&amp;sheet=A0&amp;row=207&amp;col=8&amp;number=&amp;sourceID=15","")</f>
        <v/>
      </c>
      <c r="I207" s="4" t="str">
        <f>HYPERLINK("http://141.218.60.56/~jnz1568/getInfo.php?workbook=03_02.xlsx&amp;sheet=A0&amp;row=207&amp;col=9&amp;number=&amp;sourceID=15","")</f>
        <v/>
      </c>
      <c r="J207" s="4" t="str">
        <f>HYPERLINK("http://141.218.60.56/~jnz1568/getInfo.php?workbook=03_02.xlsx&amp;sheet=A0&amp;row=207&amp;col=10&amp;number=&amp;sourceID=15","")</f>
        <v/>
      </c>
      <c r="K207" s="4" t="str">
        <f>HYPERLINK("http://141.218.60.56/~jnz1568/getInfo.php?workbook=03_02.xlsx&amp;sheet=A0&amp;row=207&amp;col=11&amp;number=2981000&amp;sourceID=30","2981000")</f>
        <v>2981000</v>
      </c>
      <c r="L207" s="4" t="str">
        <f>HYPERLINK("http://141.218.60.56/~jnz1568/getInfo.php?workbook=03_02.xlsx&amp;sheet=A0&amp;row=207&amp;col=12&amp;number=&amp;sourceID=30","")</f>
        <v/>
      </c>
      <c r="M207" s="4" t="str">
        <f>HYPERLINK("http://141.218.60.56/~jnz1568/getInfo.php?workbook=03_02.xlsx&amp;sheet=A0&amp;row=207&amp;col=13&amp;number=&amp;sourceID=30","")</f>
        <v/>
      </c>
      <c r="N207" s="4" t="str">
        <f>HYPERLINK("http://141.218.60.56/~jnz1568/getInfo.php?workbook=03_02.xlsx&amp;sheet=A0&amp;row=207&amp;col=14&amp;number=9e-15&amp;sourceID=30","9e-15")</f>
        <v>9e-15</v>
      </c>
    </row>
    <row r="208" spans="1:14">
      <c r="A208" s="3">
        <v>3</v>
      </c>
      <c r="B208" s="3">
        <v>2</v>
      </c>
      <c r="C208" s="3">
        <v>23</v>
      </c>
      <c r="D208" s="3">
        <v>12</v>
      </c>
      <c r="E208" s="3">
        <f>((1/(INDEX(E0!J$4:J$52,C208,1)-INDEX(E0!J$4:J$52,D208,1))))*100000000</f>
        <v>0</v>
      </c>
      <c r="F208" s="4" t="str">
        <f>HYPERLINK("http://141.218.60.56/~jnz1568/getInfo.php?workbook=03_02.xlsx&amp;sheet=A0&amp;row=208&amp;col=6&amp;number=&amp;sourceID=27","")</f>
        <v/>
      </c>
      <c r="G208" s="4" t="str">
        <f>HYPERLINK("http://141.218.60.56/~jnz1568/getInfo.php?workbook=03_02.xlsx&amp;sheet=A0&amp;row=208&amp;col=7&amp;number=59789000&amp;sourceID=15","59789000")</f>
        <v>59789000</v>
      </c>
      <c r="H208" s="4" t="str">
        <f>HYPERLINK("http://141.218.60.56/~jnz1568/getInfo.php?workbook=03_02.xlsx&amp;sheet=A0&amp;row=208&amp;col=8&amp;number=&amp;sourceID=15","")</f>
        <v/>
      </c>
      <c r="I208" s="4" t="str">
        <f>HYPERLINK("http://141.218.60.56/~jnz1568/getInfo.php?workbook=03_02.xlsx&amp;sheet=A0&amp;row=208&amp;col=9&amp;number=&amp;sourceID=15","")</f>
        <v/>
      </c>
      <c r="J208" s="4" t="str">
        <f>HYPERLINK("http://141.218.60.56/~jnz1568/getInfo.php?workbook=03_02.xlsx&amp;sheet=A0&amp;row=208&amp;col=10&amp;number=&amp;sourceID=15","")</f>
        <v/>
      </c>
      <c r="K208" s="4" t="str">
        <f>HYPERLINK("http://141.218.60.56/~jnz1568/getInfo.php?workbook=03_02.xlsx&amp;sheet=A0&amp;row=208&amp;col=11&amp;number=59620000&amp;sourceID=30","59620000")</f>
        <v>59620000</v>
      </c>
      <c r="L208" s="4" t="str">
        <f>HYPERLINK("http://141.218.60.56/~jnz1568/getInfo.php?workbook=03_02.xlsx&amp;sheet=A0&amp;row=208&amp;col=12&amp;number=&amp;sourceID=30","")</f>
        <v/>
      </c>
      <c r="M208" s="4" t="str">
        <f>HYPERLINK("http://141.218.60.56/~jnz1568/getInfo.php?workbook=03_02.xlsx&amp;sheet=A0&amp;row=208&amp;col=13&amp;number=&amp;sourceID=30","")</f>
        <v/>
      </c>
      <c r="N208" s="4" t="str">
        <f>HYPERLINK("http://141.218.60.56/~jnz1568/getInfo.php?workbook=03_02.xlsx&amp;sheet=A0&amp;row=208&amp;col=14&amp;number=&amp;sourceID=30","")</f>
        <v/>
      </c>
    </row>
    <row r="209" spans="1:14">
      <c r="A209" s="3">
        <v>3</v>
      </c>
      <c r="B209" s="3">
        <v>2</v>
      </c>
      <c r="C209" s="3">
        <v>23</v>
      </c>
      <c r="D209" s="3">
        <v>13</v>
      </c>
      <c r="E209" s="3">
        <f>((1/(INDEX(E0!J$4:J$52,C209,1)-INDEX(E0!J$4:J$52,D209,1))))*100000000</f>
        <v>0</v>
      </c>
      <c r="F209" s="4" t="str">
        <f>HYPERLINK("http://141.218.60.56/~jnz1568/getInfo.php?workbook=03_02.xlsx&amp;sheet=A0&amp;row=209&amp;col=6&amp;number=&amp;sourceID=27","")</f>
        <v/>
      </c>
      <c r="G209" s="4" t="str">
        <f>HYPERLINK("http://141.218.60.56/~jnz1568/getInfo.php?workbook=03_02.xlsx&amp;sheet=A0&amp;row=209&amp;col=7&amp;number=&amp;sourceID=15","")</f>
        <v/>
      </c>
      <c r="H209" s="4" t="str">
        <f>HYPERLINK("http://141.218.60.56/~jnz1568/getInfo.php?workbook=03_02.xlsx&amp;sheet=A0&amp;row=209&amp;col=8&amp;number=&amp;sourceID=15","")</f>
        <v/>
      </c>
      <c r="I209" s="4" t="str">
        <f>HYPERLINK("http://141.218.60.56/~jnz1568/getInfo.php?workbook=03_02.xlsx&amp;sheet=A0&amp;row=209&amp;col=9&amp;number=&amp;sourceID=15","")</f>
        <v/>
      </c>
      <c r="J209" s="4" t="str">
        <f>HYPERLINK("http://141.218.60.56/~jnz1568/getInfo.php?workbook=03_02.xlsx&amp;sheet=A0&amp;row=209&amp;col=10&amp;number=&amp;sourceID=15","")</f>
        <v/>
      </c>
      <c r="K209" s="4" t="str">
        <f>HYPERLINK("http://141.218.60.56/~jnz1568/getInfo.php?workbook=03_02.xlsx&amp;sheet=A0&amp;row=209&amp;col=11&amp;number=&amp;sourceID=30","")</f>
        <v/>
      </c>
      <c r="L209" s="4" t="str">
        <f>HYPERLINK("http://141.218.60.56/~jnz1568/getInfo.php?workbook=03_02.xlsx&amp;sheet=A0&amp;row=209&amp;col=12&amp;number=44.43&amp;sourceID=30","44.43")</f>
        <v>44.43</v>
      </c>
      <c r="M209" s="4" t="str">
        <f>HYPERLINK("http://141.218.60.56/~jnz1568/getInfo.php?workbook=03_02.xlsx&amp;sheet=A0&amp;row=209&amp;col=13&amp;number=2.071e-08&amp;sourceID=30","2.071e-08")</f>
        <v>2.071e-08</v>
      </c>
      <c r="N209" s="4" t="str">
        <f>HYPERLINK("http://141.218.60.56/~jnz1568/getInfo.php?workbook=03_02.xlsx&amp;sheet=A0&amp;row=209&amp;col=14&amp;number=&amp;sourceID=30","")</f>
        <v/>
      </c>
    </row>
    <row r="210" spans="1:14">
      <c r="A210" s="3">
        <v>3</v>
      </c>
      <c r="B210" s="3">
        <v>2</v>
      </c>
      <c r="C210" s="3">
        <v>23</v>
      </c>
      <c r="D210" s="3">
        <v>14</v>
      </c>
      <c r="E210" s="3">
        <f>((1/(INDEX(E0!J$4:J$52,C210,1)-INDEX(E0!J$4:J$52,D210,1))))*100000000</f>
        <v>0</v>
      </c>
      <c r="F210" s="4" t="str">
        <f>HYPERLINK("http://141.218.60.56/~jnz1568/getInfo.php?workbook=03_02.xlsx&amp;sheet=A0&amp;row=210&amp;col=6&amp;number=&amp;sourceID=27","")</f>
        <v/>
      </c>
      <c r="G210" s="4" t="str">
        <f>HYPERLINK("http://141.218.60.56/~jnz1568/getInfo.php?workbook=03_02.xlsx&amp;sheet=A0&amp;row=210&amp;col=7&amp;number=&amp;sourceID=15","")</f>
        <v/>
      </c>
      <c r="H210" s="4" t="str">
        <f>HYPERLINK("http://141.218.60.56/~jnz1568/getInfo.php?workbook=03_02.xlsx&amp;sheet=A0&amp;row=210&amp;col=8&amp;number=&amp;sourceID=15","")</f>
        <v/>
      </c>
      <c r="I210" s="4" t="str">
        <f>HYPERLINK("http://141.218.60.56/~jnz1568/getInfo.php?workbook=03_02.xlsx&amp;sheet=A0&amp;row=210&amp;col=9&amp;number=&amp;sourceID=15","")</f>
        <v/>
      </c>
      <c r="J210" s="4" t="str">
        <f>HYPERLINK("http://141.218.60.56/~jnz1568/getInfo.php?workbook=03_02.xlsx&amp;sheet=A0&amp;row=210&amp;col=10&amp;number=&amp;sourceID=15","")</f>
        <v/>
      </c>
      <c r="K210" s="4" t="str">
        <f>HYPERLINK("http://141.218.60.56/~jnz1568/getInfo.php?workbook=03_02.xlsx&amp;sheet=A0&amp;row=210&amp;col=11&amp;number=&amp;sourceID=30","")</f>
        <v/>
      </c>
      <c r="L210" s="4" t="str">
        <f>HYPERLINK("http://141.218.60.56/~jnz1568/getInfo.php?workbook=03_02.xlsx&amp;sheet=A0&amp;row=210&amp;col=12&amp;number=5.078&amp;sourceID=30","5.078")</f>
        <v>5.078</v>
      </c>
      <c r="M210" s="4" t="str">
        <f>HYPERLINK("http://141.218.60.56/~jnz1568/getInfo.php?workbook=03_02.xlsx&amp;sheet=A0&amp;row=210&amp;col=13&amp;number=&amp;sourceID=30","")</f>
        <v/>
      </c>
      <c r="N210" s="4" t="str">
        <f>HYPERLINK("http://141.218.60.56/~jnz1568/getInfo.php?workbook=03_02.xlsx&amp;sheet=A0&amp;row=210&amp;col=14&amp;number=&amp;sourceID=30","")</f>
        <v/>
      </c>
    </row>
    <row r="211" spans="1:14">
      <c r="A211" s="3">
        <v>3</v>
      </c>
      <c r="B211" s="3">
        <v>2</v>
      </c>
      <c r="C211" s="3">
        <v>23</v>
      </c>
      <c r="D211" s="3">
        <v>15</v>
      </c>
      <c r="E211" s="3">
        <f>((1/(INDEX(E0!J$4:J$52,C211,1)-INDEX(E0!J$4:J$52,D211,1))))*100000000</f>
        <v>0</v>
      </c>
      <c r="F211" s="4" t="str">
        <f>HYPERLINK("http://141.218.60.56/~jnz1568/getInfo.php?workbook=03_02.xlsx&amp;sheet=A0&amp;row=211&amp;col=6&amp;number=&amp;sourceID=27","")</f>
        <v/>
      </c>
      <c r="G211" s="4" t="str">
        <f>HYPERLINK("http://141.218.60.56/~jnz1568/getInfo.php?workbook=03_02.xlsx&amp;sheet=A0&amp;row=211&amp;col=7&amp;number=&amp;sourceID=15","")</f>
        <v/>
      </c>
      <c r="H211" s="4" t="str">
        <f>HYPERLINK("http://141.218.60.56/~jnz1568/getInfo.php?workbook=03_02.xlsx&amp;sheet=A0&amp;row=211&amp;col=8&amp;number=&amp;sourceID=15","")</f>
        <v/>
      </c>
      <c r="I211" s="4" t="str">
        <f>HYPERLINK("http://141.218.60.56/~jnz1568/getInfo.php?workbook=03_02.xlsx&amp;sheet=A0&amp;row=211&amp;col=9&amp;number=&amp;sourceID=15","")</f>
        <v/>
      </c>
      <c r="J211" s="4" t="str">
        <f>HYPERLINK("http://141.218.60.56/~jnz1568/getInfo.php?workbook=03_02.xlsx&amp;sheet=A0&amp;row=211&amp;col=10&amp;number=&amp;sourceID=15","")</f>
        <v/>
      </c>
      <c r="K211" s="4" t="str">
        <f>HYPERLINK("http://141.218.60.56/~jnz1568/getInfo.php?workbook=03_02.xlsx&amp;sheet=A0&amp;row=211&amp;col=11&amp;number=&amp;sourceID=30","")</f>
        <v/>
      </c>
      <c r="L211" s="4" t="str">
        <f>HYPERLINK("http://141.218.60.56/~jnz1568/getInfo.php?workbook=03_02.xlsx&amp;sheet=A0&amp;row=211&amp;col=12&amp;number=26.66&amp;sourceID=30","26.66")</f>
        <v>26.66</v>
      </c>
      <c r="M211" s="4" t="str">
        <f>HYPERLINK("http://141.218.60.56/~jnz1568/getInfo.php?workbook=03_02.xlsx&amp;sheet=A0&amp;row=211&amp;col=13&amp;number=1.567e-08&amp;sourceID=30","1.567e-08")</f>
        <v>1.567e-08</v>
      </c>
      <c r="N211" s="4" t="str">
        <f>HYPERLINK("http://141.218.60.56/~jnz1568/getInfo.php?workbook=03_02.xlsx&amp;sheet=A0&amp;row=211&amp;col=14&amp;number=&amp;sourceID=30","")</f>
        <v/>
      </c>
    </row>
    <row r="212" spans="1:14">
      <c r="A212" s="3">
        <v>3</v>
      </c>
      <c r="B212" s="3">
        <v>2</v>
      </c>
      <c r="C212" s="3">
        <v>23</v>
      </c>
      <c r="D212" s="3">
        <v>16</v>
      </c>
      <c r="E212" s="3">
        <f>((1/(INDEX(E0!J$4:J$52,C212,1)-INDEX(E0!J$4:J$52,D212,1))))*100000000</f>
        <v>0</v>
      </c>
      <c r="F212" s="4" t="str">
        <f>HYPERLINK("http://141.218.60.56/~jnz1568/getInfo.php?workbook=03_02.xlsx&amp;sheet=A0&amp;row=212&amp;col=6&amp;number=&amp;sourceID=27","")</f>
        <v/>
      </c>
      <c r="G212" s="4" t="str">
        <f>HYPERLINK("http://141.218.60.56/~jnz1568/getInfo.php?workbook=03_02.xlsx&amp;sheet=A0&amp;row=212&amp;col=7&amp;number=&amp;sourceID=15","")</f>
        <v/>
      </c>
      <c r="H212" s="4" t="str">
        <f>HYPERLINK("http://141.218.60.56/~jnz1568/getInfo.php?workbook=03_02.xlsx&amp;sheet=A0&amp;row=212&amp;col=8&amp;number=&amp;sourceID=15","")</f>
        <v/>
      </c>
      <c r="I212" s="4" t="str">
        <f>HYPERLINK("http://141.218.60.56/~jnz1568/getInfo.php?workbook=03_02.xlsx&amp;sheet=A0&amp;row=212&amp;col=9&amp;number=&amp;sourceID=15","")</f>
        <v/>
      </c>
      <c r="J212" s="4" t="str">
        <f>HYPERLINK("http://141.218.60.56/~jnz1568/getInfo.php?workbook=03_02.xlsx&amp;sheet=A0&amp;row=212&amp;col=10&amp;number=&amp;sourceID=15","")</f>
        <v/>
      </c>
      <c r="K212" s="4" t="str">
        <f>HYPERLINK("http://141.218.60.56/~jnz1568/getInfo.php?workbook=03_02.xlsx&amp;sheet=A0&amp;row=212&amp;col=11&amp;number=&amp;sourceID=30","")</f>
        <v/>
      </c>
      <c r="L212" s="4" t="str">
        <f>HYPERLINK("http://141.218.60.56/~jnz1568/getInfo.php?workbook=03_02.xlsx&amp;sheet=A0&amp;row=212&amp;col=12&amp;number=0.007681&amp;sourceID=30","0.007681")</f>
        <v>0.007681</v>
      </c>
      <c r="M212" s="4" t="str">
        <f>HYPERLINK("http://141.218.60.56/~jnz1568/getInfo.php?workbook=03_02.xlsx&amp;sheet=A0&amp;row=212&amp;col=13&amp;number=1.357e-07&amp;sourceID=30","1.357e-07")</f>
        <v>1.357e-07</v>
      </c>
      <c r="N212" s="4" t="str">
        <f>HYPERLINK("http://141.218.60.56/~jnz1568/getInfo.php?workbook=03_02.xlsx&amp;sheet=A0&amp;row=212&amp;col=14&amp;number=&amp;sourceID=30","")</f>
        <v/>
      </c>
    </row>
    <row r="213" spans="1:14">
      <c r="A213" s="3">
        <v>3</v>
      </c>
      <c r="B213" s="3">
        <v>2</v>
      </c>
      <c r="C213" s="3">
        <v>23</v>
      </c>
      <c r="D213" s="3">
        <v>17</v>
      </c>
      <c r="E213" s="3">
        <f>((1/(INDEX(E0!J$4:J$52,C213,1)-INDEX(E0!J$4:J$52,D213,1))))*100000000</f>
        <v>0</v>
      </c>
      <c r="F213" s="4" t="str">
        <f>HYPERLINK("http://141.218.60.56/~jnz1568/getInfo.php?workbook=03_02.xlsx&amp;sheet=A0&amp;row=213&amp;col=6&amp;number=&amp;sourceID=27","")</f>
        <v/>
      </c>
      <c r="G213" s="4" t="str">
        <f>HYPERLINK("http://141.218.60.56/~jnz1568/getInfo.php?workbook=03_02.xlsx&amp;sheet=A0&amp;row=213&amp;col=7&amp;number=&amp;sourceID=15","")</f>
        <v/>
      </c>
      <c r="H213" s="4" t="str">
        <f>HYPERLINK("http://141.218.60.56/~jnz1568/getInfo.php?workbook=03_02.xlsx&amp;sheet=A0&amp;row=213&amp;col=8&amp;number=&amp;sourceID=15","")</f>
        <v/>
      </c>
      <c r="I213" s="4" t="str">
        <f>HYPERLINK("http://141.218.60.56/~jnz1568/getInfo.php?workbook=03_02.xlsx&amp;sheet=A0&amp;row=213&amp;col=9&amp;number=&amp;sourceID=15","")</f>
        <v/>
      </c>
      <c r="J213" s="4" t="str">
        <f>HYPERLINK("http://141.218.60.56/~jnz1568/getInfo.php?workbook=03_02.xlsx&amp;sheet=A0&amp;row=213&amp;col=10&amp;number=&amp;sourceID=15","")</f>
        <v/>
      </c>
      <c r="K213" s="4" t="str">
        <f>HYPERLINK("http://141.218.60.56/~jnz1568/getInfo.php?workbook=03_02.xlsx&amp;sheet=A0&amp;row=213&amp;col=11&amp;number=21.81&amp;sourceID=30","21.81")</f>
        <v>21.81</v>
      </c>
      <c r="L213" s="4" t="str">
        <f>HYPERLINK("http://141.218.60.56/~jnz1568/getInfo.php?workbook=03_02.xlsx&amp;sheet=A0&amp;row=213&amp;col=12&amp;number=&amp;sourceID=30","")</f>
        <v/>
      </c>
      <c r="M213" s="4" t="str">
        <f>HYPERLINK("http://141.218.60.56/~jnz1568/getInfo.php?workbook=03_02.xlsx&amp;sheet=A0&amp;row=213&amp;col=13&amp;number=&amp;sourceID=30","")</f>
        <v/>
      </c>
      <c r="N213" s="4" t="str">
        <f>HYPERLINK("http://141.218.60.56/~jnz1568/getInfo.php?workbook=03_02.xlsx&amp;sheet=A0&amp;row=213&amp;col=14&amp;number=5.933e-06&amp;sourceID=30","5.933e-06")</f>
        <v>5.933e-06</v>
      </c>
    </row>
    <row r="214" spans="1:14">
      <c r="A214" s="3">
        <v>3</v>
      </c>
      <c r="B214" s="3">
        <v>2</v>
      </c>
      <c r="C214" s="3">
        <v>23</v>
      </c>
      <c r="D214" s="3">
        <v>18</v>
      </c>
      <c r="E214" s="3">
        <f>((1/(INDEX(E0!J$4:J$52,C214,1)-INDEX(E0!J$4:J$52,D214,1))))*100000000</f>
        <v>0</v>
      </c>
      <c r="F214" s="4" t="str">
        <f>HYPERLINK("http://141.218.60.56/~jnz1568/getInfo.php?workbook=03_02.xlsx&amp;sheet=A0&amp;row=214&amp;col=6&amp;number=&amp;sourceID=27","")</f>
        <v/>
      </c>
      <c r="G214" s="4" t="str">
        <f>HYPERLINK("http://141.218.60.56/~jnz1568/getInfo.php?workbook=03_02.xlsx&amp;sheet=A0&amp;row=214&amp;col=7&amp;number=&amp;sourceID=15","")</f>
        <v/>
      </c>
      <c r="H214" s="4" t="str">
        <f>HYPERLINK("http://141.218.60.56/~jnz1568/getInfo.php?workbook=03_02.xlsx&amp;sheet=A0&amp;row=214&amp;col=8&amp;number=&amp;sourceID=15","")</f>
        <v/>
      </c>
      <c r="I214" s="4" t="str">
        <f>HYPERLINK("http://141.218.60.56/~jnz1568/getInfo.php?workbook=03_02.xlsx&amp;sheet=A0&amp;row=214&amp;col=9&amp;number=&amp;sourceID=15","")</f>
        <v/>
      </c>
      <c r="J214" s="4" t="str">
        <f>HYPERLINK("http://141.218.60.56/~jnz1568/getInfo.php?workbook=03_02.xlsx&amp;sheet=A0&amp;row=214&amp;col=10&amp;number=&amp;sourceID=15","")</f>
        <v/>
      </c>
      <c r="K214" s="4" t="str">
        <f>HYPERLINK("http://141.218.60.56/~jnz1568/getInfo.php?workbook=03_02.xlsx&amp;sheet=A0&amp;row=214&amp;col=11&amp;number=&amp;sourceID=30","")</f>
        <v/>
      </c>
      <c r="L214" s="4" t="str">
        <f>HYPERLINK("http://141.218.60.56/~jnz1568/getInfo.php?workbook=03_02.xlsx&amp;sheet=A0&amp;row=214&amp;col=12&amp;number=0.04369&amp;sourceID=30","0.04369")</f>
        <v>0.04369</v>
      </c>
      <c r="M214" s="4" t="str">
        <f>HYPERLINK("http://141.218.60.56/~jnz1568/getInfo.php?workbook=03_02.xlsx&amp;sheet=A0&amp;row=214&amp;col=13&amp;number=4.23e-10&amp;sourceID=30","4.23e-10")</f>
        <v>4.23e-10</v>
      </c>
      <c r="N214" s="4" t="str">
        <f>HYPERLINK("http://141.218.60.56/~jnz1568/getInfo.php?workbook=03_02.xlsx&amp;sheet=A0&amp;row=214&amp;col=14&amp;number=&amp;sourceID=30","")</f>
        <v/>
      </c>
    </row>
    <row r="215" spans="1:14">
      <c r="A215" s="3">
        <v>3</v>
      </c>
      <c r="B215" s="3">
        <v>2</v>
      </c>
      <c r="C215" s="3">
        <v>23</v>
      </c>
      <c r="D215" s="3">
        <v>19</v>
      </c>
      <c r="E215" s="3">
        <f>((1/(INDEX(E0!J$4:J$52,C215,1)-INDEX(E0!J$4:J$52,D215,1))))*100000000</f>
        <v>0</v>
      </c>
      <c r="F215" s="4" t="str">
        <f>HYPERLINK("http://141.218.60.56/~jnz1568/getInfo.php?workbook=03_02.xlsx&amp;sheet=A0&amp;row=215&amp;col=6&amp;number=&amp;sourceID=27","")</f>
        <v/>
      </c>
      <c r="G215" s="4" t="str">
        <f>HYPERLINK("http://141.218.60.56/~jnz1568/getInfo.php?workbook=03_02.xlsx&amp;sheet=A0&amp;row=215&amp;col=7&amp;number=&amp;sourceID=15","")</f>
        <v/>
      </c>
      <c r="H215" s="4" t="str">
        <f>HYPERLINK("http://141.218.60.56/~jnz1568/getInfo.php?workbook=03_02.xlsx&amp;sheet=A0&amp;row=215&amp;col=8&amp;number=&amp;sourceID=15","")</f>
        <v/>
      </c>
      <c r="I215" s="4" t="str">
        <f>HYPERLINK("http://141.218.60.56/~jnz1568/getInfo.php?workbook=03_02.xlsx&amp;sheet=A0&amp;row=215&amp;col=9&amp;number=&amp;sourceID=15","")</f>
        <v/>
      </c>
      <c r="J215" s="4" t="str">
        <f>HYPERLINK("http://141.218.60.56/~jnz1568/getInfo.php?workbook=03_02.xlsx&amp;sheet=A0&amp;row=215&amp;col=10&amp;number=&amp;sourceID=15","")</f>
        <v/>
      </c>
      <c r="K215" s="4" t="str">
        <f>HYPERLINK("http://141.218.60.56/~jnz1568/getInfo.php?workbook=03_02.xlsx&amp;sheet=A0&amp;row=215&amp;col=11&amp;number=&amp;sourceID=30","")</f>
        <v/>
      </c>
      <c r="L215" s="4" t="str">
        <f>HYPERLINK("http://141.218.60.56/~jnz1568/getInfo.php?workbook=03_02.xlsx&amp;sheet=A0&amp;row=215&amp;col=12&amp;number=&amp;sourceID=30","")</f>
        <v/>
      </c>
      <c r="M215" s="4" t="str">
        <f>HYPERLINK("http://141.218.60.56/~jnz1568/getInfo.php?workbook=03_02.xlsx&amp;sheet=A0&amp;row=215&amp;col=13&amp;number=0&amp;sourceID=30","0")</f>
        <v>0</v>
      </c>
      <c r="N215" s="4" t="str">
        <f>HYPERLINK("http://141.218.60.56/~jnz1568/getInfo.php?workbook=03_02.xlsx&amp;sheet=A0&amp;row=215&amp;col=14&amp;number=&amp;sourceID=30","")</f>
        <v/>
      </c>
    </row>
    <row r="216" spans="1:14">
      <c r="A216" s="3">
        <v>3</v>
      </c>
      <c r="B216" s="3">
        <v>2</v>
      </c>
      <c r="C216" s="3">
        <v>23</v>
      </c>
      <c r="D216" s="3">
        <v>20</v>
      </c>
      <c r="E216" s="3">
        <f>((1/(INDEX(E0!J$4:J$52,C216,1)-INDEX(E0!J$4:J$52,D216,1))))*100000000</f>
        <v>0</v>
      </c>
      <c r="F216" s="4" t="str">
        <f>HYPERLINK("http://141.218.60.56/~jnz1568/getInfo.php?workbook=03_02.xlsx&amp;sheet=A0&amp;row=216&amp;col=6&amp;number=&amp;sourceID=27","")</f>
        <v/>
      </c>
      <c r="G216" s="4" t="str">
        <f>HYPERLINK("http://141.218.60.56/~jnz1568/getInfo.php?workbook=03_02.xlsx&amp;sheet=A0&amp;row=216&amp;col=7&amp;number=18876&amp;sourceID=15","18876")</f>
        <v>18876</v>
      </c>
      <c r="H216" s="4" t="str">
        <f>HYPERLINK("http://141.218.60.56/~jnz1568/getInfo.php?workbook=03_02.xlsx&amp;sheet=A0&amp;row=216&amp;col=8&amp;number=&amp;sourceID=15","")</f>
        <v/>
      </c>
      <c r="I216" s="4" t="str">
        <f>HYPERLINK("http://141.218.60.56/~jnz1568/getInfo.php?workbook=03_02.xlsx&amp;sheet=A0&amp;row=216&amp;col=9&amp;number=&amp;sourceID=15","")</f>
        <v/>
      </c>
      <c r="J216" s="4" t="str">
        <f>HYPERLINK("http://141.218.60.56/~jnz1568/getInfo.php?workbook=03_02.xlsx&amp;sheet=A0&amp;row=216&amp;col=10&amp;number=&amp;sourceID=15","")</f>
        <v/>
      </c>
      <c r="K216" s="4" t="str">
        <f>HYPERLINK("http://141.218.60.56/~jnz1568/getInfo.php?workbook=03_02.xlsx&amp;sheet=A0&amp;row=216&amp;col=11&amp;number=13470&amp;sourceID=30","13470")</f>
        <v>13470</v>
      </c>
      <c r="L216" s="4" t="str">
        <f>HYPERLINK("http://141.218.60.56/~jnz1568/getInfo.php?workbook=03_02.xlsx&amp;sheet=A0&amp;row=216&amp;col=12&amp;number=&amp;sourceID=30","")</f>
        <v/>
      </c>
      <c r="M216" s="4" t="str">
        <f>HYPERLINK("http://141.218.60.56/~jnz1568/getInfo.php?workbook=03_02.xlsx&amp;sheet=A0&amp;row=216&amp;col=13&amp;number=&amp;sourceID=30","")</f>
        <v/>
      </c>
      <c r="N216" s="4" t="str">
        <f>HYPERLINK("http://141.218.60.56/~jnz1568/getInfo.php?workbook=03_02.xlsx&amp;sheet=A0&amp;row=216&amp;col=14&amp;number=&amp;sourceID=30","")</f>
        <v/>
      </c>
    </row>
    <row r="217" spans="1:14">
      <c r="A217" s="3">
        <v>3</v>
      </c>
      <c r="B217" s="3">
        <v>2</v>
      </c>
      <c r="C217" s="3">
        <v>23</v>
      </c>
      <c r="D217" s="3">
        <v>21</v>
      </c>
      <c r="E217" s="3">
        <f>((1/(INDEX(E0!J$4:J$52,C217,1)-INDEX(E0!J$4:J$52,D217,1))))*100000000</f>
        <v>0</v>
      </c>
      <c r="F217" s="4" t="str">
        <f>HYPERLINK("http://141.218.60.56/~jnz1568/getInfo.php?workbook=03_02.xlsx&amp;sheet=A0&amp;row=217&amp;col=6&amp;number=&amp;sourceID=27","")</f>
        <v/>
      </c>
      <c r="G217" s="4" t="str">
        <f>HYPERLINK("http://141.218.60.56/~jnz1568/getInfo.php?workbook=03_02.xlsx&amp;sheet=A0&amp;row=217&amp;col=7&amp;number=14157&amp;sourceID=15","14157")</f>
        <v>14157</v>
      </c>
      <c r="H217" s="4" t="str">
        <f>HYPERLINK("http://141.218.60.56/~jnz1568/getInfo.php?workbook=03_02.xlsx&amp;sheet=A0&amp;row=217&amp;col=8&amp;number=&amp;sourceID=15","")</f>
        <v/>
      </c>
      <c r="I217" s="4" t="str">
        <f>HYPERLINK("http://141.218.60.56/~jnz1568/getInfo.php?workbook=03_02.xlsx&amp;sheet=A0&amp;row=217&amp;col=9&amp;number=&amp;sourceID=15","")</f>
        <v/>
      </c>
      <c r="J217" s="4" t="str">
        <f>HYPERLINK("http://141.218.60.56/~jnz1568/getInfo.php?workbook=03_02.xlsx&amp;sheet=A0&amp;row=217&amp;col=10&amp;number=&amp;sourceID=15","")</f>
        <v/>
      </c>
      <c r="K217" s="4" t="str">
        <f>HYPERLINK("http://141.218.60.56/~jnz1568/getInfo.php?workbook=03_02.xlsx&amp;sheet=A0&amp;row=217&amp;col=11&amp;number=10130&amp;sourceID=30","10130")</f>
        <v>10130</v>
      </c>
      <c r="L217" s="4" t="str">
        <f>HYPERLINK("http://141.218.60.56/~jnz1568/getInfo.php?workbook=03_02.xlsx&amp;sheet=A0&amp;row=217&amp;col=12&amp;number=&amp;sourceID=30","")</f>
        <v/>
      </c>
      <c r="M217" s="4" t="str">
        <f>HYPERLINK("http://141.218.60.56/~jnz1568/getInfo.php?workbook=03_02.xlsx&amp;sheet=A0&amp;row=217&amp;col=13&amp;number=&amp;sourceID=30","")</f>
        <v/>
      </c>
      <c r="N217" s="4" t="str">
        <f>HYPERLINK("http://141.218.60.56/~jnz1568/getInfo.php?workbook=03_02.xlsx&amp;sheet=A0&amp;row=217&amp;col=14&amp;number=2.517e-12&amp;sourceID=30","2.517e-12")</f>
        <v>2.517e-12</v>
      </c>
    </row>
    <row r="218" spans="1:14">
      <c r="A218" s="3">
        <v>3</v>
      </c>
      <c r="B218" s="3">
        <v>2</v>
      </c>
      <c r="C218" s="3">
        <v>23</v>
      </c>
      <c r="D218" s="3">
        <v>22</v>
      </c>
      <c r="E218" s="3">
        <f>((1/(INDEX(E0!J$4:J$52,C218,1)-INDEX(E0!J$4:J$52,D218,1))))*100000000</f>
        <v>0</v>
      </c>
      <c r="F218" s="4" t="str">
        <f>HYPERLINK("http://141.218.60.56/~jnz1568/getInfo.php?workbook=03_02.xlsx&amp;sheet=A0&amp;row=218&amp;col=6&amp;number=&amp;sourceID=27","")</f>
        <v/>
      </c>
      <c r="G218" s="4" t="str">
        <f>HYPERLINK("http://141.218.60.56/~jnz1568/getInfo.php?workbook=03_02.xlsx&amp;sheet=A0&amp;row=218&amp;col=7&amp;number=943.78&amp;sourceID=15","943.78")</f>
        <v>943.78</v>
      </c>
      <c r="H218" s="4" t="str">
        <f>HYPERLINK("http://141.218.60.56/~jnz1568/getInfo.php?workbook=03_02.xlsx&amp;sheet=A0&amp;row=218&amp;col=8&amp;number=&amp;sourceID=15","")</f>
        <v/>
      </c>
      <c r="I218" s="4" t="str">
        <f>HYPERLINK("http://141.218.60.56/~jnz1568/getInfo.php?workbook=03_02.xlsx&amp;sheet=A0&amp;row=218&amp;col=9&amp;number=&amp;sourceID=15","")</f>
        <v/>
      </c>
      <c r="J218" s="4" t="str">
        <f>HYPERLINK("http://141.218.60.56/~jnz1568/getInfo.php?workbook=03_02.xlsx&amp;sheet=A0&amp;row=218&amp;col=10&amp;number=&amp;sourceID=15","")</f>
        <v/>
      </c>
      <c r="K218" s="4" t="str">
        <f>HYPERLINK("http://141.218.60.56/~jnz1568/getInfo.php?workbook=03_02.xlsx&amp;sheet=A0&amp;row=218&amp;col=11&amp;number=674.2&amp;sourceID=30","674.2")</f>
        <v>674.2</v>
      </c>
      <c r="L218" s="4" t="str">
        <f>HYPERLINK("http://141.218.60.56/~jnz1568/getInfo.php?workbook=03_02.xlsx&amp;sheet=A0&amp;row=218&amp;col=12&amp;number=&amp;sourceID=30","")</f>
        <v/>
      </c>
      <c r="M218" s="4" t="str">
        <f>HYPERLINK("http://141.218.60.56/~jnz1568/getInfo.php?workbook=03_02.xlsx&amp;sheet=A0&amp;row=218&amp;col=13&amp;number=&amp;sourceID=30","")</f>
        <v/>
      </c>
      <c r="N218" s="4" t="str">
        <f>HYPERLINK("http://141.218.60.56/~jnz1568/getInfo.php?workbook=03_02.xlsx&amp;sheet=A0&amp;row=218&amp;col=14&amp;number=0&amp;sourceID=30","0")</f>
        <v>0</v>
      </c>
    </row>
    <row r="219" spans="1:14">
      <c r="A219" s="3">
        <v>3</v>
      </c>
      <c r="B219" s="3">
        <v>2</v>
      </c>
      <c r="C219" s="3">
        <v>24</v>
      </c>
      <c r="D219" s="3">
        <v>1</v>
      </c>
      <c r="E219" s="3">
        <f>((1/(INDEX(E0!J$4:J$52,C219,1)-INDEX(E0!J$4:J$52,D219,1))))*100000000</f>
        <v>0</v>
      </c>
      <c r="F219" s="4" t="str">
        <f>HYPERLINK("http://141.218.60.56/~jnz1568/getInfo.php?workbook=03_02.xlsx&amp;sheet=A0&amp;row=219&amp;col=6&amp;number=&amp;sourceID=27","")</f>
        <v/>
      </c>
      <c r="G219" s="4" t="str">
        <f>HYPERLINK("http://141.218.60.56/~jnz1568/getInfo.php?workbook=03_02.xlsx&amp;sheet=A0&amp;row=219&amp;col=7&amp;number=&amp;sourceID=15","")</f>
        <v/>
      </c>
      <c r="H219" s="4" t="str">
        <f>HYPERLINK("http://141.218.60.56/~jnz1568/getInfo.php?workbook=03_02.xlsx&amp;sheet=A0&amp;row=219&amp;col=8&amp;number=&amp;sourceID=15","")</f>
        <v/>
      </c>
      <c r="I219" s="4" t="str">
        <f>HYPERLINK("http://141.218.60.56/~jnz1568/getInfo.php?workbook=03_02.xlsx&amp;sheet=A0&amp;row=219&amp;col=9&amp;number=&amp;sourceID=15","")</f>
        <v/>
      </c>
      <c r="J219" s="4" t="str">
        <f>HYPERLINK("http://141.218.60.56/~jnz1568/getInfo.php?workbook=03_02.xlsx&amp;sheet=A0&amp;row=219&amp;col=10&amp;number=&amp;sourceID=15","")</f>
        <v/>
      </c>
      <c r="K219" s="4" t="str">
        <f>HYPERLINK("http://141.218.60.56/~jnz1568/getInfo.php?workbook=03_02.xlsx&amp;sheet=A0&amp;row=219&amp;col=11&amp;number=&amp;sourceID=30","")</f>
        <v/>
      </c>
      <c r="L219" s="4" t="str">
        <f>HYPERLINK("http://141.218.60.56/~jnz1568/getInfo.php?workbook=03_02.xlsx&amp;sheet=A0&amp;row=219&amp;col=12&amp;number=27.31&amp;sourceID=30","27.31")</f>
        <v>27.31</v>
      </c>
      <c r="M219" s="4" t="str">
        <f>HYPERLINK("http://141.218.60.56/~jnz1568/getInfo.php?workbook=03_02.xlsx&amp;sheet=A0&amp;row=219&amp;col=13&amp;number=&amp;sourceID=30","")</f>
        <v/>
      </c>
      <c r="N219" s="4" t="str">
        <f>HYPERLINK("http://141.218.60.56/~jnz1568/getInfo.php?workbook=03_02.xlsx&amp;sheet=A0&amp;row=219&amp;col=14&amp;number=&amp;sourceID=30","")</f>
        <v/>
      </c>
    </row>
    <row r="220" spans="1:14">
      <c r="A220" s="3">
        <v>3</v>
      </c>
      <c r="B220" s="3">
        <v>2</v>
      </c>
      <c r="C220" s="3">
        <v>24</v>
      </c>
      <c r="D220" s="3">
        <v>2</v>
      </c>
      <c r="E220" s="3">
        <f>((1/(INDEX(E0!J$4:J$52,C220,1)-INDEX(E0!J$4:J$52,D220,1))))*100000000</f>
        <v>0</v>
      </c>
      <c r="F220" s="4" t="str">
        <f>HYPERLINK("http://141.218.60.56/~jnz1568/getInfo.php?workbook=03_02.xlsx&amp;sheet=A0&amp;row=220&amp;col=6&amp;number=&amp;sourceID=27","")</f>
        <v/>
      </c>
      <c r="G220" s="4" t="str">
        <f>HYPERLINK("http://141.218.60.56/~jnz1568/getInfo.php?workbook=03_02.xlsx&amp;sheet=A0&amp;row=220&amp;col=7&amp;number=&amp;sourceID=15","")</f>
        <v/>
      </c>
      <c r="H220" s="4" t="str">
        <f>HYPERLINK("http://141.218.60.56/~jnz1568/getInfo.php?workbook=03_02.xlsx&amp;sheet=A0&amp;row=220&amp;col=8&amp;number=&amp;sourceID=15","")</f>
        <v/>
      </c>
      <c r="I220" s="4" t="str">
        <f>HYPERLINK("http://141.218.60.56/~jnz1568/getInfo.php?workbook=03_02.xlsx&amp;sheet=A0&amp;row=220&amp;col=9&amp;number=&amp;sourceID=15","")</f>
        <v/>
      </c>
      <c r="J220" s="4" t="str">
        <f>HYPERLINK("http://141.218.60.56/~jnz1568/getInfo.php?workbook=03_02.xlsx&amp;sheet=A0&amp;row=220&amp;col=10&amp;number=&amp;sourceID=15","")</f>
        <v/>
      </c>
      <c r="K220" s="4" t="str">
        <f>HYPERLINK("http://141.218.60.56/~jnz1568/getInfo.php?workbook=03_02.xlsx&amp;sheet=A0&amp;row=220&amp;col=11&amp;number=&amp;sourceID=30","")</f>
        <v/>
      </c>
      <c r="L220" s="4" t="str">
        <f>HYPERLINK("http://141.218.60.56/~jnz1568/getInfo.php?workbook=03_02.xlsx&amp;sheet=A0&amp;row=220&amp;col=12&amp;number=1656&amp;sourceID=30","1656")</f>
        <v>1656</v>
      </c>
      <c r="M220" s="4" t="str">
        <f>HYPERLINK("http://141.218.60.56/~jnz1568/getInfo.php?workbook=03_02.xlsx&amp;sheet=A0&amp;row=220&amp;col=13&amp;number=1.955e-09&amp;sourceID=30","1.955e-09")</f>
        <v>1.955e-09</v>
      </c>
      <c r="N220" s="4" t="str">
        <f>HYPERLINK("http://141.218.60.56/~jnz1568/getInfo.php?workbook=03_02.xlsx&amp;sheet=A0&amp;row=220&amp;col=14&amp;number=&amp;sourceID=30","")</f>
        <v/>
      </c>
    </row>
    <row r="221" spans="1:14">
      <c r="A221" s="3">
        <v>3</v>
      </c>
      <c r="B221" s="3">
        <v>2</v>
      </c>
      <c r="C221" s="3">
        <v>24</v>
      </c>
      <c r="D221" s="3">
        <v>3</v>
      </c>
      <c r="E221" s="3">
        <f>((1/(INDEX(E0!J$4:J$52,C221,1)-INDEX(E0!J$4:J$52,D221,1))))*100000000</f>
        <v>0</v>
      </c>
      <c r="F221" s="4" t="str">
        <f>HYPERLINK("http://141.218.60.56/~jnz1568/getInfo.php?workbook=03_02.xlsx&amp;sheet=A0&amp;row=221&amp;col=6&amp;number=&amp;sourceID=27","")</f>
        <v/>
      </c>
      <c r="G221" s="4" t="str">
        <f>HYPERLINK("http://141.218.60.56/~jnz1568/getInfo.php?workbook=03_02.xlsx&amp;sheet=A0&amp;row=221&amp;col=7&amp;number=&amp;sourceID=15","")</f>
        <v/>
      </c>
      <c r="H221" s="4" t="str">
        <f>HYPERLINK("http://141.218.60.56/~jnz1568/getInfo.php?workbook=03_02.xlsx&amp;sheet=A0&amp;row=221&amp;col=8&amp;number=&amp;sourceID=15","")</f>
        <v/>
      </c>
      <c r="I221" s="4" t="str">
        <f>HYPERLINK("http://141.218.60.56/~jnz1568/getInfo.php?workbook=03_02.xlsx&amp;sheet=A0&amp;row=221&amp;col=9&amp;number=&amp;sourceID=15","")</f>
        <v/>
      </c>
      <c r="J221" s="4" t="str">
        <f>HYPERLINK("http://141.218.60.56/~jnz1568/getInfo.php?workbook=03_02.xlsx&amp;sheet=A0&amp;row=221&amp;col=10&amp;number=&amp;sourceID=15","")</f>
        <v/>
      </c>
      <c r="K221" s="4" t="str">
        <f>HYPERLINK("http://141.218.60.56/~jnz1568/getInfo.php?workbook=03_02.xlsx&amp;sheet=A0&amp;row=221&amp;col=11&amp;number=&amp;sourceID=30","")</f>
        <v/>
      </c>
      <c r="L221" s="4" t="str">
        <f>HYPERLINK("http://141.218.60.56/~jnz1568/getInfo.php?workbook=03_02.xlsx&amp;sheet=A0&amp;row=221&amp;col=12&amp;number=0.1128&amp;sourceID=30","0.1128")</f>
        <v>0.1128</v>
      </c>
      <c r="M221" s="4" t="str">
        <f>HYPERLINK("http://141.218.60.56/~jnz1568/getInfo.php?workbook=03_02.xlsx&amp;sheet=A0&amp;row=221&amp;col=13&amp;number=&amp;sourceID=30","")</f>
        <v/>
      </c>
      <c r="N221" s="4" t="str">
        <f>HYPERLINK("http://141.218.60.56/~jnz1568/getInfo.php?workbook=03_02.xlsx&amp;sheet=A0&amp;row=221&amp;col=14&amp;number=&amp;sourceID=30","")</f>
        <v/>
      </c>
    </row>
    <row r="222" spans="1:14">
      <c r="A222" s="3">
        <v>3</v>
      </c>
      <c r="B222" s="3">
        <v>2</v>
      </c>
      <c r="C222" s="3">
        <v>24</v>
      </c>
      <c r="D222" s="3">
        <v>4</v>
      </c>
      <c r="E222" s="3">
        <f>((1/(INDEX(E0!J$4:J$52,C222,1)-INDEX(E0!J$4:J$52,D222,1))))*100000000</f>
        <v>0</v>
      </c>
      <c r="F222" s="4" t="str">
        <f>HYPERLINK("http://141.218.60.56/~jnz1568/getInfo.php?workbook=03_02.xlsx&amp;sheet=A0&amp;row=222&amp;col=6&amp;number=&amp;sourceID=27","")</f>
        <v/>
      </c>
      <c r="G222" s="4" t="str">
        <f>HYPERLINK("http://141.218.60.56/~jnz1568/getInfo.php?workbook=03_02.xlsx&amp;sheet=A0&amp;row=222&amp;col=7&amp;number=288660000&amp;sourceID=15","288660000")</f>
        <v>288660000</v>
      </c>
      <c r="H222" s="4" t="str">
        <f>HYPERLINK("http://141.218.60.56/~jnz1568/getInfo.php?workbook=03_02.xlsx&amp;sheet=A0&amp;row=222&amp;col=8&amp;number=&amp;sourceID=15","")</f>
        <v/>
      </c>
      <c r="I222" s="4" t="str">
        <f>HYPERLINK("http://141.218.60.56/~jnz1568/getInfo.php?workbook=03_02.xlsx&amp;sheet=A0&amp;row=222&amp;col=9&amp;number=&amp;sourceID=15","")</f>
        <v/>
      </c>
      <c r="J222" s="4" t="str">
        <f>HYPERLINK("http://141.218.60.56/~jnz1568/getInfo.php?workbook=03_02.xlsx&amp;sheet=A0&amp;row=222&amp;col=10&amp;number=&amp;sourceID=15","")</f>
        <v/>
      </c>
      <c r="K222" s="4" t="str">
        <f>HYPERLINK("http://141.218.60.56/~jnz1568/getInfo.php?workbook=03_02.xlsx&amp;sheet=A0&amp;row=222&amp;col=11&amp;number=277900000&amp;sourceID=30","277900000")</f>
        <v>277900000</v>
      </c>
      <c r="L222" s="4" t="str">
        <f>HYPERLINK("http://141.218.60.56/~jnz1568/getInfo.php?workbook=03_02.xlsx&amp;sheet=A0&amp;row=222&amp;col=12&amp;number=&amp;sourceID=30","")</f>
        <v/>
      </c>
      <c r="M222" s="4" t="str">
        <f>HYPERLINK("http://141.218.60.56/~jnz1568/getInfo.php?workbook=03_02.xlsx&amp;sheet=A0&amp;row=222&amp;col=13&amp;number=&amp;sourceID=30","")</f>
        <v/>
      </c>
      <c r="N222" s="4" t="str">
        <f>HYPERLINK("http://141.218.60.56/~jnz1568/getInfo.php?workbook=03_02.xlsx&amp;sheet=A0&amp;row=222&amp;col=14&amp;number=0.01093&amp;sourceID=30","0.01093")</f>
        <v>0.01093</v>
      </c>
    </row>
    <row r="223" spans="1:14">
      <c r="A223" s="3">
        <v>3</v>
      </c>
      <c r="B223" s="3">
        <v>2</v>
      </c>
      <c r="C223" s="3">
        <v>24</v>
      </c>
      <c r="D223" s="3">
        <v>5</v>
      </c>
      <c r="E223" s="3">
        <f>((1/(INDEX(E0!J$4:J$52,C223,1)-INDEX(E0!J$4:J$52,D223,1))))*100000000</f>
        <v>0</v>
      </c>
      <c r="F223" s="4" t="str">
        <f>HYPERLINK("http://141.218.60.56/~jnz1568/getInfo.php?workbook=03_02.xlsx&amp;sheet=A0&amp;row=223&amp;col=6&amp;number=&amp;sourceID=27","")</f>
        <v/>
      </c>
      <c r="G223" s="4" t="str">
        <f>HYPERLINK("http://141.218.60.56/~jnz1568/getInfo.php?workbook=03_02.xlsx&amp;sheet=A0&amp;row=223&amp;col=7&amp;number=96216000&amp;sourceID=15","96216000")</f>
        <v>96216000</v>
      </c>
      <c r="H223" s="4" t="str">
        <f>HYPERLINK("http://141.218.60.56/~jnz1568/getInfo.php?workbook=03_02.xlsx&amp;sheet=A0&amp;row=223&amp;col=8&amp;number=&amp;sourceID=15","")</f>
        <v/>
      </c>
      <c r="I223" s="4" t="str">
        <f>HYPERLINK("http://141.218.60.56/~jnz1568/getInfo.php?workbook=03_02.xlsx&amp;sheet=A0&amp;row=223&amp;col=9&amp;number=&amp;sourceID=15","")</f>
        <v/>
      </c>
      <c r="J223" s="4" t="str">
        <f>HYPERLINK("http://141.218.60.56/~jnz1568/getInfo.php?workbook=03_02.xlsx&amp;sheet=A0&amp;row=223&amp;col=10&amp;number=&amp;sourceID=15","")</f>
        <v/>
      </c>
      <c r="K223" s="4" t="str">
        <f>HYPERLINK("http://141.218.60.56/~jnz1568/getInfo.php?workbook=03_02.xlsx&amp;sheet=A0&amp;row=223&amp;col=11&amp;number=92620000&amp;sourceID=30","92620000")</f>
        <v>92620000</v>
      </c>
      <c r="L223" s="4" t="str">
        <f>HYPERLINK("http://141.218.60.56/~jnz1568/getInfo.php?workbook=03_02.xlsx&amp;sheet=A0&amp;row=223&amp;col=12&amp;number=&amp;sourceID=30","")</f>
        <v/>
      </c>
      <c r="M223" s="4" t="str">
        <f>HYPERLINK("http://141.218.60.56/~jnz1568/getInfo.php?workbook=03_02.xlsx&amp;sheet=A0&amp;row=223&amp;col=13&amp;number=&amp;sourceID=30","")</f>
        <v/>
      </c>
      <c r="N223" s="4" t="str">
        <f>HYPERLINK("http://141.218.60.56/~jnz1568/getInfo.php?workbook=03_02.xlsx&amp;sheet=A0&amp;row=223&amp;col=14&amp;number=0.004757&amp;sourceID=30","0.004757")</f>
        <v>0.004757</v>
      </c>
    </row>
    <row r="224" spans="1:14">
      <c r="A224" s="3">
        <v>3</v>
      </c>
      <c r="B224" s="3">
        <v>2</v>
      </c>
      <c r="C224" s="3">
        <v>24</v>
      </c>
      <c r="D224" s="3">
        <v>6</v>
      </c>
      <c r="E224" s="3">
        <f>((1/(INDEX(E0!J$4:J$52,C224,1)-INDEX(E0!J$4:J$52,D224,1))))*100000000</f>
        <v>0</v>
      </c>
      <c r="F224" s="4" t="str">
        <f>HYPERLINK("http://141.218.60.56/~jnz1568/getInfo.php?workbook=03_02.xlsx&amp;sheet=A0&amp;row=224&amp;col=6&amp;number=&amp;sourceID=27","")</f>
        <v/>
      </c>
      <c r="G224" s="4" t="str">
        <f>HYPERLINK("http://141.218.60.56/~jnz1568/getInfo.php?workbook=03_02.xlsx&amp;sheet=A0&amp;row=224&amp;col=7&amp;number=&amp;sourceID=15","")</f>
        <v/>
      </c>
      <c r="H224" s="4" t="str">
        <f>HYPERLINK("http://141.218.60.56/~jnz1568/getInfo.php?workbook=03_02.xlsx&amp;sheet=A0&amp;row=224&amp;col=8&amp;number=&amp;sourceID=15","")</f>
        <v/>
      </c>
      <c r="I224" s="4" t="str">
        <f>HYPERLINK("http://141.218.60.56/~jnz1568/getInfo.php?workbook=03_02.xlsx&amp;sheet=A0&amp;row=224&amp;col=9&amp;number=&amp;sourceID=15","")</f>
        <v/>
      </c>
      <c r="J224" s="4" t="str">
        <f>HYPERLINK("http://141.218.60.56/~jnz1568/getInfo.php?workbook=03_02.xlsx&amp;sheet=A0&amp;row=224&amp;col=10&amp;number=&amp;sourceID=15","")</f>
        <v/>
      </c>
      <c r="K224" s="4" t="str">
        <f>HYPERLINK("http://141.218.60.56/~jnz1568/getInfo.php?workbook=03_02.xlsx&amp;sheet=A0&amp;row=224&amp;col=11&amp;number=&amp;sourceID=30","")</f>
        <v/>
      </c>
      <c r="L224" s="4" t="str">
        <f>HYPERLINK("http://141.218.60.56/~jnz1568/getInfo.php?workbook=03_02.xlsx&amp;sheet=A0&amp;row=224&amp;col=12&amp;number=&amp;sourceID=30","")</f>
        <v/>
      </c>
      <c r="M224" s="4" t="str">
        <f>HYPERLINK("http://141.218.60.56/~jnz1568/getInfo.php?workbook=03_02.xlsx&amp;sheet=A0&amp;row=224&amp;col=13&amp;number=&amp;sourceID=30","")</f>
        <v/>
      </c>
      <c r="N224" s="4" t="str">
        <f>HYPERLINK("http://141.218.60.56/~jnz1568/getInfo.php?workbook=03_02.xlsx&amp;sheet=A0&amp;row=224&amp;col=14&amp;number=0.0006631&amp;sourceID=30","0.0006631")</f>
        <v>0.0006631</v>
      </c>
    </row>
    <row r="225" spans="1:14">
      <c r="A225" s="3">
        <v>3</v>
      </c>
      <c r="B225" s="3">
        <v>2</v>
      </c>
      <c r="C225" s="3">
        <v>24</v>
      </c>
      <c r="D225" s="3">
        <v>7</v>
      </c>
      <c r="E225" s="3">
        <f>((1/(INDEX(E0!J$4:J$52,C225,1)-INDEX(E0!J$4:J$52,D225,1))))*100000000</f>
        <v>0</v>
      </c>
      <c r="F225" s="4" t="str">
        <f>HYPERLINK("http://141.218.60.56/~jnz1568/getInfo.php?workbook=03_02.xlsx&amp;sheet=A0&amp;row=225&amp;col=6&amp;number=&amp;sourceID=27","")</f>
        <v/>
      </c>
      <c r="G225" s="4" t="str">
        <f>HYPERLINK("http://141.218.60.56/~jnz1568/getInfo.php?workbook=03_02.xlsx&amp;sheet=A0&amp;row=225&amp;col=7&amp;number=&amp;sourceID=15","")</f>
        <v/>
      </c>
      <c r="H225" s="4" t="str">
        <f>HYPERLINK("http://141.218.60.56/~jnz1568/getInfo.php?workbook=03_02.xlsx&amp;sheet=A0&amp;row=225&amp;col=8&amp;number=&amp;sourceID=15","")</f>
        <v/>
      </c>
      <c r="I225" s="4" t="str">
        <f>HYPERLINK("http://141.218.60.56/~jnz1568/getInfo.php?workbook=03_02.xlsx&amp;sheet=A0&amp;row=225&amp;col=9&amp;number=&amp;sourceID=15","")</f>
        <v/>
      </c>
      <c r="J225" s="4" t="str">
        <f>HYPERLINK("http://141.218.60.56/~jnz1568/getInfo.php?workbook=03_02.xlsx&amp;sheet=A0&amp;row=225&amp;col=10&amp;number=&amp;sourceID=15","")</f>
        <v/>
      </c>
      <c r="K225" s="4" t="str">
        <f>HYPERLINK("http://141.218.60.56/~jnz1568/getInfo.php?workbook=03_02.xlsx&amp;sheet=A0&amp;row=225&amp;col=11&amp;number=27170&amp;sourceID=30","27170")</f>
        <v>27170</v>
      </c>
      <c r="L225" s="4" t="str">
        <f>HYPERLINK("http://141.218.60.56/~jnz1568/getInfo.php?workbook=03_02.xlsx&amp;sheet=A0&amp;row=225&amp;col=12&amp;number=&amp;sourceID=30","")</f>
        <v/>
      </c>
      <c r="M225" s="4" t="str">
        <f>HYPERLINK("http://141.218.60.56/~jnz1568/getInfo.php?workbook=03_02.xlsx&amp;sheet=A0&amp;row=225&amp;col=13&amp;number=&amp;sourceID=30","")</f>
        <v/>
      </c>
      <c r="N225" s="4" t="str">
        <f>HYPERLINK("http://141.218.60.56/~jnz1568/getInfo.php?workbook=03_02.xlsx&amp;sheet=A0&amp;row=225&amp;col=14&amp;number=0.002175&amp;sourceID=30","0.002175")</f>
        <v>0.002175</v>
      </c>
    </row>
    <row r="226" spans="1:14">
      <c r="A226" s="3">
        <v>3</v>
      </c>
      <c r="B226" s="3">
        <v>2</v>
      </c>
      <c r="C226" s="3">
        <v>24</v>
      </c>
      <c r="D226" s="3">
        <v>8</v>
      </c>
      <c r="E226" s="3">
        <f>((1/(INDEX(E0!J$4:J$52,C226,1)-INDEX(E0!J$4:J$52,D226,1))))*100000000</f>
        <v>0</v>
      </c>
      <c r="F226" s="4" t="str">
        <f>HYPERLINK("http://141.218.60.56/~jnz1568/getInfo.php?workbook=03_02.xlsx&amp;sheet=A0&amp;row=226&amp;col=6&amp;number=&amp;sourceID=27","")</f>
        <v/>
      </c>
      <c r="G226" s="4" t="str">
        <f>HYPERLINK("http://141.218.60.56/~jnz1568/getInfo.php?workbook=03_02.xlsx&amp;sheet=A0&amp;row=226&amp;col=7&amp;number=&amp;sourceID=15","")</f>
        <v/>
      </c>
      <c r="H226" s="4" t="str">
        <f>HYPERLINK("http://141.218.60.56/~jnz1568/getInfo.php?workbook=03_02.xlsx&amp;sheet=A0&amp;row=226&amp;col=8&amp;number=&amp;sourceID=15","")</f>
        <v/>
      </c>
      <c r="I226" s="4" t="str">
        <f>HYPERLINK("http://141.218.60.56/~jnz1568/getInfo.php?workbook=03_02.xlsx&amp;sheet=A0&amp;row=226&amp;col=9&amp;number=&amp;sourceID=15","")</f>
        <v/>
      </c>
      <c r="J226" s="4" t="str">
        <f>HYPERLINK("http://141.218.60.56/~jnz1568/getInfo.php?workbook=03_02.xlsx&amp;sheet=A0&amp;row=226&amp;col=10&amp;number=&amp;sourceID=15","")</f>
        <v/>
      </c>
      <c r="K226" s="4" t="str">
        <f>HYPERLINK("http://141.218.60.56/~jnz1568/getInfo.php?workbook=03_02.xlsx&amp;sheet=A0&amp;row=226&amp;col=11&amp;number=&amp;sourceID=30","")</f>
        <v/>
      </c>
      <c r="L226" s="4" t="str">
        <f>HYPERLINK("http://141.218.60.56/~jnz1568/getInfo.php?workbook=03_02.xlsx&amp;sheet=A0&amp;row=226&amp;col=12&amp;number=379.9&amp;sourceID=30","379.9")</f>
        <v>379.9</v>
      </c>
      <c r="M226" s="4" t="str">
        <f>HYPERLINK("http://141.218.60.56/~jnz1568/getInfo.php?workbook=03_02.xlsx&amp;sheet=A0&amp;row=226&amp;col=13&amp;number=2.384e-09&amp;sourceID=30","2.384e-09")</f>
        <v>2.384e-09</v>
      </c>
      <c r="N226" s="4" t="str">
        <f>HYPERLINK("http://141.218.60.56/~jnz1568/getInfo.php?workbook=03_02.xlsx&amp;sheet=A0&amp;row=226&amp;col=14&amp;number=&amp;sourceID=30","")</f>
        <v/>
      </c>
    </row>
    <row r="227" spans="1:14">
      <c r="A227" s="3">
        <v>3</v>
      </c>
      <c r="B227" s="3">
        <v>2</v>
      </c>
      <c r="C227" s="3">
        <v>24</v>
      </c>
      <c r="D227" s="3">
        <v>9</v>
      </c>
      <c r="E227" s="3">
        <f>((1/(INDEX(E0!J$4:J$52,C227,1)-INDEX(E0!J$4:J$52,D227,1))))*100000000</f>
        <v>0</v>
      </c>
      <c r="F227" s="4" t="str">
        <f>HYPERLINK("http://141.218.60.56/~jnz1568/getInfo.php?workbook=03_02.xlsx&amp;sheet=A0&amp;row=227&amp;col=6&amp;number=&amp;sourceID=27","")</f>
        <v/>
      </c>
      <c r="G227" s="4" t="str">
        <f>HYPERLINK("http://141.218.60.56/~jnz1568/getInfo.php?workbook=03_02.xlsx&amp;sheet=A0&amp;row=227&amp;col=7&amp;number=&amp;sourceID=15","")</f>
        <v/>
      </c>
      <c r="H227" s="4" t="str">
        <f>HYPERLINK("http://141.218.60.56/~jnz1568/getInfo.php?workbook=03_02.xlsx&amp;sheet=A0&amp;row=227&amp;col=8&amp;number=&amp;sourceID=15","")</f>
        <v/>
      </c>
      <c r="I227" s="4" t="str">
        <f>HYPERLINK("http://141.218.60.56/~jnz1568/getInfo.php?workbook=03_02.xlsx&amp;sheet=A0&amp;row=227&amp;col=9&amp;number=&amp;sourceID=15","")</f>
        <v/>
      </c>
      <c r="J227" s="4" t="str">
        <f>HYPERLINK("http://141.218.60.56/~jnz1568/getInfo.php?workbook=03_02.xlsx&amp;sheet=A0&amp;row=227&amp;col=10&amp;number=&amp;sourceID=15","")</f>
        <v/>
      </c>
      <c r="K227" s="4" t="str">
        <f>HYPERLINK("http://141.218.60.56/~jnz1568/getInfo.php?workbook=03_02.xlsx&amp;sheet=A0&amp;row=227&amp;col=11&amp;number=&amp;sourceID=30","")</f>
        <v/>
      </c>
      <c r="L227" s="4" t="str">
        <f>HYPERLINK("http://141.218.60.56/~jnz1568/getInfo.php?workbook=03_02.xlsx&amp;sheet=A0&amp;row=227&amp;col=12&amp;number=0.02737&amp;sourceID=30","0.02737")</f>
        <v>0.02737</v>
      </c>
      <c r="M227" s="4" t="str">
        <f>HYPERLINK("http://141.218.60.56/~jnz1568/getInfo.php?workbook=03_02.xlsx&amp;sheet=A0&amp;row=227&amp;col=13&amp;number=&amp;sourceID=30","")</f>
        <v/>
      </c>
      <c r="N227" s="4" t="str">
        <f>HYPERLINK("http://141.218.60.56/~jnz1568/getInfo.php?workbook=03_02.xlsx&amp;sheet=A0&amp;row=227&amp;col=14&amp;number=&amp;sourceID=30","")</f>
        <v/>
      </c>
    </row>
    <row r="228" spans="1:14">
      <c r="A228" s="3">
        <v>3</v>
      </c>
      <c r="B228" s="3">
        <v>2</v>
      </c>
      <c r="C228" s="3">
        <v>24</v>
      </c>
      <c r="D228" s="3">
        <v>10</v>
      </c>
      <c r="E228" s="3">
        <f>((1/(INDEX(E0!J$4:J$52,C228,1)-INDEX(E0!J$4:J$52,D228,1))))*100000000</f>
        <v>0</v>
      </c>
      <c r="F228" s="4" t="str">
        <f>HYPERLINK("http://141.218.60.56/~jnz1568/getInfo.php?workbook=03_02.xlsx&amp;sheet=A0&amp;row=228&amp;col=6&amp;number=&amp;sourceID=27","")</f>
        <v/>
      </c>
      <c r="G228" s="4" t="str">
        <f>HYPERLINK("http://141.218.60.56/~jnz1568/getInfo.php?workbook=03_02.xlsx&amp;sheet=A0&amp;row=228&amp;col=7&amp;number=80701000&amp;sourceID=15","80701000")</f>
        <v>80701000</v>
      </c>
      <c r="H228" s="4" t="str">
        <f>HYPERLINK("http://141.218.60.56/~jnz1568/getInfo.php?workbook=03_02.xlsx&amp;sheet=A0&amp;row=228&amp;col=8&amp;number=&amp;sourceID=15","")</f>
        <v/>
      </c>
      <c r="I228" s="4" t="str">
        <f>HYPERLINK("http://141.218.60.56/~jnz1568/getInfo.php?workbook=03_02.xlsx&amp;sheet=A0&amp;row=228&amp;col=9&amp;number=&amp;sourceID=15","")</f>
        <v/>
      </c>
      <c r="J228" s="4" t="str">
        <f>HYPERLINK("http://141.218.60.56/~jnz1568/getInfo.php?workbook=03_02.xlsx&amp;sheet=A0&amp;row=228&amp;col=10&amp;number=&amp;sourceID=15","")</f>
        <v/>
      </c>
      <c r="K228" s="4" t="str">
        <f>HYPERLINK("http://141.218.60.56/~jnz1568/getInfo.php?workbook=03_02.xlsx&amp;sheet=A0&amp;row=228&amp;col=11&amp;number=80480000&amp;sourceID=30","80480000")</f>
        <v>80480000</v>
      </c>
      <c r="L228" s="4" t="str">
        <f>HYPERLINK("http://141.218.60.56/~jnz1568/getInfo.php?workbook=03_02.xlsx&amp;sheet=A0&amp;row=228&amp;col=12&amp;number=&amp;sourceID=30","")</f>
        <v/>
      </c>
      <c r="M228" s="4" t="str">
        <f>HYPERLINK("http://141.218.60.56/~jnz1568/getInfo.php?workbook=03_02.xlsx&amp;sheet=A0&amp;row=228&amp;col=13&amp;number=&amp;sourceID=30","")</f>
        <v/>
      </c>
      <c r="N228" s="4" t="str">
        <f>HYPERLINK("http://141.218.60.56/~jnz1568/getInfo.php?workbook=03_02.xlsx&amp;sheet=A0&amp;row=228&amp;col=14&amp;number=0.0002168&amp;sourceID=30","0.0002168")</f>
        <v>0.0002168</v>
      </c>
    </row>
    <row r="229" spans="1:14">
      <c r="A229" s="3">
        <v>3</v>
      </c>
      <c r="B229" s="3">
        <v>2</v>
      </c>
      <c r="C229" s="3">
        <v>24</v>
      </c>
      <c r="D229" s="3">
        <v>11</v>
      </c>
      <c r="E229" s="3">
        <f>((1/(INDEX(E0!J$4:J$52,C229,1)-INDEX(E0!J$4:J$52,D229,1))))*100000000</f>
        <v>0</v>
      </c>
      <c r="F229" s="4" t="str">
        <f>HYPERLINK("http://141.218.60.56/~jnz1568/getInfo.php?workbook=03_02.xlsx&amp;sheet=A0&amp;row=229&amp;col=6&amp;number=&amp;sourceID=27","")</f>
        <v/>
      </c>
      <c r="G229" s="4" t="str">
        <f>HYPERLINK("http://141.218.60.56/~jnz1568/getInfo.php?workbook=03_02.xlsx&amp;sheet=A0&amp;row=229&amp;col=7&amp;number=26900000&amp;sourceID=15","26900000")</f>
        <v>26900000</v>
      </c>
      <c r="H229" s="4" t="str">
        <f>HYPERLINK("http://141.218.60.56/~jnz1568/getInfo.php?workbook=03_02.xlsx&amp;sheet=A0&amp;row=229&amp;col=8&amp;number=&amp;sourceID=15","")</f>
        <v/>
      </c>
      <c r="I229" s="4" t="str">
        <f>HYPERLINK("http://141.218.60.56/~jnz1568/getInfo.php?workbook=03_02.xlsx&amp;sheet=A0&amp;row=229&amp;col=9&amp;number=&amp;sourceID=15","")</f>
        <v/>
      </c>
      <c r="J229" s="4" t="str">
        <f>HYPERLINK("http://141.218.60.56/~jnz1568/getInfo.php?workbook=03_02.xlsx&amp;sheet=A0&amp;row=229&amp;col=10&amp;number=&amp;sourceID=15","")</f>
        <v/>
      </c>
      <c r="K229" s="4" t="str">
        <f>HYPERLINK("http://141.218.60.56/~jnz1568/getInfo.php?workbook=03_02.xlsx&amp;sheet=A0&amp;row=229&amp;col=11&amp;number=26820000&amp;sourceID=30","26820000")</f>
        <v>26820000</v>
      </c>
      <c r="L229" s="4" t="str">
        <f>HYPERLINK("http://141.218.60.56/~jnz1568/getInfo.php?workbook=03_02.xlsx&amp;sheet=A0&amp;row=229&amp;col=12&amp;number=&amp;sourceID=30","")</f>
        <v/>
      </c>
      <c r="M229" s="4" t="str">
        <f>HYPERLINK("http://141.218.60.56/~jnz1568/getInfo.php?workbook=03_02.xlsx&amp;sheet=A0&amp;row=229&amp;col=13&amp;number=&amp;sourceID=30","")</f>
        <v/>
      </c>
      <c r="N229" s="4" t="str">
        <f>HYPERLINK("http://141.218.60.56/~jnz1568/getInfo.php?workbook=03_02.xlsx&amp;sheet=A0&amp;row=229&amp;col=14&amp;number=9.434e-05&amp;sourceID=30","9.434e-05")</f>
        <v>9.434e-05</v>
      </c>
    </row>
    <row r="230" spans="1:14">
      <c r="A230" s="3">
        <v>3</v>
      </c>
      <c r="B230" s="3">
        <v>2</v>
      </c>
      <c r="C230" s="3">
        <v>24</v>
      </c>
      <c r="D230" s="3">
        <v>12</v>
      </c>
      <c r="E230" s="3">
        <f>((1/(INDEX(E0!J$4:J$52,C230,1)-INDEX(E0!J$4:J$52,D230,1))))*100000000</f>
        <v>0</v>
      </c>
      <c r="F230" s="4" t="str">
        <f>HYPERLINK("http://141.218.60.56/~jnz1568/getInfo.php?workbook=03_02.xlsx&amp;sheet=A0&amp;row=230&amp;col=6&amp;number=&amp;sourceID=27","")</f>
        <v/>
      </c>
      <c r="G230" s="4" t="str">
        <f>HYPERLINK("http://141.218.60.56/~jnz1568/getInfo.php?workbook=03_02.xlsx&amp;sheet=A0&amp;row=230&amp;col=7&amp;number=&amp;sourceID=15","")</f>
        <v/>
      </c>
      <c r="H230" s="4" t="str">
        <f>HYPERLINK("http://141.218.60.56/~jnz1568/getInfo.php?workbook=03_02.xlsx&amp;sheet=A0&amp;row=230&amp;col=8&amp;number=&amp;sourceID=15","")</f>
        <v/>
      </c>
      <c r="I230" s="4" t="str">
        <f>HYPERLINK("http://141.218.60.56/~jnz1568/getInfo.php?workbook=03_02.xlsx&amp;sheet=A0&amp;row=230&amp;col=9&amp;number=&amp;sourceID=15","")</f>
        <v/>
      </c>
      <c r="J230" s="4" t="str">
        <f>HYPERLINK("http://141.218.60.56/~jnz1568/getInfo.php?workbook=03_02.xlsx&amp;sheet=A0&amp;row=230&amp;col=10&amp;number=&amp;sourceID=15","")</f>
        <v/>
      </c>
      <c r="K230" s="4" t="str">
        <f>HYPERLINK("http://141.218.60.56/~jnz1568/getInfo.php?workbook=03_02.xlsx&amp;sheet=A0&amp;row=230&amp;col=11&amp;number=&amp;sourceID=30","")</f>
        <v/>
      </c>
      <c r="L230" s="4" t="str">
        <f>HYPERLINK("http://141.218.60.56/~jnz1568/getInfo.php?workbook=03_02.xlsx&amp;sheet=A0&amp;row=230&amp;col=12&amp;number=&amp;sourceID=30","")</f>
        <v/>
      </c>
      <c r="M230" s="4" t="str">
        <f>HYPERLINK("http://141.218.60.56/~jnz1568/getInfo.php?workbook=03_02.xlsx&amp;sheet=A0&amp;row=230&amp;col=13&amp;number=&amp;sourceID=30","")</f>
        <v/>
      </c>
      <c r="N230" s="4" t="str">
        <f>HYPERLINK("http://141.218.60.56/~jnz1568/getInfo.php?workbook=03_02.xlsx&amp;sheet=A0&amp;row=230&amp;col=14&amp;number=1.315e-05&amp;sourceID=30","1.315e-05")</f>
        <v>1.315e-05</v>
      </c>
    </row>
    <row r="231" spans="1:14">
      <c r="A231" s="3">
        <v>3</v>
      </c>
      <c r="B231" s="3">
        <v>2</v>
      </c>
      <c r="C231" s="3">
        <v>24</v>
      </c>
      <c r="D231" s="3">
        <v>13</v>
      </c>
      <c r="E231" s="3">
        <f>((1/(INDEX(E0!J$4:J$52,C231,1)-INDEX(E0!J$4:J$52,D231,1))))*100000000</f>
        <v>0</v>
      </c>
      <c r="F231" s="4" t="str">
        <f>HYPERLINK("http://141.218.60.56/~jnz1568/getInfo.php?workbook=03_02.xlsx&amp;sheet=A0&amp;row=231&amp;col=6&amp;number=&amp;sourceID=27","")</f>
        <v/>
      </c>
      <c r="G231" s="4" t="str">
        <f>HYPERLINK("http://141.218.60.56/~jnz1568/getInfo.php?workbook=03_02.xlsx&amp;sheet=A0&amp;row=231&amp;col=7&amp;number=&amp;sourceID=15","")</f>
        <v/>
      </c>
      <c r="H231" s="4" t="str">
        <f>HYPERLINK("http://141.218.60.56/~jnz1568/getInfo.php?workbook=03_02.xlsx&amp;sheet=A0&amp;row=231&amp;col=8&amp;number=&amp;sourceID=15","")</f>
        <v/>
      </c>
      <c r="I231" s="4" t="str">
        <f>HYPERLINK("http://141.218.60.56/~jnz1568/getInfo.php?workbook=03_02.xlsx&amp;sheet=A0&amp;row=231&amp;col=9&amp;number=&amp;sourceID=15","")</f>
        <v/>
      </c>
      <c r="J231" s="4" t="str">
        <f>HYPERLINK("http://141.218.60.56/~jnz1568/getInfo.php?workbook=03_02.xlsx&amp;sheet=A0&amp;row=231&amp;col=10&amp;number=&amp;sourceID=15","")</f>
        <v/>
      </c>
      <c r="K231" s="4" t="str">
        <f>HYPERLINK("http://141.218.60.56/~jnz1568/getInfo.php?workbook=03_02.xlsx&amp;sheet=A0&amp;row=231&amp;col=11&amp;number=&amp;sourceID=30","")</f>
        <v/>
      </c>
      <c r="L231" s="4" t="str">
        <f>HYPERLINK("http://141.218.60.56/~jnz1568/getInfo.php?workbook=03_02.xlsx&amp;sheet=A0&amp;row=231&amp;col=12&amp;number=19.05&amp;sourceID=30","19.05")</f>
        <v>19.05</v>
      </c>
      <c r="M231" s="4" t="str">
        <f>HYPERLINK("http://141.218.60.56/~jnz1568/getInfo.php?workbook=03_02.xlsx&amp;sheet=A0&amp;row=231&amp;col=13&amp;number=3.396e-08&amp;sourceID=30","3.396e-08")</f>
        <v>3.396e-08</v>
      </c>
      <c r="N231" s="4" t="str">
        <f>HYPERLINK("http://141.218.60.56/~jnz1568/getInfo.php?workbook=03_02.xlsx&amp;sheet=A0&amp;row=231&amp;col=14&amp;number=&amp;sourceID=30","")</f>
        <v/>
      </c>
    </row>
    <row r="232" spans="1:14">
      <c r="A232" s="3">
        <v>3</v>
      </c>
      <c r="B232" s="3">
        <v>2</v>
      </c>
      <c r="C232" s="3">
        <v>24</v>
      </c>
      <c r="D232" s="3">
        <v>14</v>
      </c>
      <c r="E232" s="3">
        <f>((1/(INDEX(E0!J$4:J$52,C232,1)-INDEX(E0!J$4:J$52,D232,1))))*100000000</f>
        <v>0</v>
      </c>
      <c r="F232" s="4" t="str">
        <f>HYPERLINK("http://141.218.60.56/~jnz1568/getInfo.php?workbook=03_02.xlsx&amp;sheet=A0&amp;row=232&amp;col=6&amp;number=&amp;sourceID=27","")</f>
        <v/>
      </c>
      <c r="G232" s="4" t="str">
        <f>HYPERLINK("http://141.218.60.56/~jnz1568/getInfo.php?workbook=03_02.xlsx&amp;sheet=A0&amp;row=232&amp;col=7&amp;number=&amp;sourceID=15","")</f>
        <v/>
      </c>
      <c r="H232" s="4" t="str">
        <f>HYPERLINK("http://141.218.60.56/~jnz1568/getInfo.php?workbook=03_02.xlsx&amp;sheet=A0&amp;row=232&amp;col=8&amp;number=&amp;sourceID=15","")</f>
        <v/>
      </c>
      <c r="I232" s="4" t="str">
        <f>HYPERLINK("http://141.218.60.56/~jnz1568/getInfo.php?workbook=03_02.xlsx&amp;sheet=A0&amp;row=232&amp;col=9&amp;number=&amp;sourceID=15","")</f>
        <v/>
      </c>
      <c r="J232" s="4" t="str">
        <f>HYPERLINK("http://141.218.60.56/~jnz1568/getInfo.php?workbook=03_02.xlsx&amp;sheet=A0&amp;row=232&amp;col=10&amp;number=&amp;sourceID=15","")</f>
        <v/>
      </c>
      <c r="K232" s="4" t="str">
        <f>HYPERLINK("http://141.218.60.56/~jnz1568/getInfo.php?workbook=03_02.xlsx&amp;sheet=A0&amp;row=232&amp;col=11&amp;number=&amp;sourceID=30","")</f>
        <v/>
      </c>
      <c r="L232" s="4" t="str">
        <f>HYPERLINK("http://141.218.60.56/~jnz1568/getInfo.php?workbook=03_02.xlsx&amp;sheet=A0&amp;row=232&amp;col=12&amp;number=30.47&amp;sourceID=30","30.47")</f>
        <v>30.47</v>
      </c>
      <c r="M232" s="4" t="str">
        <f>HYPERLINK("http://141.218.60.56/~jnz1568/getInfo.php?workbook=03_02.xlsx&amp;sheet=A0&amp;row=232&amp;col=13&amp;number=2.75e-09&amp;sourceID=30","2.75e-09")</f>
        <v>2.75e-09</v>
      </c>
      <c r="N232" s="4" t="str">
        <f>HYPERLINK("http://141.218.60.56/~jnz1568/getInfo.php?workbook=03_02.xlsx&amp;sheet=A0&amp;row=232&amp;col=14&amp;number=&amp;sourceID=30","")</f>
        <v/>
      </c>
    </row>
    <row r="233" spans="1:14">
      <c r="A233" s="3">
        <v>3</v>
      </c>
      <c r="B233" s="3">
        <v>2</v>
      </c>
      <c r="C233" s="3">
        <v>24</v>
      </c>
      <c r="D233" s="3">
        <v>15</v>
      </c>
      <c r="E233" s="3">
        <f>((1/(INDEX(E0!J$4:J$52,C233,1)-INDEX(E0!J$4:J$52,D233,1))))*100000000</f>
        <v>0</v>
      </c>
      <c r="F233" s="4" t="str">
        <f>HYPERLINK("http://141.218.60.56/~jnz1568/getInfo.php?workbook=03_02.xlsx&amp;sheet=A0&amp;row=233&amp;col=6&amp;number=&amp;sourceID=27","")</f>
        <v/>
      </c>
      <c r="G233" s="4" t="str">
        <f>HYPERLINK("http://141.218.60.56/~jnz1568/getInfo.php?workbook=03_02.xlsx&amp;sheet=A0&amp;row=233&amp;col=7&amp;number=&amp;sourceID=15","")</f>
        <v/>
      </c>
      <c r="H233" s="4" t="str">
        <f>HYPERLINK("http://141.218.60.56/~jnz1568/getInfo.php?workbook=03_02.xlsx&amp;sheet=A0&amp;row=233&amp;col=8&amp;number=&amp;sourceID=15","")</f>
        <v/>
      </c>
      <c r="I233" s="4" t="str">
        <f>HYPERLINK("http://141.218.60.56/~jnz1568/getInfo.php?workbook=03_02.xlsx&amp;sheet=A0&amp;row=233&amp;col=9&amp;number=&amp;sourceID=15","")</f>
        <v/>
      </c>
      <c r="J233" s="4" t="str">
        <f>HYPERLINK("http://141.218.60.56/~jnz1568/getInfo.php?workbook=03_02.xlsx&amp;sheet=A0&amp;row=233&amp;col=10&amp;number=&amp;sourceID=15","")</f>
        <v/>
      </c>
      <c r="K233" s="4" t="str">
        <f>HYPERLINK("http://141.218.60.56/~jnz1568/getInfo.php?workbook=03_02.xlsx&amp;sheet=A0&amp;row=233&amp;col=11&amp;number=&amp;sourceID=30","")</f>
        <v/>
      </c>
      <c r="L233" s="4" t="str">
        <f>HYPERLINK("http://141.218.60.56/~jnz1568/getInfo.php?workbook=03_02.xlsx&amp;sheet=A0&amp;row=233&amp;col=12&amp;number=26.66&amp;sourceID=30","26.66")</f>
        <v>26.66</v>
      </c>
      <c r="M233" s="4" t="str">
        <f>HYPERLINK("http://141.218.60.56/~jnz1568/getInfo.php?workbook=03_02.xlsx&amp;sheet=A0&amp;row=233&amp;col=13&amp;number=7.315e-09&amp;sourceID=30","7.315e-09")</f>
        <v>7.315e-09</v>
      </c>
      <c r="N233" s="4" t="str">
        <f>HYPERLINK("http://141.218.60.56/~jnz1568/getInfo.php?workbook=03_02.xlsx&amp;sheet=A0&amp;row=233&amp;col=14&amp;number=&amp;sourceID=30","")</f>
        <v/>
      </c>
    </row>
    <row r="234" spans="1:14">
      <c r="A234" s="3">
        <v>3</v>
      </c>
      <c r="B234" s="3">
        <v>2</v>
      </c>
      <c r="C234" s="3">
        <v>24</v>
      </c>
      <c r="D234" s="3">
        <v>16</v>
      </c>
      <c r="E234" s="3">
        <f>((1/(INDEX(E0!J$4:J$52,C234,1)-INDEX(E0!J$4:J$52,D234,1))))*100000000</f>
        <v>0</v>
      </c>
      <c r="F234" s="4" t="str">
        <f>HYPERLINK("http://141.218.60.56/~jnz1568/getInfo.php?workbook=03_02.xlsx&amp;sheet=A0&amp;row=234&amp;col=6&amp;number=&amp;sourceID=27","")</f>
        <v/>
      </c>
      <c r="G234" s="4" t="str">
        <f>HYPERLINK("http://141.218.60.56/~jnz1568/getInfo.php?workbook=03_02.xlsx&amp;sheet=A0&amp;row=234&amp;col=7&amp;number=&amp;sourceID=15","")</f>
        <v/>
      </c>
      <c r="H234" s="4" t="str">
        <f>HYPERLINK("http://141.218.60.56/~jnz1568/getInfo.php?workbook=03_02.xlsx&amp;sheet=A0&amp;row=234&amp;col=8&amp;number=&amp;sourceID=15","")</f>
        <v/>
      </c>
      <c r="I234" s="4" t="str">
        <f>HYPERLINK("http://141.218.60.56/~jnz1568/getInfo.php?workbook=03_02.xlsx&amp;sheet=A0&amp;row=234&amp;col=9&amp;number=&amp;sourceID=15","")</f>
        <v/>
      </c>
      <c r="J234" s="4" t="str">
        <f>HYPERLINK("http://141.218.60.56/~jnz1568/getInfo.php?workbook=03_02.xlsx&amp;sheet=A0&amp;row=234&amp;col=10&amp;number=&amp;sourceID=15","")</f>
        <v/>
      </c>
      <c r="K234" s="4" t="str">
        <f>HYPERLINK("http://141.218.60.56/~jnz1568/getInfo.php?workbook=03_02.xlsx&amp;sheet=A0&amp;row=234&amp;col=11&amp;number=&amp;sourceID=30","")</f>
        <v/>
      </c>
      <c r="L234" s="4" t="str">
        <f>HYPERLINK("http://141.218.60.56/~jnz1568/getInfo.php?workbook=03_02.xlsx&amp;sheet=A0&amp;row=234&amp;col=12&amp;number=0.0007893&amp;sourceID=30","0.0007893")</f>
        <v>0.0007893</v>
      </c>
      <c r="M234" s="4" t="str">
        <f>HYPERLINK("http://141.218.60.56/~jnz1568/getInfo.php?workbook=03_02.xlsx&amp;sheet=A0&amp;row=234&amp;col=13&amp;number=2.567e-08&amp;sourceID=30","2.567e-08")</f>
        <v>2.567e-08</v>
      </c>
      <c r="N234" s="4" t="str">
        <f>HYPERLINK("http://141.218.60.56/~jnz1568/getInfo.php?workbook=03_02.xlsx&amp;sheet=A0&amp;row=234&amp;col=14&amp;number=&amp;sourceID=30","")</f>
        <v/>
      </c>
    </row>
    <row r="235" spans="1:14">
      <c r="A235" s="3">
        <v>3</v>
      </c>
      <c r="B235" s="3">
        <v>2</v>
      </c>
      <c r="C235" s="3">
        <v>24</v>
      </c>
      <c r="D235" s="3">
        <v>17</v>
      </c>
      <c r="E235" s="3">
        <f>((1/(INDEX(E0!J$4:J$52,C235,1)-INDEX(E0!J$4:J$52,D235,1))))*100000000</f>
        <v>0</v>
      </c>
      <c r="F235" s="4" t="str">
        <f>HYPERLINK("http://141.218.60.56/~jnz1568/getInfo.php?workbook=03_02.xlsx&amp;sheet=A0&amp;row=235&amp;col=6&amp;number=&amp;sourceID=27","")</f>
        <v/>
      </c>
      <c r="G235" s="4" t="str">
        <f>HYPERLINK("http://141.218.60.56/~jnz1568/getInfo.php?workbook=03_02.xlsx&amp;sheet=A0&amp;row=235&amp;col=7&amp;number=21150&amp;sourceID=15","21150")</f>
        <v>21150</v>
      </c>
      <c r="H235" s="4" t="str">
        <f>HYPERLINK("http://141.218.60.56/~jnz1568/getInfo.php?workbook=03_02.xlsx&amp;sheet=A0&amp;row=235&amp;col=8&amp;number=&amp;sourceID=15","")</f>
        <v/>
      </c>
      <c r="I235" s="4" t="str">
        <f>HYPERLINK("http://141.218.60.56/~jnz1568/getInfo.php?workbook=03_02.xlsx&amp;sheet=A0&amp;row=235&amp;col=9&amp;number=&amp;sourceID=15","")</f>
        <v/>
      </c>
      <c r="J235" s="4" t="str">
        <f>HYPERLINK("http://141.218.60.56/~jnz1568/getInfo.php?workbook=03_02.xlsx&amp;sheet=A0&amp;row=235&amp;col=10&amp;number=&amp;sourceID=15","")</f>
        <v/>
      </c>
      <c r="K235" s="4" t="str">
        <f>HYPERLINK("http://141.218.60.56/~jnz1568/getInfo.php?workbook=03_02.xlsx&amp;sheet=A0&amp;row=235&amp;col=11&amp;number=9909&amp;sourceID=30","9909")</f>
        <v>9909</v>
      </c>
      <c r="L235" s="4" t="str">
        <f>HYPERLINK("http://141.218.60.56/~jnz1568/getInfo.php?workbook=03_02.xlsx&amp;sheet=A0&amp;row=235&amp;col=12&amp;number=&amp;sourceID=30","")</f>
        <v/>
      </c>
      <c r="M235" s="4" t="str">
        <f>HYPERLINK("http://141.218.60.56/~jnz1568/getInfo.php?workbook=03_02.xlsx&amp;sheet=A0&amp;row=235&amp;col=13&amp;number=&amp;sourceID=30","")</f>
        <v/>
      </c>
      <c r="N235" s="4" t="str">
        <f>HYPERLINK("http://141.218.60.56/~jnz1568/getInfo.php?workbook=03_02.xlsx&amp;sheet=A0&amp;row=235&amp;col=14&amp;number=5.194e-05&amp;sourceID=30","5.194e-05")</f>
        <v>5.194e-05</v>
      </c>
    </row>
    <row r="236" spans="1:14">
      <c r="A236" s="3">
        <v>3</v>
      </c>
      <c r="B236" s="3">
        <v>2</v>
      </c>
      <c r="C236" s="3">
        <v>24</v>
      </c>
      <c r="D236" s="3">
        <v>18</v>
      </c>
      <c r="E236" s="3">
        <f>((1/(INDEX(E0!J$4:J$52,C236,1)-INDEX(E0!J$4:J$52,D236,1))))*100000000</f>
        <v>0</v>
      </c>
      <c r="F236" s="4" t="str">
        <f>HYPERLINK("http://141.218.60.56/~jnz1568/getInfo.php?workbook=03_02.xlsx&amp;sheet=A0&amp;row=236&amp;col=6&amp;number=&amp;sourceID=27","")</f>
        <v/>
      </c>
      <c r="G236" s="4" t="str">
        <f>HYPERLINK("http://141.218.60.56/~jnz1568/getInfo.php?workbook=03_02.xlsx&amp;sheet=A0&amp;row=236&amp;col=7&amp;number=&amp;sourceID=15","")</f>
        <v/>
      </c>
      <c r="H236" s="4" t="str">
        <f>HYPERLINK("http://141.218.60.56/~jnz1568/getInfo.php?workbook=03_02.xlsx&amp;sheet=A0&amp;row=236&amp;col=8&amp;number=&amp;sourceID=15","")</f>
        <v/>
      </c>
      <c r="I236" s="4" t="str">
        <f>HYPERLINK("http://141.218.60.56/~jnz1568/getInfo.php?workbook=03_02.xlsx&amp;sheet=A0&amp;row=236&amp;col=9&amp;number=&amp;sourceID=15","")</f>
        <v/>
      </c>
      <c r="J236" s="4" t="str">
        <f>HYPERLINK("http://141.218.60.56/~jnz1568/getInfo.php?workbook=03_02.xlsx&amp;sheet=A0&amp;row=236&amp;col=10&amp;number=&amp;sourceID=15","")</f>
        <v/>
      </c>
      <c r="K236" s="4" t="str">
        <f>HYPERLINK("http://141.218.60.56/~jnz1568/getInfo.php?workbook=03_02.xlsx&amp;sheet=A0&amp;row=236&amp;col=11&amp;number=&amp;sourceID=30","")</f>
        <v/>
      </c>
      <c r="L236" s="4" t="str">
        <f>HYPERLINK("http://141.218.60.56/~jnz1568/getInfo.php?workbook=03_02.xlsx&amp;sheet=A0&amp;row=236&amp;col=12&amp;number=0.04368&amp;sourceID=30","0.04368")</f>
        <v>0.04368</v>
      </c>
      <c r="M236" s="4" t="str">
        <f>HYPERLINK("http://141.218.60.56/~jnz1568/getInfo.php?workbook=03_02.xlsx&amp;sheet=A0&amp;row=236&amp;col=13&amp;number=1.016e-10&amp;sourceID=30","1.016e-10")</f>
        <v>1.016e-10</v>
      </c>
      <c r="N236" s="4" t="str">
        <f>HYPERLINK("http://141.218.60.56/~jnz1568/getInfo.php?workbook=03_02.xlsx&amp;sheet=A0&amp;row=236&amp;col=14&amp;number=&amp;sourceID=30","")</f>
        <v/>
      </c>
    </row>
    <row r="237" spans="1:14">
      <c r="A237" s="3">
        <v>3</v>
      </c>
      <c r="B237" s="3">
        <v>2</v>
      </c>
      <c r="C237" s="3">
        <v>24</v>
      </c>
      <c r="D237" s="3">
        <v>19</v>
      </c>
      <c r="E237" s="3">
        <f>((1/(INDEX(E0!J$4:J$52,C237,1)-INDEX(E0!J$4:J$52,D237,1))))*100000000</f>
        <v>0</v>
      </c>
      <c r="F237" s="4" t="str">
        <f>HYPERLINK("http://141.218.60.56/~jnz1568/getInfo.php?workbook=03_02.xlsx&amp;sheet=A0&amp;row=237&amp;col=6&amp;number=&amp;sourceID=27","")</f>
        <v/>
      </c>
      <c r="G237" s="4" t="str">
        <f>HYPERLINK("http://141.218.60.56/~jnz1568/getInfo.php?workbook=03_02.xlsx&amp;sheet=A0&amp;row=237&amp;col=7&amp;number=&amp;sourceID=15","")</f>
        <v/>
      </c>
      <c r="H237" s="4" t="str">
        <f>HYPERLINK("http://141.218.60.56/~jnz1568/getInfo.php?workbook=03_02.xlsx&amp;sheet=A0&amp;row=237&amp;col=8&amp;number=&amp;sourceID=15","")</f>
        <v/>
      </c>
      <c r="I237" s="4" t="str">
        <f>HYPERLINK("http://141.218.60.56/~jnz1568/getInfo.php?workbook=03_02.xlsx&amp;sheet=A0&amp;row=237&amp;col=9&amp;number=&amp;sourceID=15","")</f>
        <v/>
      </c>
      <c r="J237" s="4" t="str">
        <f>HYPERLINK("http://141.218.60.56/~jnz1568/getInfo.php?workbook=03_02.xlsx&amp;sheet=A0&amp;row=237&amp;col=10&amp;number=&amp;sourceID=15","")</f>
        <v/>
      </c>
      <c r="K237" s="4" t="str">
        <f>HYPERLINK("http://141.218.60.56/~jnz1568/getInfo.php?workbook=03_02.xlsx&amp;sheet=A0&amp;row=237&amp;col=11&amp;number=&amp;sourceID=30","")</f>
        <v/>
      </c>
      <c r="L237" s="4" t="str">
        <f>HYPERLINK("http://141.218.60.56/~jnz1568/getInfo.php?workbook=03_02.xlsx&amp;sheet=A0&amp;row=237&amp;col=12&amp;number=5.204e-12&amp;sourceID=30","5.204e-12")</f>
        <v>5.204e-12</v>
      </c>
      <c r="M237" s="4" t="str">
        <f>HYPERLINK("http://141.218.60.56/~jnz1568/getInfo.php?workbook=03_02.xlsx&amp;sheet=A0&amp;row=237&amp;col=13&amp;number=&amp;sourceID=30","")</f>
        <v/>
      </c>
      <c r="N237" s="4" t="str">
        <f>HYPERLINK("http://141.218.60.56/~jnz1568/getInfo.php?workbook=03_02.xlsx&amp;sheet=A0&amp;row=237&amp;col=14&amp;number=&amp;sourceID=30","")</f>
        <v/>
      </c>
    </row>
    <row r="238" spans="1:14">
      <c r="A238" s="3">
        <v>3</v>
      </c>
      <c r="B238" s="3">
        <v>2</v>
      </c>
      <c r="C238" s="3">
        <v>24</v>
      </c>
      <c r="D238" s="3">
        <v>20</v>
      </c>
      <c r="E238" s="3">
        <f>((1/(INDEX(E0!J$4:J$52,C238,1)-INDEX(E0!J$4:J$52,D238,1))))*100000000</f>
        <v>0</v>
      </c>
      <c r="F238" s="4" t="str">
        <f>HYPERLINK("http://141.218.60.56/~jnz1568/getInfo.php?workbook=03_02.xlsx&amp;sheet=A0&amp;row=238&amp;col=6&amp;number=&amp;sourceID=27","")</f>
        <v/>
      </c>
      <c r="G238" s="4" t="str">
        <f>HYPERLINK("http://141.218.60.56/~jnz1568/getInfo.php?workbook=03_02.xlsx&amp;sheet=A0&amp;row=238&amp;col=7&amp;number=&amp;sourceID=15","")</f>
        <v/>
      </c>
      <c r="H238" s="4" t="str">
        <f>HYPERLINK("http://141.218.60.56/~jnz1568/getInfo.php?workbook=03_02.xlsx&amp;sheet=A0&amp;row=238&amp;col=8&amp;number=&amp;sourceID=15","")</f>
        <v/>
      </c>
      <c r="I238" s="4" t="str">
        <f>HYPERLINK("http://141.218.60.56/~jnz1568/getInfo.php?workbook=03_02.xlsx&amp;sheet=A0&amp;row=238&amp;col=9&amp;number=&amp;sourceID=15","")</f>
        <v/>
      </c>
      <c r="J238" s="4" t="str">
        <f>HYPERLINK("http://141.218.60.56/~jnz1568/getInfo.php?workbook=03_02.xlsx&amp;sheet=A0&amp;row=238&amp;col=10&amp;number=&amp;sourceID=15","")</f>
        <v/>
      </c>
      <c r="K238" s="4" t="str">
        <f>HYPERLINK("http://141.218.60.56/~jnz1568/getInfo.php?workbook=03_02.xlsx&amp;sheet=A0&amp;row=238&amp;col=11&amp;number=&amp;sourceID=30","")</f>
        <v/>
      </c>
      <c r="L238" s="4" t="str">
        <f>HYPERLINK("http://141.218.60.56/~jnz1568/getInfo.php?workbook=03_02.xlsx&amp;sheet=A0&amp;row=238&amp;col=12&amp;number=&amp;sourceID=30","")</f>
        <v/>
      </c>
      <c r="M238" s="4" t="str">
        <f>HYPERLINK("http://141.218.60.56/~jnz1568/getInfo.php?workbook=03_02.xlsx&amp;sheet=A0&amp;row=238&amp;col=13&amp;number=&amp;sourceID=30","")</f>
        <v/>
      </c>
      <c r="N238" s="4" t="str">
        <f>HYPERLINK("http://141.218.60.56/~jnz1568/getInfo.php?workbook=03_02.xlsx&amp;sheet=A0&amp;row=238&amp;col=14&amp;number=2.384e-12&amp;sourceID=30","2.384e-12")</f>
        <v>2.384e-12</v>
      </c>
    </row>
    <row r="239" spans="1:14">
      <c r="A239" s="3">
        <v>3</v>
      </c>
      <c r="B239" s="3">
        <v>2</v>
      </c>
      <c r="C239" s="3">
        <v>24</v>
      </c>
      <c r="D239" s="3">
        <v>21</v>
      </c>
      <c r="E239" s="3">
        <f>((1/(INDEX(E0!J$4:J$52,C239,1)-INDEX(E0!J$4:J$52,D239,1))))*100000000</f>
        <v>0</v>
      </c>
      <c r="F239" s="4" t="str">
        <f>HYPERLINK("http://141.218.60.56/~jnz1568/getInfo.php?workbook=03_02.xlsx&amp;sheet=A0&amp;row=239&amp;col=6&amp;number=&amp;sourceID=27","")</f>
        <v/>
      </c>
      <c r="G239" s="4" t="str">
        <f>HYPERLINK("http://141.218.60.56/~jnz1568/getInfo.php?workbook=03_02.xlsx&amp;sheet=A0&amp;row=239&amp;col=7&amp;number=25477&amp;sourceID=15","25477")</f>
        <v>25477</v>
      </c>
      <c r="H239" s="4" t="str">
        <f>HYPERLINK("http://141.218.60.56/~jnz1568/getInfo.php?workbook=03_02.xlsx&amp;sheet=A0&amp;row=239&amp;col=8&amp;number=&amp;sourceID=15","")</f>
        <v/>
      </c>
      <c r="I239" s="4" t="str">
        <f>HYPERLINK("http://141.218.60.56/~jnz1568/getInfo.php?workbook=03_02.xlsx&amp;sheet=A0&amp;row=239&amp;col=9&amp;number=&amp;sourceID=15","")</f>
        <v/>
      </c>
      <c r="J239" s="4" t="str">
        <f>HYPERLINK("http://141.218.60.56/~jnz1568/getInfo.php?workbook=03_02.xlsx&amp;sheet=A0&amp;row=239&amp;col=10&amp;number=&amp;sourceID=15","")</f>
        <v/>
      </c>
      <c r="K239" s="4" t="str">
        <f>HYPERLINK("http://141.218.60.56/~jnz1568/getInfo.php?workbook=03_02.xlsx&amp;sheet=A0&amp;row=239&amp;col=11&amp;number=18220&amp;sourceID=30","18220")</f>
        <v>18220</v>
      </c>
      <c r="L239" s="4" t="str">
        <f>HYPERLINK("http://141.218.60.56/~jnz1568/getInfo.php?workbook=03_02.xlsx&amp;sheet=A0&amp;row=239&amp;col=12&amp;number=&amp;sourceID=30","")</f>
        <v/>
      </c>
      <c r="M239" s="4" t="str">
        <f>HYPERLINK("http://141.218.60.56/~jnz1568/getInfo.php?workbook=03_02.xlsx&amp;sheet=A0&amp;row=239&amp;col=13&amp;number=&amp;sourceID=30","")</f>
        <v/>
      </c>
      <c r="N239" s="4" t="str">
        <f>HYPERLINK("http://141.218.60.56/~jnz1568/getInfo.php?workbook=03_02.xlsx&amp;sheet=A0&amp;row=239&amp;col=14&amp;number=3.945e-11&amp;sourceID=30","3.945e-11")</f>
        <v>3.945e-11</v>
      </c>
    </row>
    <row r="240" spans="1:14">
      <c r="A240" s="3">
        <v>3</v>
      </c>
      <c r="B240" s="3">
        <v>2</v>
      </c>
      <c r="C240" s="3">
        <v>24</v>
      </c>
      <c r="D240" s="3">
        <v>22</v>
      </c>
      <c r="E240" s="3">
        <f>((1/(INDEX(E0!J$4:J$52,C240,1)-INDEX(E0!J$4:J$52,D240,1))))*100000000</f>
        <v>0</v>
      </c>
      <c r="F240" s="4" t="str">
        <f>HYPERLINK("http://141.218.60.56/~jnz1568/getInfo.php?workbook=03_02.xlsx&amp;sheet=A0&amp;row=240&amp;col=6&amp;number=&amp;sourceID=27","")</f>
        <v/>
      </c>
      <c r="G240" s="4" t="str">
        <f>HYPERLINK("http://141.218.60.56/~jnz1568/getInfo.php?workbook=03_02.xlsx&amp;sheet=A0&amp;row=240&amp;col=7&amp;number=8492.3&amp;sourceID=15","8492.3")</f>
        <v>8492.3</v>
      </c>
      <c r="H240" s="4" t="str">
        <f>HYPERLINK("http://141.218.60.56/~jnz1568/getInfo.php?workbook=03_02.xlsx&amp;sheet=A0&amp;row=240&amp;col=8&amp;number=&amp;sourceID=15","")</f>
        <v/>
      </c>
      <c r="I240" s="4" t="str">
        <f>HYPERLINK("http://141.218.60.56/~jnz1568/getInfo.php?workbook=03_02.xlsx&amp;sheet=A0&amp;row=240&amp;col=9&amp;number=&amp;sourceID=15","")</f>
        <v/>
      </c>
      <c r="J240" s="4" t="str">
        <f>HYPERLINK("http://141.218.60.56/~jnz1568/getInfo.php?workbook=03_02.xlsx&amp;sheet=A0&amp;row=240&amp;col=10&amp;number=&amp;sourceID=15","")</f>
        <v/>
      </c>
      <c r="K240" s="4" t="str">
        <f>HYPERLINK("http://141.218.60.56/~jnz1568/getInfo.php?workbook=03_02.xlsx&amp;sheet=A0&amp;row=240&amp;col=11&amp;number=6066&amp;sourceID=30","6066")</f>
        <v>6066</v>
      </c>
      <c r="L240" s="4" t="str">
        <f>HYPERLINK("http://141.218.60.56/~jnz1568/getInfo.php?workbook=03_02.xlsx&amp;sheet=A0&amp;row=240&amp;col=12&amp;number=&amp;sourceID=30","")</f>
        <v/>
      </c>
      <c r="M240" s="4" t="str">
        <f>HYPERLINK("http://141.218.60.56/~jnz1568/getInfo.php?workbook=03_02.xlsx&amp;sheet=A0&amp;row=240&amp;col=13&amp;number=&amp;sourceID=30","")</f>
        <v/>
      </c>
      <c r="N240" s="4" t="str">
        <f>HYPERLINK("http://141.218.60.56/~jnz1568/getInfo.php?workbook=03_02.xlsx&amp;sheet=A0&amp;row=240&amp;col=14&amp;number=1.713e-11&amp;sourceID=30","1.713e-11")</f>
        <v>1.713e-11</v>
      </c>
    </row>
    <row r="241" spans="1:14">
      <c r="A241" s="3">
        <v>3</v>
      </c>
      <c r="B241" s="3">
        <v>2</v>
      </c>
      <c r="C241" s="3">
        <v>24</v>
      </c>
      <c r="D241" s="3">
        <v>23</v>
      </c>
      <c r="E241" s="3">
        <f>((1/(INDEX(E0!J$4:J$52,C241,1)-INDEX(E0!J$4:J$52,D241,1))))*100000000</f>
        <v>0</v>
      </c>
      <c r="F241" s="4" t="str">
        <f>HYPERLINK("http://141.218.60.56/~jnz1568/getInfo.php?workbook=03_02.xlsx&amp;sheet=A0&amp;row=241&amp;col=6&amp;number=&amp;sourceID=27","")</f>
        <v/>
      </c>
      <c r="G241" s="4" t="str">
        <f>HYPERLINK("http://141.218.60.56/~jnz1568/getInfo.php?workbook=03_02.xlsx&amp;sheet=A0&amp;row=241&amp;col=7&amp;number=&amp;sourceID=15","")</f>
        <v/>
      </c>
      <c r="H241" s="4" t="str">
        <f>HYPERLINK("http://141.218.60.56/~jnz1568/getInfo.php?workbook=03_02.xlsx&amp;sheet=A0&amp;row=241&amp;col=8&amp;number=&amp;sourceID=15","")</f>
        <v/>
      </c>
      <c r="I241" s="4" t="str">
        <f>HYPERLINK("http://141.218.60.56/~jnz1568/getInfo.php?workbook=03_02.xlsx&amp;sheet=A0&amp;row=241&amp;col=9&amp;number=&amp;sourceID=15","")</f>
        <v/>
      </c>
      <c r="J241" s="4" t="str">
        <f>HYPERLINK("http://141.218.60.56/~jnz1568/getInfo.php?workbook=03_02.xlsx&amp;sheet=A0&amp;row=241&amp;col=10&amp;number=&amp;sourceID=15","")</f>
        <v/>
      </c>
      <c r="K241" s="4" t="str">
        <f>HYPERLINK("http://141.218.60.56/~jnz1568/getInfo.php?workbook=03_02.xlsx&amp;sheet=A0&amp;row=241&amp;col=11&amp;number=&amp;sourceID=30","")</f>
        <v/>
      </c>
      <c r="L241" s="4" t="str">
        <f>HYPERLINK("http://141.218.60.56/~jnz1568/getInfo.php?workbook=03_02.xlsx&amp;sheet=A0&amp;row=241&amp;col=12&amp;number=0&amp;sourceID=30","0")</f>
        <v>0</v>
      </c>
      <c r="M241" s="4" t="str">
        <f>HYPERLINK("http://141.218.60.56/~jnz1568/getInfo.php?workbook=03_02.xlsx&amp;sheet=A0&amp;row=241&amp;col=13&amp;number=4.2e-14&amp;sourceID=30","4.2e-14")</f>
        <v>4.2e-14</v>
      </c>
      <c r="N241" s="4" t="str">
        <f>HYPERLINK("http://141.218.60.56/~jnz1568/getInfo.php?workbook=03_02.xlsx&amp;sheet=A0&amp;row=241&amp;col=14&amp;number=&amp;sourceID=30","")</f>
        <v/>
      </c>
    </row>
    <row r="242" spans="1:14">
      <c r="A242" s="3">
        <v>3</v>
      </c>
      <c r="B242" s="3">
        <v>2</v>
      </c>
      <c r="C242" s="3">
        <v>25</v>
      </c>
      <c r="D242" s="3">
        <v>2</v>
      </c>
      <c r="E242" s="3">
        <f>((1/(INDEX(E0!J$4:J$52,C242,1)-INDEX(E0!J$4:J$52,D242,1))))*100000000</f>
        <v>0</v>
      </c>
      <c r="F242" s="4" t="str">
        <f>HYPERLINK("http://141.218.60.56/~jnz1568/getInfo.php?workbook=03_02.xlsx&amp;sheet=A0&amp;row=242&amp;col=6&amp;number=&amp;sourceID=27","")</f>
        <v/>
      </c>
      <c r="G242" s="4" t="str">
        <f>HYPERLINK("http://141.218.60.56/~jnz1568/getInfo.php?workbook=03_02.xlsx&amp;sheet=A0&amp;row=242&amp;col=7&amp;number=&amp;sourceID=15","")</f>
        <v/>
      </c>
      <c r="H242" s="4" t="str">
        <f>HYPERLINK("http://141.218.60.56/~jnz1568/getInfo.php?workbook=03_02.xlsx&amp;sheet=A0&amp;row=242&amp;col=8&amp;number=&amp;sourceID=15","")</f>
        <v/>
      </c>
      <c r="I242" s="4" t="str">
        <f>HYPERLINK("http://141.218.60.56/~jnz1568/getInfo.php?workbook=03_02.xlsx&amp;sheet=A0&amp;row=242&amp;col=9&amp;number=&amp;sourceID=15","")</f>
        <v/>
      </c>
      <c r="J242" s="4" t="str">
        <f>HYPERLINK("http://141.218.60.56/~jnz1568/getInfo.php?workbook=03_02.xlsx&amp;sheet=A0&amp;row=242&amp;col=10&amp;number=&amp;sourceID=15","")</f>
        <v/>
      </c>
      <c r="K242" s="4" t="str">
        <f>HYPERLINK("http://141.218.60.56/~jnz1568/getInfo.php?workbook=03_02.xlsx&amp;sheet=A0&amp;row=242&amp;col=11&amp;number=&amp;sourceID=30","")</f>
        <v/>
      </c>
      <c r="L242" s="4" t="str">
        <f>HYPERLINK("http://141.218.60.56/~jnz1568/getInfo.php?workbook=03_02.xlsx&amp;sheet=A0&amp;row=242&amp;col=12&amp;number=1656&amp;sourceID=30","1656")</f>
        <v>1656</v>
      </c>
      <c r="M242" s="4" t="str">
        <f>HYPERLINK("http://141.218.60.56/~jnz1568/getInfo.php?workbook=03_02.xlsx&amp;sheet=A0&amp;row=242&amp;col=13&amp;number=&amp;sourceID=30","")</f>
        <v/>
      </c>
      <c r="N242" s="4" t="str">
        <f>HYPERLINK("http://141.218.60.56/~jnz1568/getInfo.php?workbook=03_02.xlsx&amp;sheet=A0&amp;row=242&amp;col=14&amp;number=&amp;sourceID=30","")</f>
        <v/>
      </c>
    </row>
    <row r="243" spans="1:14">
      <c r="A243" s="3">
        <v>3</v>
      </c>
      <c r="B243" s="3">
        <v>2</v>
      </c>
      <c r="C243" s="3">
        <v>25</v>
      </c>
      <c r="D243" s="3">
        <v>4</v>
      </c>
      <c r="E243" s="3">
        <f>((1/(INDEX(E0!J$4:J$52,C243,1)-INDEX(E0!J$4:J$52,D243,1))))*100000000</f>
        <v>0</v>
      </c>
      <c r="F243" s="4" t="str">
        <f>HYPERLINK("http://141.218.60.56/~jnz1568/getInfo.php?workbook=03_02.xlsx&amp;sheet=A0&amp;row=243&amp;col=6&amp;number=&amp;sourceID=27","")</f>
        <v/>
      </c>
      <c r="G243" s="4" t="str">
        <f>HYPERLINK("http://141.218.60.56/~jnz1568/getInfo.php?workbook=03_02.xlsx&amp;sheet=A0&amp;row=243&amp;col=7&amp;number=&amp;sourceID=15","")</f>
        <v/>
      </c>
      <c r="H243" s="4" t="str">
        <f>HYPERLINK("http://141.218.60.56/~jnz1568/getInfo.php?workbook=03_02.xlsx&amp;sheet=A0&amp;row=243&amp;col=8&amp;number=&amp;sourceID=15","")</f>
        <v/>
      </c>
      <c r="I243" s="4" t="str">
        <f>HYPERLINK("http://141.218.60.56/~jnz1568/getInfo.php?workbook=03_02.xlsx&amp;sheet=A0&amp;row=243&amp;col=9&amp;number=&amp;sourceID=15","")</f>
        <v/>
      </c>
      <c r="J243" s="4" t="str">
        <f>HYPERLINK("http://141.218.60.56/~jnz1568/getInfo.php?workbook=03_02.xlsx&amp;sheet=A0&amp;row=243&amp;col=10&amp;number=&amp;sourceID=15","")</f>
        <v/>
      </c>
      <c r="K243" s="4" t="str">
        <f>HYPERLINK("http://141.218.60.56/~jnz1568/getInfo.php?workbook=03_02.xlsx&amp;sheet=A0&amp;row=243&amp;col=11&amp;number=&amp;sourceID=30","")</f>
        <v/>
      </c>
      <c r="L243" s="4" t="str">
        <f>HYPERLINK("http://141.218.60.56/~jnz1568/getInfo.php?workbook=03_02.xlsx&amp;sheet=A0&amp;row=243&amp;col=12&amp;number=&amp;sourceID=30","")</f>
        <v/>
      </c>
      <c r="M243" s="4" t="str">
        <f>HYPERLINK("http://141.218.60.56/~jnz1568/getInfo.php?workbook=03_02.xlsx&amp;sheet=A0&amp;row=243&amp;col=13&amp;number=&amp;sourceID=30","")</f>
        <v/>
      </c>
      <c r="N243" s="4" t="str">
        <f>HYPERLINK("http://141.218.60.56/~jnz1568/getInfo.php?workbook=03_02.xlsx&amp;sheet=A0&amp;row=243&amp;col=14&amp;number=0.0007007&amp;sourceID=30","0.0007007")</f>
        <v>0.0007007</v>
      </c>
    </row>
    <row r="244" spans="1:14">
      <c r="A244" s="3">
        <v>3</v>
      </c>
      <c r="B244" s="3">
        <v>2</v>
      </c>
      <c r="C244" s="3">
        <v>25</v>
      </c>
      <c r="D244" s="3">
        <v>5</v>
      </c>
      <c r="E244" s="3">
        <f>((1/(INDEX(E0!J$4:J$52,C244,1)-INDEX(E0!J$4:J$52,D244,1))))*100000000</f>
        <v>0</v>
      </c>
      <c r="F244" s="4" t="str">
        <f>HYPERLINK("http://141.218.60.56/~jnz1568/getInfo.php?workbook=03_02.xlsx&amp;sheet=A0&amp;row=244&amp;col=6&amp;number=&amp;sourceID=27","")</f>
        <v/>
      </c>
      <c r="G244" s="4" t="str">
        <f>HYPERLINK("http://141.218.60.56/~jnz1568/getInfo.php?workbook=03_02.xlsx&amp;sheet=A0&amp;row=244&amp;col=7&amp;number=384940000&amp;sourceID=15","384940000")</f>
        <v>384940000</v>
      </c>
      <c r="H244" s="4" t="str">
        <f>HYPERLINK("http://141.218.60.56/~jnz1568/getInfo.php?workbook=03_02.xlsx&amp;sheet=A0&amp;row=244&amp;col=8&amp;number=&amp;sourceID=15","")</f>
        <v/>
      </c>
      <c r="I244" s="4" t="str">
        <f>HYPERLINK("http://141.218.60.56/~jnz1568/getInfo.php?workbook=03_02.xlsx&amp;sheet=A0&amp;row=244&amp;col=9&amp;number=&amp;sourceID=15","")</f>
        <v/>
      </c>
      <c r="J244" s="4" t="str">
        <f>HYPERLINK("http://141.218.60.56/~jnz1568/getInfo.php?workbook=03_02.xlsx&amp;sheet=A0&amp;row=244&amp;col=10&amp;number=&amp;sourceID=15","")</f>
        <v/>
      </c>
      <c r="K244" s="4" t="str">
        <f>HYPERLINK("http://141.218.60.56/~jnz1568/getInfo.php?workbook=03_02.xlsx&amp;sheet=A0&amp;row=244&amp;col=11&amp;number=370500000&amp;sourceID=30","370500000")</f>
        <v>370500000</v>
      </c>
      <c r="L244" s="4" t="str">
        <f>HYPERLINK("http://141.218.60.56/~jnz1568/getInfo.php?workbook=03_02.xlsx&amp;sheet=A0&amp;row=244&amp;col=12&amp;number=&amp;sourceID=30","")</f>
        <v/>
      </c>
      <c r="M244" s="4" t="str">
        <f>HYPERLINK("http://141.218.60.56/~jnz1568/getInfo.php?workbook=03_02.xlsx&amp;sheet=A0&amp;row=244&amp;col=13&amp;number=&amp;sourceID=30","")</f>
        <v/>
      </c>
      <c r="N244" s="4" t="str">
        <f>HYPERLINK("http://141.218.60.56/~jnz1568/getInfo.php?workbook=03_02.xlsx&amp;sheet=A0&amp;row=244&amp;col=14&amp;number=0.03481&amp;sourceID=30","0.03481")</f>
        <v>0.03481</v>
      </c>
    </row>
    <row r="245" spans="1:14">
      <c r="A245" s="3">
        <v>3</v>
      </c>
      <c r="B245" s="3">
        <v>2</v>
      </c>
      <c r="C245" s="3">
        <v>25</v>
      </c>
      <c r="D245" s="3">
        <v>7</v>
      </c>
      <c r="E245" s="3">
        <f>((1/(INDEX(E0!J$4:J$52,C245,1)-INDEX(E0!J$4:J$52,D245,1))))*100000000</f>
        <v>0</v>
      </c>
      <c r="F245" s="4" t="str">
        <f>HYPERLINK("http://141.218.60.56/~jnz1568/getInfo.php?workbook=03_02.xlsx&amp;sheet=A0&amp;row=245&amp;col=6&amp;number=&amp;sourceID=27","")</f>
        <v/>
      </c>
      <c r="G245" s="4" t="str">
        <f>HYPERLINK("http://141.218.60.56/~jnz1568/getInfo.php?workbook=03_02.xlsx&amp;sheet=A0&amp;row=245&amp;col=7&amp;number=&amp;sourceID=15","")</f>
        <v/>
      </c>
      <c r="H245" s="4" t="str">
        <f>HYPERLINK("http://141.218.60.56/~jnz1568/getInfo.php?workbook=03_02.xlsx&amp;sheet=A0&amp;row=245&amp;col=8&amp;number=&amp;sourceID=15","")</f>
        <v/>
      </c>
      <c r="I245" s="4" t="str">
        <f>HYPERLINK("http://141.218.60.56/~jnz1568/getInfo.php?workbook=03_02.xlsx&amp;sheet=A0&amp;row=245&amp;col=9&amp;number=&amp;sourceID=15","")</f>
        <v/>
      </c>
      <c r="J245" s="4" t="str">
        <f>HYPERLINK("http://141.218.60.56/~jnz1568/getInfo.php?workbook=03_02.xlsx&amp;sheet=A0&amp;row=245&amp;col=10&amp;number=&amp;sourceID=15","")</f>
        <v/>
      </c>
      <c r="K245" s="4" t="str">
        <f>HYPERLINK("http://141.218.60.56/~jnz1568/getInfo.php?workbook=03_02.xlsx&amp;sheet=A0&amp;row=245&amp;col=11&amp;number=&amp;sourceID=30","")</f>
        <v/>
      </c>
      <c r="L245" s="4" t="str">
        <f>HYPERLINK("http://141.218.60.56/~jnz1568/getInfo.php?workbook=03_02.xlsx&amp;sheet=A0&amp;row=245&amp;col=12&amp;number=&amp;sourceID=30","")</f>
        <v/>
      </c>
      <c r="M245" s="4" t="str">
        <f>HYPERLINK("http://141.218.60.56/~jnz1568/getInfo.php?workbook=03_02.xlsx&amp;sheet=A0&amp;row=245&amp;col=13&amp;number=&amp;sourceID=30","")</f>
        <v/>
      </c>
      <c r="N245" s="4" t="str">
        <f>HYPERLINK("http://141.218.60.56/~jnz1568/getInfo.php?workbook=03_02.xlsx&amp;sheet=A0&amp;row=245&amp;col=14&amp;number=0.008959&amp;sourceID=30","0.008959")</f>
        <v>0.008959</v>
      </c>
    </row>
    <row r="246" spans="1:14">
      <c r="A246" s="3">
        <v>3</v>
      </c>
      <c r="B246" s="3">
        <v>2</v>
      </c>
      <c r="C246" s="3">
        <v>25</v>
      </c>
      <c r="D246" s="3">
        <v>8</v>
      </c>
      <c r="E246" s="3">
        <f>((1/(INDEX(E0!J$4:J$52,C246,1)-INDEX(E0!J$4:J$52,D246,1))))*100000000</f>
        <v>0</v>
      </c>
      <c r="F246" s="4" t="str">
        <f>HYPERLINK("http://141.218.60.56/~jnz1568/getInfo.php?workbook=03_02.xlsx&amp;sheet=A0&amp;row=246&amp;col=6&amp;number=&amp;sourceID=27","")</f>
        <v/>
      </c>
      <c r="G246" s="4" t="str">
        <f>HYPERLINK("http://141.218.60.56/~jnz1568/getInfo.php?workbook=03_02.xlsx&amp;sheet=A0&amp;row=246&amp;col=7&amp;number=&amp;sourceID=15","")</f>
        <v/>
      </c>
      <c r="H246" s="4" t="str">
        <f>HYPERLINK("http://141.218.60.56/~jnz1568/getInfo.php?workbook=03_02.xlsx&amp;sheet=A0&amp;row=246&amp;col=8&amp;number=&amp;sourceID=15","")</f>
        <v/>
      </c>
      <c r="I246" s="4" t="str">
        <f>HYPERLINK("http://141.218.60.56/~jnz1568/getInfo.php?workbook=03_02.xlsx&amp;sheet=A0&amp;row=246&amp;col=9&amp;number=&amp;sourceID=15","")</f>
        <v/>
      </c>
      <c r="J246" s="4" t="str">
        <f>HYPERLINK("http://141.218.60.56/~jnz1568/getInfo.php?workbook=03_02.xlsx&amp;sheet=A0&amp;row=246&amp;col=10&amp;number=&amp;sourceID=15","")</f>
        <v/>
      </c>
      <c r="K246" s="4" t="str">
        <f>HYPERLINK("http://141.218.60.56/~jnz1568/getInfo.php?workbook=03_02.xlsx&amp;sheet=A0&amp;row=246&amp;col=11&amp;number=&amp;sourceID=30","")</f>
        <v/>
      </c>
      <c r="L246" s="4" t="str">
        <f>HYPERLINK("http://141.218.60.56/~jnz1568/getInfo.php?workbook=03_02.xlsx&amp;sheet=A0&amp;row=246&amp;col=12&amp;number=379.9&amp;sourceID=30","379.9")</f>
        <v>379.9</v>
      </c>
      <c r="M246" s="4" t="str">
        <f>HYPERLINK("http://141.218.60.56/~jnz1568/getInfo.php?workbook=03_02.xlsx&amp;sheet=A0&amp;row=246&amp;col=13&amp;number=&amp;sourceID=30","")</f>
        <v/>
      </c>
      <c r="N246" s="4" t="str">
        <f>HYPERLINK("http://141.218.60.56/~jnz1568/getInfo.php?workbook=03_02.xlsx&amp;sheet=A0&amp;row=246&amp;col=14&amp;number=&amp;sourceID=30","")</f>
        <v/>
      </c>
    </row>
    <row r="247" spans="1:14">
      <c r="A247" s="3">
        <v>3</v>
      </c>
      <c r="B247" s="3">
        <v>2</v>
      </c>
      <c r="C247" s="3">
        <v>25</v>
      </c>
      <c r="D247" s="3">
        <v>10</v>
      </c>
      <c r="E247" s="3">
        <f>((1/(INDEX(E0!J$4:J$52,C247,1)-INDEX(E0!J$4:J$52,D247,1))))*100000000</f>
        <v>0</v>
      </c>
      <c r="F247" s="4" t="str">
        <f>HYPERLINK("http://141.218.60.56/~jnz1568/getInfo.php?workbook=03_02.xlsx&amp;sheet=A0&amp;row=247&amp;col=6&amp;number=&amp;sourceID=27","")</f>
        <v/>
      </c>
      <c r="G247" s="4" t="str">
        <f>HYPERLINK("http://141.218.60.56/~jnz1568/getInfo.php?workbook=03_02.xlsx&amp;sheet=A0&amp;row=247&amp;col=7&amp;number=&amp;sourceID=15","")</f>
        <v/>
      </c>
      <c r="H247" s="4" t="str">
        <f>HYPERLINK("http://141.218.60.56/~jnz1568/getInfo.php?workbook=03_02.xlsx&amp;sheet=A0&amp;row=247&amp;col=8&amp;number=&amp;sourceID=15","")</f>
        <v/>
      </c>
      <c r="I247" s="4" t="str">
        <f>HYPERLINK("http://141.218.60.56/~jnz1568/getInfo.php?workbook=03_02.xlsx&amp;sheet=A0&amp;row=247&amp;col=9&amp;number=&amp;sourceID=15","")</f>
        <v/>
      </c>
      <c r="J247" s="4" t="str">
        <f>HYPERLINK("http://141.218.60.56/~jnz1568/getInfo.php?workbook=03_02.xlsx&amp;sheet=A0&amp;row=247&amp;col=10&amp;number=&amp;sourceID=15","")</f>
        <v/>
      </c>
      <c r="K247" s="4" t="str">
        <f>HYPERLINK("http://141.218.60.56/~jnz1568/getInfo.php?workbook=03_02.xlsx&amp;sheet=A0&amp;row=247&amp;col=11&amp;number=&amp;sourceID=30","")</f>
        <v/>
      </c>
      <c r="L247" s="4" t="str">
        <f>HYPERLINK("http://141.218.60.56/~jnz1568/getInfo.php?workbook=03_02.xlsx&amp;sheet=A0&amp;row=247&amp;col=12&amp;number=&amp;sourceID=30","")</f>
        <v/>
      </c>
      <c r="M247" s="4" t="str">
        <f>HYPERLINK("http://141.218.60.56/~jnz1568/getInfo.php?workbook=03_02.xlsx&amp;sheet=A0&amp;row=247&amp;col=13&amp;number=&amp;sourceID=30","")</f>
        <v/>
      </c>
      <c r="N247" s="4" t="str">
        <f>HYPERLINK("http://141.218.60.56/~jnz1568/getInfo.php?workbook=03_02.xlsx&amp;sheet=A0&amp;row=247&amp;col=14&amp;number=1.389e-05&amp;sourceID=30","1.389e-05")</f>
        <v>1.389e-05</v>
      </c>
    </row>
    <row r="248" spans="1:14">
      <c r="A248" s="3">
        <v>3</v>
      </c>
      <c r="B248" s="3">
        <v>2</v>
      </c>
      <c r="C248" s="3">
        <v>25</v>
      </c>
      <c r="D248" s="3">
        <v>11</v>
      </c>
      <c r="E248" s="3">
        <f>((1/(INDEX(E0!J$4:J$52,C248,1)-INDEX(E0!J$4:J$52,D248,1))))*100000000</f>
        <v>0</v>
      </c>
      <c r="F248" s="4" t="str">
        <f>HYPERLINK("http://141.218.60.56/~jnz1568/getInfo.php?workbook=03_02.xlsx&amp;sheet=A0&amp;row=248&amp;col=6&amp;number=&amp;sourceID=27","")</f>
        <v/>
      </c>
      <c r="G248" s="4" t="str">
        <f>HYPERLINK("http://141.218.60.56/~jnz1568/getInfo.php?workbook=03_02.xlsx&amp;sheet=A0&amp;row=248&amp;col=7&amp;number=107620000&amp;sourceID=15","107620000")</f>
        <v>107620000</v>
      </c>
      <c r="H248" s="4" t="str">
        <f>HYPERLINK("http://141.218.60.56/~jnz1568/getInfo.php?workbook=03_02.xlsx&amp;sheet=A0&amp;row=248&amp;col=8&amp;number=&amp;sourceID=15","")</f>
        <v/>
      </c>
      <c r="I248" s="4" t="str">
        <f>HYPERLINK("http://141.218.60.56/~jnz1568/getInfo.php?workbook=03_02.xlsx&amp;sheet=A0&amp;row=248&amp;col=9&amp;number=&amp;sourceID=15","")</f>
        <v/>
      </c>
      <c r="J248" s="4" t="str">
        <f>HYPERLINK("http://141.218.60.56/~jnz1568/getInfo.php?workbook=03_02.xlsx&amp;sheet=A0&amp;row=248&amp;col=10&amp;number=&amp;sourceID=15","")</f>
        <v/>
      </c>
      <c r="K248" s="4" t="str">
        <f>HYPERLINK("http://141.218.60.56/~jnz1568/getInfo.php?workbook=03_02.xlsx&amp;sheet=A0&amp;row=248&amp;col=11&amp;number=107300000&amp;sourceID=30","107300000")</f>
        <v>107300000</v>
      </c>
      <c r="L248" s="4" t="str">
        <f>HYPERLINK("http://141.218.60.56/~jnz1568/getInfo.php?workbook=03_02.xlsx&amp;sheet=A0&amp;row=248&amp;col=12&amp;number=&amp;sourceID=30","")</f>
        <v/>
      </c>
      <c r="M248" s="4" t="str">
        <f>HYPERLINK("http://141.218.60.56/~jnz1568/getInfo.php?workbook=03_02.xlsx&amp;sheet=A0&amp;row=248&amp;col=13&amp;number=&amp;sourceID=30","")</f>
        <v/>
      </c>
      <c r="N248" s="4" t="str">
        <f>HYPERLINK("http://141.218.60.56/~jnz1568/getInfo.php?workbook=03_02.xlsx&amp;sheet=A0&amp;row=248&amp;col=14&amp;number=0.0006904&amp;sourceID=30","0.0006904")</f>
        <v>0.0006904</v>
      </c>
    </row>
    <row r="249" spans="1:14">
      <c r="A249" s="3">
        <v>3</v>
      </c>
      <c r="B249" s="3">
        <v>2</v>
      </c>
      <c r="C249" s="3">
        <v>25</v>
      </c>
      <c r="D249" s="3">
        <v>13</v>
      </c>
      <c r="E249" s="3">
        <f>((1/(INDEX(E0!J$4:J$52,C249,1)-INDEX(E0!J$4:J$52,D249,1))))*100000000</f>
        <v>0</v>
      </c>
      <c r="F249" s="4" t="str">
        <f>HYPERLINK("http://141.218.60.56/~jnz1568/getInfo.php?workbook=03_02.xlsx&amp;sheet=A0&amp;row=249&amp;col=6&amp;number=&amp;sourceID=27","")</f>
        <v/>
      </c>
      <c r="G249" s="4" t="str">
        <f>HYPERLINK("http://141.218.60.56/~jnz1568/getInfo.php?workbook=03_02.xlsx&amp;sheet=A0&amp;row=249&amp;col=7&amp;number=&amp;sourceID=15","")</f>
        <v/>
      </c>
      <c r="H249" s="4" t="str">
        <f>HYPERLINK("http://141.218.60.56/~jnz1568/getInfo.php?workbook=03_02.xlsx&amp;sheet=A0&amp;row=249&amp;col=8&amp;number=&amp;sourceID=15","")</f>
        <v/>
      </c>
      <c r="I249" s="4" t="str">
        <f>HYPERLINK("http://141.218.60.56/~jnz1568/getInfo.php?workbook=03_02.xlsx&amp;sheet=A0&amp;row=249&amp;col=9&amp;number=&amp;sourceID=15","")</f>
        <v/>
      </c>
      <c r="J249" s="4" t="str">
        <f>HYPERLINK("http://141.218.60.56/~jnz1568/getInfo.php?workbook=03_02.xlsx&amp;sheet=A0&amp;row=249&amp;col=10&amp;number=&amp;sourceID=15","")</f>
        <v/>
      </c>
      <c r="K249" s="4" t="str">
        <f>HYPERLINK("http://141.218.60.56/~jnz1568/getInfo.php?workbook=03_02.xlsx&amp;sheet=A0&amp;row=249&amp;col=11&amp;number=&amp;sourceID=30","")</f>
        <v/>
      </c>
      <c r="L249" s="4" t="str">
        <f>HYPERLINK("http://141.218.60.56/~jnz1568/getInfo.php?workbook=03_02.xlsx&amp;sheet=A0&amp;row=249&amp;col=12&amp;number=21.76&amp;sourceID=30","21.76")</f>
        <v>21.76</v>
      </c>
      <c r="M249" s="4" t="str">
        <f>HYPERLINK("http://141.218.60.56/~jnz1568/getInfo.php?workbook=03_02.xlsx&amp;sheet=A0&amp;row=249&amp;col=13&amp;number=3.217e-09&amp;sourceID=30","3.217e-09")</f>
        <v>3.217e-09</v>
      </c>
      <c r="N249" s="4" t="str">
        <f>HYPERLINK("http://141.218.60.56/~jnz1568/getInfo.php?workbook=03_02.xlsx&amp;sheet=A0&amp;row=249&amp;col=14&amp;number=&amp;sourceID=30","")</f>
        <v/>
      </c>
    </row>
    <row r="250" spans="1:14">
      <c r="A250" s="3">
        <v>3</v>
      </c>
      <c r="B250" s="3">
        <v>2</v>
      </c>
      <c r="C250" s="3">
        <v>25</v>
      </c>
      <c r="D250" s="3">
        <v>14</v>
      </c>
      <c r="E250" s="3">
        <f>((1/(INDEX(E0!J$4:J$52,C250,1)-INDEX(E0!J$4:J$52,D250,1))))*100000000</f>
        <v>0</v>
      </c>
      <c r="F250" s="4" t="str">
        <f>HYPERLINK("http://141.218.60.56/~jnz1568/getInfo.php?workbook=03_02.xlsx&amp;sheet=A0&amp;row=250&amp;col=6&amp;number=&amp;sourceID=27","")</f>
        <v/>
      </c>
      <c r="G250" s="4" t="str">
        <f>HYPERLINK("http://141.218.60.56/~jnz1568/getInfo.php?workbook=03_02.xlsx&amp;sheet=A0&amp;row=250&amp;col=7&amp;number=&amp;sourceID=15","")</f>
        <v/>
      </c>
      <c r="H250" s="4" t="str">
        <f>HYPERLINK("http://141.218.60.56/~jnz1568/getInfo.php?workbook=03_02.xlsx&amp;sheet=A0&amp;row=250&amp;col=8&amp;number=&amp;sourceID=15","")</f>
        <v/>
      </c>
      <c r="I250" s="4" t="str">
        <f>HYPERLINK("http://141.218.60.56/~jnz1568/getInfo.php?workbook=03_02.xlsx&amp;sheet=A0&amp;row=250&amp;col=9&amp;number=&amp;sourceID=15","")</f>
        <v/>
      </c>
      <c r="J250" s="4" t="str">
        <f>HYPERLINK("http://141.218.60.56/~jnz1568/getInfo.php?workbook=03_02.xlsx&amp;sheet=A0&amp;row=250&amp;col=10&amp;number=&amp;sourceID=15","")</f>
        <v/>
      </c>
      <c r="K250" s="4" t="str">
        <f>HYPERLINK("http://141.218.60.56/~jnz1568/getInfo.php?workbook=03_02.xlsx&amp;sheet=A0&amp;row=250&amp;col=11&amp;number=&amp;sourceID=30","")</f>
        <v/>
      </c>
      <c r="L250" s="4" t="str">
        <f>HYPERLINK("http://141.218.60.56/~jnz1568/getInfo.php?workbook=03_02.xlsx&amp;sheet=A0&amp;row=250&amp;col=12&amp;number=52.24&amp;sourceID=30","52.24")</f>
        <v>52.24</v>
      </c>
      <c r="M250" s="4" t="str">
        <f>HYPERLINK("http://141.218.60.56/~jnz1568/getInfo.php?workbook=03_02.xlsx&amp;sheet=A0&amp;row=250&amp;col=13&amp;number=5.964e-08&amp;sourceID=30","5.964e-08")</f>
        <v>5.964e-08</v>
      </c>
      <c r="N250" s="4" t="str">
        <f>HYPERLINK("http://141.218.60.56/~jnz1568/getInfo.php?workbook=03_02.xlsx&amp;sheet=A0&amp;row=250&amp;col=14&amp;number=&amp;sourceID=30","")</f>
        <v/>
      </c>
    </row>
    <row r="251" spans="1:14">
      <c r="A251" s="3">
        <v>3</v>
      </c>
      <c r="B251" s="3">
        <v>2</v>
      </c>
      <c r="C251" s="3">
        <v>25</v>
      </c>
      <c r="D251" s="3">
        <v>15</v>
      </c>
      <c r="E251" s="3">
        <f>((1/(INDEX(E0!J$4:J$52,C251,1)-INDEX(E0!J$4:J$52,D251,1))))*100000000</f>
        <v>0</v>
      </c>
      <c r="F251" s="4" t="str">
        <f>HYPERLINK("http://141.218.60.56/~jnz1568/getInfo.php?workbook=03_02.xlsx&amp;sheet=A0&amp;row=251&amp;col=6&amp;number=&amp;sourceID=27","")</f>
        <v/>
      </c>
      <c r="G251" s="4" t="str">
        <f>HYPERLINK("http://141.218.60.56/~jnz1568/getInfo.php?workbook=03_02.xlsx&amp;sheet=A0&amp;row=251&amp;col=7&amp;number=&amp;sourceID=15","")</f>
        <v/>
      </c>
      <c r="H251" s="4" t="str">
        <f>HYPERLINK("http://141.218.60.56/~jnz1568/getInfo.php?workbook=03_02.xlsx&amp;sheet=A0&amp;row=251&amp;col=8&amp;number=&amp;sourceID=15","")</f>
        <v/>
      </c>
      <c r="I251" s="4" t="str">
        <f>HYPERLINK("http://141.218.60.56/~jnz1568/getInfo.php?workbook=03_02.xlsx&amp;sheet=A0&amp;row=251&amp;col=9&amp;number=&amp;sourceID=15","")</f>
        <v/>
      </c>
      <c r="J251" s="4" t="str">
        <f>HYPERLINK("http://141.218.60.56/~jnz1568/getInfo.php?workbook=03_02.xlsx&amp;sheet=A0&amp;row=251&amp;col=10&amp;number=&amp;sourceID=15","")</f>
        <v/>
      </c>
      <c r="K251" s="4" t="str">
        <f>HYPERLINK("http://141.218.60.56/~jnz1568/getInfo.php?workbook=03_02.xlsx&amp;sheet=A0&amp;row=251&amp;col=11&amp;number=&amp;sourceID=30","")</f>
        <v/>
      </c>
      <c r="L251" s="4" t="str">
        <f>HYPERLINK("http://141.218.60.56/~jnz1568/getInfo.php?workbook=03_02.xlsx&amp;sheet=A0&amp;row=251&amp;col=12&amp;number=2.176&amp;sourceID=30","2.176")</f>
        <v>2.176</v>
      </c>
      <c r="M251" s="4" t="str">
        <f>HYPERLINK("http://141.218.60.56/~jnz1568/getInfo.php?workbook=03_02.xlsx&amp;sheet=A0&amp;row=251&amp;col=13&amp;number=&amp;sourceID=30","")</f>
        <v/>
      </c>
      <c r="N251" s="4" t="str">
        <f>HYPERLINK("http://141.218.60.56/~jnz1568/getInfo.php?workbook=03_02.xlsx&amp;sheet=A0&amp;row=251&amp;col=14&amp;number=&amp;sourceID=30","")</f>
        <v/>
      </c>
    </row>
    <row r="252" spans="1:14">
      <c r="A252" s="3">
        <v>3</v>
      </c>
      <c r="B252" s="3">
        <v>2</v>
      </c>
      <c r="C252" s="3">
        <v>25</v>
      </c>
      <c r="D252" s="3">
        <v>16</v>
      </c>
      <c r="E252" s="3">
        <f>((1/(INDEX(E0!J$4:J$52,C252,1)-INDEX(E0!J$4:J$52,D252,1))))*100000000</f>
        <v>0</v>
      </c>
      <c r="F252" s="4" t="str">
        <f>HYPERLINK("http://141.218.60.56/~jnz1568/getInfo.php?workbook=03_02.xlsx&amp;sheet=A0&amp;row=252&amp;col=6&amp;number=&amp;sourceID=27","")</f>
        <v/>
      </c>
      <c r="G252" s="4" t="str">
        <f>HYPERLINK("http://141.218.60.56/~jnz1568/getInfo.php?workbook=03_02.xlsx&amp;sheet=A0&amp;row=252&amp;col=7&amp;number=&amp;sourceID=15","")</f>
        <v/>
      </c>
      <c r="H252" s="4" t="str">
        <f>HYPERLINK("http://141.218.60.56/~jnz1568/getInfo.php?workbook=03_02.xlsx&amp;sheet=A0&amp;row=252&amp;col=8&amp;number=&amp;sourceID=15","")</f>
        <v/>
      </c>
      <c r="I252" s="4" t="str">
        <f>HYPERLINK("http://141.218.60.56/~jnz1568/getInfo.php?workbook=03_02.xlsx&amp;sheet=A0&amp;row=252&amp;col=9&amp;number=&amp;sourceID=15","")</f>
        <v/>
      </c>
      <c r="J252" s="4" t="str">
        <f>HYPERLINK("http://141.218.60.56/~jnz1568/getInfo.php?workbook=03_02.xlsx&amp;sheet=A0&amp;row=252&amp;col=10&amp;number=&amp;sourceID=15","")</f>
        <v/>
      </c>
      <c r="K252" s="4" t="str">
        <f>HYPERLINK("http://141.218.60.56/~jnz1568/getInfo.php?workbook=03_02.xlsx&amp;sheet=A0&amp;row=252&amp;col=11&amp;number=&amp;sourceID=30","")</f>
        <v/>
      </c>
      <c r="L252" s="4" t="str">
        <f>HYPERLINK("http://141.218.60.56/~jnz1568/getInfo.php?workbook=03_02.xlsx&amp;sheet=A0&amp;row=252&amp;col=12&amp;number=0.003762&amp;sourceID=30","0.003762")</f>
        <v>0.003762</v>
      </c>
      <c r="M252" s="4" t="str">
        <f>HYPERLINK("http://141.218.60.56/~jnz1568/getInfo.php?workbook=03_02.xlsx&amp;sheet=A0&amp;row=252&amp;col=13&amp;number=1.659e-08&amp;sourceID=30","1.659e-08")</f>
        <v>1.659e-08</v>
      </c>
      <c r="N252" s="4" t="str">
        <f>HYPERLINK("http://141.218.60.56/~jnz1568/getInfo.php?workbook=03_02.xlsx&amp;sheet=A0&amp;row=252&amp;col=14&amp;number=&amp;sourceID=30","")</f>
        <v/>
      </c>
    </row>
    <row r="253" spans="1:14">
      <c r="A253" s="3">
        <v>3</v>
      </c>
      <c r="B253" s="3">
        <v>2</v>
      </c>
      <c r="C253" s="3">
        <v>25</v>
      </c>
      <c r="D253" s="3">
        <v>17</v>
      </c>
      <c r="E253" s="3">
        <f>((1/(INDEX(E0!J$4:J$52,C253,1)-INDEX(E0!J$4:J$52,D253,1))))*100000000</f>
        <v>0</v>
      </c>
      <c r="F253" s="4" t="str">
        <f>HYPERLINK("http://141.218.60.56/~jnz1568/getInfo.php?workbook=03_02.xlsx&amp;sheet=A0&amp;row=253&amp;col=6&amp;number=&amp;sourceID=27","")</f>
        <v/>
      </c>
      <c r="G253" s="4" t="str">
        <f>HYPERLINK("http://141.218.60.56/~jnz1568/getInfo.php?workbook=03_02.xlsx&amp;sheet=A0&amp;row=253&amp;col=7&amp;number=&amp;sourceID=15","")</f>
        <v/>
      </c>
      <c r="H253" s="4" t="str">
        <f>HYPERLINK("http://141.218.60.56/~jnz1568/getInfo.php?workbook=03_02.xlsx&amp;sheet=A0&amp;row=253&amp;col=8&amp;number=&amp;sourceID=15","")</f>
        <v/>
      </c>
      <c r="I253" s="4" t="str">
        <f>HYPERLINK("http://141.218.60.56/~jnz1568/getInfo.php?workbook=03_02.xlsx&amp;sheet=A0&amp;row=253&amp;col=9&amp;number=&amp;sourceID=15","")</f>
        <v/>
      </c>
      <c r="J253" s="4" t="str">
        <f>HYPERLINK("http://141.218.60.56/~jnz1568/getInfo.php?workbook=03_02.xlsx&amp;sheet=A0&amp;row=253&amp;col=10&amp;number=&amp;sourceID=15","")</f>
        <v/>
      </c>
      <c r="K253" s="4" t="str">
        <f>HYPERLINK("http://141.218.60.56/~jnz1568/getInfo.php?workbook=03_02.xlsx&amp;sheet=A0&amp;row=253&amp;col=11&amp;number=&amp;sourceID=30","")</f>
        <v/>
      </c>
      <c r="L253" s="4" t="str">
        <f>HYPERLINK("http://141.218.60.56/~jnz1568/getInfo.php?workbook=03_02.xlsx&amp;sheet=A0&amp;row=253&amp;col=12&amp;number=&amp;sourceID=30","")</f>
        <v/>
      </c>
      <c r="M253" s="4" t="str">
        <f>HYPERLINK("http://141.218.60.56/~jnz1568/getInfo.php?workbook=03_02.xlsx&amp;sheet=A0&amp;row=253&amp;col=13&amp;number=&amp;sourceID=30","")</f>
        <v/>
      </c>
      <c r="N253" s="4" t="str">
        <f>HYPERLINK("http://141.218.60.56/~jnz1568/getInfo.php?workbook=03_02.xlsx&amp;sheet=A0&amp;row=253&amp;col=14&amp;number=0.0002139&amp;sourceID=30","0.0002139")</f>
        <v>0.0002139</v>
      </c>
    </row>
    <row r="254" spans="1:14">
      <c r="A254" s="3">
        <v>3</v>
      </c>
      <c r="B254" s="3">
        <v>2</v>
      </c>
      <c r="C254" s="3">
        <v>25</v>
      </c>
      <c r="D254" s="3">
        <v>18</v>
      </c>
      <c r="E254" s="3">
        <f>((1/(INDEX(E0!J$4:J$52,C254,1)-INDEX(E0!J$4:J$52,D254,1))))*100000000</f>
        <v>0</v>
      </c>
      <c r="F254" s="4" t="str">
        <f>HYPERLINK("http://141.218.60.56/~jnz1568/getInfo.php?workbook=03_02.xlsx&amp;sheet=A0&amp;row=254&amp;col=6&amp;number=&amp;sourceID=27","")</f>
        <v/>
      </c>
      <c r="G254" s="4" t="str">
        <f>HYPERLINK("http://141.218.60.56/~jnz1568/getInfo.php?workbook=03_02.xlsx&amp;sheet=A0&amp;row=254&amp;col=7&amp;number=&amp;sourceID=15","")</f>
        <v/>
      </c>
      <c r="H254" s="4" t="str">
        <f>HYPERLINK("http://141.218.60.56/~jnz1568/getInfo.php?workbook=03_02.xlsx&amp;sheet=A0&amp;row=254&amp;col=8&amp;number=&amp;sourceID=15","")</f>
        <v/>
      </c>
      <c r="I254" s="4" t="str">
        <f>HYPERLINK("http://141.218.60.56/~jnz1568/getInfo.php?workbook=03_02.xlsx&amp;sheet=A0&amp;row=254&amp;col=9&amp;number=&amp;sourceID=15","")</f>
        <v/>
      </c>
      <c r="J254" s="4" t="str">
        <f>HYPERLINK("http://141.218.60.56/~jnz1568/getInfo.php?workbook=03_02.xlsx&amp;sheet=A0&amp;row=254&amp;col=10&amp;number=&amp;sourceID=15","")</f>
        <v/>
      </c>
      <c r="K254" s="4" t="str">
        <f>HYPERLINK("http://141.218.60.56/~jnz1568/getInfo.php?workbook=03_02.xlsx&amp;sheet=A0&amp;row=254&amp;col=11&amp;number=&amp;sourceID=30","")</f>
        <v/>
      </c>
      <c r="L254" s="4" t="str">
        <f>HYPERLINK("http://141.218.60.56/~jnz1568/getInfo.php?workbook=03_02.xlsx&amp;sheet=A0&amp;row=254&amp;col=12&amp;number=0.04369&amp;sourceID=30","0.04369")</f>
        <v>0.04369</v>
      </c>
      <c r="M254" s="4" t="str">
        <f>HYPERLINK("http://141.218.60.56/~jnz1568/getInfo.php?workbook=03_02.xlsx&amp;sheet=A0&amp;row=254&amp;col=13&amp;number=&amp;sourceID=30","")</f>
        <v/>
      </c>
      <c r="N254" s="4" t="str">
        <f>HYPERLINK("http://141.218.60.56/~jnz1568/getInfo.php?workbook=03_02.xlsx&amp;sheet=A0&amp;row=254&amp;col=14&amp;number=&amp;sourceID=30","")</f>
        <v/>
      </c>
    </row>
    <row r="255" spans="1:14">
      <c r="A255" s="3">
        <v>3</v>
      </c>
      <c r="B255" s="3">
        <v>2</v>
      </c>
      <c r="C255" s="3">
        <v>25</v>
      </c>
      <c r="D255" s="3">
        <v>21</v>
      </c>
      <c r="E255" s="3">
        <f>((1/(INDEX(E0!J$4:J$52,C255,1)-INDEX(E0!J$4:J$52,D255,1))))*100000000</f>
        <v>0</v>
      </c>
      <c r="F255" s="4" t="str">
        <f>HYPERLINK("http://141.218.60.56/~jnz1568/getInfo.php?workbook=03_02.xlsx&amp;sheet=A0&amp;row=255&amp;col=6&amp;number=&amp;sourceID=27","")</f>
        <v/>
      </c>
      <c r="G255" s="4" t="str">
        <f>HYPERLINK("http://141.218.60.56/~jnz1568/getInfo.php?workbook=03_02.xlsx&amp;sheet=A0&amp;row=255&amp;col=7&amp;number=&amp;sourceID=15","")</f>
        <v/>
      </c>
      <c r="H255" s="4" t="str">
        <f>HYPERLINK("http://141.218.60.56/~jnz1568/getInfo.php?workbook=03_02.xlsx&amp;sheet=A0&amp;row=255&amp;col=8&amp;number=&amp;sourceID=15","")</f>
        <v/>
      </c>
      <c r="I255" s="4" t="str">
        <f>HYPERLINK("http://141.218.60.56/~jnz1568/getInfo.php?workbook=03_02.xlsx&amp;sheet=A0&amp;row=255&amp;col=9&amp;number=&amp;sourceID=15","")</f>
        <v/>
      </c>
      <c r="J255" s="4" t="str">
        <f>HYPERLINK("http://141.218.60.56/~jnz1568/getInfo.php?workbook=03_02.xlsx&amp;sheet=A0&amp;row=255&amp;col=10&amp;number=&amp;sourceID=15","")</f>
        <v/>
      </c>
      <c r="K255" s="4" t="str">
        <f>HYPERLINK("http://141.218.60.56/~jnz1568/getInfo.php?workbook=03_02.xlsx&amp;sheet=A0&amp;row=255&amp;col=11&amp;number=&amp;sourceID=30","")</f>
        <v/>
      </c>
      <c r="L255" s="4" t="str">
        <f>HYPERLINK("http://141.218.60.56/~jnz1568/getInfo.php?workbook=03_02.xlsx&amp;sheet=A0&amp;row=255&amp;col=12&amp;number=&amp;sourceID=30","")</f>
        <v/>
      </c>
      <c r="M255" s="4" t="str">
        <f>HYPERLINK("http://141.218.60.56/~jnz1568/getInfo.php?workbook=03_02.xlsx&amp;sheet=A0&amp;row=255&amp;col=13&amp;number=&amp;sourceID=30","")</f>
        <v/>
      </c>
      <c r="N255" s="4" t="str">
        <f>HYPERLINK("http://141.218.60.56/~jnz1568/getInfo.php?workbook=03_02.xlsx&amp;sheet=A0&amp;row=255&amp;col=14&amp;number=2.528e-12&amp;sourceID=30","2.528e-12")</f>
        <v>2.528e-12</v>
      </c>
    </row>
    <row r="256" spans="1:14">
      <c r="A256" s="3">
        <v>3</v>
      </c>
      <c r="B256" s="3">
        <v>2</v>
      </c>
      <c r="C256" s="3">
        <v>25</v>
      </c>
      <c r="D256" s="3">
        <v>22</v>
      </c>
      <c r="E256" s="3">
        <f>((1/(INDEX(E0!J$4:J$52,C256,1)-INDEX(E0!J$4:J$52,D256,1))))*100000000</f>
        <v>0</v>
      </c>
      <c r="F256" s="4" t="str">
        <f>HYPERLINK("http://141.218.60.56/~jnz1568/getInfo.php?workbook=03_02.xlsx&amp;sheet=A0&amp;row=256&amp;col=6&amp;number=&amp;sourceID=27","")</f>
        <v/>
      </c>
      <c r="G256" s="4" t="str">
        <f>HYPERLINK("http://141.218.60.56/~jnz1568/getInfo.php?workbook=03_02.xlsx&amp;sheet=A0&amp;row=256&amp;col=7&amp;number=33976&amp;sourceID=15","33976")</f>
        <v>33976</v>
      </c>
      <c r="H256" s="4" t="str">
        <f>HYPERLINK("http://141.218.60.56/~jnz1568/getInfo.php?workbook=03_02.xlsx&amp;sheet=A0&amp;row=256&amp;col=8&amp;number=&amp;sourceID=15","")</f>
        <v/>
      </c>
      <c r="I256" s="4" t="str">
        <f>HYPERLINK("http://141.218.60.56/~jnz1568/getInfo.php?workbook=03_02.xlsx&amp;sheet=A0&amp;row=256&amp;col=9&amp;number=&amp;sourceID=15","")</f>
        <v/>
      </c>
      <c r="J256" s="4" t="str">
        <f>HYPERLINK("http://141.218.60.56/~jnz1568/getInfo.php?workbook=03_02.xlsx&amp;sheet=A0&amp;row=256&amp;col=10&amp;number=&amp;sourceID=15","")</f>
        <v/>
      </c>
      <c r="K256" s="4" t="str">
        <f>HYPERLINK("http://141.218.60.56/~jnz1568/getInfo.php?workbook=03_02.xlsx&amp;sheet=A0&amp;row=256&amp;col=11&amp;number=24270&amp;sourceID=30","24270")</f>
        <v>24270</v>
      </c>
      <c r="L256" s="4" t="str">
        <f>HYPERLINK("http://141.218.60.56/~jnz1568/getInfo.php?workbook=03_02.xlsx&amp;sheet=A0&amp;row=256&amp;col=12&amp;number=&amp;sourceID=30","")</f>
        <v/>
      </c>
      <c r="M256" s="4" t="str">
        <f>HYPERLINK("http://141.218.60.56/~jnz1568/getInfo.php?workbook=03_02.xlsx&amp;sheet=A0&amp;row=256&amp;col=13&amp;number=&amp;sourceID=30","")</f>
        <v/>
      </c>
      <c r="N256" s="4" t="str">
        <f>HYPERLINK("http://141.218.60.56/~jnz1568/getInfo.php?workbook=03_02.xlsx&amp;sheet=A0&amp;row=256&amp;col=14&amp;number=1.254e-10&amp;sourceID=30","1.254e-10")</f>
        <v>1.254e-10</v>
      </c>
    </row>
    <row r="257" spans="1:14">
      <c r="A257" s="3">
        <v>3</v>
      </c>
      <c r="B257" s="3">
        <v>2</v>
      </c>
      <c r="C257" s="3">
        <v>25</v>
      </c>
      <c r="D257" s="3">
        <v>23</v>
      </c>
      <c r="E257" s="3">
        <f>((1/(INDEX(E0!J$4:J$52,C257,1)-INDEX(E0!J$4:J$52,D257,1))))*100000000</f>
        <v>0</v>
      </c>
      <c r="F257" s="4" t="str">
        <f>HYPERLINK("http://141.218.60.56/~jnz1568/getInfo.php?workbook=03_02.xlsx&amp;sheet=A0&amp;row=257&amp;col=6&amp;number=&amp;sourceID=27","")</f>
        <v/>
      </c>
      <c r="G257" s="4" t="str">
        <f>HYPERLINK("http://141.218.60.56/~jnz1568/getInfo.php?workbook=03_02.xlsx&amp;sheet=A0&amp;row=257&amp;col=7&amp;number=&amp;sourceID=15","")</f>
        <v/>
      </c>
      <c r="H257" s="4" t="str">
        <f>HYPERLINK("http://141.218.60.56/~jnz1568/getInfo.php?workbook=03_02.xlsx&amp;sheet=A0&amp;row=257&amp;col=8&amp;number=&amp;sourceID=15","")</f>
        <v/>
      </c>
      <c r="I257" s="4" t="str">
        <f>HYPERLINK("http://141.218.60.56/~jnz1568/getInfo.php?workbook=03_02.xlsx&amp;sheet=A0&amp;row=257&amp;col=9&amp;number=&amp;sourceID=15","")</f>
        <v/>
      </c>
      <c r="J257" s="4" t="str">
        <f>HYPERLINK("http://141.218.60.56/~jnz1568/getInfo.php?workbook=03_02.xlsx&amp;sheet=A0&amp;row=257&amp;col=10&amp;number=&amp;sourceID=15","")</f>
        <v/>
      </c>
      <c r="K257" s="4" t="str">
        <f>HYPERLINK("http://141.218.60.56/~jnz1568/getInfo.php?workbook=03_02.xlsx&amp;sheet=A0&amp;row=257&amp;col=11&amp;number=&amp;sourceID=30","")</f>
        <v/>
      </c>
      <c r="L257" s="4" t="str">
        <f>HYPERLINK("http://141.218.60.56/~jnz1568/getInfo.php?workbook=03_02.xlsx&amp;sheet=A0&amp;row=257&amp;col=12&amp;number=0&amp;sourceID=30","0")</f>
        <v>0</v>
      </c>
      <c r="M257" s="4" t="str">
        <f>HYPERLINK("http://141.218.60.56/~jnz1568/getInfo.php?workbook=03_02.xlsx&amp;sheet=A0&amp;row=257&amp;col=13&amp;number=&amp;sourceID=30","")</f>
        <v/>
      </c>
      <c r="N257" s="4" t="str">
        <f>HYPERLINK("http://141.218.60.56/~jnz1568/getInfo.php?workbook=03_02.xlsx&amp;sheet=A0&amp;row=257&amp;col=14&amp;number=&amp;sourceID=30","")</f>
        <v/>
      </c>
    </row>
    <row r="258" spans="1:14">
      <c r="A258" s="3">
        <v>3</v>
      </c>
      <c r="B258" s="3">
        <v>2</v>
      </c>
      <c r="C258" s="3">
        <v>25</v>
      </c>
      <c r="D258" s="3">
        <v>24</v>
      </c>
      <c r="E258" s="3">
        <f>((1/(INDEX(E0!J$4:J$52,C258,1)-INDEX(E0!J$4:J$52,D258,1))))*100000000</f>
        <v>0</v>
      </c>
      <c r="F258" s="4" t="str">
        <f>HYPERLINK("http://141.218.60.56/~jnz1568/getInfo.php?workbook=03_02.xlsx&amp;sheet=A0&amp;row=258&amp;col=6&amp;number=&amp;sourceID=27","")</f>
        <v/>
      </c>
      <c r="G258" s="4" t="str">
        <f>HYPERLINK("http://141.218.60.56/~jnz1568/getInfo.php?workbook=03_02.xlsx&amp;sheet=A0&amp;row=258&amp;col=7&amp;number=&amp;sourceID=15","")</f>
        <v/>
      </c>
      <c r="H258" s="4" t="str">
        <f>HYPERLINK("http://141.218.60.56/~jnz1568/getInfo.php?workbook=03_02.xlsx&amp;sheet=A0&amp;row=258&amp;col=8&amp;number=&amp;sourceID=15","")</f>
        <v/>
      </c>
      <c r="I258" s="4" t="str">
        <f>HYPERLINK("http://141.218.60.56/~jnz1568/getInfo.php?workbook=03_02.xlsx&amp;sheet=A0&amp;row=258&amp;col=9&amp;number=&amp;sourceID=15","")</f>
        <v/>
      </c>
      <c r="J258" s="4" t="str">
        <f>HYPERLINK("http://141.218.60.56/~jnz1568/getInfo.php?workbook=03_02.xlsx&amp;sheet=A0&amp;row=258&amp;col=10&amp;number=&amp;sourceID=15","")</f>
        <v/>
      </c>
      <c r="K258" s="4" t="str">
        <f>HYPERLINK("http://141.218.60.56/~jnz1568/getInfo.php?workbook=03_02.xlsx&amp;sheet=A0&amp;row=258&amp;col=11&amp;number=&amp;sourceID=30","")</f>
        <v/>
      </c>
      <c r="L258" s="4" t="str">
        <f>HYPERLINK("http://141.218.60.56/~jnz1568/getInfo.php?workbook=03_02.xlsx&amp;sheet=A0&amp;row=258&amp;col=12&amp;number=0&amp;sourceID=30","0")</f>
        <v>0</v>
      </c>
      <c r="M258" s="4" t="str">
        <f>HYPERLINK("http://141.218.60.56/~jnz1568/getInfo.php?workbook=03_02.xlsx&amp;sheet=A0&amp;row=258&amp;col=13&amp;number=4e-15&amp;sourceID=30","4e-15")</f>
        <v>4e-15</v>
      </c>
      <c r="N258" s="4" t="str">
        <f>HYPERLINK("http://141.218.60.56/~jnz1568/getInfo.php?workbook=03_02.xlsx&amp;sheet=A0&amp;row=258&amp;col=14&amp;number=&amp;sourceID=30","")</f>
        <v/>
      </c>
    </row>
    <row r="259" spans="1:14">
      <c r="A259" s="3">
        <v>3</v>
      </c>
      <c r="B259" s="3">
        <v>2</v>
      </c>
      <c r="C259" s="3">
        <v>26</v>
      </c>
      <c r="D259" s="3">
        <v>1</v>
      </c>
      <c r="E259" s="3">
        <f>((1/(INDEX(E0!J$4:J$52,C259,1)-INDEX(E0!J$4:J$52,D259,1))))*100000000</f>
        <v>0</v>
      </c>
      <c r="F259" s="4" t="str">
        <f>HYPERLINK("http://141.218.60.56/~jnz1568/getInfo.php?workbook=03_02.xlsx&amp;sheet=A0&amp;row=259&amp;col=6&amp;number=&amp;sourceID=27","")</f>
        <v/>
      </c>
      <c r="G259" s="4" t="str">
        <f>HYPERLINK("http://141.218.60.56/~jnz1568/getInfo.php?workbook=03_02.xlsx&amp;sheet=A0&amp;row=259&amp;col=7&amp;number=&amp;sourceID=15","")</f>
        <v/>
      </c>
      <c r="H259" s="4" t="str">
        <f>HYPERLINK("http://141.218.60.56/~jnz1568/getInfo.php?workbook=03_02.xlsx&amp;sheet=A0&amp;row=259&amp;col=8&amp;number=46897&amp;sourceID=15","46897")</f>
        <v>46897</v>
      </c>
      <c r="I259" s="4" t="str">
        <f>HYPERLINK("http://141.218.60.56/~jnz1568/getInfo.php?workbook=03_02.xlsx&amp;sheet=A0&amp;row=259&amp;col=9&amp;number=&amp;sourceID=15","")</f>
        <v/>
      </c>
      <c r="J259" s="4" t="str">
        <f>HYPERLINK("http://141.218.60.56/~jnz1568/getInfo.php?workbook=03_02.xlsx&amp;sheet=A0&amp;row=259&amp;col=10&amp;number=&amp;sourceID=15","")</f>
        <v/>
      </c>
      <c r="K259" s="4" t="str">
        <f>HYPERLINK("http://141.218.60.56/~jnz1568/getInfo.php?workbook=03_02.xlsx&amp;sheet=A0&amp;row=259&amp;col=11&amp;number=&amp;sourceID=30","")</f>
        <v/>
      </c>
      <c r="L259" s="4" t="str">
        <f>HYPERLINK("http://141.218.60.56/~jnz1568/getInfo.php?workbook=03_02.xlsx&amp;sheet=A0&amp;row=259&amp;col=12&amp;number=277800&amp;sourceID=30","277800")</f>
        <v>277800</v>
      </c>
      <c r="M259" s="4" t="str">
        <f>HYPERLINK("http://141.218.60.56/~jnz1568/getInfo.php?workbook=03_02.xlsx&amp;sheet=A0&amp;row=259&amp;col=13&amp;number=&amp;sourceID=30","")</f>
        <v/>
      </c>
      <c r="N259" s="4" t="str">
        <f>HYPERLINK("http://141.218.60.56/~jnz1568/getInfo.php?workbook=03_02.xlsx&amp;sheet=A0&amp;row=259&amp;col=14&amp;number=&amp;sourceID=30","")</f>
        <v/>
      </c>
    </row>
    <row r="260" spans="1:14">
      <c r="A260" s="3">
        <v>3</v>
      </c>
      <c r="B260" s="3">
        <v>2</v>
      </c>
      <c r="C260" s="3">
        <v>26</v>
      </c>
      <c r="D260" s="3">
        <v>2</v>
      </c>
      <c r="E260" s="3">
        <f>((1/(INDEX(E0!J$4:J$52,C260,1)-INDEX(E0!J$4:J$52,D260,1))))*100000000</f>
        <v>0</v>
      </c>
      <c r="F260" s="4" t="str">
        <f>HYPERLINK("http://141.218.60.56/~jnz1568/getInfo.php?workbook=03_02.xlsx&amp;sheet=A0&amp;row=260&amp;col=6&amp;number=&amp;sourceID=27","")</f>
        <v/>
      </c>
      <c r="G260" s="4" t="str">
        <f>HYPERLINK("http://141.218.60.56/~jnz1568/getInfo.php?workbook=03_02.xlsx&amp;sheet=A0&amp;row=260&amp;col=7&amp;number=&amp;sourceID=15","")</f>
        <v/>
      </c>
      <c r="H260" s="4" t="str">
        <f>HYPERLINK("http://141.218.60.56/~jnz1568/getInfo.php?workbook=03_02.xlsx&amp;sheet=A0&amp;row=260&amp;col=8&amp;number=&amp;sourceID=15","")</f>
        <v/>
      </c>
      <c r="I260" s="4" t="str">
        <f>HYPERLINK("http://141.218.60.56/~jnz1568/getInfo.php?workbook=03_02.xlsx&amp;sheet=A0&amp;row=260&amp;col=9&amp;number=&amp;sourceID=15","")</f>
        <v/>
      </c>
      <c r="J260" s="4" t="str">
        <f>HYPERLINK("http://141.218.60.56/~jnz1568/getInfo.php?workbook=03_02.xlsx&amp;sheet=A0&amp;row=260&amp;col=10&amp;number=&amp;sourceID=15","")</f>
        <v/>
      </c>
      <c r="K260" s="4" t="str">
        <f>HYPERLINK("http://141.218.60.56/~jnz1568/getInfo.php?workbook=03_02.xlsx&amp;sheet=A0&amp;row=260&amp;col=11&amp;number=&amp;sourceID=30","")</f>
        <v/>
      </c>
      <c r="L260" s="4" t="str">
        <f>HYPERLINK("http://141.218.60.56/~jnz1568/getInfo.php?workbook=03_02.xlsx&amp;sheet=A0&amp;row=260&amp;col=12&amp;number=0.1602&amp;sourceID=30","0.1602")</f>
        <v>0.1602</v>
      </c>
      <c r="M260" s="4" t="str">
        <f>HYPERLINK("http://141.218.60.56/~jnz1568/getInfo.php?workbook=03_02.xlsx&amp;sheet=A0&amp;row=260&amp;col=13&amp;number=8.377e-08&amp;sourceID=30","8.377e-08")</f>
        <v>8.377e-08</v>
      </c>
      <c r="N260" s="4" t="str">
        <f>HYPERLINK("http://141.218.60.56/~jnz1568/getInfo.php?workbook=03_02.xlsx&amp;sheet=A0&amp;row=260&amp;col=14&amp;number=&amp;sourceID=30","")</f>
        <v/>
      </c>
    </row>
    <row r="261" spans="1:14">
      <c r="A261" s="3">
        <v>3</v>
      </c>
      <c r="B261" s="3">
        <v>2</v>
      </c>
      <c r="C261" s="3">
        <v>26</v>
      </c>
      <c r="D261" s="3">
        <v>3</v>
      </c>
      <c r="E261" s="3">
        <f>((1/(INDEX(E0!J$4:J$52,C261,1)-INDEX(E0!J$4:J$52,D261,1))))*100000000</f>
        <v>0</v>
      </c>
      <c r="F261" s="4" t="str">
        <f>HYPERLINK("http://141.218.60.56/~jnz1568/getInfo.php?workbook=03_02.xlsx&amp;sheet=A0&amp;row=261&amp;col=6&amp;number=&amp;sourceID=27","")</f>
        <v/>
      </c>
      <c r="G261" s="4" t="str">
        <f>HYPERLINK("http://141.218.60.56/~jnz1568/getInfo.php?workbook=03_02.xlsx&amp;sheet=A0&amp;row=261&amp;col=7&amp;number=&amp;sourceID=15","")</f>
        <v/>
      </c>
      <c r="H261" s="4" t="str">
        <f>HYPERLINK("http://141.218.60.56/~jnz1568/getInfo.php?workbook=03_02.xlsx&amp;sheet=A0&amp;row=261&amp;col=8&amp;number=784.6&amp;sourceID=15","784.6")</f>
        <v>784.6</v>
      </c>
      <c r="I261" s="4" t="str">
        <f>HYPERLINK("http://141.218.60.56/~jnz1568/getInfo.php?workbook=03_02.xlsx&amp;sheet=A0&amp;row=261&amp;col=9&amp;number=&amp;sourceID=15","")</f>
        <v/>
      </c>
      <c r="J261" s="4" t="str">
        <f>HYPERLINK("http://141.218.60.56/~jnz1568/getInfo.php?workbook=03_02.xlsx&amp;sheet=A0&amp;row=261&amp;col=10&amp;number=&amp;sourceID=15","")</f>
        <v/>
      </c>
      <c r="K261" s="4" t="str">
        <f>HYPERLINK("http://141.218.60.56/~jnz1568/getInfo.php?workbook=03_02.xlsx&amp;sheet=A0&amp;row=261&amp;col=11&amp;number=&amp;sourceID=30","")</f>
        <v/>
      </c>
      <c r="L261" s="4" t="str">
        <f>HYPERLINK("http://141.218.60.56/~jnz1568/getInfo.php?workbook=03_02.xlsx&amp;sheet=A0&amp;row=261&amp;col=12&amp;number=1188&amp;sourceID=30","1188")</f>
        <v>1188</v>
      </c>
      <c r="M261" s="4" t="str">
        <f>HYPERLINK("http://141.218.60.56/~jnz1568/getInfo.php?workbook=03_02.xlsx&amp;sheet=A0&amp;row=261&amp;col=13&amp;number=&amp;sourceID=30","")</f>
        <v/>
      </c>
      <c r="N261" s="4" t="str">
        <f>HYPERLINK("http://141.218.60.56/~jnz1568/getInfo.php?workbook=03_02.xlsx&amp;sheet=A0&amp;row=261&amp;col=14&amp;number=&amp;sourceID=30","")</f>
        <v/>
      </c>
    </row>
    <row r="262" spans="1:14">
      <c r="A262" s="3">
        <v>3</v>
      </c>
      <c r="B262" s="3">
        <v>2</v>
      </c>
      <c r="C262" s="3">
        <v>26</v>
      </c>
      <c r="D262" s="3">
        <v>4</v>
      </c>
      <c r="E262" s="3">
        <f>((1/(INDEX(E0!J$4:J$52,C262,1)-INDEX(E0!J$4:J$52,D262,1))))*100000000</f>
        <v>0</v>
      </c>
      <c r="F262" s="4" t="str">
        <f>HYPERLINK("http://141.218.60.56/~jnz1568/getInfo.php?workbook=03_02.xlsx&amp;sheet=A0&amp;row=262&amp;col=6&amp;number=&amp;sourceID=27","")</f>
        <v/>
      </c>
      <c r="G262" s="4" t="str">
        <f>HYPERLINK("http://141.218.60.56/~jnz1568/getInfo.php?workbook=03_02.xlsx&amp;sheet=A0&amp;row=262&amp;col=7&amp;number=&amp;sourceID=15","")</f>
        <v/>
      </c>
      <c r="H262" s="4" t="str">
        <f>HYPERLINK("http://141.218.60.56/~jnz1568/getInfo.php?workbook=03_02.xlsx&amp;sheet=A0&amp;row=262&amp;col=8&amp;number=&amp;sourceID=15","")</f>
        <v/>
      </c>
      <c r="I262" s="4" t="str">
        <f>HYPERLINK("http://141.218.60.56/~jnz1568/getInfo.php?workbook=03_02.xlsx&amp;sheet=A0&amp;row=262&amp;col=9&amp;number=&amp;sourceID=15","")</f>
        <v/>
      </c>
      <c r="J262" s="4" t="str">
        <f>HYPERLINK("http://141.218.60.56/~jnz1568/getInfo.php?workbook=03_02.xlsx&amp;sheet=A0&amp;row=262&amp;col=10&amp;number=&amp;sourceID=15","")</f>
        <v/>
      </c>
      <c r="K262" s="4" t="str">
        <f>HYPERLINK("http://141.218.60.56/~jnz1568/getInfo.php?workbook=03_02.xlsx&amp;sheet=A0&amp;row=262&amp;col=11&amp;number=22240&amp;sourceID=30","22240")</f>
        <v>22240</v>
      </c>
      <c r="L262" s="4" t="str">
        <f>HYPERLINK("http://141.218.60.56/~jnz1568/getInfo.php?workbook=03_02.xlsx&amp;sheet=A0&amp;row=262&amp;col=12&amp;number=&amp;sourceID=30","")</f>
        <v/>
      </c>
      <c r="M262" s="4" t="str">
        <f>HYPERLINK("http://141.218.60.56/~jnz1568/getInfo.php?workbook=03_02.xlsx&amp;sheet=A0&amp;row=262&amp;col=13&amp;number=&amp;sourceID=30","")</f>
        <v/>
      </c>
      <c r="N262" s="4" t="str">
        <f>HYPERLINK("http://141.218.60.56/~jnz1568/getInfo.php?workbook=03_02.xlsx&amp;sheet=A0&amp;row=262&amp;col=14&amp;number=0.009656&amp;sourceID=30","0.009656")</f>
        <v>0.009656</v>
      </c>
    </row>
    <row r="263" spans="1:14">
      <c r="A263" s="3">
        <v>3</v>
      </c>
      <c r="B263" s="3">
        <v>2</v>
      </c>
      <c r="C263" s="3">
        <v>26</v>
      </c>
      <c r="D263" s="3">
        <v>5</v>
      </c>
      <c r="E263" s="3">
        <f>((1/(INDEX(E0!J$4:J$52,C263,1)-INDEX(E0!J$4:J$52,D263,1))))*100000000</f>
        <v>0</v>
      </c>
      <c r="F263" s="4" t="str">
        <f>HYPERLINK("http://141.218.60.56/~jnz1568/getInfo.php?workbook=03_02.xlsx&amp;sheet=A0&amp;row=263&amp;col=6&amp;number=&amp;sourceID=27","")</f>
        <v/>
      </c>
      <c r="G263" s="4" t="str">
        <f>HYPERLINK("http://141.218.60.56/~jnz1568/getInfo.php?workbook=03_02.xlsx&amp;sheet=A0&amp;row=263&amp;col=7&amp;number=&amp;sourceID=15","")</f>
        <v/>
      </c>
      <c r="H263" s="4" t="str">
        <f>HYPERLINK("http://141.218.60.56/~jnz1568/getInfo.php?workbook=03_02.xlsx&amp;sheet=A0&amp;row=263&amp;col=8&amp;number=&amp;sourceID=15","")</f>
        <v/>
      </c>
      <c r="I263" s="4" t="str">
        <f>HYPERLINK("http://141.218.60.56/~jnz1568/getInfo.php?workbook=03_02.xlsx&amp;sheet=A0&amp;row=263&amp;col=9&amp;number=&amp;sourceID=15","")</f>
        <v/>
      </c>
      <c r="J263" s="4" t="str">
        <f>HYPERLINK("http://141.218.60.56/~jnz1568/getInfo.php?workbook=03_02.xlsx&amp;sheet=A0&amp;row=263&amp;col=10&amp;number=&amp;sourceID=15","")</f>
        <v/>
      </c>
      <c r="K263" s="4" t="str">
        <f>HYPERLINK("http://141.218.60.56/~jnz1568/getInfo.php?workbook=03_02.xlsx&amp;sheet=A0&amp;row=263&amp;col=11&amp;number=8913&amp;sourceID=30","8913")</f>
        <v>8913</v>
      </c>
      <c r="L263" s="4" t="str">
        <f>HYPERLINK("http://141.218.60.56/~jnz1568/getInfo.php?workbook=03_02.xlsx&amp;sheet=A0&amp;row=263&amp;col=12&amp;number=&amp;sourceID=30","")</f>
        <v/>
      </c>
      <c r="M263" s="4" t="str">
        <f>HYPERLINK("http://141.218.60.56/~jnz1568/getInfo.php?workbook=03_02.xlsx&amp;sheet=A0&amp;row=263&amp;col=13&amp;number=&amp;sourceID=30","")</f>
        <v/>
      </c>
      <c r="N263" s="4" t="str">
        <f>HYPERLINK("http://141.218.60.56/~jnz1568/getInfo.php?workbook=03_02.xlsx&amp;sheet=A0&amp;row=263&amp;col=14&amp;number=0.00748&amp;sourceID=30","0.00748")</f>
        <v>0.00748</v>
      </c>
    </row>
    <row r="264" spans="1:14">
      <c r="A264" s="3">
        <v>3</v>
      </c>
      <c r="B264" s="3">
        <v>2</v>
      </c>
      <c r="C264" s="3">
        <v>26</v>
      </c>
      <c r="D264" s="3">
        <v>6</v>
      </c>
      <c r="E264" s="3">
        <f>((1/(INDEX(E0!J$4:J$52,C264,1)-INDEX(E0!J$4:J$52,D264,1))))*100000000</f>
        <v>0</v>
      </c>
      <c r="F264" s="4" t="str">
        <f>HYPERLINK("http://141.218.60.56/~jnz1568/getInfo.php?workbook=03_02.xlsx&amp;sheet=A0&amp;row=264&amp;col=6&amp;number=&amp;sourceID=27","")</f>
        <v/>
      </c>
      <c r="G264" s="4" t="str">
        <f>HYPERLINK("http://141.218.60.56/~jnz1568/getInfo.php?workbook=03_02.xlsx&amp;sheet=A0&amp;row=264&amp;col=7&amp;number=&amp;sourceID=15","")</f>
        <v/>
      </c>
      <c r="H264" s="4" t="str">
        <f>HYPERLINK("http://141.218.60.56/~jnz1568/getInfo.php?workbook=03_02.xlsx&amp;sheet=A0&amp;row=264&amp;col=8&amp;number=&amp;sourceID=15","")</f>
        <v/>
      </c>
      <c r="I264" s="4" t="str">
        <f>HYPERLINK("http://141.218.60.56/~jnz1568/getInfo.php?workbook=03_02.xlsx&amp;sheet=A0&amp;row=264&amp;col=9&amp;number=&amp;sourceID=15","")</f>
        <v/>
      </c>
      <c r="J264" s="4" t="str">
        <f>HYPERLINK("http://141.218.60.56/~jnz1568/getInfo.php?workbook=03_02.xlsx&amp;sheet=A0&amp;row=264&amp;col=10&amp;number=&amp;sourceID=15","")</f>
        <v/>
      </c>
      <c r="K264" s="4" t="str">
        <f>HYPERLINK("http://141.218.60.56/~jnz1568/getInfo.php?workbook=03_02.xlsx&amp;sheet=A0&amp;row=264&amp;col=11&amp;number=&amp;sourceID=30","")</f>
        <v/>
      </c>
      <c r="L264" s="4" t="str">
        <f>HYPERLINK("http://141.218.60.56/~jnz1568/getInfo.php?workbook=03_02.xlsx&amp;sheet=A0&amp;row=264&amp;col=12&amp;number=&amp;sourceID=30","")</f>
        <v/>
      </c>
      <c r="M264" s="4" t="str">
        <f>HYPERLINK("http://141.218.60.56/~jnz1568/getInfo.php?workbook=03_02.xlsx&amp;sheet=A0&amp;row=264&amp;col=13&amp;number=&amp;sourceID=30","")</f>
        <v/>
      </c>
      <c r="N264" s="4" t="str">
        <f>HYPERLINK("http://141.218.60.56/~jnz1568/getInfo.php?workbook=03_02.xlsx&amp;sheet=A0&amp;row=264&amp;col=14&amp;number=0.00424&amp;sourceID=30","0.00424")</f>
        <v>0.00424</v>
      </c>
    </row>
    <row r="265" spans="1:14">
      <c r="A265" s="3">
        <v>3</v>
      </c>
      <c r="B265" s="3">
        <v>2</v>
      </c>
      <c r="C265" s="3">
        <v>26</v>
      </c>
      <c r="D265" s="3">
        <v>7</v>
      </c>
      <c r="E265" s="3">
        <f>((1/(INDEX(E0!J$4:J$52,C265,1)-INDEX(E0!J$4:J$52,D265,1))))*100000000</f>
        <v>0</v>
      </c>
      <c r="F265" s="4" t="str">
        <f>HYPERLINK("http://141.218.60.56/~jnz1568/getInfo.php?workbook=03_02.xlsx&amp;sheet=A0&amp;row=265&amp;col=6&amp;number=&amp;sourceID=27","")</f>
        <v/>
      </c>
      <c r="G265" s="4" t="str">
        <f>HYPERLINK("http://141.218.60.56/~jnz1568/getInfo.php?workbook=03_02.xlsx&amp;sheet=A0&amp;row=265&amp;col=7&amp;number=311790000&amp;sourceID=15","311790000")</f>
        <v>311790000</v>
      </c>
      <c r="H265" s="4" t="str">
        <f>HYPERLINK("http://141.218.60.56/~jnz1568/getInfo.php?workbook=03_02.xlsx&amp;sheet=A0&amp;row=265&amp;col=8&amp;number=&amp;sourceID=15","")</f>
        <v/>
      </c>
      <c r="I265" s="4" t="str">
        <f>HYPERLINK("http://141.218.60.56/~jnz1568/getInfo.php?workbook=03_02.xlsx&amp;sheet=A0&amp;row=265&amp;col=9&amp;number=&amp;sourceID=15","")</f>
        <v/>
      </c>
      <c r="J265" s="4" t="str">
        <f>HYPERLINK("http://141.218.60.56/~jnz1568/getInfo.php?workbook=03_02.xlsx&amp;sheet=A0&amp;row=265&amp;col=10&amp;number=&amp;sourceID=15","")</f>
        <v/>
      </c>
      <c r="K265" s="4" t="str">
        <f>HYPERLINK("http://141.218.60.56/~jnz1568/getInfo.php?workbook=03_02.xlsx&amp;sheet=A0&amp;row=265&amp;col=11&amp;number=323800000&amp;sourceID=30","323800000")</f>
        <v>323800000</v>
      </c>
      <c r="L265" s="4" t="str">
        <f>HYPERLINK("http://141.218.60.56/~jnz1568/getInfo.php?workbook=03_02.xlsx&amp;sheet=A0&amp;row=265&amp;col=12&amp;number=&amp;sourceID=30","")</f>
        <v/>
      </c>
      <c r="M265" s="4" t="str">
        <f>HYPERLINK("http://141.218.60.56/~jnz1568/getInfo.php?workbook=03_02.xlsx&amp;sheet=A0&amp;row=265&amp;col=13&amp;number=&amp;sourceID=30","")</f>
        <v/>
      </c>
      <c r="N265" s="4" t="str">
        <f>HYPERLINK("http://141.218.60.56/~jnz1568/getInfo.php?workbook=03_02.xlsx&amp;sheet=A0&amp;row=265&amp;col=14&amp;number=0.006102&amp;sourceID=30","0.006102")</f>
        <v>0.006102</v>
      </c>
    </row>
    <row r="266" spans="1:14">
      <c r="A266" s="3">
        <v>3</v>
      </c>
      <c r="B266" s="3">
        <v>2</v>
      </c>
      <c r="C266" s="3">
        <v>26</v>
      </c>
      <c r="D266" s="3">
        <v>8</v>
      </c>
      <c r="E266" s="3">
        <f>((1/(INDEX(E0!J$4:J$52,C266,1)-INDEX(E0!J$4:J$52,D266,1))))*100000000</f>
        <v>0</v>
      </c>
      <c r="F266" s="4" t="str">
        <f>HYPERLINK("http://141.218.60.56/~jnz1568/getInfo.php?workbook=03_02.xlsx&amp;sheet=A0&amp;row=266&amp;col=6&amp;number=&amp;sourceID=27","")</f>
        <v/>
      </c>
      <c r="G266" s="4" t="str">
        <f>HYPERLINK("http://141.218.60.56/~jnz1568/getInfo.php?workbook=03_02.xlsx&amp;sheet=A0&amp;row=266&amp;col=7&amp;number=&amp;sourceID=15","")</f>
        <v/>
      </c>
      <c r="H266" s="4" t="str">
        <f>HYPERLINK("http://141.218.60.56/~jnz1568/getInfo.php?workbook=03_02.xlsx&amp;sheet=A0&amp;row=266&amp;col=8&amp;number=&amp;sourceID=15","")</f>
        <v/>
      </c>
      <c r="I266" s="4" t="str">
        <f>HYPERLINK("http://141.218.60.56/~jnz1568/getInfo.php?workbook=03_02.xlsx&amp;sheet=A0&amp;row=266&amp;col=9&amp;number=&amp;sourceID=15","")</f>
        <v/>
      </c>
      <c r="J266" s="4" t="str">
        <f>HYPERLINK("http://141.218.60.56/~jnz1568/getInfo.php?workbook=03_02.xlsx&amp;sheet=A0&amp;row=266&amp;col=10&amp;number=&amp;sourceID=15","")</f>
        <v/>
      </c>
      <c r="K266" s="4" t="str">
        <f>HYPERLINK("http://141.218.60.56/~jnz1568/getInfo.php?workbook=03_02.xlsx&amp;sheet=A0&amp;row=266&amp;col=11&amp;number=&amp;sourceID=30","")</f>
        <v/>
      </c>
      <c r="L266" s="4" t="str">
        <f>HYPERLINK("http://141.218.60.56/~jnz1568/getInfo.php?workbook=03_02.xlsx&amp;sheet=A0&amp;row=266&amp;col=12&amp;number=0.03636&amp;sourceID=30","0.03636")</f>
        <v>0.03636</v>
      </c>
      <c r="M266" s="4" t="str">
        <f>HYPERLINK("http://141.218.60.56/~jnz1568/getInfo.php?workbook=03_02.xlsx&amp;sheet=A0&amp;row=266&amp;col=13&amp;number=2.329e-10&amp;sourceID=30","2.329e-10")</f>
        <v>2.329e-10</v>
      </c>
      <c r="N266" s="4" t="str">
        <f>HYPERLINK("http://141.218.60.56/~jnz1568/getInfo.php?workbook=03_02.xlsx&amp;sheet=A0&amp;row=266&amp;col=14&amp;number=&amp;sourceID=30","")</f>
        <v/>
      </c>
    </row>
    <row r="267" spans="1:14">
      <c r="A267" s="3">
        <v>3</v>
      </c>
      <c r="B267" s="3">
        <v>2</v>
      </c>
      <c r="C267" s="3">
        <v>26</v>
      </c>
      <c r="D267" s="3">
        <v>9</v>
      </c>
      <c r="E267" s="3">
        <f>((1/(INDEX(E0!J$4:J$52,C267,1)-INDEX(E0!J$4:J$52,D267,1))))*100000000</f>
        <v>0</v>
      </c>
      <c r="F267" s="4" t="str">
        <f>HYPERLINK("http://141.218.60.56/~jnz1568/getInfo.php?workbook=03_02.xlsx&amp;sheet=A0&amp;row=267&amp;col=6&amp;number=&amp;sourceID=27","")</f>
        <v/>
      </c>
      <c r="G267" s="4" t="str">
        <f>HYPERLINK("http://141.218.60.56/~jnz1568/getInfo.php?workbook=03_02.xlsx&amp;sheet=A0&amp;row=267&amp;col=7&amp;number=&amp;sourceID=15","")</f>
        <v/>
      </c>
      <c r="H267" s="4" t="str">
        <f>HYPERLINK("http://141.218.60.56/~jnz1568/getInfo.php?workbook=03_02.xlsx&amp;sheet=A0&amp;row=267&amp;col=8&amp;number=303.72&amp;sourceID=15","303.72")</f>
        <v>303.72</v>
      </c>
      <c r="I267" s="4" t="str">
        <f>HYPERLINK("http://141.218.60.56/~jnz1568/getInfo.php?workbook=03_02.xlsx&amp;sheet=A0&amp;row=267&amp;col=9&amp;number=&amp;sourceID=15","")</f>
        <v/>
      </c>
      <c r="J267" s="4" t="str">
        <f>HYPERLINK("http://141.218.60.56/~jnz1568/getInfo.php?workbook=03_02.xlsx&amp;sheet=A0&amp;row=267&amp;col=10&amp;number=&amp;sourceID=15","")</f>
        <v/>
      </c>
      <c r="K267" s="4" t="str">
        <f>HYPERLINK("http://141.218.60.56/~jnz1568/getInfo.php?workbook=03_02.xlsx&amp;sheet=A0&amp;row=267&amp;col=11&amp;number=&amp;sourceID=30","")</f>
        <v/>
      </c>
      <c r="L267" s="4" t="str">
        <f>HYPERLINK("http://141.218.60.56/~jnz1568/getInfo.php?workbook=03_02.xlsx&amp;sheet=A0&amp;row=267&amp;col=12&amp;number=286.4&amp;sourceID=30","286.4")</f>
        <v>286.4</v>
      </c>
      <c r="M267" s="4" t="str">
        <f>HYPERLINK("http://141.218.60.56/~jnz1568/getInfo.php?workbook=03_02.xlsx&amp;sheet=A0&amp;row=267&amp;col=13&amp;number=&amp;sourceID=30","")</f>
        <v/>
      </c>
      <c r="N267" s="4" t="str">
        <f>HYPERLINK("http://141.218.60.56/~jnz1568/getInfo.php?workbook=03_02.xlsx&amp;sheet=A0&amp;row=267&amp;col=14&amp;number=&amp;sourceID=30","")</f>
        <v/>
      </c>
    </row>
    <row r="268" spans="1:14">
      <c r="A268" s="3">
        <v>3</v>
      </c>
      <c r="B268" s="3">
        <v>2</v>
      </c>
      <c r="C268" s="3">
        <v>26</v>
      </c>
      <c r="D268" s="3">
        <v>10</v>
      </c>
      <c r="E268" s="3">
        <f>((1/(INDEX(E0!J$4:J$52,C268,1)-INDEX(E0!J$4:J$52,D268,1))))*100000000</f>
        <v>0</v>
      </c>
      <c r="F268" s="4" t="str">
        <f>HYPERLINK("http://141.218.60.56/~jnz1568/getInfo.php?workbook=03_02.xlsx&amp;sheet=A0&amp;row=268&amp;col=6&amp;number=&amp;sourceID=27","")</f>
        <v/>
      </c>
      <c r="G268" s="4" t="str">
        <f>HYPERLINK("http://141.218.60.56/~jnz1568/getInfo.php?workbook=03_02.xlsx&amp;sheet=A0&amp;row=268&amp;col=7&amp;number=14020&amp;sourceID=15","14020")</f>
        <v>14020</v>
      </c>
      <c r="H268" s="4" t="str">
        <f>HYPERLINK("http://141.218.60.56/~jnz1568/getInfo.php?workbook=03_02.xlsx&amp;sheet=A0&amp;row=268&amp;col=8&amp;number=&amp;sourceID=15","")</f>
        <v/>
      </c>
      <c r="I268" s="4" t="str">
        <f>HYPERLINK("http://141.218.60.56/~jnz1568/getInfo.php?workbook=03_02.xlsx&amp;sheet=A0&amp;row=268&amp;col=9&amp;number=&amp;sourceID=15","")</f>
        <v/>
      </c>
      <c r="J268" s="4" t="str">
        <f>HYPERLINK("http://141.218.60.56/~jnz1568/getInfo.php?workbook=03_02.xlsx&amp;sheet=A0&amp;row=268&amp;col=10&amp;number=&amp;sourceID=15","")</f>
        <v/>
      </c>
      <c r="K268" s="4" t="str">
        <f>HYPERLINK("http://141.218.60.56/~jnz1568/getInfo.php?workbook=03_02.xlsx&amp;sheet=A0&amp;row=268&amp;col=11&amp;number=6478&amp;sourceID=30","6478")</f>
        <v>6478</v>
      </c>
      <c r="L268" s="4" t="str">
        <f>HYPERLINK("http://141.218.60.56/~jnz1568/getInfo.php?workbook=03_02.xlsx&amp;sheet=A0&amp;row=268&amp;col=12&amp;number=&amp;sourceID=30","")</f>
        <v/>
      </c>
      <c r="M268" s="4" t="str">
        <f>HYPERLINK("http://141.218.60.56/~jnz1568/getInfo.php?workbook=03_02.xlsx&amp;sheet=A0&amp;row=268&amp;col=13&amp;number=&amp;sourceID=30","")</f>
        <v/>
      </c>
      <c r="N268" s="4" t="str">
        <f>HYPERLINK("http://141.218.60.56/~jnz1568/getInfo.php?workbook=03_02.xlsx&amp;sheet=A0&amp;row=268&amp;col=14&amp;number=0.00019&amp;sourceID=30","0.00019")</f>
        <v>0.00019</v>
      </c>
    </row>
    <row r="269" spans="1:14">
      <c r="A269" s="3">
        <v>3</v>
      </c>
      <c r="B269" s="3">
        <v>2</v>
      </c>
      <c r="C269" s="3">
        <v>26</v>
      </c>
      <c r="D269" s="3">
        <v>11</v>
      </c>
      <c r="E269" s="3">
        <f>((1/(INDEX(E0!J$4:J$52,C269,1)-INDEX(E0!J$4:J$52,D269,1))))*100000000</f>
        <v>0</v>
      </c>
      <c r="F269" s="4" t="str">
        <f>HYPERLINK("http://141.218.60.56/~jnz1568/getInfo.php?workbook=03_02.xlsx&amp;sheet=A0&amp;row=269&amp;col=6&amp;number=&amp;sourceID=27","")</f>
        <v/>
      </c>
      <c r="G269" s="4" t="str">
        <f>HYPERLINK("http://141.218.60.56/~jnz1568/getInfo.php?workbook=03_02.xlsx&amp;sheet=A0&amp;row=269&amp;col=7&amp;number=5436&amp;sourceID=15","5436")</f>
        <v>5436</v>
      </c>
      <c r="H269" s="4" t="str">
        <f>HYPERLINK("http://141.218.60.56/~jnz1568/getInfo.php?workbook=03_02.xlsx&amp;sheet=A0&amp;row=269&amp;col=8&amp;number=&amp;sourceID=15","")</f>
        <v/>
      </c>
      <c r="I269" s="4" t="str">
        <f>HYPERLINK("http://141.218.60.56/~jnz1568/getInfo.php?workbook=03_02.xlsx&amp;sheet=A0&amp;row=269&amp;col=9&amp;number=&amp;sourceID=15","")</f>
        <v/>
      </c>
      <c r="J269" s="4" t="str">
        <f>HYPERLINK("http://141.218.60.56/~jnz1568/getInfo.php?workbook=03_02.xlsx&amp;sheet=A0&amp;row=269&amp;col=10&amp;number=&amp;sourceID=15","")</f>
        <v/>
      </c>
      <c r="K269" s="4" t="str">
        <f>HYPERLINK("http://141.218.60.56/~jnz1568/getInfo.php?workbook=03_02.xlsx&amp;sheet=A0&amp;row=269&amp;col=11&amp;number=2559&amp;sourceID=30","2559")</f>
        <v>2559</v>
      </c>
      <c r="L269" s="4" t="str">
        <f>HYPERLINK("http://141.218.60.56/~jnz1568/getInfo.php?workbook=03_02.xlsx&amp;sheet=A0&amp;row=269&amp;col=12&amp;number=&amp;sourceID=30","")</f>
        <v/>
      </c>
      <c r="M269" s="4" t="str">
        <f>HYPERLINK("http://141.218.60.56/~jnz1568/getInfo.php?workbook=03_02.xlsx&amp;sheet=A0&amp;row=269&amp;col=13&amp;number=&amp;sourceID=30","")</f>
        <v/>
      </c>
      <c r="N269" s="4" t="str">
        <f>HYPERLINK("http://141.218.60.56/~jnz1568/getInfo.php?workbook=03_02.xlsx&amp;sheet=A0&amp;row=269&amp;col=14&amp;number=0.0001472&amp;sourceID=30","0.0001472")</f>
        <v>0.0001472</v>
      </c>
    </row>
    <row r="270" spans="1:14">
      <c r="A270" s="3">
        <v>3</v>
      </c>
      <c r="B270" s="3">
        <v>2</v>
      </c>
      <c r="C270" s="3">
        <v>26</v>
      </c>
      <c r="D270" s="3">
        <v>12</v>
      </c>
      <c r="E270" s="3">
        <f>((1/(INDEX(E0!J$4:J$52,C270,1)-INDEX(E0!J$4:J$52,D270,1))))*100000000</f>
        <v>0</v>
      </c>
      <c r="F270" s="4" t="str">
        <f>HYPERLINK("http://141.218.60.56/~jnz1568/getInfo.php?workbook=03_02.xlsx&amp;sheet=A0&amp;row=270&amp;col=6&amp;number=&amp;sourceID=27","")</f>
        <v/>
      </c>
      <c r="G270" s="4" t="str">
        <f>HYPERLINK("http://141.218.60.56/~jnz1568/getInfo.php?workbook=03_02.xlsx&amp;sheet=A0&amp;row=270&amp;col=7&amp;number=&amp;sourceID=15","")</f>
        <v/>
      </c>
      <c r="H270" s="4" t="str">
        <f>HYPERLINK("http://141.218.60.56/~jnz1568/getInfo.php?workbook=03_02.xlsx&amp;sheet=A0&amp;row=270&amp;col=8&amp;number=&amp;sourceID=15","")</f>
        <v/>
      </c>
      <c r="I270" s="4" t="str">
        <f>HYPERLINK("http://141.218.60.56/~jnz1568/getInfo.php?workbook=03_02.xlsx&amp;sheet=A0&amp;row=270&amp;col=9&amp;number=&amp;sourceID=15","")</f>
        <v/>
      </c>
      <c r="J270" s="4" t="str">
        <f>HYPERLINK("http://141.218.60.56/~jnz1568/getInfo.php?workbook=03_02.xlsx&amp;sheet=A0&amp;row=270&amp;col=10&amp;number=&amp;sourceID=15","")</f>
        <v/>
      </c>
      <c r="K270" s="4" t="str">
        <f>HYPERLINK("http://141.218.60.56/~jnz1568/getInfo.php?workbook=03_02.xlsx&amp;sheet=A0&amp;row=270&amp;col=11&amp;number=&amp;sourceID=30","")</f>
        <v/>
      </c>
      <c r="L270" s="4" t="str">
        <f>HYPERLINK("http://141.218.60.56/~jnz1568/getInfo.php?workbook=03_02.xlsx&amp;sheet=A0&amp;row=270&amp;col=12&amp;number=&amp;sourceID=30","")</f>
        <v/>
      </c>
      <c r="M270" s="4" t="str">
        <f>HYPERLINK("http://141.218.60.56/~jnz1568/getInfo.php?workbook=03_02.xlsx&amp;sheet=A0&amp;row=270&amp;col=13&amp;number=&amp;sourceID=30","")</f>
        <v/>
      </c>
      <c r="N270" s="4" t="str">
        <f>HYPERLINK("http://141.218.60.56/~jnz1568/getInfo.php?workbook=03_02.xlsx&amp;sheet=A0&amp;row=270&amp;col=14&amp;number=8.343e-05&amp;sourceID=30","8.343e-05")</f>
        <v>8.343e-05</v>
      </c>
    </row>
    <row r="271" spans="1:14">
      <c r="A271" s="3">
        <v>3</v>
      </c>
      <c r="B271" s="3">
        <v>2</v>
      </c>
      <c r="C271" s="3">
        <v>26</v>
      </c>
      <c r="D271" s="3">
        <v>13</v>
      </c>
      <c r="E271" s="3">
        <f>((1/(INDEX(E0!J$4:J$52,C271,1)-INDEX(E0!J$4:J$52,D271,1))))*100000000</f>
        <v>0</v>
      </c>
      <c r="F271" s="4" t="str">
        <f>HYPERLINK("http://141.218.60.56/~jnz1568/getInfo.php?workbook=03_02.xlsx&amp;sheet=A0&amp;row=271&amp;col=6&amp;number=&amp;sourceID=27","")</f>
        <v/>
      </c>
      <c r="G271" s="4" t="str">
        <f>HYPERLINK("http://141.218.60.56/~jnz1568/getInfo.php?workbook=03_02.xlsx&amp;sheet=A0&amp;row=271&amp;col=7&amp;number=&amp;sourceID=15","")</f>
        <v/>
      </c>
      <c r="H271" s="4" t="str">
        <f>HYPERLINK("http://141.218.60.56/~jnz1568/getInfo.php?workbook=03_02.xlsx&amp;sheet=A0&amp;row=271&amp;col=8&amp;number=&amp;sourceID=15","")</f>
        <v/>
      </c>
      <c r="I271" s="4" t="str">
        <f>HYPERLINK("http://141.218.60.56/~jnz1568/getInfo.php?workbook=03_02.xlsx&amp;sheet=A0&amp;row=271&amp;col=9&amp;number=&amp;sourceID=15","")</f>
        <v/>
      </c>
      <c r="J271" s="4" t="str">
        <f>HYPERLINK("http://141.218.60.56/~jnz1568/getInfo.php?workbook=03_02.xlsx&amp;sheet=A0&amp;row=271&amp;col=10&amp;number=&amp;sourceID=15","")</f>
        <v/>
      </c>
      <c r="K271" s="4" t="str">
        <f>HYPERLINK("http://141.218.60.56/~jnz1568/getInfo.php?workbook=03_02.xlsx&amp;sheet=A0&amp;row=271&amp;col=11&amp;number=&amp;sourceID=30","")</f>
        <v/>
      </c>
      <c r="L271" s="4" t="str">
        <f>HYPERLINK("http://141.218.60.56/~jnz1568/getInfo.php?workbook=03_02.xlsx&amp;sheet=A0&amp;row=271&amp;col=12&amp;number=0.005235&amp;sourceID=30","0.005235")</f>
        <v>0.005235</v>
      </c>
      <c r="M271" s="4" t="str">
        <f>HYPERLINK("http://141.218.60.56/~jnz1568/getInfo.php?workbook=03_02.xlsx&amp;sheet=A0&amp;row=271&amp;col=13&amp;number=2.212e-09&amp;sourceID=30","2.212e-09")</f>
        <v>2.212e-09</v>
      </c>
      <c r="N271" s="4" t="str">
        <f>HYPERLINK("http://141.218.60.56/~jnz1568/getInfo.php?workbook=03_02.xlsx&amp;sheet=A0&amp;row=271&amp;col=14&amp;number=&amp;sourceID=30","")</f>
        <v/>
      </c>
    </row>
    <row r="272" spans="1:14">
      <c r="A272" s="3">
        <v>3</v>
      </c>
      <c r="B272" s="3">
        <v>2</v>
      </c>
      <c r="C272" s="3">
        <v>26</v>
      </c>
      <c r="D272" s="3">
        <v>14</v>
      </c>
      <c r="E272" s="3">
        <f>((1/(INDEX(E0!J$4:J$52,C272,1)-INDEX(E0!J$4:J$52,D272,1))))*100000000</f>
        <v>0</v>
      </c>
      <c r="F272" s="4" t="str">
        <f>HYPERLINK("http://141.218.60.56/~jnz1568/getInfo.php?workbook=03_02.xlsx&amp;sheet=A0&amp;row=272&amp;col=6&amp;number=&amp;sourceID=27","")</f>
        <v/>
      </c>
      <c r="G272" s="4" t="str">
        <f>HYPERLINK("http://141.218.60.56/~jnz1568/getInfo.php?workbook=03_02.xlsx&amp;sheet=A0&amp;row=272&amp;col=7&amp;number=&amp;sourceID=15","")</f>
        <v/>
      </c>
      <c r="H272" s="4" t="str">
        <f>HYPERLINK("http://141.218.60.56/~jnz1568/getInfo.php?workbook=03_02.xlsx&amp;sheet=A0&amp;row=272&amp;col=8&amp;number=&amp;sourceID=15","")</f>
        <v/>
      </c>
      <c r="I272" s="4" t="str">
        <f>HYPERLINK("http://141.218.60.56/~jnz1568/getInfo.php?workbook=03_02.xlsx&amp;sheet=A0&amp;row=272&amp;col=9&amp;number=&amp;sourceID=15","")</f>
        <v/>
      </c>
      <c r="J272" s="4" t="str">
        <f>HYPERLINK("http://141.218.60.56/~jnz1568/getInfo.php?workbook=03_02.xlsx&amp;sheet=A0&amp;row=272&amp;col=10&amp;number=&amp;sourceID=15","")</f>
        <v/>
      </c>
      <c r="K272" s="4" t="str">
        <f>HYPERLINK("http://141.218.60.56/~jnz1568/getInfo.php?workbook=03_02.xlsx&amp;sheet=A0&amp;row=272&amp;col=11&amp;number=&amp;sourceID=30","")</f>
        <v/>
      </c>
      <c r="L272" s="4" t="str">
        <f>HYPERLINK("http://141.218.60.56/~jnz1568/getInfo.php?workbook=03_02.xlsx&amp;sheet=A0&amp;row=272&amp;col=12&amp;number=0.002918&amp;sourceID=30","0.002918")</f>
        <v>0.002918</v>
      </c>
      <c r="M272" s="4" t="str">
        <f>HYPERLINK("http://141.218.60.56/~jnz1568/getInfo.php?workbook=03_02.xlsx&amp;sheet=A0&amp;row=272&amp;col=13&amp;number=9.479e-08&amp;sourceID=30","9.479e-08")</f>
        <v>9.479e-08</v>
      </c>
      <c r="N272" s="4" t="str">
        <f>HYPERLINK("http://141.218.60.56/~jnz1568/getInfo.php?workbook=03_02.xlsx&amp;sheet=A0&amp;row=272&amp;col=14&amp;number=&amp;sourceID=30","")</f>
        <v/>
      </c>
    </row>
    <row r="273" spans="1:14">
      <c r="A273" s="3">
        <v>3</v>
      </c>
      <c r="B273" s="3">
        <v>2</v>
      </c>
      <c r="C273" s="3">
        <v>26</v>
      </c>
      <c r="D273" s="3">
        <v>15</v>
      </c>
      <c r="E273" s="3">
        <f>((1/(INDEX(E0!J$4:J$52,C273,1)-INDEX(E0!J$4:J$52,D273,1))))*100000000</f>
        <v>0</v>
      </c>
      <c r="F273" s="4" t="str">
        <f>HYPERLINK("http://141.218.60.56/~jnz1568/getInfo.php?workbook=03_02.xlsx&amp;sheet=A0&amp;row=273&amp;col=6&amp;number=&amp;sourceID=27","")</f>
        <v/>
      </c>
      <c r="G273" s="4" t="str">
        <f>HYPERLINK("http://141.218.60.56/~jnz1568/getInfo.php?workbook=03_02.xlsx&amp;sheet=A0&amp;row=273&amp;col=7&amp;number=&amp;sourceID=15","")</f>
        <v/>
      </c>
      <c r="H273" s="4" t="str">
        <f>HYPERLINK("http://141.218.60.56/~jnz1568/getInfo.php?workbook=03_02.xlsx&amp;sheet=A0&amp;row=273&amp;col=8&amp;number=&amp;sourceID=15","")</f>
        <v/>
      </c>
      <c r="I273" s="4" t="str">
        <f>HYPERLINK("http://141.218.60.56/~jnz1568/getInfo.php?workbook=03_02.xlsx&amp;sheet=A0&amp;row=273&amp;col=9&amp;number=&amp;sourceID=15","")</f>
        <v/>
      </c>
      <c r="J273" s="4" t="str">
        <f>HYPERLINK("http://141.218.60.56/~jnz1568/getInfo.php?workbook=03_02.xlsx&amp;sheet=A0&amp;row=273&amp;col=10&amp;number=&amp;sourceID=15","")</f>
        <v/>
      </c>
      <c r="K273" s="4" t="str">
        <f>HYPERLINK("http://141.218.60.56/~jnz1568/getInfo.php?workbook=03_02.xlsx&amp;sheet=A0&amp;row=273&amp;col=11&amp;number=&amp;sourceID=30","")</f>
        <v/>
      </c>
      <c r="L273" s="4" t="str">
        <f>HYPERLINK("http://141.218.60.56/~jnz1568/getInfo.php?workbook=03_02.xlsx&amp;sheet=A0&amp;row=273&amp;col=12&amp;number=0.002553&amp;sourceID=30","0.002553")</f>
        <v>0.002553</v>
      </c>
      <c r="M273" s="4" t="str">
        <f>HYPERLINK("http://141.218.60.56/~jnz1568/getInfo.php?workbook=03_02.xlsx&amp;sheet=A0&amp;row=273&amp;col=13&amp;number=3.224e-08&amp;sourceID=30","3.224e-08")</f>
        <v>3.224e-08</v>
      </c>
      <c r="N273" s="4" t="str">
        <f>HYPERLINK("http://141.218.60.56/~jnz1568/getInfo.php?workbook=03_02.xlsx&amp;sheet=A0&amp;row=273&amp;col=14&amp;number=&amp;sourceID=30","")</f>
        <v/>
      </c>
    </row>
    <row r="274" spans="1:14">
      <c r="A274" s="3">
        <v>3</v>
      </c>
      <c r="B274" s="3">
        <v>2</v>
      </c>
      <c r="C274" s="3">
        <v>26</v>
      </c>
      <c r="D274" s="3">
        <v>16</v>
      </c>
      <c r="E274" s="3">
        <f>((1/(INDEX(E0!J$4:J$52,C274,1)-INDEX(E0!J$4:J$52,D274,1))))*100000000</f>
        <v>0</v>
      </c>
      <c r="F274" s="4" t="str">
        <f>HYPERLINK("http://141.218.60.56/~jnz1568/getInfo.php?workbook=03_02.xlsx&amp;sheet=A0&amp;row=274&amp;col=6&amp;number=&amp;sourceID=27","")</f>
        <v/>
      </c>
      <c r="G274" s="4" t="str">
        <f>HYPERLINK("http://141.218.60.56/~jnz1568/getInfo.php?workbook=03_02.xlsx&amp;sheet=A0&amp;row=274&amp;col=7&amp;number=&amp;sourceID=15","")</f>
        <v/>
      </c>
      <c r="H274" s="4" t="str">
        <f>HYPERLINK("http://141.218.60.56/~jnz1568/getInfo.php?workbook=03_02.xlsx&amp;sheet=A0&amp;row=274&amp;col=8&amp;number=&amp;sourceID=15","")</f>
        <v/>
      </c>
      <c r="I274" s="4" t="str">
        <f>HYPERLINK("http://141.218.60.56/~jnz1568/getInfo.php?workbook=03_02.xlsx&amp;sheet=A0&amp;row=274&amp;col=9&amp;number=&amp;sourceID=15","")</f>
        <v/>
      </c>
      <c r="J274" s="4" t="str">
        <f>HYPERLINK("http://141.218.60.56/~jnz1568/getInfo.php?workbook=03_02.xlsx&amp;sheet=A0&amp;row=274&amp;col=10&amp;number=&amp;sourceID=15","")</f>
        <v/>
      </c>
      <c r="K274" s="4" t="str">
        <f>HYPERLINK("http://141.218.60.56/~jnz1568/getInfo.php?workbook=03_02.xlsx&amp;sheet=A0&amp;row=274&amp;col=11&amp;number=&amp;sourceID=30","")</f>
        <v/>
      </c>
      <c r="L274" s="4" t="str">
        <f>HYPERLINK("http://141.218.60.56/~jnz1568/getInfo.php?workbook=03_02.xlsx&amp;sheet=A0&amp;row=274&amp;col=12&amp;number=76.31&amp;sourceID=30","76.31")</f>
        <v>76.31</v>
      </c>
      <c r="M274" s="4" t="str">
        <f>HYPERLINK("http://141.218.60.56/~jnz1568/getInfo.php?workbook=03_02.xlsx&amp;sheet=A0&amp;row=274&amp;col=13&amp;number=3.479e-08&amp;sourceID=30","3.479e-08")</f>
        <v>3.479e-08</v>
      </c>
      <c r="N274" s="4" t="str">
        <f>HYPERLINK("http://141.218.60.56/~jnz1568/getInfo.php?workbook=03_02.xlsx&amp;sheet=A0&amp;row=274&amp;col=14&amp;number=&amp;sourceID=30","")</f>
        <v/>
      </c>
    </row>
    <row r="275" spans="1:14">
      <c r="A275" s="3">
        <v>3</v>
      </c>
      <c r="B275" s="3">
        <v>2</v>
      </c>
      <c r="C275" s="3">
        <v>26</v>
      </c>
      <c r="D275" s="3">
        <v>17</v>
      </c>
      <c r="E275" s="3">
        <f>((1/(INDEX(E0!J$4:J$52,C275,1)-INDEX(E0!J$4:J$52,D275,1))))*100000000</f>
        <v>0</v>
      </c>
      <c r="F275" s="4" t="str">
        <f>HYPERLINK("http://141.218.60.56/~jnz1568/getInfo.php?workbook=03_02.xlsx&amp;sheet=A0&amp;row=275&amp;col=6&amp;number=&amp;sourceID=27","")</f>
        <v/>
      </c>
      <c r="G275" s="4" t="str">
        <f>HYPERLINK("http://141.218.60.56/~jnz1568/getInfo.php?workbook=03_02.xlsx&amp;sheet=A0&amp;row=275&amp;col=7&amp;number=113680000&amp;sourceID=15","113680000")</f>
        <v>113680000</v>
      </c>
      <c r="H275" s="4" t="str">
        <f>HYPERLINK("http://141.218.60.56/~jnz1568/getInfo.php?workbook=03_02.xlsx&amp;sheet=A0&amp;row=275&amp;col=8&amp;number=&amp;sourceID=15","")</f>
        <v/>
      </c>
      <c r="I275" s="4" t="str">
        <f>HYPERLINK("http://141.218.60.56/~jnz1568/getInfo.php?workbook=03_02.xlsx&amp;sheet=A0&amp;row=275&amp;col=9&amp;number=&amp;sourceID=15","")</f>
        <v/>
      </c>
      <c r="J275" s="4" t="str">
        <f>HYPERLINK("http://141.218.60.56/~jnz1568/getInfo.php?workbook=03_02.xlsx&amp;sheet=A0&amp;row=275&amp;col=10&amp;number=&amp;sourceID=15","")</f>
        <v/>
      </c>
      <c r="K275" s="4" t="str">
        <f>HYPERLINK("http://141.218.60.56/~jnz1568/getInfo.php?workbook=03_02.xlsx&amp;sheet=A0&amp;row=275&amp;col=11&amp;number=116700000&amp;sourceID=30","116700000")</f>
        <v>116700000</v>
      </c>
      <c r="L275" s="4" t="str">
        <f>HYPERLINK("http://141.218.60.56/~jnz1568/getInfo.php?workbook=03_02.xlsx&amp;sheet=A0&amp;row=275&amp;col=12&amp;number=&amp;sourceID=30","")</f>
        <v/>
      </c>
      <c r="M275" s="4" t="str">
        <f>HYPERLINK("http://141.218.60.56/~jnz1568/getInfo.php?workbook=03_02.xlsx&amp;sheet=A0&amp;row=275&amp;col=13&amp;number=&amp;sourceID=30","")</f>
        <v/>
      </c>
      <c r="N275" s="4" t="str">
        <f>HYPERLINK("http://141.218.60.56/~jnz1568/getInfo.php?workbook=03_02.xlsx&amp;sheet=A0&amp;row=275&amp;col=14&amp;number=0.0001447&amp;sourceID=30","0.0001447")</f>
        <v>0.0001447</v>
      </c>
    </row>
    <row r="276" spans="1:14">
      <c r="A276" s="3">
        <v>3</v>
      </c>
      <c r="B276" s="3">
        <v>2</v>
      </c>
      <c r="C276" s="3">
        <v>26</v>
      </c>
      <c r="D276" s="3">
        <v>18</v>
      </c>
      <c r="E276" s="3">
        <f>((1/(INDEX(E0!J$4:J$52,C276,1)-INDEX(E0!J$4:J$52,D276,1))))*100000000</f>
        <v>0</v>
      </c>
      <c r="F276" s="4" t="str">
        <f>HYPERLINK("http://141.218.60.56/~jnz1568/getInfo.php?workbook=03_02.xlsx&amp;sheet=A0&amp;row=276&amp;col=6&amp;number=&amp;sourceID=27","")</f>
        <v/>
      </c>
      <c r="G276" s="4" t="str">
        <f>HYPERLINK("http://141.218.60.56/~jnz1568/getInfo.php?workbook=03_02.xlsx&amp;sheet=A0&amp;row=276&amp;col=7&amp;number=&amp;sourceID=15","")</f>
        <v/>
      </c>
      <c r="H276" s="4" t="str">
        <f>HYPERLINK("http://141.218.60.56/~jnz1568/getInfo.php?workbook=03_02.xlsx&amp;sheet=A0&amp;row=276&amp;col=8&amp;number=&amp;sourceID=15","")</f>
        <v/>
      </c>
      <c r="I276" s="4" t="str">
        <f>HYPERLINK("http://141.218.60.56/~jnz1568/getInfo.php?workbook=03_02.xlsx&amp;sheet=A0&amp;row=276&amp;col=9&amp;number=&amp;sourceID=15","")</f>
        <v/>
      </c>
      <c r="J276" s="4" t="str">
        <f>HYPERLINK("http://141.218.60.56/~jnz1568/getInfo.php?workbook=03_02.xlsx&amp;sheet=A0&amp;row=276&amp;col=10&amp;number=&amp;sourceID=15","")</f>
        <v/>
      </c>
      <c r="K276" s="4" t="str">
        <f>HYPERLINK("http://141.218.60.56/~jnz1568/getInfo.php?workbook=03_02.xlsx&amp;sheet=A0&amp;row=276&amp;col=11&amp;number=&amp;sourceID=30","")</f>
        <v/>
      </c>
      <c r="L276" s="4" t="str">
        <f>HYPERLINK("http://141.218.60.56/~jnz1568/getInfo.php?workbook=03_02.xlsx&amp;sheet=A0&amp;row=276&amp;col=12&amp;number=4.392e-06&amp;sourceID=30","4.392e-06")</f>
        <v>4.392e-06</v>
      </c>
      <c r="M276" s="4" t="str">
        <f>HYPERLINK("http://141.218.60.56/~jnz1568/getInfo.php?workbook=03_02.xlsx&amp;sheet=A0&amp;row=276&amp;col=13&amp;number=1.96e-13&amp;sourceID=30","1.96e-13")</f>
        <v>1.96e-13</v>
      </c>
      <c r="N276" s="4" t="str">
        <f>HYPERLINK("http://141.218.60.56/~jnz1568/getInfo.php?workbook=03_02.xlsx&amp;sheet=A0&amp;row=276&amp;col=14&amp;number=&amp;sourceID=30","")</f>
        <v/>
      </c>
    </row>
    <row r="277" spans="1:14">
      <c r="A277" s="3">
        <v>3</v>
      </c>
      <c r="B277" s="3">
        <v>2</v>
      </c>
      <c r="C277" s="3">
        <v>26</v>
      </c>
      <c r="D277" s="3">
        <v>19</v>
      </c>
      <c r="E277" s="3">
        <f>((1/(INDEX(E0!J$4:J$52,C277,1)-INDEX(E0!J$4:J$52,D277,1))))*100000000</f>
        <v>0</v>
      </c>
      <c r="F277" s="4" t="str">
        <f>HYPERLINK("http://141.218.60.56/~jnz1568/getInfo.php?workbook=03_02.xlsx&amp;sheet=A0&amp;row=277&amp;col=6&amp;number=&amp;sourceID=27","")</f>
        <v/>
      </c>
      <c r="G277" s="4" t="str">
        <f>HYPERLINK("http://141.218.60.56/~jnz1568/getInfo.php?workbook=03_02.xlsx&amp;sheet=A0&amp;row=277&amp;col=7&amp;number=&amp;sourceID=15","")</f>
        <v/>
      </c>
      <c r="H277" s="4" t="str">
        <f>HYPERLINK("http://141.218.60.56/~jnz1568/getInfo.php?workbook=03_02.xlsx&amp;sheet=A0&amp;row=277&amp;col=8&amp;number=0.00046618&amp;sourceID=15","0.00046618")</f>
        <v>0.00046618</v>
      </c>
      <c r="I277" s="4" t="str">
        <f>HYPERLINK("http://141.218.60.56/~jnz1568/getInfo.php?workbook=03_02.xlsx&amp;sheet=A0&amp;row=277&amp;col=9&amp;number=&amp;sourceID=15","")</f>
        <v/>
      </c>
      <c r="J277" s="4" t="str">
        <f>HYPERLINK("http://141.218.60.56/~jnz1568/getInfo.php?workbook=03_02.xlsx&amp;sheet=A0&amp;row=277&amp;col=10&amp;number=&amp;sourceID=15","")</f>
        <v/>
      </c>
      <c r="K277" s="4" t="str">
        <f>HYPERLINK("http://141.218.60.56/~jnz1568/getInfo.php?workbook=03_02.xlsx&amp;sheet=A0&amp;row=277&amp;col=11&amp;number=&amp;sourceID=30","")</f>
        <v/>
      </c>
      <c r="L277" s="4" t="str">
        <f>HYPERLINK("http://141.218.60.56/~jnz1568/getInfo.php?workbook=03_02.xlsx&amp;sheet=A0&amp;row=277&amp;col=12&amp;number=1.072e-07&amp;sourceID=30","1.072e-07")</f>
        <v>1.072e-07</v>
      </c>
      <c r="M277" s="4" t="str">
        <f>HYPERLINK("http://141.218.60.56/~jnz1568/getInfo.php?workbook=03_02.xlsx&amp;sheet=A0&amp;row=277&amp;col=13&amp;number=&amp;sourceID=30","")</f>
        <v/>
      </c>
      <c r="N277" s="4" t="str">
        <f>HYPERLINK("http://141.218.60.56/~jnz1568/getInfo.php?workbook=03_02.xlsx&amp;sheet=A0&amp;row=277&amp;col=14&amp;number=&amp;sourceID=30","")</f>
        <v/>
      </c>
    </row>
    <row r="278" spans="1:14">
      <c r="A278" s="3">
        <v>3</v>
      </c>
      <c r="B278" s="3">
        <v>2</v>
      </c>
      <c r="C278" s="3">
        <v>26</v>
      </c>
      <c r="D278" s="3">
        <v>20</v>
      </c>
      <c r="E278" s="3">
        <f>((1/(INDEX(E0!J$4:J$52,C278,1)-INDEX(E0!J$4:J$52,D278,1))))*100000000</f>
        <v>0</v>
      </c>
      <c r="F278" s="4" t="str">
        <f>HYPERLINK("http://141.218.60.56/~jnz1568/getInfo.php?workbook=03_02.xlsx&amp;sheet=A0&amp;row=278&amp;col=6&amp;number=&amp;sourceID=27","")</f>
        <v/>
      </c>
      <c r="G278" s="4" t="str">
        <f>HYPERLINK("http://141.218.60.56/~jnz1568/getInfo.php?workbook=03_02.xlsx&amp;sheet=A0&amp;row=278&amp;col=7&amp;number=&amp;sourceID=15","")</f>
        <v/>
      </c>
      <c r="H278" s="4" t="str">
        <f>HYPERLINK("http://141.218.60.56/~jnz1568/getInfo.php?workbook=03_02.xlsx&amp;sheet=A0&amp;row=278&amp;col=8&amp;number=&amp;sourceID=15","")</f>
        <v/>
      </c>
      <c r="I278" s="4" t="str">
        <f>HYPERLINK("http://141.218.60.56/~jnz1568/getInfo.php?workbook=03_02.xlsx&amp;sheet=A0&amp;row=278&amp;col=9&amp;number=&amp;sourceID=15","")</f>
        <v/>
      </c>
      <c r="J278" s="4" t="str">
        <f>HYPERLINK("http://141.218.60.56/~jnz1568/getInfo.php?workbook=03_02.xlsx&amp;sheet=A0&amp;row=278&amp;col=10&amp;number=&amp;sourceID=15","")</f>
        <v/>
      </c>
      <c r="K278" s="4" t="str">
        <f>HYPERLINK("http://141.218.60.56/~jnz1568/getInfo.php?workbook=03_02.xlsx&amp;sheet=A0&amp;row=278&amp;col=11&amp;number=&amp;sourceID=30","")</f>
        <v/>
      </c>
      <c r="L278" s="4" t="str">
        <f>HYPERLINK("http://141.218.60.56/~jnz1568/getInfo.php?workbook=03_02.xlsx&amp;sheet=A0&amp;row=278&amp;col=12&amp;number=&amp;sourceID=30","")</f>
        <v/>
      </c>
      <c r="M278" s="4" t="str">
        <f>HYPERLINK("http://141.218.60.56/~jnz1568/getInfo.php?workbook=03_02.xlsx&amp;sheet=A0&amp;row=278&amp;col=13&amp;number=&amp;sourceID=30","")</f>
        <v/>
      </c>
      <c r="N278" s="4" t="str">
        <f>HYPERLINK("http://141.218.60.56/~jnz1568/getInfo.php?workbook=03_02.xlsx&amp;sheet=A0&amp;row=278&amp;col=14&amp;number=1.823e-11&amp;sourceID=30","1.823e-11")</f>
        <v>1.823e-11</v>
      </c>
    </row>
    <row r="279" spans="1:14">
      <c r="A279" s="3">
        <v>3</v>
      </c>
      <c r="B279" s="3">
        <v>2</v>
      </c>
      <c r="C279" s="3">
        <v>26</v>
      </c>
      <c r="D279" s="3">
        <v>21</v>
      </c>
      <c r="E279" s="3">
        <f>((1/(INDEX(E0!J$4:J$52,C279,1)-INDEX(E0!J$4:J$52,D279,1))))*100000000</f>
        <v>0</v>
      </c>
      <c r="F279" s="4" t="str">
        <f>HYPERLINK("http://141.218.60.56/~jnz1568/getInfo.php?workbook=03_02.xlsx&amp;sheet=A0&amp;row=279&amp;col=6&amp;number=&amp;sourceID=27","")</f>
        <v/>
      </c>
      <c r="G279" s="4" t="str">
        <f>HYPERLINK("http://141.218.60.56/~jnz1568/getInfo.php?workbook=03_02.xlsx&amp;sheet=A0&amp;row=279&amp;col=7&amp;number=4.861&amp;sourceID=15","4.861")</f>
        <v>4.861</v>
      </c>
      <c r="H279" s="4" t="str">
        <f>HYPERLINK("http://141.218.60.56/~jnz1568/getInfo.php?workbook=03_02.xlsx&amp;sheet=A0&amp;row=279&amp;col=8&amp;number=&amp;sourceID=15","")</f>
        <v/>
      </c>
      <c r="I279" s="4" t="str">
        <f>HYPERLINK("http://141.218.60.56/~jnz1568/getInfo.php?workbook=03_02.xlsx&amp;sheet=A0&amp;row=279&amp;col=9&amp;number=&amp;sourceID=15","")</f>
        <v/>
      </c>
      <c r="J279" s="4" t="str">
        <f>HYPERLINK("http://141.218.60.56/~jnz1568/getInfo.php?workbook=03_02.xlsx&amp;sheet=A0&amp;row=279&amp;col=10&amp;number=&amp;sourceID=15","")</f>
        <v/>
      </c>
      <c r="K279" s="4" t="str">
        <f>HYPERLINK("http://141.218.60.56/~jnz1568/getInfo.php?workbook=03_02.xlsx&amp;sheet=A0&amp;row=279&amp;col=11&amp;number=1.662&amp;sourceID=30","1.662")</f>
        <v>1.662</v>
      </c>
      <c r="L279" s="4" t="str">
        <f>HYPERLINK("http://141.218.60.56/~jnz1568/getInfo.php?workbook=03_02.xlsx&amp;sheet=A0&amp;row=279&amp;col=12&amp;number=&amp;sourceID=30","")</f>
        <v/>
      </c>
      <c r="M279" s="4" t="str">
        <f>HYPERLINK("http://141.218.60.56/~jnz1568/getInfo.php?workbook=03_02.xlsx&amp;sheet=A0&amp;row=279&amp;col=13&amp;number=&amp;sourceID=30","")</f>
        <v/>
      </c>
      <c r="N279" s="4" t="str">
        <f>HYPERLINK("http://141.218.60.56/~jnz1568/getInfo.php?workbook=03_02.xlsx&amp;sheet=A0&amp;row=279&amp;col=14&amp;number=4.168e-11&amp;sourceID=30","4.168e-11")</f>
        <v>4.168e-11</v>
      </c>
    </row>
    <row r="280" spans="1:14">
      <c r="A280" s="3">
        <v>3</v>
      </c>
      <c r="B280" s="3">
        <v>2</v>
      </c>
      <c r="C280" s="3">
        <v>26</v>
      </c>
      <c r="D280" s="3">
        <v>22</v>
      </c>
      <c r="E280" s="3">
        <f>((1/(INDEX(E0!J$4:J$52,C280,1)-INDEX(E0!J$4:J$52,D280,1))))*100000000</f>
        <v>0</v>
      </c>
      <c r="F280" s="4" t="str">
        <f>HYPERLINK("http://141.218.60.56/~jnz1568/getInfo.php?workbook=03_02.xlsx&amp;sheet=A0&amp;row=280&amp;col=6&amp;number=&amp;sourceID=27","")</f>
        <v/>
      </c>
      <c r="G280" s="4" t="str">
        <f>HYPERLINK("http://141.218.60.56/~jnz1568/getInfo.php?workbook=03_02.xlsx&amp;sheet=A0&amp;row=280&amp;col=7&amp;number=1.834&amp;sourceID=15","1.834")</f>
        <v>1.834</v>
      </c>
      <c r="H280" s="4" t="str">
        <f>HYPERLINK("http://141.218.60.56/~jnz1568/getInfo.php?workbook=03_02.xlsx&amp;sheet=A0&amp;row=280&amp;col=8&amp;number=&amp;sourceID=15","")</f>
        <v/>
      </c>
      <c r="I280" s="4" t="str">
        <f>HYPERLINK("http://141.218.60.56/~jnz1568/getInfo.php?workbook=03_02.xlsx&amp;sheet=A0&amp;row=280&amp;col=9&amp;number=&amp;sourceID=15","")</f>
        <v/>
      </c>
      <c r="J280" s="4" t="str">
        <f>HYPERLINK("http://141.218.60.56/~jnz1568/getInfo.php?workbook=03_02.xlsx&amp;sheet=A0&amp;row=280&amp;col=10&amp;number=&amp;sourceID=15","")</f>
        <v/>
      </c>
      <c r="K280" s="4" t="str">
        <f>HYPERLINK("http://141.218.60.56/~jnz1568/getInfo.php?workbook=03_02.xlsx&amp;sheet=A0&amp;row=280&amp;col=11&amp;number=0.65&amp;sourceID=30","0.65")</f>
        <v>0.65</v>
      </c>
      <c r="L280" s="4" t="str">
        <f>HYPERLINK("http://141.218.60.56/~jnz1568/getInfo.php?workbook=03_02.xlsx&amp;sheet=A0&amp;row=280&amp;col=12&amp;number=&amp;sourceID=30","")</f>
        <v/>
      </c>
      <c r="M280" s="4" t="str">
        <f>HYPERLINK("http://141.218.60.56/~jnz1568/getInfo.php?workbook=03_02.xlsx&amp;sheet=A0&amp;row=280&amp;col=13&amp;number=&amp;sourceID=30","")</f>
        <v/>
      </c>
      <c r="N280" s="4" t="str">
        <f>HYPERLINK("http://141.218.60.56/~jnz1568/getInfo.php?workbook=03_02.xlsx&amp;sheet=A0&amp;row=280&amp;col=14&amp;number=3.222e-11&amp;sourceID=30","3.222e-11")</f>
        <v>3.222e-11</v>
      </c>
    </row>
    <row r="281" spans="1:14">
      <c r="A281" s="3">
        <v>3</v>
      </c>
      <c r="B281" s="3">
        <v>2</v>
      </c>
      <c r="C281" s="3">
        <v>26</v>
      </c>
      <c r="D281" s="3">
        <v>23</v>
      </c>
      <c r="E281" s="3">
        <f>((1/(INDEX(E0!J$4:J$52,C281,1)-INDEX(E0!J$4:J$52,D281,1))))*100000000</f>
        <v>0</v>
      </c>
      <c r="F281" s="4" t="str">
        <f>HYPERLINK("http://141.218.60.56/~jnz1568/getInfo.php?workbook=03_02.xlsx&amp;sheet=A0&amp;row=281&amp;col=6&amp;number=&amp;sourceID=27","")</f>
        <v/>
      </c>
      <c r="G281" s="4" t="str">
        <f>HYPERLINK("http://141.218.60.56/~jnz1568/getInfo.php?workbook=03_02.xlsx&amp;sheet=A0&amp;row=281&amp;col=7&amp;number=&amp;sourceID=15","")</f>
        <v/>
      </c>
      <c r="H281" s="4" t="str">
        <f>HYPERLINK("http://141.218.60.56/~jnz1568/getInfo.php?workbook=03_02.xlsx&amp;sheet=A0&amp;row=281&amp;col=8&amp;number=&amp;sourceID=15","")</f>
        <v/>
      </c>
      <c r="I281" s="4" t="str">
        <f>HYPERLINK("http://141.218.60.56/~jnz1568/getInfo.php?workbook=03_02.xlsx&amp;sheet=A0&amp;row=281&amp;col=9&amp;number=&amp;sourceID=15","")</f>
        <v/>
      </c>
      <c r="J281" s="4" t="str">
        <f>HYPERLINK("http://141.218.60.56/~jnz1568/getInfo.php?workbook=03_02.xlsx&amp;sheet=A0&amp;row=281&amp;col=10&amp;number=&amp;sourceID=15","")</f>
        <v/>
      </c>
      <c r="K281" s="4" t="str">
        <f>HYPERLINK("http://141.218.60.56/~jnz1568/getInfo.php?workbook=03_02.xlsx&amp;sheet=A0&amp;row=281&amp;col=11&amp;number=&amp;sourceID=30","")</f>
        <v/>
      </c>
      <c r="L281" s="4" t="str">
        <f>HYPERLINK("http://141.218.60.56/~jnz1568/getInfo.php?workbook=03_02.xlsx&amp;sheet=A0&amp;row=281&amp;col=12&amp;number=0&amp;sourceID=30","0")</f>
        <v>0</v>
      </c>
      <c r="M281" s="4" t="str">
        <f>HYPERLINK("http://141.218.60.56/~jnz1568/getInfo.php?workbook=03_02.xlsx&amp;sheet=A0&amp;row=281&amp;col=13&amp;number=3.425e-11&amp;sourceID=30","3.425e-11")</f>
        <v>3.425e-11</v>
      </c>
      <c r="N281" s="4" t="str">
        <f>HYPERLINK("http://141.218.60.56/~jnz1568/getInfo.php?workbook=03_02.xlsx&amp;sheet=A0&amp;row=281&amp;col=14&amp;number=&amp;sourceID=30","")</f>
        <v/>
      </c>
    </row>
    <row r="282" spans="1:14">
      <c r="A282" s="3">
        <v>3</v>
      </c>
      <c r="B282" s="3">
        <v>2</v>
      </c>
      <c r="C282" s="3">
        <v>26</v>
      </c>
      <c r="D282" s="3">
        <v>24</v>
      </c>
      <c r="E282" s="3">
        <f>((1/(INDEX(E0!J$4:J$52,C282,1)-INDEX(E0!J$4:J$52,D282,1))))*100000000</f>
        <v>0</v>
      </c>
      <c r="F282" s="4" t="str">
        <f>HYPERLINK("http://141.218.60.56/~jnz1568/getInfo.php?workbook=03_02.xlsx&amp;sheet=A0&amp;row=282&amp;col=6&amp;number=&amp;sourceID=27","")</f>
        <v/>
      </c>
      <c r="G282" s="4" t="str">
        <f>HYPERLINK("http://141.218.60.56/~jnz1568/getInfo.php?workbook=03_02.xlsx&amp;sheet=A0&amp;row=282&amp;col=7&amp;number=&amp;sourceID=15","")</f>
        <v/>
      </c>
      <c r="H282" s="4" t="str">
        <f>HYPERLINK("http://141.218.60.56/~jnz1568/getInfo.php?workbook=03_02.xlsx&amp;sheet=A0&amp;row=282&amp;col=8&amp;number=&amp;sourceID=15","")</f>
        <v/>
      </c>
      <c r="I282" s="4" t="str">
        <f>HYPERLINK("http://141.218.60.56/~jnz1568/getInfo.php?workbook=03_02.xlsx&amp;sheet=A0&amp;row=282&amp;col=9&amp;number=&amp;sourceID=15","")</f>
        <v/>
      </c>
      <c r="J282" s="4" t="str">
        <f>HYPERLINK("http://141.218.60.56/~jnz1568/getInfo.php?workbook=03_02.xlsx&amp;sheet=A0&amp;row=282&amp;col=10&amp;number=&amp;sourceID=15","")</f>
        <v/>
      </c>
      <c r="K282" s="4" t="str">
        <f>HYPERLINK("http://141.218.60.56/~jnz1568/getInfo.php?workbook=03_02.xlsx&amp;sheet=A0&amp;row=282&amp;col=11&amp;number=&amp;sourceID=30","")</f>
        <v/>
      </c>
      <c r="L282" s="4" t="str">
        <f>HYPERLINK("http://141.218.60.56/~jnz1568/getInfo.php?workbook=03_02.xlsx&amp;sheet=A0&amp;row=282&amp;col=12&amp;number=0&amp;sourceID=30","0")</f>
        <v>0</v>
      </c>
      <c r="M282" s="4" t="str">
        <f>HYPERLINK("http://141.218.60.56/~jnz1568/getInfo.php?workbook=03_02.xlsx&amp;sheet=A0&amp;row=282&amp;col=13&amp;number=6.759e-12&amp;sourceID=30","6.759e-12")</f>
        <v>6.759e-12</v>
      </c>
      <c r="N282" s="4" t="str">
        <f>HYPERLINK("http://141.218.60.56/~jnz1568/getInfo.php?workbook=03_02.xlsx&amp;sheet=A0&amp;row=282&amp;col=14&amp;number=&amp;sourceID=30","")</f>
        <v/>
      </c>
    </row>
    <row r="283" spans="1:14">
      <c r="A283" s="3">
        <v>3</v>
      </c>
      <c r="B283" s="3">
        <v>2</v>
      </c>
      <c r="C283" s="3">
        <v>26</v>
      </c>
      <c r="D283" s="3">
        <v>25</v>
      </c>
      <c r="E283" s="3">
        <f>((1/(INDEX(E0!J$4:J$52,C283,1)-INDEX(E0!J$4:J$52,D283,1))))*100000000</f>
        <v>0</v>
      </c>
      <c r="F283" s="4" t="str">
        <f>HYPERLINK("http://141.218.60.56/~jnz1568/getInfo.php?workbook=03_02.xlsx&amp;sheet=A0&amp;row=283&amp;col=6&amp;number=&amp;sourceID=27","")</f>
        <v/>
      </c>
      <c r="G283" s="4" t="str">
        <f>HYPERLINK("http://141.218.60.56/~jnz1568/getInfo.php?workbook=03_02.xlsx&amp;sheet=A0&amp;row=283&amp;col=7&amp;number=&amp;sourceID=15","")</f>
        <v/>
      </c>
      <c r="H283" s="4" t="str">
        <f>HYPERLINK("http://141.218.60.56/~jnz1568/getInfo.php?workbook=03_02.xlsx&amp;sheet=A0&amp;row=283&amp;col=8&amp;number=&amp;sourceID=15","")</f>
        <v/>
      </c>
      <c r="I283" s="4" t="str">
        <f>HYPERLINK("http://141.218.60.56/~jnz1568/getInfo.php?workbook=03_02.xlsx&amp;sheet=A0&amp;row=283&amp;col=9&amp;number=&amp;sourceID=15","")</f>
        <v/>
      </c>
      <c r="J283" s="4" t="str">
        <f>HYPERLINK("http://141.218.60.56/~jnz1568/getInfo.php?workbook=03_02.xlsx&amp;sheet=A0&amp;row=283&amp;col=10&amp;number=&amp;sourceID=15","")</f>
        <v/>
      </c>
      <c r="K283" s="4" t="str">
        <f>HYPERLINK("http://141.218.60.56/~jnz1568/getInfo.php?workbook=03_02.xlsx&amp;sheet=A0&amp;row=283&amp;col=11&amp;number=&amp;sourceID=30","")</f>
        <v/>
      </c>
      <c r="L283" s="4" t="str">
        <f>HYPERLINK("http://141.218.60.56/~jnz1568/getInfo.php?workbook=03_02.xlsx&amp;sheet=A0&amp;row=283&amp;col=12&amp;number=0&amp;sourceID=30","0")</f>
        <v>0</v>
      </c>
      <c r="M283" s="4" t="str">
        <f>HYPERLINK("http://141.218.60.56/~jnz1568/getInfo.php?workbook=03_02.xlsx&amp;sheet=A0&amp;row=283&amp;col=13&amp;number=3.347e-11&amp;sourceID=30","3.347e-11")</f>
        <v>3.347e-11</v>
      </c>
      <c r="N283" s="4" t="str">
        <f>HYPERLINK("http://141.218.60.56/~jnz1568/getInfo.php?workbook=03_02.xlsx&amp;sheet=A0&amp;row=283&amp;col=14&amp;number=&amp;sourceID=30","")</f>
        <v/>
      </c>
    </row>
    <row r="284" spans="1:14">
      <c r="A284" s="3">
        <v>3</v>
      </c>
      <c r="B284" s="3">
        <v>2</v>
      </c>
      <c r="C284" s="3">
        <v>27</v>
      </c>
      <c r="D284" s="3">
        <v>1</v>
      </c>
      <c r="E284" s="3">
        <f>((1/(INDEX(E0!J$4:J$52,C284,1)-INDEX(E0!J$4:J$52,D284,1))))*100000000</f>
        <v>0</v>
      </c>
      <c r="F284" s="4" t="str">
        <f>HYPERLINK("http://141.218.60.56/~jnz1568/getInfo.php?workbook=03_02.xlsx&amp;sheet=A0&amp;row=284&amp;col=6&amp;number=&amp;sourceID=27","")</f>
        <v/>
      </c>
      <c r="G284" s="4" t="str">
        <f>HYPERLINK("http://141.218.60.56/~jnz1568/getInfo.php?workbook=03_02.xlsx&amp;sheet=A0&amp;row=284&amp;col=7&amp;number=&amp;sourceID=15","")</f>
        <v/>
      </c>
      <c r="H284" s="4" t="str">
        <f>HYPERLINK("http://141.218.60.56/~jnz1568/getInfo.php?workbook=03_02.xlsx&amp;sheet=A0&amp;row=284&amp;col=8&amp;number=&amp;sourceID=15","")</f>
        <v/>
      </c>
      <c r="I284" s="4" t="str">
        <f>HYPERLINK("http://141.218.60.56/~jnz1568/getInfo.php?workbook=03_02.xlsx&amp;sheet=A0&amp;row=284&amp;col=9&amp;number=&amp;sourceID=15","")</f>
        <v/>
      </c>
      <c r="J284" s="4" t="str">
        <f>HYPERLINK("http://141.218.60.56/~jnz1568/getInfo.php?workbook=03_02.xlsx&amp;sheet=A0&amp;row=284&amp;col=10&amp;number=&amp;sourceID=15","")</f>
        <v/>
      </c>
      <c r="K284" s="4" t="str">
        <f>HYPERLINK("http://141.218.60.56/~jnz1568/getInfo.php?workbook=03_02.xlsx&amp;sheet=A0&amp;row=284&amp;col=11&amp;number=&amp;sourceID=30","")</f>
        <v/>
      </c>
      <c r="L284" s="4" t="str">
        <f>HYPERLINK("http://141.218.60.56/~jnz1568/getInfo.php?workbook=03_02.xlsx&amp;sheet=A0&amp;row=284&amp;col=12&amp;number=&amp;sourceID=30","")</f>
        <v/>
      </c>
      <c r="M284" s="4" t="str">
        <f>HYPERLINK("http://141.218.60.56/~jnz1568/getInfo.php?workbook=03_02.xlsx&amp;sheet=A0&amp;row=284&amp;col=13&amp;number=&amp;sourceID=30","")</f>
        <v/>
      </c>
      <c r="N284" s="4" t="str">
        <f>HYPERLINK("http://141.218.60.56/~jnz1568/getInfo.php?workbook=03_02.xlsx&amp;sheet=A0&amp;row=284&amp;col=14&amp;number=9.945e-08&amp;sourceID=30","9.945e-08")</f>
        <v>9.945e-08</v>
      </c>
    </row>
    <row r="285" spans="1:14">
      <c r="A285" s="3">
        <v>3</v>
      </c>
      <c r="B285" s="3">
        <v>2</v>
      </c>
      <c r="C285" s="3">
        <v>27</v>
      </c>
      <c r="D285" s="3">
        <v>2</v>
      </c>
      <c r="E285" s="3">
        <f>((1/(INDEX(E0!J$4:J$52,C285,1)-INDEX(E0!J$4:J$52,D285,1))))*100000000</f>
        <v>0</v>
      </c>
      <c r="F285" s="4" t="str">
        <f>HYPERLINK("http://141.218.60.56/~jnz1568/getInfo.php?workbook=03_02.xlsx&amp;sheet=A0&amp;row=285&amp;col=6&amp;number=&amp;sourceID=27","")</f>
        <v/>
      </c>
      <c r="G285" s="4" t="str">
        <f>HYPERLINK("http://141.218.60.56/~jnz1568/getInfo.php?workbook=03_02.xlsx&amp;sheet=A0&amp;row=285&amp;col=7&amp;number=&amp;sourceID=15","")</f>
        <v/>
      </c>
      <c r="H285" s="4" t="str">
        <f>HYPERLINK("http://141.218.60.56/~jnz1568/getInfo.php?workbook=03_02.xlsx&amp;sheet=A0&amp;row=285&amp;col=8&amp;number=&amp;sourceID=15","")</f>
        <v/>
      </c>
      <c r="I285" s="4" t="str">
        <f>HYPERLINK("http://141.218.60.56/~jnz1568/getInfo.php?workbook=03_02.xlsx&amp;sheet=A0&amp;row=285&amp;col=9&amp;number=&amp;sourceID=15","")</f>
        <v/>
      </c>
      <c r="J285" s="4" t="str">
        <f>HYPERLINK("http://141.218.60.56/~jnz1568/getInfo.php?workbook=03_02.xlsx&amp;sheet=A0&amp;row=285&amp;col=10&amp;number=&amp;sourceID=15","")</f>
        <v/>
      </c>
      <c r="K285" s="4" t="str">
        <f>HYPERLINK("http://141.218.60.56/~jnz1568/getInfo.php?workbook=03_02.xlsx&amp;sheet=A0&amp;row=285&amp;col=11&amp;number=0.001136&amp;sourceID=30","0.001136")</f>
        <v>0.001136</v>
      </c>
      <c r="L285" s="4" t="str">
        <f>HYPERLINK("http://141.218.60.56/~jnz1568/getInfo.php?workbook=03_02.xlsx&amp;sheet=A0&amp;row=285&amp;col=12&amp;number=&amp;sourceID=30","")</f>
        <v/>
      </c>
      <c r="M285" s="4" t="str">
        <f>HYPERLINK("http://141.218.60.56/~jnz1568/getInfo.php?workbook=03_02.xlsx&amp;sheet=A0&amp;row=285&amp;col=13&amp;number=&amp;sourceID=30","")</f>
        <v/>
      </c>
      <c r="N285" s="4" t="str">
        <f>HYPERLINK("http://141.218.60.56/~jnz1568/getInfo.php?workbook=03_02.xlsx&amp;sheet=A0&amp;row=285&amp;col=14&amp;number=4.37e-13&amp;sourceID=30","4.37e-13")</f>
        <v>4.37e-13</v>
      </c>
    </row>
    <row r="286" spans="1:14">
      <c r="A286" s="3">
        <v>3</v>
      </c>
      <c r="B286" s="3">
        <v>2</v>
      </c>
      <c r="C286" s="3">
        <v>27</v>
      </c>
      <c r="D286" s="3">
        <v>3</v>
      </c>
      <c r="E286" s="3">
        <f>((1/(INDEX(E0!J$4:J$52,C286,1)-INDEX(E0!J$4:J$52,D286,1))))*100000000</f>
        <v>0</v>
      </c>
      <c r="F286" s="4" t="str">
        <f>HYPERLINK("http://141.218.60.56/~jnz1568/getInfo.php?workbook=03_02.xlsx&amp;sheet=A0&amp;row=286&amp;col=6&amp;number=&amp;sourceID=27","")</f>
        <v/>
      </c>
      <c r="G286" s="4" t="str">
        <f>HYPERLINK("http://141.218.60.56/~jnz1568/getInfo.php?workbook=03_02.xlsx&amp;sheet=A0&amp;row=286&amp;col=7&amp;number=&amp;sourceID=15","")</f>
        <v/>
      </c>
      <c r="H286" s="4" t="str">
        <f>HYPERLINK("http://141.218.60.56/~jnz1568/getInfo.php?workbook=03_02.xlsx&amp;sheet=A0&amp;row=286&amp;col=8&amp;number=&amp;sourceID=15","")</f>
        <v/>
      </c>
      <c r="I286" s="4" t="str">
        <f>HYPERLINK("http://141.218.60.56/~jnz1568/getInfo.php?workbook=03_02.xlsx&amp;sheet=A0&amp;row=286&amp;col=9&amp;number=&amp;sourceID=15","")</f>
        <v/>
      </c>
      <c r="J286" s="4" t="str">
        <f>HYPERLINK("http://141.218.60.56/~jnz1568/getInfo.php?workbook=03_02.xlsx&amp;sheet=A0&amp;row=286&amp;col=10&amp;number=&amp;sourceID=15","")</f>
        <v/>
      </c>
      <c r="K286" s="4" t="str">
        <f>HYPERLINK("http://141.218.60.56/~jnz1568/getInfo.php?workbook=03_02.xlsx&amp;sheet=A0&amp;row=286&amp;col=11&amp;number=&amp;sourceID=30","")</f>
        <v/>
      </c>
      <c r="L286" s="4" t="str">
        <f>HYPERLINK("http://141.218.60.56/~jnz1568/getInfo.php?workbook=03_02.xlsx&amp;sheet=A0&amp;row=286&amp;col=12&amp;number=&amp;sourceID=30","")</f>
        <v/>
      </c>
      <c r="M286" s="4" t="str">
        <f>HYPERLINK("http://141.218.60.56/~jnz1568/getInfo.php?workbook=03_02.xlsx&amp;sheet=A0&amp;row=286&amp;col=13&amp;number=&amp;sourceID=30","")</f>
        <v/>
      </c>
      <c r="N286" s="4" t="str">
        <f>HYPERLINK("http://141.218.60.56/~jnz1568/getInfo.php?workbook=03_02.xlsx&amp;sheet=A0&amp;row=286&amp;col=14&amp;number=0&amp;sourceID=30","0")</f>
        <v>0</v>
      </c>
    </row>
    <row r="287" spans="1:14">
      <c r="A287" s="3">
        <v>3</v>
      </c>
      <c r="B287" s="3">
        <v>2</v>
      </c>
      <c r="C287" s="3">
        <v>27</v>
      </c>
      <c r="D287" s="3">
        <v>4</v>
      </c>
      <c r="E287" s="3">
        <f>((1/(INDEX(E0!J$4:J$52,C287,1)-INDEX(E0!J$4:J$52,D287,1))))*100000000</f>
        <v>0</v>
      </c>
      <c r="F287" s="4" t="str">
        <f>HYPERLINK("http://141.218.60.56/~jnz1568/getInfo.php?workbook=03_02.xlsx&amp;sheet=A0&amp;row=287&amp;col=6&amp;number=&amp;sourceID=27","")</f>
        <v/>
      </c>
      <c r="G287" s="4" t="str">
        <f>HYPERLINK("http://141.218.60.56/~jnz1568/getInfo.php?workbook=03_02.xlsx&amp;sheet=A0&amp;row=287&amp;col=7&amp;number=&amp;sourceID=15","")</f>
        <v/>
      </c>
      <c r="H287" s="4" t="str">
        <f>HYPERLINK("http://141.218.60.56/~jnz1568/getInfo.php?workbook=03_02.xlsx&amp;sheet=A0&amp;row=287&amp;col=8&amp;number=&amp;sourceID=15","")</f>
        <v/>
      </c>
      <c r="I287" s="4" t="str">
        <f>HYPERLINK("http://141.218.60.56/~jnz1568/getInfo.php?workbook=03_02.xlsx&amp;sheet=A0&amp;row=287&amp;col=9&amp;number=&amp;sourceID=15","")</f>
        <v/>
      </c>
      <c r="J287" s="4" t="str">
        <f>HYPERLINK("http://141.218.60.56/~jnz1568/getInfo.php?workbook=03_02.xlsx&amp;sheet=A0&amp;row=287&amp;col=10&amp;number=&amp;sourceID=15","")</f>
        <v/>
      </c>
      <c r="K287" s="4" t="str">
        <f>HYPERLINK("http://141.218.60.56/~jnz1568/getInfo.php?workbook=03_02.xlsx&amp;sheet=A0&amp;row=287&amp;col=11&amp;number=&amp;sourceID=30","")</f>
        <v/>
      </c>
      <c r="L287" s="4" t="str">
        <f>HYPERLINK("http://141.218.60.56/~jnz1568/getInfo.php?workbook=03_02.xlsx&amp;sheet=A0&amp;row=287&amp;col=12&amp;number=1890&amp;sourceID=30","1890")</f>
        <v>1890</v>
      </c>
      <c r="M287" s="4" t="str">
        <f>HYPERLINK("http://141.218.60.56/~jnz1568/getInfo.php?workbook=03_02.xlsx&amp;sheet=A0&amp;row=287&amp;col=13&amp;number=3.112e-08&amp;sourceID=30","3.112e-08")</f>
        <v>3.112e-08</v>
      </c>
      <c r="N287" s="4" t="str">
        <f>HYPERLINK("http://141.218.60.56/~jnz1568/getInfo.php?workbook=03_02.xlsx&amp;sheet=A0&amp;row=287&amp;col=14&amp;number=&amp;sourceID=30","")</f>
        <v/>
      </c>
    </row>
    <row r="288" spans="1:14">
      <c r="A288" s="3">
        <v>3</v>
      </c>
      <c r="B288" s="3">
        <v>2</v>
      </c>
      <c r="C288" s="3">
        <v>27</v>
      </c>
      <c r="D288" s="3">
        <v>5</v>
      </c>
      <c r="E288" s="3">
        <f>((1/(INDEX(E0!J$4:J$52,C288,1)-INDEX(E0!J$4:J$52,D288,1))))*100000000</f>
        <v>0</v>
      </c>
      <c r="F288" s="4" t="str">
        <f>HYPERLINK("http://141.218.60.56/~jnz1568/getInfo.php?workbook=03_02.xlsx&amp;sheet=A0&amp;row=288&amp;col=6&amp;number=&amp;sourceID=27","")</f>
        <v/>
      </c>
      <c r="G288" s="4" t="str">
        <f>HYPERLINK("http://141.218.60.56/~jnz1568/getInfo.php?workbook=03_02.xlsx&amp;sheet=A0&amp;row=288&amp;col=7&amp;number=&amp;sourceID=15","")</f>
        <v/>
      </c>
      <c r="H288" s="4" t="str">
        <f>HYPERLINK("http://141.218.60.56/~jnz1568/getInfo.php?workbook=03_02.xlsx&amp;sheet=A0&amp;row=288&amp;col=8&amp;number=&amp;sourceID=15","")</f>
        <v/>
      </c>
      <c r="I288" s="4" t="str">
        <f>HYPERLINK("http://141.218.60.56/~jnz1568/getInfo.php?workbook=03_02.xlsx&amp;sheet=A0&amp;row=288&amp;col=9&amp;number=&amp;sourceID=15","")</f>
        <v/>
      </c>
      <c r="J288" s="4" t="str">
        <f>HYPERLINK("http://141.218.60.56/~jnz1568/getInfo.php?workbook=03_02.xlsx&amp;sheet=A0&amp;row=288&amp;col=10&amp;number=&amp;sourceID=15","")</f>
        <v/>
      </c>
      <c r="K288" s="4" t="str">
        <f>HYPERLINK("http://141.218.60.56/~jnz1568/getInfo.php?workbook=03_02.xlsx&amp;sheet=A0&amp;row=288&amp;col=11&amp;number=&amp;sourceID=30","")</f>
        <v/>
      </c>
      <c r="L288" s="4" t="str">
        <f>HYPERLINK("http://141.218.60.56/~jnz1568/getInfo.php?workbook=03_02.xlsx&amp;sheet=A0&amp;row=288&amp;col=12&amp;number=270&amp;sourceID=30","270")</f>
        <v>270</v>
      </c>
      <c r="M288" s="4" t="str">
        <f>HYPERLINK("http://141.218.60.56/~jnz1568/getInfo.php?workbook=03_02.xlsx&amp;sheet=A0&amp;row=288&amp;col=13&amp;number=5.649e-08&amp;sourceID=30","5.649e-08")</f>
        <v>5.649e-08</v>
      </c>
      <c r="N288" s="4" t="str">
        <f>HYPERLINK("http://141.218.60.56/~jnz1568/getInfo.php?workbook=03_02.xlsx&amp;sheet=A0&amp;row=288&amp;col=14&amp;number=&amp;sourceID=30","")</f>
        <v/>
      </c>
    </row>
    <row r="289" spans="1:14">
      <c r="A289" s="3">
        <v>3</v>
      </c>
      <c r="B289" s="3">
        <v>2</v>
      </c>
      <c r="C289" s="3">
        <v>27</v>
      </c>
      <c r="D289" s="3">
        <v>6</v>
      </c>
      <c r="E289" s="3">
        <f>((1/(INDEX(E0!J$4:J$52,C289,1)-INDEX(E0!J$4:J$52,D289,1))))*100000000</f>
        <v>0</v>
      </c>
      <c r="F289" s="4" t="str">
        <f>HYPERLINK("http://141.218.60.56/~jnz1568/getInfo.php?workbook=03_02.xlsx&amp;sheet=A0&amp;row=289&amp;col=6&amp;number=&amp;sourceID=27","")</f>
        <v/>
      </c>
      <c r="G289" s="4" t="str">
        <f>HYPERLINK("http://141.218.60.56/~jnz1568/getInfo.php?workbook=03_02.xlsx&amp;sheet=A0&amp;row=289&amp;col=7&amp;number=&amp;sourceID=15","")</f>
        <v/>
      </c>
      <c r="H289" s="4" t="str">
        <f>HYPERLINK("http://141.218.60.56/~jnz1568/getInfo.php?workbook=03_02.xlsx&amp;sheet=A0&amp;row=289&amp;col=8&amp;number=&amp;sourceID=15","")</f>
        <v/>
      </c>
      <c r="I289" s="4" t="str">
        <f>HYPERLINK("http://141.218.60.56/~jnz1568/getInfo.php?workbook=03_02.xlsx&amp;sheet=A0&amp;row=289&amp;col=9&amp;number=&amp;sourceID=15","")</f>
        <v/>
      </c>
      <c r="J289" s="4" t="str">
        <f>HYPERLINK("http://141.218.60.56/~jnz1568/getInfo.php?workbook=03_02.xlsx&amp;sheet=A0&amp;row=289&amp;col=10&amp;number=&amp;sourceID=15","")</f>
        <v/>
      </c>
      <c r="K289" s="4" t="str">
        <f>HYPERLINK("http://141.218.60.56/~jnz1568/getInfo.php?workbook=03_02.xlsx&amp;sheet=A0&amp;row=289&amp;col=11&amp;number=&amp;sourceID=30","")</f>
        <v/>
      </c>
      <c r="L289" s="4" t="str">
        <f>HYPERLINK("http://141.218.60.56/~jnz1568/getInfo.php?workbook=03_02.xlsx&amp;sheet=A0&amp;row=289&amp;col=12&amp;number=1889&amp;sourceID=30","1889")</f>
        <v>1889</v>
      </c>
      <c r="M289" s="4" t="str">
        <f>HYPERLINK("http://141.218.60.56/~jnz1568/getInfo.php?workbook=03_02.xlsx&amp;sheet=A0&amp;row=289&amp;col=13&amp;number=&amp;sourceID=30","")</f>
        <v/>
      </c>
      <c r="N289" s="4" t="str">
        <f>HYPERLINK("http://141.218.60.56/~jnz1568/getInfo.php?workbook=03_02.xlsx&amp;sheet=A0&amp;row=289&amp;col=14&amp;number=&amp;sourceID=30","")</f>
        <v/>
      </c>
    </row>
    <row r="290" spans="1:14">
      <c r="A290" s="3">
        <v>3</v>
      </c>
      <c r="B290" s="3">
        <v>2</v>
      </c>
      <c r="C290" s="3">
        <v>27</v>
      </c>
      <c r="D290" s="3">
        <v>7</v>
      </c>
      <c r="E290" s="3">
        <f>((1/(INDEX(E0!J$4:J$52,C290,1)-INDEX(E0!J$4:J$52,D290,1))))*100000000</f>
        <v>0</v>
      </c>
      <c r="F290" s="4" t="str">
        <f>HYPERLINK("http://141.218.60.56/~jnz1568/getInfo.php?workbook=03_02.xlsx&amp;sheet=A0&amp;row=290&amp;col=6&amp;number=&amp;sourceID=27","")</f>
        <v/>
      </c>
      <c r="G290" s="4" t="str">
        <f>HYPERLINK("http://141.218.60.56/~jnz1568/getInfo.php?workbook=03_02.xlsx&amp;sheet=A0&amp;row=290&amp;col=7&amp;number=&amp;sourceID=15","")</f>
        <v/>
      </c>
      <c r="H290" s="4" t="str">
        <f>HYPERLINK("http://141.218.60.56/~jnz1568/getInfo.php?workbook=03_02.xlsx&amp;sheet=A0&amp;row=290&amp;col=8&amp;number=&amp;sourceID=15","")</f>
        <v/>
      </c>
      <c r="I290" s="4" t="str">
        <f>HYPERLINK("http://141.218.60.56/~jnz1568/getInfo.php?workbook=03_02.xlsx&amp;sheet=A0&amp;row=290&amp;col=9&amp;number=&amp;sourceID=15","")</f>
        <v/>
      </c>
      <c r="J290" s="4" t="str">
        <f>HYPERLINK("http://141.218.60.56/~jnz1568/getInfo.php?workbook=03_02.xlsx&amp;sheet=A0&amp;row=290&amp;col=10&amp;number=&amp;sourceID=15","")</f>
        <v/>
      </c>
      <c r="K290" s="4" t="str">
        <f>HYPERLINK("http://141.218.60.56/~jnz1568/getInfo.php?workbook=03_02.xlsx&amp;sheet=A0&amp;row=290&amp;col=11&amp;number=&amp;sourceID=30","")</f>
        <v/>
      </c>
      <c r="L290" s="4" t="str">
        <f>HYPERLINK("http://141.218.60.56/~jnz1568/getInfo.php?workbook=03_02.xlsx&amp;sheet=A0&amp;row=290&amp;col=12&amp;number=0.0009283&amp;sourceID=30","0.0009283")</f>
        <v>0.0009283</v>
      </c>
      <c r="M290" s="4" t="str">
        <f>HYPERLINK("http://141.218.60.56/~jnz1568/getInfo.php?workbook=03_02.xlsx&amp;sheet=A0&amp;row=290&amp;col=13&amp;number=2.858e-08&amp;sourceID=30","2.858e-08")</f>
        <v>2.858e-08</v>
      </c>
      <c r="N290" s="4" t="str">
        <f>HYPERLINK("http://141.218.60.56/~jnz1568/getInfo.php?workbook=03_02.xlsx&amp;sheet=A0&amp;row=290&amp;col=14&amp;number=&amp;sourceID=30","")</f>
        <v/>
      </c>
    </row>
    <row r="291" spans="1:14">
      <c r="A291" s="3">
        <v>3</v>
      </c>
      <c r="B291" s="3">
        <v>2</v>
      </c>
      <c r="C291" s="3">
        <v>27</v>
      </c>
      <c r="D291" s="3">
        <v>8</v>
      </c>
      <c r="E291" s="3">
        <f>((1/(INDEX(E0!J$4:J$52,C291,1)-INDEX(E0!J$4:J$52,D291,1))))*100000000</f>
        <v>0</v>
      </c>
      <c r="F291" s="4" t="str">
        <f>HYPERLINK("http://141.218.60.56/~jnz1568/getInfo.php?workbook=03_02.xlsx&amp;sheet=A0&amp;row=291&amp;col=6&amp;number=&amp;sourceID=27","")</f>
        <v/>
      </c>
      <c r="G291" s="4" t="str">
        <f>HYPERLINK("http://141.218.60.56/~jnz1568/getInfo.php?workbook=03_02.xlsx&amp;sheet=A0&amp;row=291&amp;col=7&amp;number=&amp;sourceID=15","")</f>
        <v/>
      </c>
      <c r="H291" s="4" t="str">
        <f>HYPERLINK("http://141.218.60.56/~jnz1568/getInfo.php?workbook=03_02.xlsx&amp;sheet=A0&amp;row=291&amp;col=8&amp;number=&amp;sourceID=15","")</f>
        <v/>
      </c>
      <c r="I291" s="4" t="str">
        <f>HYPERLINK("http://141.218.60.56/~jnz1568/getInfo.php?workbook=03_02.xlsx&amp;sheet=A0&amp;row=291&amp;col=9&amp;number=&amp;sourceID=15","")</f>
        <v/>
      </c>
      <c r="J291" s="4" t="str">
        <f>HYPERLINK("http://141.218.60.56/~jnz1568/getInfo.php?workbook=03_02.xlsx&amp;sheet=A0&amp;row=291&amp;col=10&amp;number=&amp;sourceID=15","")</f>
        <v/>
      </c>
      <c r="K291" s="4" t="str">
        <f>HYPERLINK("http://141.218.60.56/~jnz1568/getInfo.php?workbook=03_02.xlsx&amp;sheet=A0&amp;row=291&amp;col=11&amp;number=0.02683&amp;sourceID=30","0.02683")</f>
        <v>0.02683</v>
      </c>
      <c r="L291" s="4" t="str">
        <f>HYPERLINK("http://141.218.60.56/~jnz1568/getInfo.php?workbook=03_02.xlsx&amp;sheet=A0&amp;row=291&amp;col=12&amp;number=&amp;sourceID=30","")</f>
        <v/>
      </c>
      <c r="M291" s="4" t="str">
        <f>HYPERLINK("http://141.218.60.56/~jnz1568/getInfo.php?workbook=03_02.xlsx&amp;sheet=A0&amp;row=291&amp;col=13&amp;number=&amp;sourceID=30","")</f>
        <v/>
      </c>
      <c r="N291" s="4" t="str">
        <f>HYPERLINK("http://141.218.60.56/~jnz1568/getInfo.php?workbook=03_02.xlsx&amp;sheet=A0&amp;row=291&amp;col=14&amp;number=6.7e-14&amp;sourceID=30","6.7e-14")</f>
        <v>6.7e-14</v>
      </c>
    </row>
    <row r="292" spans="1:14">
      <c r="A292" s="3">
        <v>3</v>
      </c>
      <c r="B292" s="3">
        <v>2</v>
      </c>
      <c r="C292" s="3">
        <v>27</v>
      </c>
      <c r="D292" s="3">
        <v>9</v>
      </c>
      <c r="E292" s="3">
        <f>((1/(INDEX(E0!J$4:J$52,C292,1)-INDEX(E0!J$4:J$52,D292,1))))*100000000</f>
        <v>0</v>
      </c>
      <c r="F292" s="4" t="str">
        <f>HYPERLINK("http://141.218.60.56/~jnz1568/getInfo.php?workbook=03_02.xlsx&amp;sheet=A0&amp;row=292&amp;col=6&amp;number=&amp;sourceID=27","")</f>
        <v/>
      </c>
      <c r="G292" s="4" t="str">
        <f>HYPERLINK("http://141.218.60.56/~jnz1568/getInfo.php?workbook=03_02.xlsx&amp;sheet=A0&amp;row=292&amp;col=7&amp;number=&amp;sourceID=15","")</f>
        <v/>
      </c>
      <c r="H292" s="4" t="str">
        <f>HYPERLINK("http://141.218.60.56/~jnz1568/getInfo.php?workbook=03_02.xlsx&amp;sheet=A0&amp;row=292&amp;col=8&amp;number=&amp;sourceID=15","")</f>
        <v/>
      </c>
      <c r="I292" s="4" t="str">
        <f>HYPERLINK("http://141.218.60.56/~jnz1568/getInfo.php?workbook=03_02.xlsx&amp;sheet=A0&amp;row=292&amp;col=9&amp;number=&amp;sourceID=15","")</f>
        <v/>
      </c>
      <c r="J292" s="4" t="str">
        <f>HYPERLINK("http://141.218.60.56/~jnz1568/getInfo.php?workbook=03_02.xlsx&amp;sheet=A0&amp;row=292&amp;col=10&amp;number=&amp;sourceID=15","")</f>
        <v/>
      </c>
      <c r="K292" s="4" t="str">
        <f>HYPERLINK("http://141.218.60.56/~jnz1568/getInfo.php?workbook=03_02.xlsx&amp;sheet=A0&amp;row=292&amp;col=11&amp;number=&amp;sourceID=30","")</f>
        <v/>
      </c>
      <c r="L292" s="4" t="str">
        <f>HYPERLINK("http://141.218.60.56/~jnz1568/getInfo.php?workbook=03_02.xlsx&amp;sheet=A0&amp;row=292&amp;col=12&amp;number=&amp;sourceID=30","")</f>
        <v/>
      </c>
      <c r="M292" s="4" t="str">
        <f>HYPERLINK("http://141.218.60.56/~jnz1568/getInfo.php?workbook=03_02.xlsx&amp;sheet=A0&amp;row=292&amp;col=13&amp;number=&amp;sourceID=30","")</f>
        <v/>
      </c>
      <c r="N292" s="4" t="str">
        <f>HYPERLINK("http://141.218.60.56/~jnz1568/getInfo.php?workbook=03_02.xlsx&amp;sheet=A0&amp;row=292&amp;col=14&amp;number=2e-15&amp;sourceID=30","2e-15")</f>
        <v>2e-15</v>
      </c>
    </row>
    <row r="293" spans="1:14">
      <c r="A293" s="3">
        <v>3</v>
      </c>
      <c r="B293" s="3">
        <v>2</v>
      </c>
      <c r="C293" s="3">
        <v>27</v>
      </c>
      <c r="D293" s="3">
        <v>10</v>
      </c>
      <c r="E293" s="3">
        <f>((1/(INDEX(E0!J$4:J$52,C293,1)-INDEX(E0!J$4:J$52,D293,1))))*100000000</f>
        <v>0</v>
      </c>
      <c r="F293" s="4" t="str">
        <f>HYPERLINK("http://141.218.60.56/~jnz1568/getInfo.php?workbook=03_02.xlsx&amp;sheet=A0&amp;row=293&amp;col=6&amp;number=&amp;sourceID=27","")</f>
        <v/>
      </c>
      <c r="G293" s="4" t="str">
        <f>HYPERLINK("http://141.218.60.56/~jnz1568/getInfo.php?workbook=03_02.xlsx&amp;sheet=A0&amp;row=293&amp;col=7&amp;number=&amp;sourceID=15","")</f>
        <v/>
      </c>
      <c r="H293" s="4" t="str">
        <f>HYPERLINK("http://141.218.60.56/~jnz1568/getInfo.php?workbook=03_02.xlsx&amp;sheet=A0&amp;row=293&amp;col=8&amp;number=&amp;sourceID=15","")</f>
        <v/>
      </c>
      <c r="I293" s="4" t="str">
        <f>HYPERLINK("http://141.218.60.56/~jnz1568/getInfo.php?workbook=03_02.xlsx&amp;sheet=A0&amp;row=293&amp;col=9&amp;number=&amp;sourceID=15","")</f>
        <v/>
      </c>
      <c r="J293" s="4" t="str">
        <f>HYPERLINK("http://141.218.60.56/~jnz1568/getInfo.php?workbook=03_02.xlsx&amp;sheet=A0&amp;row=293&amp;col=10&amp;number=&amp;sourceID=15","")</f>
        <v/>
      </c>
      <c r="K293" s="4" t="str">
        <f>HYPERLINK("http://141.218.60.56/~jnz1568/getInfo.php?workbook=03_02.xlsx&amp;sheet=A0&amp;row=293&amp;col=11&amp;number=&amp;sourceID=30","")</f>
        <v/>
      </c>
      <c r="L293" s="4" t="str">
        <f>HYPERLINK("http://141.218.60.56/~jnz1568/getInfo.php?workbook=03_02.xlsx&amp;sheet=A0&amp;row=293&amp;col=12&amp;number=217&amp;sourceID=30","217")</f>
        <v>217</v>
      </c>
      <c r="M293" s="4" t="str">
        <f>HYPERLINK("http://141.218.60.56/~jnz1568/getInfo.php?workbook=03_02.xlsx&amp;sheet=A0&amp;row=293&amp;col=13&amp;number=1.165e-09&amp;sourceID=30","1.165e-09")</f>
        <v>1.165e-09</v>
      </c>
      <c r="N293" s="4" t="str">
        <f>HYPERLINK("http://141.218.60.56/~jnz1568/getInfo.php?workbook=03_02.xlsx&amp;sheet=A0&amp;row=293&amp;col=14&amp;number=&amp;sourceID=30","")</f>
        <v/>
      </c>
    </row>
    <row r="294" spans="1:14">
      <c r="A294" s="3">
        <v>3</v>
      </c>
      <c r="B294" s="3">
        <v>2</v>
      </c>
      <c r="C294" s="3">
        <v>27</v>
      </c>
      <c r="D294" s="3">
        <v>11</v>
      </c>
      <c r="E294" s="3">
        <f>((1/(INDEX(E0!J$4:J$52,C294,1)-INDEX(E0!J$4:J$52,D294,1))))*100000000</f>
        <v>0</v>
      </c>
      <c r="F294" s="4" t="str">
        <f>HYPERLINK("http://141.218.60.56/~jnz1568/getInfo.php?workbook=03_02.xlsx&amp;sheet=A0&amp;row=294&amp;col=6&amp;number=&amp;sourceID=27","")</f>
        <v/>
      </c>
      <c r="G294" s="4" t="str">
        <f>HYPERLINK("http://141.218.60.56/~jnz1568/getInfo.php?workbook=03_02.xlsx&amp;sheet=A0&amp;row=294&amp;col=7&amp;number=&amp;sourceID=15","")</f>
        <v/>
      </c>
      <c r="H294" s="4" t="str">
        <f>HYPERLINK("http://141.218.60.56/~jnz1568/getInfo.php?workbook=03_02.xlsx&amp;sheet=A0&amp;row=294&amp;col=8&amp;number=&amp;sourceID=15","")</f>
        <v/>
      </c>
      <c r="I294" s="4" t="str">
        <f>HYPERLINK("http://141.218.60.56/~jnz1568/getInfo.php?workbook=03_02.xlsx&amp;sheet=A0&amp;row=294&amp;col=9&amp;number=&amp;sourceID=15","")</f>
        <v/>
      </c>
      <c r="J294" s="4" t="str">
        <f>HYPERLINK("http://141.218.60.56/~jnz1568/getInfo.php?workbook=03_02.xlsx&amp;sheet=A0&amp;row=294&amp;col=10&amp;number=&amp;sourceID=15","")</f>
        <v/>
      </c>
      <c r="K294" s="4" t="str">
        <f>HYPERLINK("http://141.218.60.56/~jnz1568/getInfo.php?workbook=03_02.xlsx&amp;sheet=A0&amp;row=294&amp;col=11&amp;number=&amp;sourceID=30","")</f>
        <v/>
      </c>
      <c r="L294" s="4" t="str">
        <f>HYPERLINK("http://141.218.60.56/~jnz1568/getInfo.php?workbook=03_02.xlsx&amp;sheet=A0&amp;row=294&amp;col=12&amp;number=31&amp;sourceID=30","31")</f>
        <v>31</v>
      </c>
      <c r="M294" s="4" t="str">
        <f>HYPERLINK("http://141.218.60.56/~jnz1568/getInfo.php?workbook=03_02.xlsx&amp;sheet=A0&amp;row=294&amp;col=13&amp;number=1.856e-09&amp;sourceID=30","1.856e-09")</f>
        <v>1.856e-09</v>
      </c>
      <c r="N294" s="4" t="str">
        <f>HYPERLINK("http://141.218.60.56/~jnz1568/getInfo.php?workbook=03_02.xlsx&amp;sheet=A0&amp;row=294&amp;col=14&amp;number=&amp;sourceID=30","")</f>
        <v/>
      </c>
    </row>
    <row r="295" spans="1:14">
      <c r="A295" s="3">
        <v>3</v>
      </c>
      <c r="B295" s="3">
        <v>2</v>
      </c>
      <c r="C295" s="3">
        <v>27</v>
      </c>
      <c r="D295" s="3">
        <v>12</v>
      </c>
      <c r="E295" s="3">
        <f>((1/(INDEX(E0!J$4:J$52,C295,1)-INDEX(E0!J$4:J$52,D295,1))))*100000000</f>
        <v>0</v>
      </c>
      <c r="F295" s="4" t="str">
        <f>HYPERLINK("http://141.218.60.56/~jnz1568/getInfo.php?workbook=03_02.xlsx&amp;sheet=A0&amp;row=295&amp;col=6&amp;number=&amp;sourceID=27","")</f>
        <v/>
      </c>
      <c r="G295" s="4" t="str">
        <f>HYPERLINK("http://141.218.60.56/~jnz1568/getInfo.php?workbook=03_02.xlsx&amp;sheet=A0&amp;row=295&amp;col=7&amp;number=&amp;sourceID=15","")</f>
        <v/>
      </c>
      <c r="H295" s="4" t="str">
        <f>HYPERLINK("http://141.218.60.56/~jnz1568/getInfo.php?workbook=03_02.xlsx&amp;sheet=A0&amp;row=295&amp;col=8&amp;number=&amp;sourceID=15","")</f>
        <v/>
      </c>
      <c r="I295" s="4" t="str">
        <f>HYPERLINK("http://141.218.60.56/~jnz1568/getInfo.php?workbook=03_02.xlsx&amp;sheet=A0&amp;row=295&amp;col=9&amp;number=&amp;sourceID=15","")</f>
        <v/>
      </c>
      <c r="J295" s="4" t="str">
        <f>HYPERLINK("http://141.218.60.56/~jnz1568/getInfo.php?workbook=03_02.xlsx&amp;sheet=A0&amp;row=295&amp;col=10&amp;number=&amp;sourceID=15","")</f>
        <v/>
      </c>
      <c r="K295" s="4" t="str">
        <f>HYPERLINK("http://141.218.60.56/~jnz1568/getInfo.php?workbook=03_02.xlsx&amp;sheet=A0&amp;row=295&amp;col=11&amp;number=&amp;sourceID=30","")</f>
        <v/>
      </c>
      <c r="L295" s="4" t="str">
        <f>HYPERLINK("http://141.218.60.56/~jnz1568/getInfo.php?workbook=03_02.xlsx&amp;sheet=A0&amp;row=295&amp;col=12&amp;number=217&amp;sourceID=30","217")</f>
        <v>217</v>
      </c>
      <c r="M295" s="4" t="str">
        <f>HYPERLINK("http://141.218.60.56/~jnz1568/getInfo.php?workbook=03_02.xlsx&amp;sheet=A0&amp;row=295&amp;col=13&amp;number=&amp;sourceID=30","")</f>
        <v/>
      </c>
      <c r="N295" s="4" t="str">
        <f>HYPERLINK("http://141.218.60.56/~jnz1568/getInfo.php?workbook=03_02.xlsx&amp;sheet=A0&amp;row=295&amp;col=14&amp;number=&amp;sourceID=30","")</f>
        <v/>
      </c>
    </row>
    <row r="296" spans="1:14">
      <c r="A296" s="3">
        <v>3</v>
      </c>
      <c r="B296" s="3">
        <v>2</v>
      </c>
      <c r="C296" s="3">
        <v>27</v>
      </c>
      <c r="D296" s="3">
        <v>13</v>
      </c>
      <c r="E296" s="3">
        <f>((1/(INDEX(E0!J$4:J$52,C296,1)-INDEX(E0!J$4:J$52,D296,1))))*100000000</f>
        <v>0</v>
      </c>
      <c r="F296" s="4" t="str">
        <f>HYPERLINK("http://141.218.60.56/~jnz1568/getInfo.php?workbook=03_02.xlsx&amp;sheet=A0&amp;row=296&amp;col=6&amp;number=&amp;sourceID=27","")</f>
        <v/>
      </c>
      <c r="G296" s="4" t="str">
        <f>HYPERLINK("http://141.218.60.56/~jnz1568/getInfo.php?workbook=03_02.xlsx&amp;sheet=A0&amp;row=296&amp;col=7&amp;number=34413000&amp;sourceID=15","34413000")</f>
        <v>34413000</v>
      </c>
      <c r="H296" s="4" t="str">
        <f>HYPERLINK("http://141.218.60.56/~jnz1568/getInfo.php?workbook=03_02.xlsx&amp;sheet=A0&amp;row=296&amp;col=8&amp;number=&amp;sourceID=15","")</f>
        <v/>
      </c>
      <c r="I296" s="4" t="str">
        <f>HYPERLINK("http://141.218.60.56/~jnz1568/getInfo.php?workbook=03_02.xlsx&amp;sheet=A0&amp;row=296&amp;col=9&amp;number=&amp;sourceID=15","")</f>
        <v/>
      </c>
      <c r="J296" s="4" t="str">
        <f>HYPERLINK("http://141.218.60.56/~jnz1568/getInfo.php?workbook=03_02.xlsx&amp;sheet=A0&amp;row=296&amp;col=10&amp;number=&amp;sourceID=15","")</f>
        <v/>
      </c>
      <c r="K296" s="4" t="str">
        <f>HYPERLINK("http://141.218.60.56/~jnz1568/getInfo.php?workbook=03_02.xlsx&amp;sheet=A0&amp;row=296&amp;col=11&amp;number=34370000&amp;sourceID=30","34370000")</f>
        <v>34370000</v>
      </c>
      <c r="L296" s="4" t="str">
        <f>HYPERLINK("http://141.218.60.56/~jnz1568/getInfo.php?workbook=03_02.xlsx&amp;sheet=A0&amp;row=296&amp;col=12&amp;number=&amp;sourceID=30","")</f>
        <v/>
      </c>
      <c r="M296" s="4" t="str">
        <f>HYPERLINK("http://141.218.60.56/~jnz1568/getInfo.php?workbook=03_02.xlsx&amp;sheet=A0&amp;row=296&amp;col=13&amp;number=&amp;sourceID=30","")</f>
        <v/>
      </c>
      <c r="N296" s="4" t="str">
        <f>HYPERLINK("http://141.218.60.56/~jnz1568/getInfo.php?workbook=03_02.xlsx&amp;sheet=A0&amp;row=296&amp;col=14&amp;number=4.549e-05&amp;sourceID=30","4.549e-05")</f>
        <v>4.549e-05</v>
      </c>
    </row>
    <row r="297" spans="1:14">
      <c r="A297" s="3">
        <v>3</v>
      </c>
      <c r="B297" s="3">
        <v>2</v>
      </c>
      <c r="C297" s="3">
        <v>27</v>
      </c>
      <c r="D297" s="3">
        <v>14</v>
      </c>
      <c r="E297" s="3">
        <f>((1/(INDEX(E0!J$4:J$52,C297,1)-INDEX(E0!J$4:J$52,D297,1))))*100000000</f>
        <v>0</v>
      </c>
      <c r="F297" s="4" t="str">
        <f>HYPERLINK("http://141.218.60.56/~jnz1568/getInfo.php?workbook=03_02.xlsx&amp;sheet=A0&amp;row=297&amp;col=6&amp;number=&amp;sourceID=27","")</f>
        <v/>
      </c>
      <c r="G297" s="4" t="str">
        <f>HYPERLINK("http://141.218.60.56/~jnz1568/getInfo.php?workbook=03_02.xlsx&amp;sheet=A0&amp;row=297&amp;col=7&amp;number=983580&amp;sourceID=15","983580")</f>
        <v>983580</v>
      </c>
      <c r="H297" s="4" t="str">
        <f>HYPERLINK("http://141.218.60.56/~jnz1568/getInfo.php?workbook=03_02.xlsx&amp;sheet=A0&amp;row=297&amp;col=8&amp;number=&amp;sourceID=15","")</f>
        <v/>
      </c>
      <c r="I297" s="4" t="str">
        <f>HYPERLINK("http://141.218.60.56/~jnz1568/getInfo.php?workbook=03_02.xlsx&amp;sheet=A0&amp;row=297&amp;col=9&amp;number=&amp;sourceID=15","")</f>
        <v/>
      </c>
      <c r="J297" s="4" t="str">
        <f>HYPERLINK("http://141.218.60.56/~jnz1568/getInfo.php?workbook=03_02.xlsx&amp;sheet=A0&amp;row=297&amp;col=10&amp;number=&amp;sourceID=15","")</f>
        <v/>
      </c>
      <c r="K297" s="4" t="str">
        <f>HYPERLINK("http://141.218.60.56/~jnz1568/getInfo.php?workbook=03_02.xlsx&amp;sheet=A0&amp;row=297&amp;col=11&amp;number=982100&amp;sourceID=30","982100")</f>
        <v>982100</v>
      </c>
      <c r="L297" s="4" t="str">
        <f>HYPERLINK("http://141.218.60.56/~jnz1568/getInfo.php?workbook=03_02.xlsx&amp;sheet=A0&amp;row=297&amp;col=12&amp;number=&amp;sourceID=30","")</f>
        <v/>
      </c>
      <c r="M297" s="4" t="str">
        <f>HYPERLINK("http://141.218.60.56/~jnz1568/getInfo.php?workbook=03_02.xlsx&amp;sheet=A0&amp;row=297&amp;col=13&amp;number=&amp;sourceID=30","")</f>
        <v/>
      </c>
      <c r="N297" s="4" t="str">
        <f>HYPERLINK("http://141.218.60.56/~jnz1568/getInfo.php?workbook=03_02.xlsx&amp;sheet=A0&amp;row=297&amp;col=14&amp;number=0&amp;sourceID=30","0")</f>
        <v>0</v>
      </c>
    </row>
    <row r="298" spans="1:14">
      <c r="A298" s="3">
        <v>3</v>
      </c>
      <c r="B298" s="3">
        <v>2</v>
      </c>
      <c r="C298" s="3">
        <v>27</v>
      </c>
      <c r="D298" s="3">
        <v>15</v>
      </c>
      <c r="E298" s="3">
        <f>((1/(INDEX(E0!J$4:J$52,C298,1)-INDEX(E0!J$4:J$52,D298,1))))*100000000</f>
        <v>0</v>
      </c>
      <c r="F298" s="4" t="str">
        <f>HYPERLINK("http://141.218.60.56/~jnz1568/getInfo.php?workbook=03_02.xlsx&amp;sheet=A0&amp;row=298&amp;col=6&amp;number=&amp;sourceID=27","")</f>
        <v/>
      </c>
      <c r="G298" s="4" t="str">
        <f>HYPERLINK("http://141.218.60.56/~jnz1568/getInfo.php?workbook=03_02.xlsx&amp;sheet=A0&amp;row=298&amp;col=7&amp;number=185900000&amp;sourceID=15","185900000")</f>
        <v>185900000</v>
      </c>
      <c r="H298" s="4" t="str">
        <f>HYPERLINK("http://141.218.60.56/~jnz1568/getInfo.php?workbook=03_02.xlsx&amp;sheet=A0&amp;row=298&amp;col=8&amp;number=&amp;sourceID=15","")</f>
        <v/>
      </c>
      <c r="I298" s="4" t="str">
        <f>HYPERLINK("http://141.218.60.56/~jnz1568/getInfo.php?workbook=03_02.xlsx&amp;sheet=A0&amp;row=298&amp;col=9&amp;number=&amp;sourceID=15","")</f>
        <v/>
      </c>
      <c r="J298" s="4" t="str">
        <f>HYPERLINK("http://141.218.60.56/~jnz1568/getInfo.php?workbook=03_02.xlsx&amp;sheet=A0&amp;row=298&amp;col=10&amp;number=&amp;sourceID=15","")</f>
        <v/>
      </c>
      <c r="K298" s="4" t="str">
        <f>HYPERLINK("http://141.218.60.56/~jnz1568/getInfo.php?workbook=03_02.xlsx&amp;sheet=A0&amp;row=298&amp;col=11&amp;number=185600000&amp;sourceID=30","185600000")</f>
        <v>185600000</v>
      </c>
      <c r="L298" s="4" t="str">
        <f>HYPERLINK("http://141.218.60.56/~jnz1568/getInfo.php?workbook=03_02.xlsx&amp;sheet=A0&amp;row=298&amp;col=12&amp;number=&amp;sourceID=30","")</f>
        <v/>
      </c>
      <c r="M298" s="4" t="str">
        <f>HYPERLINK("http://141.218.60.56/~jnz1568/getInfo.php?workbook=03_02.xlsx&amp;sheet=A0&amp;row=298&amp;col=13&amp;number=&amp;sourceID=30","")</f>
        <v/>
      </c>
      <c r="N298" s="4" t="str">
        <f>HYPERLINK("http://141.218.60.56/~jnz1568/getInfo.php?workbook=03_02.xlsx&amp;sheet=A0&amp;row=298&amp;col=14&amp;number=0.0001732&amp;sourceID=30","0.0001732")</f>
        <v>0.0001732</v>
      </c>
    </row>
    <row r="299" spans="1:14">
      <c r="A299" s="3">
        <v>3</v>
      </c>
      <c r="B299" s="3">
        <v>2</v>
      </c>
      <c r="C299" s="3">
        <v>27</v>
      </c>
      <c r="D299" s="3">
        <v>16</v>
      </c>
      <c r="E299" s="3">
        <f>((1/(INDEX(E0!J$4:J$52,C299,1)-INDEX(E0!J$4:J$52,D299,1))))*100000000</f>
        <v>0</v>
      </c>
      <c r="F299" s="4" t="str">
        <f>HYPERLINK("http://141.218.60.56/~jnz1568/getInfo.php?workbook=03_02.xlsx&amp;sheet=A0&amp;row=299&amp;col=6&amp;number=&amp;sourceID=27","")</f>
        <v/>
      </c>
      <c r="G299" s="4" t="str">
        <f>HYPERLINK("http://141.218.60.56/~jnz1568/getInfo.php?workbook=03_02.xlsx&amp;sheet=A0&amp;row=299&amp;col=7&amp;number=12350&amp;sourceID=15","12350")</f>
        <v>12350</v>
      </c>
      <c r="H299" s="4" t="str">
        <f>HYPERLINK("http://141.218.60.56/~jnz1568/getInfo.php?workbook=03_02.xlsx&amp;sheet=A0&amp;row=299&amp;col=8&amp;number=&amp;sourceID=15","")</f>
        <v/>
      </c>
      <c r="I299" s="4" t="str">
        <f>HYPERLINK("http://141.218.60.56/~jnz1568/getInfo.php?workbook=03_02.xlsx&amp;sheet=A0&amp;row=299&amp;col=9&amp;number=&amp;sourceID=15","")</f>
        <v/>
      </c>
      <c r="J299" s="4" t="str">
        <f>HYPERLINK("http://141.218.60.56/~jnz1568/getInfo.php?workbook=03_02.xlsx&amp;sheet=A0&amp;row=299&amp;col=10&amp;number=&amp;sourceID=15","")</f>
        <v/>
      </c>
      <c r="K299" s="4" t="str">
        <f>HYPERLINK("http://141.218.60.56/~jnz1568/getInfo.php?workbook=03_02.xlsx&amp;sheet=A0&amp;row=299&amp;col=11&amp;number=5935&amp;sourceID=30","5935")</f>
        <v>5935</v>
      </c>
      <c r="L299" s="4" t="str">
        <f>HYPERLINK("http://141.218.60.56/~jnz1568/getInfo.php?workbook=03_02.xlsx&amp;sheet=A0&amp;row=299&amp;col=12&amp;number=&amp;sourceID=30","")</f>
        <v/>
      </c>
      <c r="M299" s="4" t="str">
        <f>HYPERLINK("http://141.218.60.56/~jnz1568/getInfo.php?workbook=03_02.xlsx&amp;sheet=A0&amp;row=299&amp;col=13&amp;number=&amp;sourceID=30","")</f>
        <v/>
      </c>
      <c r="N299" s="4" t="str">
        <f>HYPERLINK("http://141.218.60.56/~jnz1568/getInfo.php?workbook=03_02.xlsx&amp;sheet=A0&amp;row=299&amp;col=14&amp;number=2.858e-05&amp;sourceID=30","2.858e-05")</f>
        <v>2.858e-05</v>
      </c>
    </row>
    <row r="300" spans="1:14">
      <c r="A300" s="3">
        <v>3</v>
      </c>
      <c r="B300" s="3">
        <v>2</v>
      </c>
      <c r="C300" s="3">
        <v>27</v>
      </c>
      <c r="D300" s="3">
        <v>17</v>
      </c>
      <c r="E300" s="3">
        <f>((1/(INDEX(E0!J$4:J$52,C300,1)-INDEX(E0!J$4:J$52,D300,1))))*100000000</f>
        <v>0</v>
      </c>
      <c r="F300" s="4" t="str">
        <f>HYPERLINK("http://141.218.60.56/~jnz1568/getInfo.php?workbook=03_02.xlsx&amp;sheet=A0&amp;row=300&amp;col=6&amp;number=&amp;sourceID=27","")</f>
        <v/>
      </c>
      <c r="G300" s="4" t="str">
        <f>HYPERLINK("http://141.218.60.56/~jnz1568/getInfo.php?workbook=03_02.xlsx&amp;sheet=A0&amp;row=300&amp;col=7&amp;number=&amp;sourceID=15","")</f>
        <v/>
      </c>
      <c r="H300" s="4" t="str">
        <f>HYPERLINK("http://141.218.60.56/~jnz1568/getInfo.php?workbook=03_02.xlsx&amp;sheet=A0&amp;row=300&amp;col=8&amp;number=&amp;sourceID=15","")</f>
        <v/>
      </c>
      <c r="I300" s="4" t="str">
        <f>HYPERLINK("http://141.218.60.56/~jnz1568/getInfo.php?workbook=03_02.xlsx&amp;sheet=A0&amp;row=300&amp;col=9&amp;number=&amp;sourceID=15","")</f>
        <v/>
      </c>
      <c r="J300" s="4" t="str">
        <f>HYPERLINK("http://141.218.60.56/~jnz1568/getInfo.php?workbook=03_02.xlsx&amp;sheet=A0&amp;row=300&amp;col=10&amp;number=&amp;sourceID=15","")</f>
        <v/>
      </c>
      <c r="K300" s="4" t="str">
        <f>HYPERLINK("http://141.218.60.56/~jnz1568/getInfo.php?workbook=03_02.xlsx&amp;sheet=A0&amp;row=300&amp;col=11&amp;number=&amp;sourceID=30","")</f>
        <v/>
      </c>
      <c r="L300" s="4" t="str">
        <f>HYPERLINK("http://141.218.60.56/~jnz1568/getInfo.php?workbook=03_02.xlsx&amp;sheet=A0&amp;row=300&amp;col=12&amp;number=6.833e-05&amp;sourceID=30","6.833e-05")</f>
        <v>6.833e-05</v>
      </c>
      <c r="M300" s="4" t="str">
        <f>HYPERLINK("http://141.218.60.56/~jnz1568/getInfo.php?workbook=03_02.xlsx&amp;sheet=A0&amp;row=300&amp;col=13&amp;number=7.58e-10&amp;sourceID=30","7.58e-10")</f>
        <v>7.58e-10</v>
      </c>
      <c r="N300" s="4" t="str">
        <f>HYPERLINK("http://141.218.60.56/~jnz1568/getInfo.php?workbook=03_02.xlsx&amp;sheet=A0&amp;row=300&amp;col=14&amp;number=&amp;sourceID=30","")</f>
        <v/>
      </c>
    </row>
    <row r="301" spans="1:14">
      <c r="A301" s="3">
        <v>3</v>
      </c>
      <c r="B301" s="3">
        <v>2</v>
      </c>
      <c r="C301" s="3">
        <v>27</v>
      </c>
      <c r="D301" s="3">
        <v>18</v>
      </c>
      <c r="E301" s="3">
        <f>((1/(INDEX(E0!J$4:J$52,C301,1)-INDEX(E0!J$4:J$52,D301,1))))*100000000</f>
        <v>0</v>
      </c>
      <c r="F301" s="4" t="str">
        <f>HYPERLINK("http://141.218.60.56/~jnz1568/getInfo.php?workbook=03_02.xlsx&amp;sheet=A0&amp;row=301&amp;col=6&amp;number=&amp;sourceID=27","")</f>
        <v/>
      </c>
      <c r="G301" s="4" t="str">
        <f>HYPERLINK("http://141.218.60.56/~jnz1568/getInfo.php?workbook=03_02.xlsx&amp;sheet=A0&amp;row=301&amp;col=7&amp;number=&amp;sourceID=15","")</f>
        <v/>
      </c>
      <c r="H301" s="4" t="str">
        <f>HYPERLINK("http://141.218.60.56/~jnz1568/getInfo.php?workbook=03_02.xlsx&amp;sheet=A0&amp;row=301&amp;col=8&amp;number=&amp;sourceID=15","")</f>
        <v/>
      </c>
      <c r="I301" s="4" t="str">
        <f>HYPERLINK("http://141.218.60.56/~jnz1568/getInfo.php?workbook=03_02.xlsx&amp;sheet=A0&amp;row=301&amp;col=9&amp;number=&amp;sourceID=15","")</f>
        <v/>
      </c>
      <c r="J301" s="4" t="str">
        <f>HYPERLINK("http://141.218.60.56/~jnz1568/getInfo.php?workbook=03_02.xlsx&amp;sheet=A0&amp;row=301&amp;col=10&amp;number=&amp;sourceID=15","")</f>
        <v/>
      </c>
      <c r="K301" s="4" t="str">
        <f>HYPERLINK("http://141.218.60.56/~jnz1568/getInfo.php?workbook=03_02.xlsx&amp;sheet=A0&amp;row=301&amp;col=11&amp;number=0.0001233&amp;sourceID=30","0.0001233")</f>
        <v>0.0001233</v>
      </c>
      <c r="L301" s="4" t="str">
        <f>HYPERLINK("http://141.218.60.56/~jnz1568/getInfo.php?workbook=03_02.xlsx&amp;sheet=A0&amp;row=301&amp;col=12&amp;number=&amp;sourceID=30","")</f>
        <v/>
      </c>
      <c r="M301" s="4" t="str">
        <f>HYPERLINK("http://141.218.60.56/~jnz1568/getInfo.php?workbook=03_02.xlsx&amp;sheet=A0&amp;row=301&amp;col=13&amp;number=&amp;sourceID=30","")</f>
        <v/>
      </c>
      <c r="N301" s="4" t="str">
        <f>HYPERLINK("http://141.218.60.56/~jnz1568/getInfo.php?workbook=03_02.xlsx&amp;sheet=A0&amp;row=301&amp;col=14&amp;number=0&amp;sourceID=30","0")</f>
        <v>0</v>
      </c>
    </row>
    <row r="302" spans="1:14">
      <c r="A302" s="3">
        <v>3</v>
      </c>
      <c r="B302" s="3">
        <v>2</v>
      </c>
      <c r="C302" s="3">
        <v>27</v>
      </c>
      <c r="D302" s="3">
        <v>19</v>
      </c>
      <c r="E302" s="3">
        <f>((1/(INDEX(E0!J$4:J$52,C302,1)-INDEX(E0!J$4:J$52,D302,1))))*100000000</f>
        <v>0</v>
      </c>
      <c r="F302" s="4" t="str">
        <f>HYPERLINK("http://141.218.60.56/~jnz1568/getInfo.php?workbook=03_02.xlsx&amp;sheet=A0&amp;row=302&amp;col=6&amp;number=&amp;sourceID=27","")</f>
        <v/>
      </c>
      <c r="G302" s="4" t="str">
        <f>HYPERLINK("http://141.218.60.56/~jnz1568/getInfo.php?workbook=03_02.xlsx&amp;sheet=A0&amp;row=302&amp;col=7&amp;number=&amp;sourceID=15","")</f>
        <v/>
      </c>
      <c r="H302" s="4" t="str">
        <f>HYPERLINK("http://141.218.60.56/~jnz1568/getInfo.php?workbook=03_02.xlsx&amp;sheet=A0&amp;row=302&amp;col=8&amp;number=&amp;sourceID=15","")</f>
        <v/>
      </c>
      <c r="I302" s="4" t="str">
        <f>HYPERLINK("http://141.218.60.56/~jnz1568/getInfo.php?workbook=03_02.xlsx&amp;sheet=A0&amp;row=302&amp;col=9&amp;number=&amp;sourceID=15","")</f>
        <v/>
      </c>
      <c r="J302" s="4" t="str">
        <f>HYPERLINK("http://141.218.60.56/~jnz1568/getInfo.php?workbook=03_02.xlsx&amp;sheet=A0&amp;row=302&amp;col=10&amp;number=&amp;sourceID=15","")</f>
        <v/>
      </c>
      <c r="K302" s="4" t="str">
        <f>HYPERLINK("http://141.218.60.56/~jnz1568/getInfo.php?workbook=03_02.xlsx&amp;sheet=A0&amp;row=302&amp;col=11&amp;number=&amp;sourceID=30","")</f>
        <v/>
      </c>
      <c r="L302" s="4" t="str">
        <f>HYPERLINK("http://141.218.60.56/~jnz1568/getInfo.php?workbook=03_02.xlsx&amp;sheet=A0&amp;row=302&amp;col=12&amp;number=&amp;sourceID=30","")</f>
        <v/>
      </c>
      <c r="M302" s="4" t="str">
        <f>HYPERLINK("http://141.218.60.56/~jnz1568/getInfo.php?workbook=03_02.xlsx&amp;sheet=A0&amp;row=302&amp;col=13&amp;number=&amp;sourceID=30","")</f>
        <v/>
      </c>
      <c r="N302" s="4" t="str">
        <f>HYPERLINK("http://141.218.60.56/~jnz1568/getInfo.php?workbook=03_02.xlsx&amp;sheet=A0&amp;row=302&amp;col=14&amp;number=0&amp;sourceID=30","0")</f>
        <v>0</v>
      </c>
    </row>
    <row r="303" spans="1:14">
      <c r="A303" s="3">
        <v>3</v>
      </c>
      <c r="B303" s="3">
        <v>2</v>
      </c>
      <c r="C303" s="3">
        <v>27</v>
      </c>
      <c r="D303" s="3">
        <v>20</v>
      </c>
      <c r="E303" s="3">
        <f>((1/(INDEX(E0!J$4:J$52,C303,1)-INDEX(E0!J$4:J$52,D303,1))))*100000000</f>
        <v>0</v>
      </c>
      <c r="F303" s="4" t="str">
        <f>HYPERLINK("http://141.218.60.56/~jnz1568/getInfo.php?workbook=03_02.xlsx&amp;sheet=A0&amp;row=303&amp;col=6&amp;number=&amp;sourceID=27","")</f>
        <v/>
      </c>
      <c r="G303" s="4" t="str">
        <f>HYPERLINK("http://141.218.60.56/~jnz1568/getInfo.php?workbook=03_02.xlsx&amp;sheet=A0&amp;row=303&amp;col=7&amp;number=&amp;sourceID=15","")</f>
        <v/>
      </c>
      <c r="H303" s="4" t="str">
        <f>HYPERLINK("http://141.218.60.56/~jnz1568/getInfo.php?workbook=03_02.xlsx&amp;sheet=A0&amp;row=303&amp;col=8&amp;number=&amp;sourceID=15","")</f>
        <v/>
      </c>
      <c r="I303" s="4" t="str">
        <f>HYPERLINK("http://141.218.60.56/~jnz1568/getInfo.php?workbook=03_02.xlsx&amp;sheet=A0&amp;row=303&amp;col=9&amp;number=&amp;sourceID=15","")</f>
        <v/>
      </c>
      <c r="J303" s="4" t="str">
        <f>HYPERLINK("http://141.218.60.56/~jnz1568/getInfo.php?workbook=03_02.xlsx&amp;sheet=A0&amp;row=303&amp;col=10&amp;number=&amp;sourceID=15","")</f>
        <v/>
      </c>
      <c r="K303" s="4" t="str">
        <f>HYPERLINK("http://141.218.60.56/~jnz1568/getInfo.php?workbook=03_02.xlsx&amp;sheet=A0&amp;row=303&amp;col=11&amp;number=&amp;sourceID=30","")</f>
        <v/>
      </c>
      <c r="L303" s="4" t="str">
        <f>HYPERLINK("http://141.218.60.56/~jnz1568/getInfo.php?workbook=03_02.xlsx&amp;sheet=A0&amp;row=303&amp;col=12&amp;number=1.498e-05&amp;sourceID=30","1.498e-05")</f>
        <v>1.498e-05</v>
      </c>
      <c r="M303" s="4" t="str">
        <f>HYPERLINK("http://141.218.60.56/~jnz1568/getInfo.php?workbook=03_02.xlsx&amp;sheet=A0&amp;row=303&amp;col=13&amp;number=&amp;sourceID=30","")</f>
        <v/>
      </c>
      <c r="N303" s="4" t="str">
        <f>HYPERLINK("http://141.218.60.56/~jnz1568/getInfo.php?workbook=03_02.xlsx&amp;sheet=A0&amp;row=303&amp;col=14&amp;number=&amp;sourceID=30","")</f>
        <v/>
      </c>
    </row>
    <row r="304" spans="1:14">
      <c r="A304" s="3">
        <v>3</v>
      </c>
      <c r="B304" s="3">
        <v>2</v>
      </c>
      <c r="C304" s="3">
        <v>27</v>
      </c>
      <c r="D304" s="3">
        <v>21</v>
      </c>
      <c r="E304" s="3">
        <f>((1/(INDEX(E0!J$4:J$52,C304,1)-INDEX(E0!J$4:J$52,D304,1))))*100000000</f>
        <v>0</v>
      </c>
      <c r="F304" s="4" t="str">
        <f>HYPERLINK("http://141.218.60.56/~jnz1568/getInfo.php?workbook=03_02.xlsx&amp;sheet=A0&amp;row=304&amp;col=6&amp;number=&amp;sourceID=27","")</f>
        <v/>
      </c>
      <c r="G304" s="4" t="str">
        <f>HYPERLINK("http://141.218.60.56/~jnz1568/getInfo.php?workbook=03_02.xlsx&amp;sheet=A0&amp;row=304&amp;col=7&amp;number=&amp;sourceID=15","")</f>
        <v/>
      </c>
      <c r="H304" s="4" t="str">
        <f>HYPERLINK("http://141.218.60.56/~jnz1568/getInfo.php?workbook=03_02.xlsx&amp;sheet=A0&amp;row=304&amp;col=8&amp;number=&amp;sourceID=15","")</f>
        <v/>
      </c>
      <c r="I304" s="4" t="str">
        <f>HYPERLINK("http://141.218.60.56/~jnz1568/getInfo.php?workbook=03_02.xlsx&amp;sheet=A0&amp;row=304&amp;col=9&amp;number=&amp;sourceID=15","")</f>
        <v/>
      </c>
      <c r="J304" s="4" t="str">
        <f>HYPERLINK("http://141.218.60.56/~jnz1568/getInfo.php?workbook=03_02.xlsx&amp;sheet=A0&amp;row=304&amp;col=10&amp;number=&amp;sourceID=15","")</f>
        <v/>
      </c>
      <c r="K304" s="4" t="str">
        <f>HYPERLINK("http://141.218.60.56/~jnz1568/getInfo.php?workbook=03_02.xlsx&amp;sheet=A0&amp;row=304&amp;col=11&amp;number=&amp;sourceID=30","")</f>
        <v/>
      </c>
      <c r="L304" s="4" t="str">
        <f>HYPERLINK("http://141.218.60.56/~jnz1568/getInfo.php?workbook=03_02.xlsx&amp;sheet=A0&amp;row=304&amp;col=12&amp;number=1.503e-05&amp;sourceID=30","1.503e-05")</f>
        <v>1.503e-05</v>
      </c>
      <c r="M304" s="4" t="str">
        <f>HYPERLINK("http://141.218.60.56/~jnz1568/getInfo.php?workbook=03_02.xlsx&amp;sheet=A0&amp;row=304&amp;col=13&amp;number=2.2e-14&amp;sourceID=30","2.2e-14")</f>
        <v>2.2e-14</v>
      </c>
      <c r="N304" s="4" t="str">
        <f>HYPERLINK("http://141.218.60.56/~jnz1568/getInfo.php?workbook=03_02.xlsx&amp;sheet=A0&amp;row=304&amp;col=14&amp;number=&amp;sourceID=30","")</f>
        <v/>
      </c>
    </row>
    <row r="305" spans="1:14">
      <c r="A305" s="3">
        <v>3</v>
      </c>
      <c r="B305" s="3">
        <v>2</v>
      </c>
      <c r="C305" s="3">
        <v>27</v>
      </c>
      <c r="D305" s="3">
        <v>22</v>
      </c>
      <c r="E305" s="3">
        <f>((1/(INDEX(E0!J$4:J$52,C305,1)-INDEX(E0!J$4:J$52,D305,1))))*100000000</f>
        <v>0</v>
      </c>
      <c r="F305" s="4" t="str">
        <f>HYPERLINK("http://141.218.60.56/~jnz1568/getInfo.php?workbook=03_02.xlsx&amp;sheet=A0&amp;row=305&amp;col=6&amp;number=&amp;sourceID=27","")</f>
        <v/>
      </c>
      <c r="G305" s="4" t="str">
        <f>HYPERLINK("http://141.218.60.56/~jnz1568/getInfo.php?workbook=03_02.xlsx&amp;sheet=A0&amp;row=305&amp;col=7&amp;number=&amp;sourceID=15","")</f>
        <v/>
      </c>
      <c r="H305" s="4" t="str">
        <f>HYPERLINK("http://141.218.60.56/~jnz1568/getInfo.php?workbook=03_02.xlsx&amp;sheet=A0&amp;row=305&amp;col=8&amp;number=&amp;sourceID=15","")</f>
        <v/>
      </c>
      <c r="I305" s="4" t="str">
        <f>HYPERLINK("http://141.218.60.56/~jnz1568/getInfo.php?workbook=03_02.xlsx&amp;sheet=A0&amp;row=305&amp;col=9&amp;number=&amp;sourceID=15","")</f>
        <v/>
      </c>
      <c r="J305" s="4" t="str">
        <f>HYPERLINK("http://141.218.60.56/~jnz1568/getInfo.php?workbook=03_02.xlsx&amp;sheet=A0&amp;row=305&amp;col=10&amp;number=&amp;sourceID=15","")</f>
        <v/>
      </c>
      <c r="K305" s="4" t="str">
        <f>HYPERLINK("http://141.218.60.56/~jnz1568/getInfo.php?workbook=03_02.xlsx&amp;sheet=A0&amp;row=305&amp;col=11&amp;number=&amp;sourceID=30","")</f>
        <v/>
      </c>
      <c r="L305" s="4" t="str">
        <f>HYPERLINK("http://141.218.60.56/~jnz1568/getInfo.php?workbook=03_02.xlsx&amp;sheet=A0&amp;row=305&amp;col=12&amp;number=2.143e-06&amp;sourceID=30","2.143e-06")</f>
        <v>2.143e-06</v>
      </c>
      <c r="M305" s="4" t="str">
        <f>HYPERLINK("http://141.218.60.56/~jnz1568/getInfo.php?workbook=03_02.xlsx&amp;sheet=A0&amp;row=305&amp;col=13&amp;number=2.36e-13&amp;sourceID=30","2.36e-13")</f>
        <v>2.36e-13</v>
      </c>
      <c r="N305" s="4" t="str">
        <f>HYPERLINK("http://141.218.60.56/~jnz1568/getInfo.php?workbook=03_02.xlsx&amp;sheet=A0&amp;row=305&amp;col=14&amp;number=&amp;sourceID=30","")</f>
        <v/>
      </c>
    </row>
    <row r="306" spans="1:14">
      <c r="A306" s="3">
        <v>3</v>
      </c>
      <c r="B306" s="3">
        <v>2</v>
      </c>
      <c r="C306" s="3">
        <v>27</v>
      </c>
      <c r="D306" s="3">
        <v>23</v>
      </c>
      <c r="E306" s="3">
        <f>((1/(INDEX(E0!J$4:J$52,C306,1)-INDEX(E0!J$4:J$52,D306,1))))*100000000</f>
        <v>0</v>
      </c>
      <c r="F306" s="4" t="str">
        <f>HYPERLINK("http://141.218.60.56/~jnz1568/getInfo.php?workbook=03_02.xlsx&amp;sheet=A0&amp;row=306&amp;col=6&amp;number=&amp;sourceID=27","")</f>
        <v/>
      </c>
      <c r="G306" s="4" t="str">
        <f>HYPERLINK("http://141.218.60.56/~jnz1568/getInfo.php?workbook=03_02.xlsx&amp;sheet=A0&amp;row=306&amp;col=7&amp;number=&amp;sourceID=15","")</f>
        <v/>
      </c>
      <c r="H306" s="4" t="str">
        <f>HYPERLINK("http://141.218.60.56/~jnz1568/getInfo.php?workbook=03_02.xlsx&amp;sheet=A0&amp;row=306&amp;col=8&amp;number=&amp;sourceID=15","")</f>
        <v/>
      </c>
      <c r="I306" s="4" t="str">
        <f>HYPERLINK("http://141.218.60.56/~jnz1568/getInfo.php?workbook=03_02.xlsx&amp;sheet=A0&amp;row=306&amp;col=9&amp;number=&amp;sourceID=15","")</f>
        <v/>
      </c>
      <c r="J306" s="4" t="str">
        <f>HYPERLINK("http://141.218.60.56/~jnz1568/getInfo.php?workbook=03_02.xlsx&amp;sheet=A0&amp;row=306&amp;col=10&amp;number=&amp;sourceID=15","")</f>
        <v/>
      </c>
      <c r="K306" s="4" t="str">
        <f>HYPERLINK("http://141.218.60.56/~jnz1568/getInfo.php?workbook=03_02.xlsx&amp;sheet=A0&amp;row=306&amp;col=11&amp;number=0.1804&amp;sourceID=30","0.1804")</f>
        <v>0.1804</v>
      </c>
      <c r="L306" s="4" t="str">
        <f>HYPERLINK("http://141.218.60.56/~jnz1568/getInfo.php?workbook=03_02.xlsx&amp;sheet=A0&amp;row=306&amp;col=12&amp;number=&amp;sourceID=30","")</f>
        <v/>
      </c>
      <c r="M306" s="4" t="str">
        <f>HYPERLINK("http://141.218.60.56/~jnz1568/getInfo.php?workbook=03_02.xlsx&amp;sheet=A0&amp;row=306&amp;col=13&amp;number=&amp;sourceID=30","")</f>
        <v/>
      </c>
      <c r="N306" s="4" t="str">
        <f>HYPERLINK("http://141.218.60.56/~jnz1568/getInfo.php?workbook=03_02.xlsx&amp;sheet=A0&amp;row=306&amp;col=14&amp;number=0&amp;sourceID=30","0")</f>
        <v>0</v>
      </c>
    </row>
    <row r="307" spans="1:14">
      <c r="A307" s="3">
        <v>3</v>
      </c>
      <c r="B307" s="3">
        <v>2</v>
      </c>
      <c r="C307" s="3">
        <v>27</v>
      </c>
      <c r="D307" s="3">
        <v>24</v>
      </c>
      <c r="E307" s="3">
        <f>((1/(INDEX(E0!J$4:J$52,C307,1)-INDEX(E0!J$4:J$52,D307,1))))*100000000</f>
        <v>0</v>
      </c>
      <c r="F307" s="4" t="str">
        <f>HYPERLINK("http://141.218.60.56/~jnz1568/getInfo.php?workbook=03_02.xlsx&amp;sheet=A0&amp;row=307&amp;col=6&amp;number=&amp;sourceID=27","")</f>
        <v/>
      </c>
      <c r="G307" s="4" t="str">
        <f>HYPERLINK("http://141.218.60.56/~jnz1568/getInfo.php?workbook=03_02.xlsx&amp;sheet=A0&amp;row=307&amp;col=7&amp;number=&amp;sourceID=15","")</f>
        <v/>
      </c>
      <c r="H307" s="4" t="str">
        <f>HYPERLINK("http://141.218.60.56/~jnz1568/getInfo.php?workbook=03_02.xlsx&amp;sheet=A0&amp;row=307&amp;col=8&amp;number=&amp;sourceID=15","")</f>
        <v/>
      </c>
      <c r="I307" s="4" t="str">
        <f>HYPERLINK("http://141.218.60.56/~jnz1568/getInfo.php?workbook=03_02.xlsx&amp;sheet=A0&amp;row=307&amp;col=9&amp;number=&amp;sourceID=15","")</f>
        <v/>
      </c>
      <c r="J307" s="4" t="str">
        <f>HYPERLINK("http://141.218.60.56/~jnz1568/getInfo.php?workbook=03_02.xlsx&amp;sheet=A0&amp;row=307&amp;col=10&amp;number=&amp;sourceID=15","")</f>
        <v/>
      </c>
      <c r="K307" s="4" t="str">
        <f>HYPERLINK("http://141.218.60.56/~jnz1568/getInfo.php?workbook=03_02.xlsx&amp;sheet=A0&amp;row=307&amp;col=11&amp;number=0.03406&amp;sourceID=30","0.03406")</f>
        <v>0.03406</v>
      </c>
      <c r="L307" s="4" t="str">
        <f>HYPERLINK("http://141.218.60.56/~jnz1568/getInfo.php?workbook=03_02.xlsx&amp;sheet=A0&amp;row=307&amp;col=12&amp;number=&amp;sourceID=30","")</f>
        <v/>
      </c>
      <c r="M307" s="4" t="str">
        <f>HYPERLINK("http://141.218.60.56/~jnz1568/getInfo.php?workbook=03_02.xlsx&amp;sheet=A0&amp;row=307&amp;col=13&amp;number=&amp;sourceID=30","")</f>
        <v/>
      </c>
      <c r="N307" s="4" t="str">
        <f>HYPERLINK("http://141.218.60.56/~jnz1568/getInfo.php?workbook=03_02.xlsx&amp;sheet=A0&amp;row=307&amp;col=14&amp;number=0&amp;sourceID=30","0")</f>
        <v>0</v>
      </c>
    </row>
    <row r="308" spans="1:14">
      <c r="A308" s="3">
        <v>3</v>
      </c>
      <c r="B308" s="3">
        <v>2</v>
      </c>
      <c r="C308" s="3">
        <v>27</v>
      </c>
      <c r="D308" s="3">
        <v>25</v>
      </c>
      <c r="E308" s="3">
        <f>((1/(INDEX(E0!J$4:J$52,C308,1)-INDEX(E0!J$4:J$52,D308,1))))*100000000</f>
        <v>0</v>
      </c>
      <c r="F308" s="4" t="str">
        <f>HYPERLINK("http://141.218.60.56/~jnz1568/getInfo.php?workbook=03_02.xlsx&amp;sheet=A0&amp;row=308&amp;col=6&amp;number=&amp;sourceID=27","")</f>
        <v/>
      </c>
      <c r="G308" s="4" t="str">
        <f>HYPERLINK("http://141.218.60.56/~jnz1568/getInfo.php?workbook=03_02.xlsx&amp;sheet=A0&amp;row=308&amp;col=7&amp;number=&amp;sourceID=15","")</f>
        <v/>
      </c>
      <c r="H308" s="4" t="str">
        <f>HYPERLINK("http://141.218.60.56/~jnz1568/getInfo.php?workbook=03_02.xlsx&amp;sheet=A0&amp;row=308&amp;col=8&amp;number=&amp;sourceID=15","")</f>
        <v/>
      </c>
      <c r="I308" s="4" t="str">
        <f>HYPERLINK("http://141.218.60.56/~jnz1568/getInfo.php?workbook=03_02.xlsx&amp;sheet=A0&amp;row=308&amp;col=9&amp;number=&amp;sourceID=15","")</f>
        <v/>
      </c>
      <c r="J308" s="4" t="str">
        <f>HYPERLINK("http://141.218.60.56/~jnz1568/getInfo.php?workbook=03_02.xlsx&amp;sheet=A0&amp;row=308&amp;col=10&amp;number=&amp;sourceID=15","")</f>
        <v/>
      </c>
      <c r="K308" s="4" t="str">
        <f>HYPERLINK("http://141.218.60.56/~jnz1568/getInfo.php?workbook=03_02.xlsx&amp;sheet=A0&amp;row=308&amp;col=11&amp;number=0.000962&amp;sourceID=30","0.000962")</f>
        <v>0.000962</v>
      </c>
      <c r="L308" s="4" t="str">
        <f>HYPERLINK("http://141.218.60.56/~jnz1568/getInfo.php?workbook=03_02.xlsx&amp;sheet=A0&amp;row=308&amp;col=12&amp;number=&amp;sourceID=30","")</f>
        <v/>
      </c>
      <c r="M308" s="4" t="str">
        <f>HYPERLINK("http://141.218.60.56/~jnz1568/getInfo.php?workbook=03_02.xlsx&amp;sheet=A0&amp;row=308&amp;col=13&amp;number=&amp;sourceID=30","")</f>
        <v/>
      </c>
      <c r="N308" s="4" t="str">
        <f>HYPERLINK("http://141.218.60.56/~jnz1568/getInfo.php?workbook=03_02.xlsx&amp;sheet=A0&amp;row=308&amp;col=14&amp;number=0&amp;sourceID=30","0")</f>
        <v>0</v>
      </c>
    </row>
    <row r="309" spans="1:14">
      <c r="A309" s="3">
        <v>3</v>
      </c>
      <c r="B309" s="3">
        <v>2</v>
      </c>
      <c r="C309" s="3">
        <v>28</v>
      </c>
      <c r="D309" s="3">
        <v>2</v>
      </c>
      <c r="E309" s="3">
        <f>((1/(INDEX(E0!J$4:J$52,C309,1)-INDEX(E0!J$4:J$52,D309,1))))*100000000</f>
        <v>0</v>
      </c>
      <c r="F309" s="4" t="str">
        <f>HYPERLINK("http://141.218.60.56/~jnz1568/getInfo.php?workbook=03_02.xlsx&amp;sheet=A0&amp;row=309&amp;col=6&amp;number=&amp;sourceID=27","")</f>
        <v/>
      </c>
      <c r="G309" s="4" t="str">
        <f>HYPERLINK("http://141.218.60.56/~jnz1568/getInfo.php?workbook=03_02.xlsx&amp;sheet=A0&amp;row=309&amp;col=7&amp;number=&amp;sourceID=15","")</f>
        <v/>
      </c>
      <c r="H309" s="4" t="str">
        <f>HYPERLINK("http://141.218.60.56/~jnz1568/getInfo.php?workbook=03_02.xlsx&amp;sheet=A0&amp;row=309&amp;col=8&amp;number=&amp;sourceID=15","")</f>
        <v/>
      </c>
      <c r="I309" s="4" t="str">
        <f>HYPERLINK("http://141.218.60.56/~jnz1568/getInfo.php?workbook=03_02.xlsx&amp;sheet=A0&amp;row=309&amp;col=9&amp;number=&amp;sourceID=15","")</f>
        <v/>
      </c>
      <c r="J309" s="4" t="str">
        <f>HYPERLINK("http://141.218.60.56/~jnz1568/getInfo.php?workbook=03_02.xlsx&amp;sheet=A0&amp;row=309&amp;col=10&amp;number=&amp;sourceID=15","")</f>
        <v/>
      </c>
      <c r="K309" s="4" t="str">
        <f>HYPERLINK("http://141.218.60.56/~jnz1568/getInfo.php?workbook=03_02.xlsx&amp;sheet=A0&amp;row=309&amp;col=11&amp;number=&amp;sourceID=30","")</f>
        <v/>
      </c>
      <c r="L309" s="4" t="str">
        <f>HYPERLINK("http://141.218.60.56/~jnz1568/getInfo.php?workbook=03_02.xlsx&amp;sheet=A0&amp;row=309&amp;col=12&amp;number=&amp;sourceID=30","")</f>
        <v/>
      </c>
      <c r="M309" s="4" t="str">
        <f>HYPERLINK("http://141.218.60.56/~jnz1568/getInfo.php?workbook=03_02.xlsx&amp;sheet=A0&amp;row=309&amp;col=13&amp;number=&amp;sourceID=30","")</f>
        <v/>
      </c>
      <c r="N309" s="4" t="str">
        <f>HYPERLINK("http://141.218.60.56/~jnz1568/getInfo.php?workbook=03_02.xlsx&amp;sheet=A0&amp;row=309&amp;col=14&amp;number=6.79e-13&amp;sourceID=30","6.79e-13")</f>
        <v>6.79e-13</v>
      </c>
    </row>
    <row r="310" spans="1:14">
      <c r="A310" s="3">
        <v>3</v>
      </c>
      <c r="B310" s="3">
        <v>2</v>
      </c>
      <c r="C310" s="3">
        <v>28</v>
      </c>
      <c r="D310" s="3">
        <v>4</v>
      </c>
      <c r="E310" s="3">
        <f>((1/(INDEX(E0!J$4:J$52,C310,1)-INDEX(E0!J$4:J$52,D310,1))))*100000000</f>
        <v>0</v>
      </c>
      <c r="F310" s="4" t="str">
        <f>HYPERLINK("http://141.218.60.56/~jnz1568/getInfo.php?workbook=03_02.xlsx&amp;sheet=A0&amp;row=310&amp;col=6&amp;number=&amp;sourceID=27","")</f>
        <v/>
      </c>
      <c r="G310" s="4" t="str">
        <f>HYPERLINK("http://141.218.60.56/~jnz1568/getInfo.php?workbook=03_02.xlsx&amp;sheet=A0&amp;row=310&amp;col=7&amp;number=&amp;sourceID=15","")</f>
        <v/>
      </c>
      <c r="H310" s="4" t="str">
        <f>HYPERLINK("http://141.218.60.56/~jnz1568/getInfo.php?workbook=03_02.xlsx&amp;sheet=A0&amp;row=310&amp;col=8&amp;number=&amp;sourceID=15","")</f>
        <v/>
      </c>
      <c r="I310" s="4" t="str">
        <f>HYPERLINK("http://141.218.60.56/~jnz1568/getInfo.php?workbook=03_02.xlsx&amp;sheet=A0&amp;row=310&amp;col=9&amp;number=&amp;sourceID=15","")</f>
        <v/>
      </c>
      <c r="J310" s="4" t="str">
        <f>HYPERLINK("http://141.218.60.56/~jnz1568/getInfo.php?workbook=03_02.xlsx&amp;sheet=A0&amp;row=310&amp;col=10&amp;number=&amp;sourceID=15","")</f>
        <v/>
      </c>
      <c r="K310" s="4" t="str">
        <f>HYPERLINK("http://141.218.60.56/~jnz1568/getInfo.php?workbook=03_02.xlsx&amp;sheet=A0&amp;row=310&amp;col=11&amp;number=&amp;sourceID=30","")</f>
        <v/>
      </c>
      <c r="L310" s="4" t="str">
        <f>HYPERLINK("http://141.218.60.56/~jnz1568/getInfo.php?workbook=03_02.xlsx&amp;sheet=A0&amp;row=310&amp;col=12&amp;number=2128&amp;sourceID=30","2128")</f>
        <v>2128</v>
      </c>
      <c r="M310" s="4" t="str">
        <f>HYPERLINK("http://141.218.60.56/~jnz1568/getInfo.php?workbook=03_02.xlsx&amp;sheet=A0&amp;row=310&amp;col=13&amp;number=&amp;sourceID=30","")</f>
        <v/>
      </c>
      <c r="N310" s="4" t="str">
        <f>HYPERLINK("http://141.218.60.56/~jnz1568/getInfo.php?workbook=03_02.xlsx&amp;sheet=A0&amp;row=310&amp;col=14&amp;number=&amp;sourceID=30","")</f>
        <v/>
      </c>
    </row>
    <row r="311" spans="1:14">
      <c r="A311" s="3">
        <v>3</v>
      </c>
      <c r="B311" s="3">
        <v>2</v>
      </c>
      <c r="C311" s="3">
        <v>28</v>
      </c>
      <c r="D311" s="3">
        <v>5</v>
      </c>
      <c r="E311" s="3">
        <f>((1/(INDEX(E0!J$4:J$52,C311,1)-INDEX(E0!J$4:J$52,D311,1))))*100000000</f>
        <v>0</v>
      </c>
      <c r="F311" s="4" t="str">
        <f>HYPERLINK("http://141.218.60.56/~jnz1568/getInfo.php?workbook=03_02.xlsx&amp;sheet=A0&amp;row=311&amp;col=6&amp;number=&amp;sourceID=27","")</f>
        <v/>
      </c>
      <c r="G311" s="4" t="str">
        <f>HYPERLINK("http://141.218.60.56/~jnz1568/getInfo.php?workbook=03_02.xlsx&amp;sheet=A0&amp;row=311&amp;col=7&amp;number=&amp;sourceID=15","")</f>
        <v/>
      </c>
      <c r="H311" s="4" t="str">
        <f>HYPERLINK("http://141.218.60.56/~jnz1568/getInfo.php?workbook=03_02.xlsx&amp;sheet=A0&amp;row=311&amp;col=8&amp;number=&amp;sourceID=15","")</f>
        <v/>
      </c>
      <c r="I311" s="4" t="str">
        <f>HYPERLINK("http://141.218.60.56/~jnz1568/getInfo.php?workbook=03_02.xlsx&amp;sheet=A0&amp;row=311&amp;col=9&amp;number=&amp;sourceID=15","")</f>
        <v/>
      </c>
      <c r="J311" s="4" t="str">
        <f>HYPERLINK("http://141.218.60.56/~jnz1568/getInfo.php?workbook=03_02.xlsx&amp;sheet=A0&amp;row=311&amp;col=10&amp;number=&amp;sourceID=15","")</f>
        <v/>
      </c>
      <c r="K311" s="4" t="str">
        <f>HYPERLINK("http://141.218.60.56/~jnz1568/getInfo.php?workbook=03_02.xlsx&amp;sheet=A0&amp;row=311&amp;col=11&amp;number=&amp;sourceID=30","")</f>
        <v/>
      </c>
      <c r="L311" s="4" t="str">
        <f>HYPERLINK("http://141.218.60.56/~jnz1568/getInfo.php?workbook=03_02.xlsx&amp;sheet=A0&amp;row=311&amp;col=12&amp;number=1063&amp;sourceID=30","1063")</f>
        <v>1063</v>
      </c>
      <c r="M311" s="4" t="str">
        <f>HYPERLINK("http://141.218.60.56/~jnz1568/getInfo.php?workbook=03_02.xlsx&amp;sheet=A0&amp;row=311&amp;col=13&amp;number=1.881e-08&amp;sourceID=30","1.881e-08")</f>
        <v>1.881e-08</v>
      </c>
      <c r="N311" s="4" t="str">
        <f>HYPERLINK("http://141.218.60.56/~jnz1568/getInfo.php?workbook=03_02.xlsx&amp;sheet=A0&amp;row=311&amp;col=14&amp;number=&amp;sourceID=30","")</f>
        <v/>
      </c>
    </row>
    <row r="312" spans="1:14">
      <c r="A312" s="3">
        <v>3</v>
      </c>
      <c r="B312" s="3">
        <v>2</v>
      </c>
      <c r="C312" s="3">
        <v>28</v>
      </c>
      <c r="D312" s="3">
        <v>7</v>
      </c>
      <c r="E312" s="3">
        <f>((1/(INDEX(E0!J$4:J$52,C312,1)-INDEX(E0!J$4:J$52,D312,1))))*100000000</f>
        <v>0</v>
      </c>
      <c r="F312" s="4" t="str">
        <f>HYPERLINK("http://141.218.60.56/~jnz1568/getInfo.php?workbook=03_02.xlsx&amp;sheet=A0&amp;row=312&amp;col=6&amp;number=&amp;sourceID=27","")</f>
        <v/>
      </c>
      <c r="G312" s="4" t="str">
        <f>HYPERLINK("http://141.218.60.56/~jnz1568/getInfo.php?workbook=03_02.xlsx&amp;sheet=A0&amp;row=312&amp;col=7&amp;number=&amp;sourceID=15","")</f>
        <v/>
      </c>
      <c r="H312" s="4" t="str">
        <f>HYPERLINK("http://141.218.60.56/~jnz1568/getInfo.php?workbook=03_02.xlsx&amp;sheet=A0&amp;row=312&amp;col=8&amp;number=&amp;sourceID=15","")</f>
        <v/>
      </c>
      <c r="I312" s="4" t="str">
        <f>HYPERLINK("http://141.218.60.56/~jnz1568/getInfo.php?workbook=03_02.xlsx&amp;sheet=A0&amp;row=312&amp;col=9&amp;number=&amp;sourceID=15","")</f>
        <v/>
      </c>
      <c r="J312" s="4" t="str">
        <f>HYPERLINK("http://141.218.60.56/~jnz1568/getInfo.php?workbook=03_02.xlsx&amp;sheet=A0&amp;row=312&amp;col=10&amp;number=&amp;sourceID=15","")</f>
        <v/>
      </c>
      <c r="K312" s="4" t="str">
        <f>HYPERLINK("http://141.218.60.56/~jnz1568/getInfo.php?workbook=03_02.xlsx&amp;sheet=A0&amp;row=312&amp;col=11&amp;number=&amp;sourceID=30","")</f>
        <v/>
      </c>
      <c r="L312" s="4" t="str">
        <f>HYPERLINK("http://141.218.60.56/~jnz1568/getInfo.php?workbook=03_02.xlsx&amp;sheet=A0&amp;row=312&amp;col=12&amp;number=786.7&amp;sourceID=30","786.7")</f>
        <v>786.7</v>
      </c>
      <c r="M312" s="4" t="str">
        <f>HYPERLINK("http://141.218.60.56/~jnz1568/getInfo.php?workbook=03_02.xlsx&amp;sheet=A0&amp;row=312&amp;col=13&amp;number=&amp;sourceID=30","")</f>
        <v/>
      </c>
      <c r="N312" s="4" t="str">
        <f>HYPERLINK("http://141.218.60.56/~jnz1568/getInfo.php?workbook=03_02.xlsx&amp;sheet=A0&amp;row=312&amp;col=14&amp;number=&amp;sourceID=30","")</f>
        <v/>
      </c>
    </row>
    <row r="313" spans="1:14">
      <c r="A313" s="3">
        <v>3</v>
      </c>
      <c r="B313" s="3">
        <v>2</v>
      </c>
      <c r="C313" s="3">
        <v>28</v>
      </c>
      <c r="D313" s="3">
        <v>8</v>
      </c>
      <c r="E313" s="3">
        <f>((1/(INDEX(E0!J$4:J$52,C313,1)-INDEX(E0!J$4:J$52,D313,1))))*100000000</f>
        <v>0</v>
      </c>
      <c r="F313" s="4" t="str">
        <f>HYPERLINK("http://141.218.60.56/~jnz1568/getInfo.php?workbook=03_02.xlsx&amp;sheet=A0&amp;row=313&amp;col=6&amp;number=&amp;sourceID=27","")</f>
        <v/>
      </c>
      <c r="G313" s="4" t="str">
        <f>HYPERLINK("http://141.218.60.56/~jnz1568/getInfo.php?workbook=03_02.xlsx&amp;sheet=A0&amp;row=313&amp;col=7&amp;number=&amp;sourceID=15","")</f>
        <v/>
      </c>
      <c r="H313" s="4" t="str">
        <f>HYPERLINK("http://141.218.60.56/~jnz1568/getInfo.php?workbook=03_02.xlsx&amp;sheet=A0&amp;row=313&amp;col=8&amp;number=&amp;sourceID=15","")</f>
        <v/>
      </c>
      <c r="I313" s="4" t="str">
        <f>HYPERLINK("http://141.218.60.56/~jnz1568/getInfo.php?workbook=03_02.xlsx&amp;sheet=A0&amp;row=313&amp;col=9&amp;number=&amp;sourceID=15","")</f>
        <v/>
      </c>
      <c r="J313" s="4" t="str">
        <f>HYPERLINK("http://141.218.60.56/~jnz1568/getInfo.php?workbook=03_02.xlsx&amp;sheet=A0&amp;row=313&amp;col=10&amp;number=&amp;sourceID=15","")</f>
        <v/>
      </c>
      <c r="K313" s="4" t="str">
        <f>HYPERLINK("http://141.218.60.56/~jnz1568/getInfo.php?workbook=03_02.xlsx&amp;sheet=A0&amp;row=313&amp;col=11&amp;number=&amp;sourceID=30","")</f>
        <v/>
      </c>
      <c r="L313" s="4" t="str">
        <f>HYPERLINK("http://141.218.60.56/~jnz1568/getInfo.php?workbook=03_02.xlsx&amp;sheet=A0&amp;row=313&amp;col=12&amp;number=&amp;sourceID=30","")</f>
        <v/>
      </c>
      <c r="M313" s="4" t="str">
        <f>HYPERLINK("http://141.218.60.56/~jnz1568/getInfo.php?workbook=03_02.xlsx&amp;sheet=A0&amp;row=313&amp;col=13&amp;number=&amp;sourceID=30","")</f>
        <v/>
      </c>
      <c r="N313" s="4" t="str">
        <f>HYPERLINK("http://141.218.60.56/~jnz1568/getInfo.php?workbook=03_02.xlsx&amp;sheet=A0&amp;row=313&amp;col=14&amp;number=2e-15&amp;sourceID=30","2e-15")</f>
        <v>2e-15</v>
      </c>
    </row>
    <row r="314" spans="1:14">
      <c r="A314" s="3">
        <v>3</v>
      </c>
      <c r="B314" s="3">
        <v>2</v>
      </c>
      <c r="C314" s="3">
        <v>28</v>
      </c>
      <c r="D314" s="3">
        <v>10</v>
      </c>
      <c r="E314" s="3">
        <f>((1/(INDEX(E0!J$4:J$52,C314,1)-INDEX(E0!J$4:J$52,D314,1))))*100000000</f>
        <v>0</v>
      </c>
      <c r="F314" s="4" t="str">
        <f>HYPERLINK("http://141.218.60.56/~jnz1568/getInfo.php?workbook=03_02.xlsx&amp;sheet=A0&amp;row=314&amp;col=6&amp;number=&amp;sourceID=27","")</f>
        <v/>
      </c>
      <c r="G314" s="4" t="str">
        <f>HYPERLINK("http://141.218.60.56/~jnz1568/getInfo.php?workbook=03_02.xlsx&amp;sheet=A0&amp;row=314&amp;col=7&amp;number=&amp;sourceID=15","")</f>
        <v/>
      </c>
      <c r="H314" s="4" t="str">
        <f>HYPERLINK("http://141.218.60.56/~jnz1568/getInfo.php?workbook=03_02.xlsx&amp;sheet=A0&amp;row=314&amp;col=8&amp;number=&amp;sourceID=15","")</f>
        <v/>
      </c>
      <c r="I314" s="4" t="str">
        <f>HYPERLINK("http://141.218.60.56/~jnz1568/getInfo.php?workbook=03_02.xlsx&amp;sheet=A0&amp;row=314&amp;col=9&amp;number=&amp;sourceID=15","")</f>
        <v/>
      </c>
      <c r="J314" s="4" t="str">
        <f>HYPERLINK("http://141.218.60.56/~jnz1568/getInfo.php?workbook=03_02.xlsx&amp;sheet=A0&amp;row=314&amp;col=10&amp;number=&amp;sourceID=15","")</f>
        <v/>
      </c>
      <c r="K314" s="4" t="str">
        <f>HYPERLINK("http://141.218.60.56/~jnz1568/getInfo.php?workbook=03_02.xlsx&amp;sheet=A0&amp;row=314&amp;col=11&amp;number=&amp;sourceID=30","")</f>
        <v/>
      </c>
      <c r="L314" s="4" t="str">
        <f>HYPERLINK("http://141.218.60.56/~jnz1568/getInfo.php?workbook=03_02.xlsx&amp;sheet=A0&amp;row=314&amp;col=12&amp;number=244.4&amp;sourceID=30","244.4")</f>
        <v>244.4</v>
      </c>
      <c r="M314" s="4" t="str">
        <f>HYPERLINK("http://141.218.60.56/~jnz1568/getInfo.php?workbook=03_02.xlsx&amp;sheet=A0&amp;row=314&amp;col=13&amp;number=&amp;sourceID=30","")</f>
        <v/>
      </c>
      <c r="N314" s="4" t="str">
        <f>HYPERLINK("http://141.218.60.56/~jnz1568/getInfo.php?workbook=03_02.xlsx&amp;sheet=A0&amp;row=314&amp;col=14&amp;number=&amp;sourceID=30","")</f>
        <v/>
      </c>
    </row>
    <row r="315" spans="1:14">
      <c r="A315" s="3">
        <v>3</v>
      </c>
      <c r="B315" s="3">
        <v>2</v>
      </c>
      <c r="C315" s="3">
        <v>28</v>
      </c>
      <c r="D315" s="3">
        <v>11</v>
      </c>
      <c r="E315" s="3">
        <f>((1/(INDEX(E0!J$4:J$52,C315,1)-INDEX(E0!J$4:J$52,D315,1))))*100000000</f>
        <v>0</v>
      </c>
      <c r="F315" s="4" t="str">
        <f>HYPERLINK("http://141.218.60.56/~jnz1568/getInfo.php?workbook=03_02.xlsx&amp;sheet=A0&amp;row=315&amp;col=6&amp;number=&amp;sourceID=27","")</f>
        <v/>
      </c>
      <c r="G315" s="4" t="str">
        <f>HYPERLINK("http://141.218.60.56/~jnz1568/getInfo.php?workbook=03_02.xlsx&amp;sheet=A0&amp;row=315&amp;col=7&amp;number=&amp;sourceID=15","")</f>
        <v/>
      </c>
      <c r="H315" s="4" t="str">
        <f>HYPERLINK("http://141.218.60.56/~jnz1568/getInfo.php?workbook=03_02.xlsx&amp;sheet=A0&amp;row=315&amp;col=8&amp;number=&amp;sourceID=15","")</f>
        <v/>
      </c>
      <c r="I315" s="4" t="str">
        <f>HYPERLINK("http://141.218.60.56/~jnz1568/getInfo.php?workbook=03_02.xlsx&amp;sheet=A0&amp;row=315&amp;col=9&amp;number=&amp;sourceID=15","")</f>
        <v/>
      </c>
      <c r="J315" s="4" t="str">
        <f>HYPERLINK("http://141.218.60.56/~jnz1568/getInfo.php?workbook=03_02.xlsx&amp;sheet=A0&amp;row=315&amp;col=10&amp;number=&amp;sourceID=15","")</f>
        <v/>
      </c>
      <c r="K315" s="4" t="str">
        <f>HYPERLINK("http://141.218.60.56/~jnz1568/getInfo.php?workbook=03_02.xlsx&amp;sheet=A0&amp;row=315&amp;col=11&amp;number=&amp;sourceID=30","")</f>
        <v/>
      </c>
      <c r="L315" s="4" t="str">
        <f>HYPERLINK("http://141.218.60.56/~jnz1568/getInfo.php?workbook=03_02.xlsx&amp;sheet=A0&amp;row=315&amp;col=12&amp;number=122.1&amp;sourceID=30","122.1")</f>
        <v>122.1</v>
      </c>
      <c r="M315" s="4" t="str">
        <f>HYPERLINK("http://141.218.60.56/~jnz1568/getInfo.php?workbook=03_02.xlsx&amp;sheet=A0&amp;row=315&amp;col=13&amp;number=9.163e-10&amp;sourceID=30","9.163e-10")</f>
        <v>9.163e-10</v>
      </c>
      <c r="N315" s="4" t="str">
        <f>HYPERLINK("http://141.218.60.56/~jnz1568/getInfo.php?workbook=03_02.xlsx&amp;sheet=A0&amp;row=315&amp;col=14&amp;number=&amp;sourceID=30","")</f>
        <v/>
      </c>
    </row>
    <row r="316" spans="1:14">
      <c r="A316" s="3">
        <v>3</v>
      </c>
      <c r="B316" s="3">
        <v>2</v>
      </c>
      <c r="C316" s="3">
        <v>28</v>
      </c>
      <c r="D316" s="3">
        <v>13</v>
      </c>
      <c r="E316" s="3">
        <f>((1/(INDEX(E0!J$4:J$52,C316,1)-INDEX(E0!J$4:J$52,D316,1))))*100000000</f>
        <v>0</v>
      </c>
      <c r="F316" s="4" t="str">
        <f>HYPERLINK("http://141.218.60.56/~jnz1568/getInfo.php?workbook=03_02.xlsx&amp;sheet=A0&amp;row=316&amp;col=6&amp;number=&amp;sourceID=27","")</f>
        <v/>
      </c>
      <c r="G316" s="4" t="str">
        <f>HYPERLINK("http://141.218.60.56/~jnz1568/getInfo.php?workbook=03_02.xlsx&amp;sheet=A0&amp;row=316&amp;col=7&amp;number=142200000&amp;sourceID=15","142200000")</f>
        <v>142200000</v>
      </c>
      <c r="H316" s="4" t="str">
        <f>HYPERLINK("http://141.218.60.56/~jnz1568/getInfo.php?workbook=03_02.xlsx&amp;sheet=A0&amp;row=316&amp;col=8&amp;number=&amp;sourceID=15","")</f>
        <v/>
      </c>
      <c r="I316" s="4" t="str">
        <f>HYPERLINK("http://141.218.60.56/~jnz1568/getInfo.php?workbook=03_02.xlsx&amp;sheet=A0&amp;row=316&amp;col=9&amp;number=&amp;sourceID=15","")</f>
        <v/>
      </c>
      <c r="J316" s="4" t="str">
        <f>HYPERLINK("http://141.218.60.56/~jnz1568/getInfo.php?workbook=03_02.xlsx&amp;sheet=A0&amp;row=316&amp;col=10&amp;number=&amp;sourceID=15","")</f>
        <v/>
      </c>
      <c r="K316" s="4" t="str">
        <f>HYPERLINK("http://141.218.60.56/~jnz1568/getInfo.php?workbook=03_02.xlsx&amp;sheet=A0&amp;row=316&amp;col=11&amp;number=156900000&amp;sourceID=30","156900000")</f>
        <v>156900000</v>
      </c>
      <c r="L316" s="4" t="str">
        <f>HYPERLINK("http://141.218.60.56/~jnz1568/getInfo.php?workbook=03_02.xlsx&amp;sheet=A0&amp;row=316&amp;col=12&amp;number=&amp;sourceID=30","")</f>
        <v/>
      </c>
      <c r="M316" s="4" t="str">
        <f>HYPERLINK("http://141.218.60.56/~jnz1568/getInfo.php?workbook=03_02.xlsx&amp;sheet=A0&amp;row=316&amp;col=13&amp;number=&amp;sourceID=30","")</f>
        <v/>
      </c>
      <c r="N316" s="4" t="str">
        <f>HYPERLINK("http://141.218.60.56/~jnz1568/getInfo.php?workbook=03_02.xlsx&amp;sheet=A0&amp;row=316&amp;col=14&amp;number=0.0003448&amp;sourceID=30","0.0003448")</f>
        <v>0.0003448</v>
      </c>
    </row>
    <row r="317" spans="1:14">
      <c r="A317" s="3">
        <v>3</v>
      </c>
      <c r="B317" s="3">
        <v>2</v>
      </c>
      <c r="C317" s="3">
        <v>28</v>
      </c>
      <c r="D317" s="3">
        <v>14</v>
      </c>
      <c r="E317" s="3">
        <f>((1/(INDEX(E0!J$4:J$52,C317,1)-INDEX(E0!J$4:J$52,D317,1))))*100000000</f>
        <v>0</v>
      </c>
      <c r="F317" s="4" t="str">
        <f>HYPERLINK("http://141.218.60.56/~jnz1568/getInfo.php?workbook=03_02.xlsx&amp;sheet=A0&amp;row=317&amp;col=6&amp;number=&amp;sourceID=27","")</f>
        <v/>
      </c>
      <c r="G317" s="4" t="str">
        <f>HYPERLINK("http://141.218.60.56/~jnz1568/getInfo.php?workbook=03_02.xlsx&amp;sheet=A0&amp;row=317&amp;col=7&amp;number=17325000&amp;sourceID=15","17325000")</f>
        <v>17325000</v>
      </c>
      <c r="H317" s="4" t="str">
        <f>HYPERLINK("http://141.218.60.56/~jnz1568/getInfo.php?workbook=03_02.xlsx&amp;sheet=A0&amp;row=317&amp;col=8&amp;number=&amp;sourceID=15","")</f>
        <v/>
      </c>
      <c r="I317" s="4" t="str">
        <f>HYPERLINK("http://141.218.60.56/~jnz1568/getInfo.php?workbook=03_02.xlsx&amp;sheet=A0&amp;row=317&amp;col=9&amp;number=&amp;sourceID=15","")</f>
        <v/>
      </c>
      <c r="J317" s="4" t="str">
        <f>HYPERLINK("http://141.218.60.56/~jnz1568/getInfo.php?workbook=03_02.xlsx&amp;sheet=A0&amp;row=317&amp;col=10&amp;number=&amp;sourceID=15","")</f>
        <v/>
      </c>
      <c r="K317" s="4" t="str">
        <f>HYPERLINK("http://141.218.60.56/~jnz1568/getInfo.php?workbook=03_02.xlsx&amp;sheet=A0&amp;row=317&amp;col=11&amp;number=19340000&amp;sourceID=30","19340000")</f>
        <v>19340000</v>
      </c>
      <c r="L317" s="4" t="str">
        <f>HYPERLINK("http://141.218.60.56/~jnz1568/getInfo.php?workbook=03_02.xlsx&amp;sheet=A0&amp;row=317&amp;col=12&amp;number=&amp;sourceID=30","")</f>
        <v/>
      </c>
      <c r="M317" s="4" t="str">
        <f>HYPERLINK("http://141.218.60.56/~jnz1568/getInfo.php?workbook=03_02.xlsx&amp;sheet=A0&amp;row=317&amp;col=13&amp;number=&amp;sourceID=30","")</f>
        <v/>
      </c>
      <c r="N317" s="4" t="str">
        <f>HYPERLINK("http://141.218.60.56/~jnz1568/getInfo.php?workbook=03_02.xlsx&amp;sheet=A0&amp;row=317&amp;col=14&amp;number=1.685e-05&amp;sourceID=30","1.685e-05")</f>
        <v>1.685e-05</v>
      </c>
    </row>
    <row r="318" spans="1:14">
      <c r="A318" s="3">
        <v>3</v>
      </c>
      <c r="B318" s="3">
        <v>2</v>
      </c>
      <c r="C318" s="3">
        <v>28</v>
      </c>
      <c r="D318" s="3">
        <v>15</v>
      </c>
      <c r="E318" s="3">
        <f>((1/(INDEX(E0!J$4:J$52,C318,1)-INDEX(E0!J$4:J$52,D318,1))))*100000000</f>
        <v>0</v>
      </c>
      <c r="F318" s="4" t="str">
        <f>HYPERLINK("http://141.218.60.56/~jnz1568/getInfo.php?workbook=03_02.xlsx&amp;sheet=A0&amp;row=318&amp;col=6&amp;number=&amp;sourceID=27","")</f>
        <v/>
      </c>
      <c r="G318" s="4" t="str">
        <f>HYPERLINK("http://141.218.60.56/~jnz1568/getInfo.php?workbook=03_02.xlsx&amp;sheet=A0&amp;row=318&amp;col=7&amp;number=&amp;sourceID=15","")</f>
        <v/>
      </c>
      <c r="H318" s="4" t="str">
        <f>HYPERLINK("http://141.218.60.56/~jnz1568/getInfo.php?workbook=03_02.xlsx&amp;sheet=A0&amp;row=318&amp;col=8&amp;number=&amp;sourceID=15","")</f>
        <v/>
      </c>
      <c r="I318" s="4" t="str">
        <f>HYPERLINK("http://141.218.60.56/~jnz1568/getInfo.php?workbook=03_02.xlsx&amp;sheet=A0&amp;row=318&amp;col=9&amp;number=&amp;sourceID=15","")</f>
        <v/>
      </c>
      <c r="J318" s="4" t="str">
        <f>HYPERLINK("http://141.218.60.56/~jnz1568/getInfo.php?workbook=03_02.xlsx&amp;sheet=A0&amp;row=318&amp;col=10&amp;number=&amp;sourceID=15","")</f>
        <v/>
      </c>
      <c r="K318" s="4" t="str">
        <f>HYPERLINK("http://141.218.60.56/~jnz1568/getInfo.php?workbook=03_02.xlsx&amp;sheet=A0&amp;row=318&amp;col=11&amp;number=&amp;sourceID=30","")</f>
        <v/>
      </c>
      <c r="L318" s="4" t="str">
        <f>HYPERLINK("http://141.218.60.56/~jnz1568/getInfo.php?workbook=03_02.xlsx&amp;sheet=A0&amp;row=318&amp;col=12&amp;number=&amp;sourceID=30","")</f>
        <v/>
      </c>
      <c r="M318" s="4" t="str">
        <f>HYPERLINK("http://141.218.60.56/~jnz1568/getInfo.php?workbook=03_02.xlsx&amp;sheet=A0&amp;row=318&amp;col=13&amp;number=&amp;sourceID=30","")</f>
        <v/>
      </c>
      <c r="N318" s="4" t="str">
        <f>HYPERLINK("http://141.218.60.56/~jnz1568/getInfo.php?workbook=03_02.xlsx&amp;sheet=A0&amp;row=318&amp;col=14&amp;number=3.808e-06&amp;sourceID=30","3.808e-06")</f>
        <v>3.808e-06</v>
      </c>
    </row>
    <row r="319" spans="1:14">
      <c r="A319" s="3">
        <v>3</v>
      </c>
      <c r="B319" s="3">
        <v>2</v>
      </c>
      <c r="C319" s="3">
        <v>28</v>
      </c>
      <c r="D319" s="3">
        <v>16</v>
      </c>
      <c r="E319" s="3">
        <f>((1/(INDEX(E0!J$4:J$52,C319,1)-INDEX(E0!J$4:J$52,D319,1))))*100000000</f>
        <v>0</v>
      </c>
      <c r="F319" s="4" t="str">
        <f>HYPERLINK("http://141.218.60.56/~jnz1568/getInfo.php?workbook=03_02.xlsx&amp;sheet=A0&amp;row=319&amp;col=6&amp;number=&amp;sourceID=27","")</f>
        <v/>
      </c>
      <c r="G319" s="4" t="str">
        <f>HYPERLINK("http://141.218.60.56/~jnz1568/getInfo.php?workbook=03_02.xlsx&amp;sheet=A0&amp;row=319&amp;col=7&amp;number=61720000&amp;sourceID=15","61720000")</f>
        <v>61720000</v>
      </c>
      <c r="H319" s="4" t="str">
        <f>HYPERLINK("http://141.218.60.56/~jnz1568/getInfo.php?workbook=03_02.xlsx&amp;sheet=A0&amp;row=319&amp;col=8&amp;number=&amp;sourceID=15","")</f>
        <v/>
      </c>
      <c r="I319" s="4" t="str">
        <f>HYPERLINK("http://141.218.60.56/~jnz1568/getInfo.php?workbook=03_02.xlsx&amp;sheet=A0&amp;row=319&amp;col=9&amp;number=&amp;sourceID=15","")</f>
        <v/>
      </c>
      <c r="J319" s="4" t="str">
        <f>HYPERLINK("http://141.218.60.56/~jnz1568/getInfo.php?workbook=03_02.xlsx&amp;sheet=A0&amp;row=319&amp;col=10&amp;number=&amp;sourceID=15","")</f>
        <v/>
      </c>
      <c r="K319" s="4" t="str">
        <f>HYPERLINK("http://141.218.60.56/~jnz1568/getInfo.php?workbook=03_02.xlsx&amp;sheet=A0&amp;row=319&amp;col=11&amp;number=44660000&amp;sourceID=30","44660000")</f>
        <v>44660000</v>
      </c>
      <c r="L319" s="4" t="str">
        <f>HYPERLINK("http://141.218.60.56/~jnz1568/getInfo.php?workbook=03_02.xlsx&amp;sheet=A0&amp;row=319&amp;col=12&amp;number=&amp;sourceID=30","")</f>
        <v/>
      </c>
      <c r="M319" s="4" t="str">
        <f>HYPERLINK("http://141.218.60.56/~jnz1568/getInfo.php?workbook=03_02.xlsx&amp;sheet=A0&amp;row=319&amp;col=13&amp;number=&amp;sourceID=30","")</f>
        <v/>
      </c>
      <c r="N319" s="4" t="str">
        <f>HYPERLINK("http://141.218.60.56/~jnz1568/getInfo.php?workbook=03_02.xlsx&amp;sheet=A0&amp;row=319&amp;col=14&amp;number=3.642e-06&amp;sourceID=30","3.642e-06")</f>
        <v>3.642e-06</v>
      </c>
    </row>
    <row r="320" spans="1:14">
      <c r="A320" s="3">
        <v>3</v>
      </c>
      <c r="B320" s="3">
        <v>2</v>
      </c>
      <c r="C320" s="3">
        <v>28</v>
      </c>
      <c r="D320" s="3">
        <v>17</v>
      </c>
      <c r="E320" s="3">
        <f>((1/(INDEX(E0!J$4:J$52,C320,1)-INDEX(E0!J$4:J$52,D320,1))))*100000000</f>
        <v>0</v>
      </c>
      <c r="F320" s="4" t="str">
        <f>HYPERLINK("http://141.218.60.56/~jnz1568/getInfo.php?workbook=03_02.xlsx&amp;sheet=A0&amp;row=320&amp;col=6&amp;number=&amp;sourceID=27","")</f>
        <v/>
      </c>
      <c r="G320" s="4" t="str">
        <f>HYPERLINK("http://141.218.60.56/~jnz1568/getInfo.php?workbook=03_02.xlsx&amp;sheet=A0&amp;row=320&amp;col=7&amp;number=&amp;sourceID=15","")</f>
        <v/>
      </c>
      <c r="H320" s="4" t="str">
        <f>HYPERLINK("http://141.218.60.56/~jnz1568/getInfo.php?workbook=03_02.xlsx&amp;sheet=A0&amp;row=320&amp;col=8&amp;number=&amp;sourceID=15","")</f>
        <v/>
      </c>
      <c r="I320" s="4" t="str">
        <f>HYPERLINK("http://141.218.60.56/~jnz1568/getInfo.php?workbook=03_02.xlsx&amp;sheet=A0&amp;row=320&amp;col=9&amp;number=&amp;sourceID=15","")</f>
        <v/>
      </c>
      <c r="J320" s="4" t="str">
        <f>HYPERLINK("http://141.218.60.56/~jnz1568/getInfo.php?workbook=03_02.xlsx&amp;sheet=A0&amp;row=320&amp;col=10&amp;number=&amp;sourceID=15","")</f>
        <v/>
      </c>
      <c r="K320" s="4" t="str">
        <f>HYPERLINK("http://141.218.60.56/~jnz1568/getInfo.php?workbook=03_02.xlsx&amp;sheet=A0&amp;row=320&amp;col=11&amp;number=&amp;sourceID=30","")</f>
        <v/>
      </c>
      <c r="L320" s="4" t="str">
        <f>HYPERLINK("http://141.218.60.56/~jnz1568/getInfo.php?workbook=03_02.xlsx&amp;sheet=A0&amp;row=320&amp;col=12&amp;number=68.26&amp;sourceID=30","68.26")</f>
        <v>68.26</v>
      </c>
      <c r="M320" s="4" t="str">
        <f>HYPERLINK("http://141.218.60.56/~jnz1568/getInfo.php?workbook=03_02.xlsx&amp;sheet=A0&amp;row=320&amp;col=13&amp;number=&amp;sourceID=30","")</f>
        <v/>
      </c>
      <c r="N320" s="4" t="str">
        <f>HYPERLINK("http://141.218.60.56/~jnz1568/getInfo.php?workbook=03_02.xlsx&amp;sheet=A0&amp;row=320&amp;col=14&amp;number=&amp;sourceID=30","")</f>
        <v/>
      </c>
    </row>
    <row r="321" spans="1:14">
      <c r="A321" s="3">
        <v>3</v>
      </c>
      <c r="B321" s="3">
        <v>2</v>
      </c>
      <c r="C321" s="3">
        <v>28</v>
      </c>
      <c r="D321" s="3">
        <v>18</v>
      </c>
      <c r="E321" s="3">
        <f>((1/(INDEX(E0!J$4:J$52,C321,1)-INDEX(E0!J$4:J$52,D321,1))))*100000000</f>
        <v>0</v>
      </c>
      <c r="F321" s="4" t="str">
        <f>HYPERLINK("http://141.218.60.56/~jnz1568/getInfo.php?workbook=03_02.xlsx&amp;sheet=A0&amp;row=321&amp;col=6&amp;number=&amp;sourceID=27","")</f>
        <v/>
      </c>
      <c r="G321" s="4" t="str">
        <f>HYPERLINK("http://141.218.60.56/~jnz1568/getInfo.php?workbook=03_02.xlsx&amp;sheet=A0&amp;row=321&amp;col=7&amp;number=&amp;sourceID=15","")</f>
        <v/>
      </c>
      <c r="H321" s="4" t="str">
        <f>HYPERLINK("http://141.218.60.56/~jnz1568/getInfo.php?workbook=03_02.xlsx&amp;sheet=A0&amp;row=321&amp;col=8&amp;number=&amp;sourceID=15","")</f>
        <v/>
      </c>
      <c r="I321" s="4" t="str">
        <f>HYPERLINK("http://141.218.60.56/~jnz1568/getInfo.php?workbook=03_02.xlsx&amp;sheet=A0&amp;row=321&amp;col=9&amp;number=&amp;sourceID=15","")</f>
        <v/>
      </c>
      <c r="J321" s="4" t="str">
        <f>HYPERLINK("http://141.218.60.56/~jnz1568/getInfo.php?workbook=03_02.xlsx&amp;sheet=A0&amp;row=321&amp;col=10&amp;number=&amp;sourceID=15","")</f>
        <v/>
      </c>
      <c r="K321" s="4" t="str">
        <f>HYPERLINK("http://141.218.60.56/~jnz1568/getInfo.php?workbook=03_02.xlsx&amp;sheet=A0&amp;row=321&amp;col=11&amp;number=&amp;sourceID=30","")</f>
        <v/>
      </c>
      <c r="L321" s="4" t="str">
        <f>HYPERLINK("http://141.218.60.56/~jnz1568/getInfo.php?workbook=03_02.xlsx&amp;sheet=A0&amp;row=321&amp;col=12&amp;number=&amp;sourceID=30","")</f>
        <v/>
      </c>
      <c r="M321" s="4" t="str">
        <f>HYPERLINK("http://141.218.60.56/~jnz1568/getInfo.php?workbook=03_02.xlsx&amp;sheet=A0&amp;row=321&amp;col=13&amp;number=&amp;sourceID=30","")</f>
        <v/>
      </c>
      <c r="N321" s="4" t="str">
        <f>HYPERLINK("http://141.218.60.56/~jnz1568/getInfo.php?workbook=03_02.xlsx&amp;sheet=A0&amp;row=321&amp;col=14&amp;number=0&amp;sourceID=30","0")</f>
        <v>0</v>
      </c>
    </row>
    <row r="322" spans="1:14">
      <c r="A322" s="3">
        <v>3</v>
      </c>
      <c r="B322" s="3">
        <v>2</v>
      </c>
      <c r="C322" s="3">
        <v>28</v>
      </c>
      <c r="D322" s="3">
        <v>21</v>
      </c>
      <c r="E322" s="3">
        <f>((1/(INDEX(E0!J$4:J$52,C322,1)-INDEX(E0!J$4:J$52,D322,1))))*100000000</f>
        <v>0</v>
      </c>
      <c r="F322" s="4" t="str">
        <f>HYPERLINK("http://141.218.60.56/~jnz1568/getInfo.php?workbook=03_02.xlsx&amp;sheet=A0&amp;row=322&amp;col=6&amp;number=&amp;sourceID=27","")</f>
        <v/>
      </c>
      <c r="G322" s="4" t="str">
        <f>HYPERLINK("http://141.218.60.56/~jnz1568/getInfo.php?workbook=03_02.xlsx&amp;sheet=A0&amp;row=322&amp;col=7&amp;number=&amp;sourceID=15","")</f>
        <v/>
      </c>
      <c r="H322" s="4" t="str">
        <f>HYPERLINK("http://141.218.60.56/~jnz1568/getInfo.php?workbook=03_02.xlsx&amp;sheet=A0&amp;row=322&amp;col=8&amp;number=&amp;sourceID=15","")</f>
        <v/>
      </c>
      <c r="I322" s="4" t="str">
        <f>HYPERLINK("http://141.218.60.56/~jnz1568/getInfo.php?workbook=03_02.xlsx&amp;sheet=A0&amp;row=322&amp;col=9&amp;number=&amp;sourceID=15","")</f>
        <v/>
      </c>
      <c r="J322" s="4" t="str">
        <f>HYPERLINK("http://141.218.60.56/~jnz1568/getInfo.php?workbook=03_02.xlsx&amp;sheet=A0&amp;row=322&amp;col=10&amp;number=&amp;sourceID=15","")</f>
        <v/>
      </c>
      <c r="K322" s="4" t="str">
        <f>HYPERLINK("http://141.218.60.56/~jnz1568/getInfo.php?workbook=03_02.xlsx&amp;sheet=A0&amp;row=322&amp;col=11&amp;number=&amp;sourceID=30","")</f>
        <v/>
      </c>
      <c r="L322" s="4" t="str">
        <f>HYPERLINK("http://141.218.60.56/~jnz1568/getInfo.php?workbook=03_02.xlsx&amp;sheet=A0&amp;row=322&amp;col=12&amp;number=1.691e-05&amp;sourceID=30","1.691e-05")</f>
        <v>1.691e-05</v>
      </c>
      <c r="M322" s="4" t="str">
        <f>HYPERLINK("http://141.218.60.56/~jnz1568/getInfo.php?workbook=03_02.xlsx&amp;sheet=A0&amp;row=322&amp;col=13&amp;number=&amp;sourceID=30","")</f>
        <v/>
      </c>
      <c r="N322" s="4" t="str">
        <f>HYPERLINK("http://141.218.60.56/~jnz1568/getInfo.php?workbook=03_02.xlsx&amp;sheet=A0&amp;row=322&amp;col=14&amp;number=&amp;sourceID=30","")</f>
        <v/>
      </c>
    </row>
    <row r="323" spans="1:14">
      <c r="A323" s="3">
        <v>3</v>
      </c>
      <c r="B323" s="3">
        <v>2</v>
      </c>
      <c r="C323" s="3">
        <v>28</v>
      </c>
      <c r="D323" s="3">
        <v>22</v>
      </c>
      <c r="E323" s="3">
        <f>((1/(INDEX(E0!J$4:J$52,C323,1)-INDEX(E0!J$4:J$52,D323,1))))*100000000</f>
        <v>0</v>
      </c>
      <c r="F323" s="4" t="str">
        <f>HYPERLINK("http://141.218.60.56/~jnz1568/getInfo.php?workbook=03_02.xlsx&amp;sheet=A0&amp;row=323&amp;col=6&amp;number=&amp;sourceID=27","")</f>
        <v/>
      </c>
      <c r="G323" s="4" t="str">
        <f>HYPERLINK("http://141.218.60.56/~jnz1568/getInfo.php?workbook=03_02.xlsx&amp;sheet=A0&amp;row=323&amp;col=7&amp;number=&amp;sourceID=15","")</f>
        <v/>
      </c>
      <c r="H323" s="4" t="str">
        <f>HYPERLINK("http://141.218.60.56/~jnz1568/getInfo.php?workbook=03_02.xlsx&amp;sheet=A0&amp;row=323&amp;col=8&amp;number=&amp;sourceID=15","")</f>
        <v/>
      </c>
      <c r="I323" s="4" t="str">
        <f>HYPERLINK("http://141.218.60.56/~jnz1568/getInfo.php?workbook=03_02.xlsx&amp;sheet=A0&amp;row=323&amp;col=9&amp;number=&amp;sourceID=15","")</f>
        <v/>
      </c>
      <c r="J323" s="4" t="str">
        <f>HYPERLINK("http://141.218.60.56/~jnz1568/getInfo.php?workbook=03_02.xlsx&amp;sheet=A0&amp;row=323&amp;col=10&amp;number=&amp;sourceID=15","")</f>
        <v/>
      </c>
      <c r="K323" s="4" t="str">
        <f>HYPERLINK("http://141.218.60.56/~jnz1568/getInfo.php?workbook=03_02.xlsx&amp;sheet=A0&amp;row=323&amp;col=11&amp;number=&amp;sourceID=30","")</f>
        <v/>
      </c>
      <c r="L323" s="4" t="str">
        <f>HYPERLINK("http://141.218.60.56/~jnz1568/getInfo.php?workbook=03_02.xlsx&amp;sheet=A0&amp;row=323&amp;col=12&amp;number=8.433e-06&amp;sourceID=30","8.433e-06")</f>
        <v>8.433e-06</v>
      </c>
      <c r="M323" s="4" t="str">
        <f>HYPERLINK("http://141.218.60.56/~jnz1568/getInfo.php?workbook=03_02.xlsx&amp;sheet=A0&amp;row=323&amp;col=13&amp;number=6.7e-14&amp;sourceID=30","6.7e-14")</f>
        <v>6.7e-14</v>
      </c>
      <c r="N323" s="4" t="str">
        <f>HYPERLINK("http://141.218.60.56/~jnz1568/getInfo.php?workbook=03_02.xlsx&amp;sheet=A0&amp;row=323&amp;col=14&amp;number=&amp;sourceID=30","")</f>
        <v/>
      </c>
    </row>
    <row r="324" spans="1:14">
      <c r="A324" s="3">
        <v>3</v>
      </c>
      <c r="B324" s="3">
        <v>2</v>
      </c>
      <c r="C324" s="3">
        <v>28</v>
      </c>
      <c r="D324" s="3">
        <v>23</v>
      </c>
      <c r="E324" s="3">
        <f>((1/(INDEX(E0!J$4:J$52,C324,1)-INDEX(E0!J$4:J$52,D324,1))))*100000000</f>
        <v>0</v>
      </c>
      <c r="F324" s="4" t="str">
        <f>HYPERLINK("http://141.218.60.56/~jnz1568/getInfo.php?workbook=03_02.xlsx&amp;sheet=A0&amp;row=324&amp;col=6&amp;number=&amp;sourceID=27","")</f>
        <v/>
      </c>
      <c r="G324" s="4" t="str">
        <f>HYPERLINK("http://141.218.60.56/~jnz1568/getInfo.php?workbook=03_02.xlsx&amp;sheet=A0&amp;row=324&amp;col=7&amp;number=&amp;sourceID=15","")</f>
        <v/>
      </c>
      <c r="H324" s="4" t="str">
        <f>HYPERLINK("http://141.218.60.56/~jnz1568/getInfo.php?workbook=03_02.xlsx&amp;sheet=A0&amp;row=324&amp;col=8&amp;number=&amp;sourceID=15","")</f>
        <v/>
      </c>
      <c r="I324" s="4" t="str">
        <f>HYPERLINK("http://141.218.60.56/~jnz1568/getInfo.php?workbook=03_02.xlsx&amp;sheet=A0&amp;row=324&amp;col=9&amp;number=&amp;sourceID=15","")</f>
        <v/>
      </c>
      <c r="J324" s="4" t="str">
        <f>HYPERLINK("http://141.218.60.56/~jnz1568/getInfo.php?workbook=03_02.xlsx&amp;sheet=A0&amp;row=324&amp;col=10&amp;number=&amp;sourceID=15","")</f>
        <v/>
      </c>
      <c r="K324" s="4" t="str">
        <f>HYPERLINK("http://141.218.60.56/~jnz1568/getInfo.php?workbook=03_02.xlsx&amp;sheet=A0&amp;row=324&amp;col=11&amp;number=&amp;sourceID=30","")</f>
        <v/>
      </c>
      <c r="L324" s="4" t="str">
        <f>HYPERLINK("http://141.218.60.56/~jnz1568/getInfo.php?workbook=03_02.xlsx&amp;sheet=A0&amp;row=324&amp;col=12&amp;number=&amp;sourceID=30","")</f>
        <v/>
      </c>
      <c r="M324" s="4" t="str">
        <f>HYPERLINK("http://141.218.60.56/~jnz1568/getInfo.php?workbook=03_02.xlsx&amp;sheet=A0&amp;row=324&amp;col=13&amp;number=&amp;sourceID=30","")</f>
        <v/>
      </c>
      <c r="N324" s="4" t="str">
        <f>HYPERLINK("http://141.218.60.56/~jnz1568/getInfo.php?workbook=03_02.xlsx&amp;sheet=A0&amp;row=324&amp;col=14&amp;number=0&amp;sourceID=30","0")</f>
        <v>0</v>
      </c>
    </row>
    <row r="325" spans="1:14">
      <c r="A325" s="3">
        <v>3</v>
      </c>
      <c r="B325" s="3">
        <v>2</v>
      </c>
      <c r="C325" s="3">
        <v>28</v>
      </c>
      <c r="D325" s="3">
        <v>24</v>
      </c>
      <c r="E325" s="3">
        <f>((1/(INDEX(E0!J$4:J$52,C325,1)-INDEX(E0!J$4:J$52,D325,1))))*100000000</f>
        <v>0</v>
      </c>
      <c r="F325" s="4" t="str">
        <f>HYPERLINK("http://141.218.60.56/~jnz1568/getInfo.php?workbook=03_02.xlsx&amp;sheet=A0&amp;row=325&amp;col=6&amp;number=&amp;sourceID=27","")</f>
        <v/>
      </c>
      <c r="G325" s="4" t="str">
        <f>HYPERLINK("http://141.218.60.56/~jnz1568/getInfo.php?workbook=03_02.xlsx&amp;sheet=A0&amp;row=325&amp;col=7&amp;number=&amp;sourceID=15","")</f>
        <v/>
      </c>
      <c r="H325" s="4" t="str">
        <f>HYPERLINK("http://141.218.60.56/~jnz1568/getInfo.php?workbook=03_02.xlsx&amp;sheet=A0&amp;row=325&amp;col=8&amp;number=&amp;sourceID=15","")</f>
        <v/>
      </c>
      <c r="I325" s="4" t="str">
        <f>HYPERLINK("http://141.218.60.56/~jnz1568/getInfo.php?workbook=03_02.xlsx&amp;sheet=A0&amp;row=325&amp;col=9&amp;number=&amp;sourceID=15","")</f>
        <v/>
      </c>
      <c r="J325" s="4" t="str">
        <f>HYPERLINK("http://141.218.60.56/~jnz1568/getInfo.php?workbook=03_02.xlsx&amp;sheet=A0&amp;row=325&amp;col=10&amp;number=&amp;sourceID=15","")</f>
        <v/>
      </c>
      <c r="K325" s="4" t="str">
        <f>HYPERLINK("http://141.218.60.56/~jnz1568/getInfo.php?workbook=03_02.xlsx&amp;sheet=A0&amp;row=325&amp;col=11&amp;number=0.1522&amp;sourceID=30","0.1522")</f>
        <v>0.1522</v>
      </c>
      <c r="L325" s="4" t="str">
        <f>HYPERLINK("http://141.218.60.56/~jnz1568/getInfo.php?workbook=03_02.xlsx&amp;sheet=A0&amp;row=325&amp;col=12&amp;number=&amp;sourceID=30","")</f>
        <v/>
      </c>
      <c r="M325" s="4" t="str">
        <f>HYPERLINK("http://141.218.60.56/~jnz1568/getInfo.php?workbook=03_02.xlsx&amp;sheet=A0&amp;row=325&amp;col=13&amp;number=&amp;sourceID=30","")</f>
        <v/>
      </c>
      <c r="N325" s="4" t="str">
        <f>HYPERLINK("http://141.218.60.56/~jnz1568/getInfo.php?workbook=03_02.xlsx&amp;sheet=A0&amp;row=325&amp;col=14&amp;number=0&amp;sourceID=30","0")</f>
        <v>0</v>
      </c>
    </row>
    <row r="326" spans="1:14">
      <c r="A326" s="3">
        <v>3</v>
      </c>
      <c r="B326" s="3">
        <v>2</v>
      </c>
      <c r="C326" s="3">
        <v>28</v>
      </c>
      <c r="D326" s="3">
        <v>25</v>
      </c>
      <c r="E326" s="3">
        <f>((1/(INDEX(E0!J$4:J$52,C326,1)-INDEX(E0!J$4:J$52,D326,1))))*100000000</f>
        <v>0</v>
      </c>
      <c r="F326" s="4" t="str">
        <f>HYPERLINK("http://141.218.60.56/~jnz1568/getInfo.php?workbook=03_02.xlsx&amp;sheet=A0&amp;row=326&amp;col=6&amp;number=&amp;sourceID=27","")</f>
        <v/>
      </c>
      <c r="G326" s="4" t="str">
        <f>HYPERLINK("http://141.218.60.56/~jnz1568/getInfo.php?workbook=03_02.xlsx&amp;sheet=A0&amp;row=326&amp;col=7&amp;number=&amp;sourceID=15","")</f>
        <v/>
      </c>
      <c r="H326" s="4" t="str">
        <f>HYPERLINK("http://141.218.60.56/~jnz1568/getInfo.php?workbook=03_02.xlsx&amp;sheet=A0&amp;row=326&amp;col=8&amp;number=&amp;sourceID=15","")</f>
        <v/>
      </c>
      <c r="I326" s="4" t="str">
        <f>HYPERLINK("http://141.218.60.56/~jnz1568/getInfo.php?workbook=03_02.xlsx&amp;sheet=A0&amp;row=326&amp;col=9&amp;number=&amp;sourceID=15","")</f>
        <v/>
      </c>
      <c r="J326" s="4" t="str">
        <f>HYPERLINK("http://141.218.60.56/~jnz1568/getInfo.php?workbook=03_02.xlsx&amp;sheet=A0&amp;row=326&amp;col=10&amp;number=&amp;sourceID=15","")</f>
        <v/>
      </c>
      <c r="K326" s="4" t="str">
        <f>HYPERLINK("http://141.218.60.56/~jnz1568/getInfo.php?workbook=03_02.xlsx&amp;sheet=A0&amp;row=326&amp;col=11&amp;number=0.01861&amp;sourceID=30","0.01861")</f>
        <v>0.01861</v>
      </c>
      <c r="L326" s="4" t="str">
        <f>HYPERLINK("http://141.218.60.56/~jnz1568/getInfo.php?workbook=03_02.xlsx&amp;sheet=A0&amp;row=326&amp;col=12&amp;number=&amp;sourceID=30","")</f>
        <v/>
      </c>
      <c r="M326" s="4" t="str">
        <f>HYPERLINK("http://141.218.60.56/~jnz1568/getInfo.php?workbook=03_02.xlsx&amp;sheet=A0&amp;row=326&amp;col=13&amp;number=&amp;sourceID=30","")</f>
        <v/>
      </c>
      <c r="N326" s="4" t="str">
        <f>HYPERLINK("http://141.218.60.56/~jnz1568/getInfo.php?workbook=03_02.xlsx&amp;sheet=A0&amp;row=326&amp;col=14&amp;number=0&amp;sourceID=30","0")</f>
        <v>0</v>
      </c>
    </row>
    <row r="327" spans="1:14">
      <c r="A327" s="3">
        <v>3</v>
      </c>
      <c r="B327" s="3">
        <v>2</v>
      </c>
      <c r="C327" s="3">
        <v>29</v>
      </c>
      <c r="D327" s="3">
        <v>5</v>
      </c>
      <c r="E327" s="3">
        <f>((1/(INDEX(E0!J$4:J$52,C327,1)-INDEX(E0!J$4:J$52,D327,1))))*100000000</f>
        <v>0</v>
      </c>
      <c r="F327" s="4" t="str">
        <f>HYPERLINK("http://141.218.60.56/~jnz1568/getInfo.php?workbook=03_02.xlsx&amp;sheet=A0&amp;row=327&amp;col=6&amp;number=&amp;sourceID=27","")</f>
        <v/>
      </c>
      <c r="G327" s="4" t="str">
        <f>HYPERLINK("http://141.218.60.56/~jnz1568/getInfo.php?workbook=03_02.xlsx&amp;sheet=A0&amp;row=327&amp;col=7&amp;number=&amp;sourceID=15","")</f>
        <v/>
      </c>
      <c r="H327" s="4" t="str">
        <f>HYPERLINK("http://141.218.60.56/~jnz1568/getInfo.php?workbook=03_02.xlsx&amp;sheet=A0&amp;row=327&amp;col=8&amp;number=&amp;sourceID=15","")</f>
        <v/>
      </c>
      <c r="I327" s="4" t="str">
        <f>HYPERLINK("http://141.218.60.56/~jnz1568/getInfo.php?workbook=03_02.xlsx&amp;sheet=A0&amp;row=327&amp;col=9&amp;number=&amp;sourceID=15","")</f>
        <v/>
      </c>
      <c r="J327" s="4" t="str">
        <f>HYPERLINK("http://141.218.60.56/~jnz1568/getInfo.php?workbook=03_02.xlsx&amp;sheet=A0&amp;row=327&amp;col=10&amp;number=&amp;sourceID=15","")</f>
        <v/>
      </c>
      <c r="K327" s="4" t="str">
        <f>HYPERLINK("http://141.218.60.56/~jnz1568/getInfo.php?workbook=03_02.xlsx&amp;sheet=A0&amp;row=327&amp;col=11&amp;number=&amp;sourceID=30","")</f>
        <v/>
      </c>
      <c r="L327" s="4" t="str">
        <f>HYPERLINK("http://141.218.60.56/~jnz1568/getInfo.php?workbook=03_02.xlsx&amp;sheet=A0&amp;row=327&amp;col=12&amp;number=4049&amp;sourceID=30","4049")</f>
        <v>4049</v>
      </c>
      <c r="M327" s="4" t="str">
        <f>HYPERLINK("http://141.218.60.56/~jnz1568/getInfo.php?workbook=03_02.xlsx&amp;sheet=A0&amp;row=327&amp;col=13&amp;number=&amp;sourceID=30","")</f>
        <v/>
      </c>
      <c r="N327" s="4" t="str">
        <f>HYPERLINK("http://141.218.60.56/~jnz1568/getInfo.php?workbook=03_02.xlsx&amp;sheet=A0&amp;row=327&amp;col=14&amp;number=&amp;sourceID=30","")</f>
        <v/>
      </c>
    </row>
    <row r="328" spans="1:14">
      <c r="A328" s="3">
        <v>3</v>
      </c>
      <c r="B328" s="3">
        <v>2</v>
      </c>
      <c r="C328" s="3">
        <v>29</v>
      </c>
      <c r="D328" s="3">
        <v>11</v>
      </c>
      <c r="E328" s="3">
        <f>((1/(INDEX(E0!J$4:J$52,C328,1)-INDEX(E0!J$4:J$52,D328,1))))*100000000</f>
        <v>0</v>
      </c>
      <c r="F328" s="4" t="str">
        <f>HYPERLINK("http://141.218.60.56/~jnz1568/getInfo.php?workbook=03_02.xlsx&amp;sheet=A0&amp;row=328&amp;col=6&amp;number=&amp;sourceID=27","")</f>
        <v/>
      </c>
      <c r="G328" s="4" t="str">
        <f>HYPERLINK("http://141.218.60.56/~jnz1568/getInfo.php?workbook=03_02.xlsx&amp;sheet=A0&amp;row=328&amp;col=7&amp;number=&amp;sourceID=15","")</f>
        <v/>
      </c>
      <c r="H328" s="4" t="str">
        <f>HYPERLINK("http://141.218.60.56/~jnz1568/getInfo.php?workbook=03_02.xlsx&amp;sheet=A0&amp;row=328&amp;col=8&amp;number=&amp;sourceID=15","")</f>
        <v/>
      </c>
      <c r="I328" s="4" t="str">
        <f>HYPERLINK("http://141.218.60.56/~jnz1568/getInfo.php?workbook=03_02.xlsx&amp;sheet=A0&amp;row=328&amp;col=9&amp;number=&amp;sourceID=15","")</f>
        <v/>
      </c>
      <c r="J328" s="4" t="str">
        <f>HYPERLINK("http://141.218.60.56/~jnz1568/getInfo.php?workbook=03_02.xlsx&amp;sheet=A0&amp;row=328&amp;col=10&amp;number=&amp;sourceID=15","")</f>
        <v/>
      </c>
      <c r="K328" s="4" t="str">
        <f>HYPERLINK("http://141.218.60.56/~jnz1568/getInfo.php?workbook=03_02.xlsx&amp;sheet=A0&amp;row=328&amp;col=11&amp;number=&amp;sourceID=30","")</f>
        <v/>
      </c>
      <c r="L328" s="4" t="str">
        <f>HYPERLINK("http://141.218.60.56/~jnz1568/getInfo.php?workbook=03_02.xlsx&amp;sheet=A0&amp;row=328&amp;col=12&amp;number=465&amp;sourceID=30","465")</f>
        <v>465</v>
      </c>
      <c r="M328" s="4" t="str">
        <f>HYPERLINK("http://141.218.60.56/~jnz1568/getInfo.php?workbook=03_02.xlsx&amp;sheet=A0&amp;row=328&amp;col=13&amp;number=&amp;sourceID=30","")</f>
        <v/>
      </c>
      <c r="N328" s="4" t="str">
        <f>HYPERLINK("http://141.218.60.56/~jnz1568/getInfo.php?workbook=03_02.xlsx&amp;sheet=A0&amp;row=328&amp;col=14&amp;number=&amp;sourceID=30","")</f>
        <v/>
      </c>
    </row>
    <row r="329" spans="1:14">
      <c r="A329" s="3">
        <v>3</v>
      </c>
      <c r="B329" s="3">
        <v>2</v>
      </c>
      <c r="C329" s="3">
        <v>29</v>
      </c>
      <c r="D329" s="3">
        <v>13</v>
      </c>
      <c r="E329" s="3">
        <f>((1/(INDEX(E0!J$4:J$52,C329,1)-INDEX(E0!J$4:J$52,D329,1))))*100000000</f>
        <v>0</v>
      </c>
      <c r="F329" s="4" t="str">
        <f>HYPERLINK("http://141.218.60.56/~jnz1568/getInfo.php?workbook=03_02.xlsx&amp;sheet=A0&amp;row=329&amp;col=6&amp;number=&amp;sourceID=27","")</f>
        <v/>
      </c>
      <c r="G329" s="4" t="str">
        <f>HYPERLINK("http://141.218.60.56/~jnz1568/getInfo.php?workbook=03_02.xlsx&amp;sheet=A0&amp;row=329&amp;col=7&amp;number=&amp;sourceID=15","")</f>
        <v/>
      </c>
      <c r="H329" s="4" t="str">
        <f>HYPERLINK("http://141.218.60.56/~jnz1568/getInfo.php?workbook=03_02.xlsx&amp;sheet=A0&amp;row=329&amp;col=8&amp;number=&amp;sourceID=15","")</f>
        <v/>
      </c>
      <c r="I329" s="4" t="str">
        <f>HYPERLINK("http://141.218.60.56/~jnz1568/getInfo.php?workbook=03_02.xlsx&amp;sheet=A0&amp;row=329&amp;col=9&amp;number=&amp;sourceID=15","")</f>
        <v/>
      </c>
      <c r="J329" s="4" t="str">
        <f>HYPERLINK("http://141.218.60.56/~jnz1568/getInfo.php?workbook=03_02.xlsx&amp;sheet=A0&amp;row=329&amp;col=10&amp;number=&amp;sourceID=15","")</f>
        <v/>
      </c>
      <c r="K329" s="4" t="str">
        <f>HYPERLINK("http://141.218.60.56/~jnz1568/getInfo.php?workbook=03_02.xlsx&amp;sheet=A0&amp;row=329&amp;col=11&amp;number=&amp;sourceID=30","")</f>
        <v/>
      </c>
      <c r="L329" s="4" t="str">
        <f>HYPERLINK("http://141.218.60.56/~jnz1568/getInfo.php?workbook=03_02.xlsx&amp;sheet=A0&amp;row=329&amp;col=12&amp;number=&amp;sourceID=30","")</f>
        <v/>
      </c>
      <c r="M329" s="4" t="str">
        <f>HYPERLINK("http://141.218.60.56/~jnz1568/getInfo.php?workbook=03_02.xlsx&amp;sheet=A0&amp;row=329&amp;col=13&amp;number=&amp;sourceID=30","")</f>
        <v/>
      </c>
      <c r="N329" s="4" t="str">
        <f>HYPERLINK("http://141.218.60.56/~jnz1568/getInfo.php?workbook=03_02.xlsx&amp;sheet=A0&amp;row=329&amp;col=14&amp;number=3.625e-05&amp;sourceID=30","3.625e-05")</f>
        <v>3.625e-05</v>
      </c>
    </row>
    <row r="330" spans="1:14">
      <c r="A330" s="3">
        <v>3</v>
      </c>
      <c r="B330" s="3">
        <v>2</v>
      </c>
      <c r="C330" s="3">
        <v>29</v>
      </c>
      <c r="D330" s="3">
        <v>14</v>
      </c>
      <c r="E330" s="3">
        <f>((1/(INDEX(E0!J$4:J$52,C330,1)-INDEX(E0!J$4:J$52,D330,1))))*100000000</f>
        <v>0</v>
      </c>
      <c r="F330" s="4" t="str">
        <f>HYPERLINK("http://141.218.60.56/~jnz1568/getInfo.php?workbook=03_02.xlsx&amp;sheet=A0&amp;row=330&amp;col=6&amp;number=&amp;sourceID=27","")</f>
        <v/>
      </c>
      <c r="G330" s="4" t="str">
        <f>HYPERLINK("http://141.218.60.56/~jnz1568/getInfo.php?workbook=03_02.xlsx&amp;sheet=A0&amp;row=330&amp;col=7&amp;number=221310000&amp;sourceID=15","221310000")</f>
        <v>221310000</v>
      </c>
      <c r="H330" s="4" t="str">
        <f>HYPERLINK("http://141.218.60.56/~jnz1568/getInfo.php?workbook=03_02.xlsx&amp;sheet=A0&amp;row=330&amp;col=8&amp;number=&amp;sourceID=15","")</f>
        <v/>
      </c>
      <c r="I330" s="4" t="str">
        <f>HYPERLINK("http://141.218.60.56/~jnz1568/getInfo.php?workbook=03_02.xlsx&amp;sheet=A0&amp;row=330&amp;col=9&amp;number=&amp;sourceID=15","")</f>
        <v/>
      </c>
      <c r="J330" s="4" t="str">
        <f>HYPERLINK("http://141.218.60.56/~jnz1568/getInfo.php?workbook=03_02.xlsx&amp;sheet=A0&amp;row=330&amp;col=10&amp;number=&amp;sourceID=15","")</f>
        <v/>
      </c>
      <c r="K330" s="4" t="str">
        <f>HYPERLINK("http://141.218.60.56/~jnz1568/getInfo.php?workbook=03_02.xlsx&amp;sheet=A0&amp;row=330&amp;col=11&amp;number=221000000&amp;sourceID=30","221000000")</f>
        <v>221000000</v>
      </c>
      <c r="L330" s="4" t="str">
        <f>HYPERLINK("http://141.218.60.56/~jnz1568/getInfo.php?workbook=03_02.xlsx&amp;sheet=A0&amp;row=330&amp;col=12&amp;number=&amp;sourceID=30","")</f>
        <v/>
      </c>
      <c r="M330" s="4" t="str">
        <f>HYPERLINK("http://141.218.60.56/~jnz1568/getInfo.php?workbook=03_02.xlsx&amp;sheet=A0&amp;row=330&amp;col=13&amp;number=&amp;sourceID=30","")</f>
        <v/>
      </c>
      <c r="N330" s="4" t="str">
        <f>HYPERLINK("http://141.218.60.56/~jnz1568/getInfo.php?workbook=03_02.xlsx&amp;sheet=A0&amp;row=330&amp;col=14&amp;number=0.002021&amp;sourceID=30","0.002021")</f>
        <v>0.002021</v>
      </c>
    </row>
    <row r="331" spans="1:14">
      <c r="A331" s="3">
        <v>3</v>
      </c>
      <c r="B331" s="3">
        <v>2</v>
      </c>
      <c r="C331" s="3">
        <v>29</v>
      </c>
      <c r="D331" s="3">
        <v>16</v>
      </c>
      <c r="E331" s="3">
        <f>((1/(INDEX(E0!J$4:J$52,C331,1)-INDEX(E0!J$4:J$52,D331,1))))*100000000</f>
        <v>0</v>
      </c>
      <c r="F331" s="4" t="str">
        <f>HYPERLINK("http://141.218.60.56/~jnz1568/getInfo.php?workbook=03_02.xlsx&amp;sheet=A0&amp;row=331&amp;col=6&amp;number=&amp;sourceID=27","")</f>
        <v/>
      </c>
      <c r="G331" s="4" t="str">
        <f>HYPERLINK("http://141.218.60.56/~jnz1568/getInfo.php?workbook=03_02.xlsx&amp;sheet=A0&amp;row=331&amp;col=7&amp;number=&amp;sourceID=15","")</f>
        <v/>
      </c>
      <c r="H331" s="4" t="str">
        <f>HYPERLINK("http://141.218.60.56/~jnz1568/getInfo.php?workbook=03_02.xlsx&amp;sheet=A0&amp;row=331&amp;col=8&amp;number=&amp;sourceID=15","")</f>
        <v/>
      </c>
      <c r="I331" s="4" t="str">
        <f>HYPERLINK("http://141.218.60.56/~jnz1568/getInfo.php?workbook=03_02.xlsx&amp;sheet=A0&amp;row=331&amp;col=9&amp;number=&amp;sourceID=15","")</f>
        <v/>
      </c>
      <c r="J331" s="4" t="str">
        <f>HYPERLINK("http://141.218.60.56/~jnz1568/getInfo.php?workbook=03_02.xlsx&amp;sheet=A0&amp;row=331&amp;col=10&amp;number=&amp;sourceID=15","")</f>
        <v/>
      </c>
      <c r="K331" s="4" t="str">
        <f>HYPERLINK("http://141.218.60.56/~jnz1568/getInfo.php?workbook=03_02.xlsx&amp;sheet=A0&amp;row=331&amp;col=11&amp;number=&amp;sourceID=30","")</f>
        <v/>
      </c>
      <c r="L331" s="4" t="str">
        <f>HYPERLINK("http://141.218.60.56/~jnz1568/getInfo.php?workbook=03_02.xlsx&amp;sheet=A0&amp;row=331&amp;col=12&amp;number=&amp;sourceID=30","")</f>
        <v/>
      </c>
      <c r="M331" s="4" t="str">
        <f>HYPERLINK("http://141.218.60.56/~jnz1568/getInfo.php?workbook=03_02.xlsx&amp;sheet=A0&amp;row=331&amp;col=13&amp;number=&amp;sourceID=30","")</f>
        <v/>
      </c>
      <c r="N331" s="4" t="str">
        <f>HYPERLINK("http://141.218.60.56/~jnz1568/getInfo.php?workbook=03_02.xlsx&amp;sheet=A0&amp;row=331&amp;col=14&amp;number=0.0004396&amp;sourceID=30","0.0004396")</f>
        <v>0.0004396</v>
      </c>
    </row>
    <row r="332" spans="1:14">
      <c r="A332" s="3">
        <v>3</v>
      </c>
      <c r="B332" s="3">
        <v>2</v>
      </c>
      <c r="C332" s="3">
        <v>29</v>
      </c>
      <c r="D332" s="3">
        <v>22</v>
      </c>
      <c r="E332" s="3">
        <f>((1/(INDEX(E0!J$4:J$52,C332,1)-INDEX(E0!J$4:J$52,D332,1))))*100000000</f>
        <v>0</v>
      </c>
      <c r="F332" s="4" t="str">
        <f>HYPERLINK("http://141.218.60.56/~jnz1568/getInfo.php?workbook=03_02.xlsx&amp;sheet=A0&amp;row=332&amp;col=6&amp;number=&amp;sourceID=27","")</f>
        <v/>
      </c>
      <c r="G332" s="4" t="str">
        <f>HYPERLINK("http://141.218.60.56/~jnz1568/getInfo.php?workbook=03_02.xlsx&amp;sheet=A0&amp;row=332&amp;col=7&amp;number=&amp;sourceID=15","")</f>
        <v/>
      </c>
      <c r="H332" s="4" t="str">
        <f>HYPERLINK("http://141.218.60.56/~jnz1568/getInfo.php?workbook=03_02.xlsx&amp;sheet=A0&amp;row=332&amp;col=8&amp;number=&amp;sourceID=15","")</f>
        <v/>
      </c>
      <c r="I332" s="4" t="str">
        <f>HYPERLINK("http://141.218.60.56/~jnz1568/getInfo.php?workbook=03_02.xlsx&amp;sheet=A0&amp;row=332&amp;col=9&amp;number=&amp;sourceID=15","")</f>
        <v/>
      </c>
      <c r="J332" s="4" t="str">
        <f>HYPERLINK("http://141.218.60.56/~jnz1568/getInfo.php?workbook=03_02.xlsx&amp;sheet=A0&amp;row=332&amp;col=10&amp;number=&amp;sourceID=15","")</f>
        <v/>
      </c>
      <c r="K332" s="4" t="str">
        <f>HYPERLINK("http://141.218.60.56/~jnz1568/getInfo.php?workbook=03_02.xlsx&amp;sheet=A0&amp;row=332&amp;col=11&amp;number=&amp;sourceID=30","")</f>
        <v/>
      </c>
      <c r="L332" s="4" t="str">
        <f>HYPERLINK("http://141.218.60.56/~jnz1568/getInfo.php?workbook=03_02.xlsx&amp;sheet=A0&amp;row=332&amp;col=12&amp;number=3.214e-05&amp;sourceID=30","3.214e-05")</f>
        <v>3.214e-05</v>
      </c>
      <c r="M332" s="4" t="str">
        <f>HYPERLINK("http://141.218.60.56/~jnz1568/getInfo.php?workbook=03_02.xlsx&amp;sheet=A0&amp;row=332&amp;col=13&amp;number=&amp;sourceID=30","")</f>
        <v/>
      </c>
      <c r="N332" s="4" t="str">
        <f>HYPERLINK("http://141.218.60.56/~jnz1568/getInfo.php?workbook=03_02.xlsx&amp;sheet=A0&amp;row=332&amp;col=14&amp;number=&amp;sourceID=30","")</f>
        <v/>
      </c>
    </row>
    <row r="333" spans="1:14">
      <c r="A333" s="3">
        <v>3</v>
      </c>
      <c r="B333" s="3">
        <v>2</v>
      </c>
      <c r="C333" s="3">
        <v>29</v>
      </c>
      <c r="D333" s="3">
        <v>24</v>
      </c>
      <c r="E333" s="3">
        <f>((1/(INDEX(E0!J$4:J$52,C333,1)-INDEX(E0!J$4:J$52,D333,1))))*100000000</f>
        <v>0</v>
      </c>
      <c r="F333" s="4" t="str">
        <f>HYPERLINK("http://141.218.60.56/~jnz1568/getInfo.php?workbook=03_02.xlsx&amp;sheet=A0&amp;row=333&amp;col=6&amp;number=&amp;sourceID=27","")</f>
        <v/>
      </c>
      <c r="G333" s="4" t="str">
        <f>HYPERLINK("http://141.218.60.56/~jnz1568/getInfo.php?workbook=03_02.xlsx&amp;sheet=A0&amp;row=333&amp;col=7&amp;number=&amp;sourceID=15","")</f>
        <v/>
      </c>
      <c r="H333" s="4" t="str">
        <f>HYPERLINK("http://141.218.60.56/~jnz1568/getInfo.php?workbook=03_02.xlsx&amp;sheet=A0&amp;row=333&amp;col=8&amp;number=&amp;sourceID=15","")</f>
        <v/>
      </c>
      <c r="I333" s="4" t="str">
        <f>HYPERLINK("http://141.218.60.56/~jnz1568/getInfo.php?workbook=03_02.xlsx&amp;sheet=A0&amp;row=333&amp;col=9&amp;number=&amp;sourceID=15","")</f>
        <v/>
      </c>
      <c r="J333" s="4" t="str">
        <f>HYPERLINK("http://141.218.60.56/~jnz1568/getInfo.php?workbook=03_02.xlsx&amp;sheet=A0&amp;row=333&amp;col=10&amp;number=&amp;sourceID=15","")</f>
        <v/>
      </c>
      <c r="K333" s="4" t="str">
        <f>HYPERLINK("http://141.218.60.56/~jnz1568/getInfo.php?workbook=03_02.xlsx&amp;sheet=A0&amp;row=333&amp;col=11&amp;number=&amp;sourceID=30","")</f>
        <v/>
      </c>
      <c r="L333" s="4" t="str">
        <f>HYPERLINK("http://141.218.60.56/~jnz1568/getInfo.php?workbook=03_02.xlsx&amp;sheet=A0&amp;row=333&amp;col=12&amp;number=&amp;sourceID=30","")</f>
        <v/>
      </c>
      <c r="M333" s="4" t="str">
        <f>HYPERLINK("http://141.218.60.56/~jnz1568/getInfo.php?workbook=03_02.xlsx&amp;sheet=A0&amp;row=333&amp;col=13&amp;number=&amp;sourceID=30","")</f>
        <v/>
      </c>
      <c r="N333" s="4" t="str">
        <f>HYPERLINK("http://141.218.60.56/~jnz1568/getInfo.php?workbook=03_02.xlsx&amp;sheet=A0&amp;row=333&amp;col=14&amp;number=0&amp;sourceID=30","0")</f>
        <v>0</v>
      </c>
    </row>
    <row r="334" spans="1:14">
      <c r="A334" s="3">
        <v>3</v>
      </c>
      <c r="B334" s="3">
        <v>2</v>
      </c>
      <c r="C334" s="3">
        <v>29</v>
      </c>
      <c r="D334" s="3">
        <v>25</v>
      </c>
      <c r="E334" s="3">
        <f>((1/(INDEX(E0!J$4:J$52,C334,1)-INDEX(E0!J$4:J$52,D334,1))))*100000000</f>
        <v>0</v>
      </c>
      <c r="F334" s="4" t="str">
        <f>HYPERLINK("http://141.218.60.56/~jnz1568/getInfo.php?workbook=03_02.xlsx&amp;sheet=A0&amp;row=334&amp;col=6&amp;number=&amp;sourceID=27","")</f>
        <v/>
      </c>
      <c r="G334" s="4" t="str">
        <f>HYPERLINK("http://141.218.60.56/~jnz1568/getInfo.php?workbook=03_02.xlsx&amp;sheet=A0&amp;row=334&amp;col=7&amp;number=&amp;sourceID=15","")</f>
        <v/>
      </c>
      <c r="H334" s="4" t="str">
        <f>HYPERLINK("http://141.218.60.56/~jnz1568/getInfo.php?workbook=03_02.xlsx&amp;sheet=A0&amp;row=334&amp;col=8&amp;number=&amp;sourceID=15","")</f>
        <v/>
      </c>
      <c r="I334" s="4" t="str">
        <f>HYPERLINK("http://141.218.60.56/~jnz1568/getInfo.php?workbook=03_02.xlsx&amp;sheet=A0&amp;row=334&amp;col=9&amp;number=&amp;sourceID=15","")</f>
        <v/>
      </c>
      <c r="J334" s="4" t="str">
        <f>HYPERLINK("http://141.218.60.56/~jnz1568/getInfo.php?workbook=03_02.xlsx&amp;sheet=A0&amp;row=334&amp;col=10&amp;number=&amp;sourceID=15","")</f>
        <v/>
      </c>
      <c r="K334" s="4" t="str">
        <f>HYPERLINK("http://141.218.60.56/~jnz1568/getInfo.php?workbook=03_02.xlsx&amp;sheet=A0&amp;row=334&amp;col=11&amp;number=0.2162&amp;sourceID=30","0.2162")</f>
        <v>0.2162</v>
      </c>
      <c r="L334" s="4" t="str">
        <f>HYPERLINK("http://141.218.60.56/~jnz1568/getInfo.php?workbook=03_02.xlsx&amp;sheet=A0&amp;row=334&amp;col=12&amp;number=&amp;sourceID=30","")</f>
        <v/>
      </c>
      <c r="M334" s="4" t="str">
        <f>HYPERLINK("http://141.218.60.56/~jnz1568/getInfo.php?workbook=03_02.xlsx&amp;sheet=A0&amp;row=334&amp;col=13&amp;number=&amp;sourceID=30","")</f>
        <v/>
      </c>
      <c r="N334" s="4" t="str">
        <f>HYPERLINK("http://141.218.60.56/~jnz1568/getInfo.php?workbook=03_02.xlsx&amp;sheet=A0&amp;row=334&amp;col=14&amp;number=0&amp;sourceID=30","0")</f>
        <v>0</v>
      </c>
    </row>
    <row r="335" spans="1:14">
      <c r="A335" s="3">
        <v>3</v>
      </c>
      <c r="B335" s="3">
        <v>2</v>
      </c>
      <c r="C335" s="3">
        <v>30</v>
      </c>
      <c r="D335" s="3">
        <v>2</v>
      </c>
      <c r="E335" s="3">
        <f>((1/(INDEX(E0!J$4:J$52,C335,1)-INDEX(E0!J$4:J$52,D335,1))))*100000000</f>
        <v>0</v>
      </c>
      <c r="F335" s="4" t="str">
        <f>HYPERLINK("http://141.218.60.56/~jnz1568/getInfo.php?workbook=03_02.xlsx&amp;sheet=A0&amp;row=335&amp;col=6&amp;number=&amp;sourceID=27","")</f>
        <v/>
      </c>
      <c r="G335" s="4" t="str">
        <f>HYPERLINK("http://141.218.60.56/~jnz1568/getInfo.php?workbook=03_02.xlsx&amp;sheet=A0&amp;row=335&amp;col=7&amp;number=&amp;sourceID=15","")</f>
        <v/>
      </c>
      <c r="H335" s="4" t="str">
        <f>HYPERLINK("http://141.218.60.56/~jnz1568/getInfo.php?workbook=03_02.xlsx&amp;sheet=A0&amp;row=335&amp;col=8&amp;number=&amp;sourceID=15","")</f>
        <v/>
      </c>
      <c r="I335" s="4" t="str">
        <f>HYPERLINK("http://141.218.60.56/~jnz1568/getInfo.php?workbook=03_02.xlsx&amp;sheet=A0&amp;row=335&amp;col=9&amp;number=&amp;sourceID=15","")</f>
        <v/>
      </c>
      <c r="J335" s="4" t="str">
        <f>HYPERLINK("http://141.218.60.56/~jnz1568/getInfo.php?workbook=03_02.xlsx&amp;sheet=A0&amp;row=335&amp;col=10&amp;number=&amp;sourceID=15","")</f>
        <v/>
      </c>
      <c r="K335" s="4" t="str">
        <f>HYPERLINK("http://141.218.60.56/~jnz1568/getInfo.php?workbook=03_02.xlsx&amp;sheet=A0&amp;row=335&amp;col=11&amp;number=&amp;sourceID=30","")</f>
        <v/>
      </c>
      <c r="L335" s="4" t="str">
        <f>HYPERLINK("http://141.218.60.56/~jnz1568/getInfo.php?workbook=03_02.xlsx&amp;sheet=A0&amp;row=335&amp;col=12&amp;number=&amp;sourceID=30","")</f>
        <v/>
      </c>
      <c r="M335" s="4" t="str">
        <f>HYPERLINK("http://141.218.60.56/~jnz1568/getInfo.php?workbook=03_02.xlsx&amp;sheet=A0&amp;row=335&amp;col=13&amp;number=&amp;sourceID=30","")</f>
        <v/>
      </c>
      <c r="N335" s="4" t="str">
        <f>HYPERLINK("http://141.218.60.56/~jnz1568/getInfo.php?workbook=03_02.xlsx&amp;sheet=A0&amp;row=335&amp;col=14&amp;number=9.2e-13&amp;sourceID=30","9.2e-13")</f>
        <v>9.2e-13</v>
      </c>
    </row>
    <row r="336" spans="1:14">
      <c r="A336" s="3">
        <v>3</v>
      </c>
      <c r="B336" s="3">
        <v>2</v>
      </c>
      <c r="C336" s="3">
        <v>30</v>
      </c>
      <c r="D336" s="3">
        <v>4</v>
      </c>
      <c r="E336" s="3">
        <f>((1/(INDEX(E0!J$4:J$52,C336,1)-INDEX(E0!J$4:J$52,D336,1))))*100000000</f>
        <v>0</v>
      </c>
      <c r="F336" s="4" t="str">
        <f>HYPERLINK("http://141.218.60.56/~jnz1568/getInfo.php?workbook=03_02.xlsx&amp;sheet=A0&amp;row=336&amp;col=6&amp;number=&amp;sourceID=27","")</f>
        <v/>
      </c>
      <c r="G336" s="4" t="str">
        <f>HYPERLINK("http://141.218.60.56/~jnz1568/getInfo.php?workbook=03_02.xlsx&amp;sheet=A0&amp;row=336&amp;col=7&amp;number=&amp;sourceID=15","")</f>
        <v/>
      </c>
      <c r="H336" s="4" t="str">
        <f>HYPERLINK("http://141.218.60.56/~jnz1568/getInfo.php?workbook=03_02.xlsx&amp;sheet=A0&amp;row=336&amp;col=8&amp;number=&amp;sourceID=15","")</f>
        <v/>
      </c>
      <c r="I336" s="4" t="str">
        <f>HYPERLINK("http://141.218.60.56/~jnz1568/getInfo.php?workbook=03_02.xlsx&amp;sheet=A0&amp;row=336&amp;col=9&amp;number=&amp;sourceID=15","")</f>
        <v/>
      </c>
      <c r="J336" s="4" t="str">
        <f>HYPERLINK("http://141.218.60.56/~jnz1568/getInfo.php?workbook=03_02.xlsx&amp;sheet=A0&amp;row=336&amp;col=10&amp;number=&amp;sourceID=15","")</f>
        <v/>
      </c>
      <c r="K336" s="4" t="str">
        <f>HYPERLINK("http://141.218.60.56/~jnz1568/getInfo.php?workbook=03_02.xlsx&amp;sheet=A0&amp;row=336&amp;col=11&amp;number=&amp;sourceID=30","")</f>
        <v/>
      </c>
      <c r="L336" s="4" t="str">
        <f>HYPERLINK("http://141.218.60.56/~jnz1568/getInfo.php?workbook=03_02.xlsx&amp;sheet=A0&amp;row=336&amp;col=12&amp;number=571.7&amp;sourceID=30","571.7")</f>
        <v>571.7</v>
      </c>
      <c r="M336" s="4" t="str">
        <f>HYPERLINK("http://141.218.60.56/~jnz1568/getInfo.php?workbook=03_02.xlsx&amp;sheet=A0&amp;row=336&amp;col=13&amp;number=&amp;sourceID=30","")</f>
        <v/>
      </c>
      <c r="N336" s="4" t="str">
        <f>HYPERLINK("http://141.218.60.56/~jnz1568/getInfo.php?workbook=03_02.xlsx&amp;sheet=A0&amp;row=336&amp;col=14&amp;number=&amp;sourceID=30","")</f>
        <v/>
      </c>
    </row>
    <row r="337" spans="1:14">
      <c r="A337" s="3">
        <v>3</v>
      </c>
      <c r="B337" s="3">
        <v>2</v>
      </c>
      <c r="C337" s="3">
        <v>30</v>
      </c>
      <c r="D337" s="3">
        <v>5</v>
      </c>
      <c r="E337" s="3">
        <f>((1/(INDEX(E0!J$4:J$52,C337,1)-INDEX(E0!J$4:J$52,D337,1))))*100000000</f>
        <v>0</v>
      </c>
      <c r="F337" s="4" t="str">
        <f>HYPERLINK("http://141.218.60.56/~jnz1568/getInfo.php?workbook=03_02.xlsx&amp;sheet=A0&amp;row=337&amp;col=6&amp;number=&amp;sourceID=27","")</f>
        <v/>
      </c>
      <c r="G337" s="4" t="str">
        <f>HYPERLINK("http://141.218.60.56/~jnz1568/getInfo.php?workbook=03_02.xlsx&amp;sheet=A0&amp;row=337&amp;col=7&amp;number=&amp;sourceID=15","")</f>
        <v/>
      </c>
      <c r="H337" s="4" t="str">
        <f>HYPERLINK("http://141.218.60.56/~jnz1568/getInfo.php?workbook=03_02.xlsx&amp;sheet=A0&amp;row=337&amp;col=8&amp;number=&amp;sourceID=15","")</f>
        <v/>
      </c>
      <c r="I337" s="4" t="str">
        <f>HYPERLINK("http://141.218.60.56/~jnz1568/getInfo.php?workbook=03_02.xlsx&amp;sheet=A0&amp;row=337&amp;col=9&amp;number=&amp;sourceID=15","")</f>
        <v/>
      </c>
      <c r="J337" s="4" t="str">
        <f>HYPERLINK("http://141.218.60.56/~jnz1568/getInfo.php?workbook=03_02.xlsx&amp;sheet=A0&amp;row=337&amp;col=10&amp;number=&amp;sourceID=15","")</f>
        <v/>
      </c>
      <c r="K337" s="4" t="str">
        <f>HYPERLINK("http://141.218.60.56/~jnz1568/getInfo.php?workbook=03_02.xlsx&amp;sheet=A0&amp;row=337&amp;col=11&amp;number=&amp;sourceID=30","")</f>
        <v/>
      </c>
      <c r="L337" s="4" t="str">
        <f>HYPERLINK("http://141.218.60.56/~jnz1568/getInfo.php?workbook=03_02.xlsx&amp;sheet=A0&amp;row=337&amp;col=12&amp;number=286.8&amp;sourceID=30","286.8")</f>
        <v>286.8</v>
      </c>
      <c r="M337" s="4" t="str">
        <f>HYPERLINK("http://141.218.60.56/~jnz1568/getInfo.php?workbook=03_02.xlsx&amp;sheet=A0&amp;row=337&amp;col=13&amp;number=7.636e-09&amp;sourceID=30","7.636e-09")</f>
        <v>7.636e-09</v>
      </c>
      <c r="N337" s="4" t="str">
        <f>HYPERLINK("http://141.218.60.56/~jnz1568/getInfo.php?workbook=03_02.xlsx&amp;sheet=A0&amp;row=337&amp;col=14&amp;number=&amp;sourceID=30","")</f>
        <v/>
      </c>
    </row>
    <row r="338" spans="1:14">
      <c r="A338" s="3">
        <v>3</v>
      </c>
      <c r="B338" s="3">
        <v>2</v>
      </c>
      <c r="C338" s="3">
        <v>30</v>
      </c>
      <c r="D338" s="3">
        <v>7</v>
      </c>
      <c r="E338" s="3">
        <f>((1/(INDEX(E0!J$4:J$52,C338,1)-INDEX(E0!J$4:J$52,D338,1))))*100000000</f>
        <v>0</v>
      </c>
      <c r="F338" s="4" t="str">
        <f>HYPERLINK("http://141.218.60.56/~jnz1568/getInfo.php?workbook=03_02.xlsx&amp;sheet=A0&amp;row=338&amp;col=6&amp;number=&amp;sourceID=27","")</f>
        <v/>
      </c>
      <c r="G338" s="4" t="str">
        <f>HYPERLINK("http://141.218.60.56/~jnz1568/getInfo.php?workbook=03_02.xlsx&amp;sheet=A0&amp;row=338&amp;col=7&amp;number=&amp;sourceID=15","")</f>
        <v/>
      </c>
      <c r="H338" s="4" t="str">
        <f>HYPERLINK("http://141.218.60.56/~jnz1568/getInfo.php?workbook=03_02.xlsx&amp;sheet=A0&amp;row=338&amp;col=8&amp;number=3965&amp;sourceID=15","3965")</f>
        <v>3965</v>
      </c>
      <c r="I338" s="4" t="str">
        <f>HYPERLINK("http://141.218.60.56/~jnz1568/getInfo.php?workbook=03_02.xlsx&amp;sheet=A0&amp;row=338&amp;col=9&amp;number=&amp;sourceID=15","")</f>
        <v/>
      </c>
      <c r="J338" s="4" t="str">
        <f>HYPERLINK("http://141.218.60.56/~jnz1568/getInfo.php?workbook=03_02.xlsx&amp;sheet=A0&amp;row=338&amp;col=10&amp;number=&amp;sourceID=15","")</f>
        <v/>
      </c>
      <c r="K338" s="4" t="str">
        <f>HYPERLINK("http://141.218.60.56/~jnz1568/getInfo.php?workbook=03_02.xlsx&amp;sheet=A0&amp;row=338&amp;col=11&amp;number=&amp;sourceID=30","")</f>
        <v/>
      </c>
      <c r="L338" s="4" t="str">
        <f>HYPERLINK("http://141.218.60.56/~jnz1568/getInfo.php?workbook=03_02.xlsx&amp;sheet=A0&amp;row=338&amp;col=12&amp;number=2924&amp;sourceID=30","2924")</f>
        <v>2924</v>
      </c>
      <c r="M338" s="4" t="str">
        <f>HYPERLINK("http://141.218.60.56/~jnz1568/getInfo.php?workbook=03_02.xlsx&amp;sheet=A0&amp;row=338&amp;col=13&amp;number=&amp;sourceID=30","")</f>
        <v/>
      </c>
      <c r="N338" s="4" t="str">
        <f>HYPERLINK("http://141.218.60.56/~jnz1568/getInfo.php?workbook=03_02.xlsx&amp;sheet=A0&amp;row=338&amp;col=14&amp;number=&amp;sourceID=30","")</f>
        <v/>
      </c>
    </row>
    <row r="339" spans="1:14">
      <c r="A339" s="3">
        <v>3</v>
      </c>
      <c r="B339" s="3">
        <v>2</v>
      </c>
      <c r="C339" s="3">
        <v>30</v>
      </c>
      <c r="D339" s="3">
        <v>8</v>
      </c>
      <c r="E339" s="3">
        <f>((1/(INDEX(E0!J$4:J$52,C339,1)-INDEX(E0!J$4:J$52,D339,1))))*100000000</f>
        <v>0</v>
      </c>
      <c r="F339" s="4" t="str">
        <f>HYPERLINK("http://141.218.60.56/~jnz1568/getInfo.php?workbook=03_02.xlsx&amp;sheet=A0&amp;row=339&amp;col=6&amp;number=&amp;sourceID=27","")</f>
        <v/>
      </c>
      <c r="G339" s="4" t="str">
        <f>HYPERLINK("http://141.218.60.56/~jnz1568/getInfo.php?workbook=03_02.xlsx&amp;sheet=A0&amp;row=339&amp;col=7&amp;number=&amp;sourceID=15","")</f>
        <v/>
      </c>
      <c r="H339" s="4" t="str">
        <f>HYPERLINK("http://141.218.60.56/~jnz1568/getInfo.php?workbook=03_02.xlsx&amp;sheet=A0&amp;row=339&amp;col=8&amp;number=&amp;sourceID=15","")</f>
        <v/>
      </c>
      <c r="I339" s="4" t="str">
        <f>HYPERLINK("http://141.218.60.56/~jnz1568/getInfo.php?workbook=03_02.xlsx&amp;sheet=A0&amp;row=339&amp;col=9&amp;number=&amp;sourceID=15","")</f>
        <v/>
      </c>
      <c r="J339" s="4" t="str">
        <f>HYPERLINK("http://141.218.60.56/~jnz1568/getInfo.php?workbook=03_02.xlsx&amp;sheet=A0&amp;row=339&amp;col=10&amp;number=&amp;sourceID=15","")</f>
        <v/>
      </c>
      <c r="K339" s="4" t="str">
        <f>HYPERLINK("http://141.218.60.56/~jnz1568/getInfo.php?workbook=03_02.xlsx&amp;sheet=A0&amp;row=339&amp;col=11&amp;number=&amp;sourceID=30","")</f>
        <v/>
      </c>
      <c r="L339" s="4" t="str">
        <f>HYPERLINK("http://141.218.60.56/~jnz1568/getInfo.php?workbook=03_02.xlsx&amp;sheet=A0&amp;row=339&amp;col=12&amp;number=&amp;sourceID=30","")</f>
        <v/>
      </c>
      <c r="M339" s="4" t="str">
        <f>HYPERLINK("http://141.218.60.56/~jnz1568/getInfo.php?workbook=03_02.xlsx&amp;sheet=A0&amp;row=339&amp;col=13&amp;number=&amp;sourceID=30","")</f>
        <v/>
      </c>
      <c r="N339" s="4" t="str">
        <f>HYPERLINK("http://141.218.60.56/~jnz1568/getInfo.php?workbook=03_02.xlsx&amp;sheet=A0&amp;row=339&amp;col=14&amp;number=6e-14&amp;sourceID=30","6e-14")</f>
        <v>6e-14</v>
      </c>
    </row>
    <row r="340" spans="1:14">
      <c r="A340" s="3">
        <v>3</v>
      </c>
      <c r="B340" s="3">
        <v>2</v>
      </c>
      <c r="C340" s="3">
        <v>30</v>
      </c>
      <c r="D340" s="3">
        <v>10</v>
      </c>
      <c r="E340" s="3">
        <f>((1/(INDEX(E0!J$4:J$52,C340,1)-INDEX(E0!J$4:J$52,D340,1))))*100000000</f>
        <v>0</v>
      </c>
      <c r="F340" s="4" t="str">
        <f>HYPERLINK("http://141.218.60.56/~jnz1568/getInfo.php?workbook=03_02.xlsx&amp;sheet=A0&amp;row=340&amp;col=6&amp;number=&amp;sourceID=27","")</f>
        <v/>
      </c>
      <c r="G340" s="4" t="str">
        <f>HYPERLINK("http://141.218.60.56/~jnz1568/getInfo.php?workbook=03_02.xlsx&amp;sheet=A0&amp;row=340&amp;col=7&amp;number=&amp;sourceID=15","")</f>
        <v/>
      </c>
      <c r="H340" s="4" t="str">
        <f>HYPERLINK("http://141.218.60.56/~jnz1568/getInfo.php?workbook=03_02.xlsx&amp;sheet=A0&amp;row=340&amp;col=8&amp;number=&amp;sourceID=15","")</f>
        <v/>
      </c>
      <c r="I340" s="4" t="str">
        <f>HYPERLINK("http://141.218.60.56/~jnz1568/getInfo.php?workbook=03_02.xlsx&amp;sheet=A0&amp;row=340&amp;col=9&amp;number=&amp;sourceID=15","")</f>
        <v/>
      </c>
      <c r="J340" s="4" t="str">
        <f>HYPERLINK("http://141.218.60.56/~jnz1568/getInfo.php?workbook=03_02.xlsx&amp;sheet=A0&amp;row=340&amp;col=10&amp;number=&amp;sourceID=15","")</f>
        <v/>
      </c>
      <c r="K340" s="4" t="str">
        <f>HYPERLINK("http://141.218.60.56/~jnz1568/getInfo.php?workbook=03_02.xlsx&amp;sheet=A0&amp;row=340&amp;col=11&amp;number=&amp;sourceID=30","")</f>
        <v/>
      </c>
      <c r="L340" s="4" t="str">
        <f>HYPERLINK("http://141.218.60.56/~jnz1568/getInfo.php?workbook=03_02.xlsx&amp;sheet=A0&amp;row=340&amp;col=12&amp;number=65.66&amp;sourceID=30","65.66")</f>
        <v>65.66</v>
      </c>
      <c r="M340" s="4" t="str">
        <f>HYPERLINK("http://141.218.60.56/~jnz1568/getInfo.php?workbook=03_02.xlsx&amp;sheet=A0&amp;row=340&amp;col=13&amp;number=&amp;sourceID=30","")</f>
        <v/>
      </c>
      <c r="N340" s="4" t="str">
        <f>HYPERLINK("http://141.218.60.56/~jnz1568/getInfo.php?workbook=03_02.xlsx&amp;sheet=A0&amp;row=340&amp;col=14&amp;number=&amp;sourceID=30","")</f>
        <v/>
      </c>
    </row>
    <row r="341" spans="1:14">
      <c r="A341" s="3">
        <v>3</v>
      </c>
      <c r="B341" s="3">
        <v>2</v>
      </c>
      <c r="C341" s="3">
        <v>30</v>
      </c>
      <c r="D341" s="3">
        <v>11</v>
      </c>
      <c r="E341" s="3">
        <f>((1/(INDEX(E0!J$4:J$52,C341,1)-INDEX(E0!J$4:J$52,D341,1))))*100000000</f>
        <v>0</v>
      </c>
      <c r="F341" s="4" t="str">
        <f>HYPERLINK("http://141.218.60.56/~jnz1568/getInfo.php?workbook=03_02.xlsx&amp;sheet=A0&amp;row=341&amp;col=6&amp;number=&amp;sourceID=27","")</f>
        <v/>
      </c>
      <c r="G341" s="4" t="str">
        <f>HYPERLINK("http://141.218.60.56/~jnz1568/getInfo.php?workbook=03_02.xlsx&amp;sheet=A0&amp;row=341&amp;col=7&amp;number=&amp;sourceID=15","")</f>
        <v/>
      </c>
      <c r="H341" s="4" t="str">
        <f>HYPERLINK("http://141.218.60.56/~jnz1568/getInfo.php?workbook=03_02.xlsx&amp;sheet=A0&amp;row=341&amp;col=8&amp;number=&amp;sourceID=15","")</f>
        <v/>
      </c>
      <c r="I341" s="4" t="str">
        <f>HYPERLINK("http://141.218.60.56/~jnz1568/getInfo.php?workbook=03_02.xlsx&amp;sheet=A0&amp;row=341&amp;col=9&amp;number=&amp;sourceID=15","")</f>
        <v/>
      </c>
      <c r="J341" s="4" t="str">
        <f>HYPERLINK("http://141.218.60.56/~jnz1568/getInfo.php?workbook=03_02.xlsx&amp;sheet=A0&amp;row=341&amp;col=10&amp;number=&amp;sourceID=15","")</f>
        <v/>
      </c>
      <c r="K341" s="4" t="str">
        <f>HYPERLINK("http://141.218.60.56/~jnz1568/getInfo.php?workbook=03_02.xlsx&amp;sheet=A0&amp;row=341&amp;col=11&amp;number=&amp;sourceID=30","")</f>
        <v/>
      </c>
      <c r="L341" s="4" t="str">
        <f>HYPERLINK("http://141.218.60.56/~jnz1568/getInfo.php?workbook=03_02.xlsx&amp;sheet=A0&amp;row=341&amp;col=12&amp;number=32.93&amp;sourceID=30","32.93")</f>
        <v>32.93</v>
      </c>
      <c r="M341" s="4" t="str">
        <f>HYPERLINK("http://141.218.60.56/~jnz1568/getInfo.php?workbook=03_02.xlsx&amp;sheet=A0&amp;row=341&amp;col=13&amp;number=2.768e-10&amp;sourceID=30","2.768e-10")</f>
        <v>2.768e-10</v>
      </c>
      <c r="N341" s="4" t="str">
        <f>HYPERLINK("http://141.218.60.56/~jnz1568/getInfo.php?workbook=03_02.xlsx&amp;sheet=A0&amp;row=341&amp;col=14&amp;number=&amp;sourceID=30","")</f>
        <v/>
      </c>
    </row>
    <row r="342" spans="1:14">
      <c r="A342" s="3">
        <v>3</v>
      </c>
      <c r="B342" s="3">
        <v>2</v>
      </c>
      <c r="C342" s="3">
        <v>30</v>
      </c>
      <c r="D342" s="3">
        <v>13</v>
      </c>
      <c r="E342" s="3">
        <f>((1/(INDEX(E0!J$4:J$52,C342,1)-INDEX(E0!J$4:J$52,D342,1))))*100000000</f>
        <v>0</v>
      </c>
      <c r="F342" s="4" t="str">
        <f>HYPERLINK("http://141.218.60.56/~jnz1568/getInfo.php?workbook=03_02.xlsx&amp;sheet=A0&amp;row=342&amp;col=6&amp;number=&amp;sourceID=27","")</f>
        <v/>
      </c>
      <c r="G342" s="4" t="str">
        <f>HYPERLINK("http://141.218.60.56/~jnz1568/getInfo.php?workbook=03_02.xlsx&amp;sheet=A0&amp;row=342&amp;col=7&amp;number=54530000&amp;sourceID=15","54530000")</f>
        <v>54530000</v>
      </c>
      <c r="H342" s="4" t="str">
        <f>HYPERLINK("http://141.218.60.56/~jnz1568/getInfo.php?workbook=03_02.xlsx&amp;sheet=A0&amp;row=342&amp;col=8&amp;number=&amp;sourceID=15","")</f>
        <v/>
      </c>
      <c r="I342" s="4" t="str">
        <f>HYPERLINK("http://141.218.60.56/~jnz1568/getInfo.php?workbook=03_02.xlsx&amp;sheet=A0&amp;row=342&amp;col=9&amp;number=&amp;sourceID=15","")</f>
        <v/>
      </c>
      <c r="J342" s="4" t="str">
        <f>HYPERLINK("http://141.218.60.56/~jnz1568/getInfo.php?workbook=03_02.xlsx&amp;sheet=A0&amp;row=342&amp;col=10&amp;number=&amp;sourceID=15","")</f>
        <v/>
      </c>
      <c r="K342" s="4" t="str">
        <f>HYPERLINK("http://141.218.60.56/~jnz1568/getInfo.php?workbook=03_02.xlsx&amp;sheet=A0&amp;row=342&amp;col=11&amp;number=39510000&amp;sourceID=30","39510000")</f>
        <v>39510000</v>
      </c>
      <c r="L342" s="4" t="str">
        <f>HYPERLINK("http://141.218.60.56/~jnz1568/getInfo.php?workbook=03_02.xlsx&amp;sheet=A0&amp;row=342&amp;col=12&amp;number=&amp;sourceID=30","")</f>
        <v/>
      </c>
      <c r="M342" s="4" t="str">
        <f>HYPERLINK("http://141.218.60.56/~jnz1568/getInfo.php?workbook=03_02.xlsx&amp;sheet=A0&amp;row=342&amp;col=13&amp;number=&amp;sourceID=30","")</f>
        <v/>
      </c>
      <c r="N342" s="4" t="str">
        <f>HYPERLINK("http://141.218.60.56/~jnz1568/getInfo.php?workbook=03_02.xlsx&amp;sheet=A0&amp;row=342&amp;col=14&amp;number=0.0008205&amp;sourceID=30","0.0008205")</f>
        <v>0.0008205</v>
      </c>
    </row>
    <row r="343" spans="1:14">
      <c r="A343" s="3">
        <v>3</v>
      </c>
      <c r="B343" s="3">
        <v>2</v>
      </c>
      <c r="C343" s="3">
        <v>30</v>
      </c>
      <c r="D343" s="3">
        <v>14</v>
      </c>
      <c r="E343" s="3">
        <f>((1/(INDEX(E0!J$4:J$52,C343,1)-INDEX(E0!J$4:J$52,D343,1))))*100000000</f>
        <v>0</v>
      </c>
      <c r="F343" s="4" t="str">
        <f>HYPERLINK("http://141.218.60.56/~jnz1568/getInfo.php?workbook=03_02.xlsx&amp;sheet=A0&amp;row=343&amp;col=6&amp;number=&amp;sourceID=27","")</f>
        <v/>
      </c>
      <c r="G343" s="4" t="str">
        <f>HYPERLINK("http://141.218.60.56/~jnz1568/getInfo.php?workbook=03_02.xlsx&amp;sheet=A0&amp;row=343&amp;col=7&amp;number=7264000&amp;sourceID=15","7264000")</f>
        <v>7264000</v>
      </c>
      <c r="H343" s="4" t="str">
        <f>HYPERLINK("http://141.218.60.56/~jnz1568/getInfo.php?workbook=03_02.xlsx&amp;sheet=A0&amp;row=343&amp;col=8&amp;number=&amp;sourceID=15","")</f>
        <v/>
      </c>
      <c r="I343" s="4" t="str">
        <f>HYPERLINK("http://141.218.60.56/~jnz1568/getInfo.php?workbook=03_02.xlsx&amp;sheet=A0&amp;row=343&amp;col=9&amp;number=&amp;sourceID=15","")</f>
        <v/>
      </c>
      <c r="J343" s="4" t="str">
        <f>HYPERLINK("http://141.218.60.56/~jnz1568/getInfo.php?workbook=03_02.xlsx&amp;sheet=A0&amp;row=343&amp;col=10&amp;number=&amp;sourceID=15","")</f>
        <v/>
      </c>
      <c r="K343" s="4" t="str">
        <f>HYPERLINK("http://141.218.60.56/~jnz1568/getInfo.php?workbook=03_02.xlsx&amp;sheet=A0&amp;row=343&amp;col=11&amp;number=5217000&amp;sourceID=30","5217000")</f>
        <v>5217000</v>
      </c>
      <c r="L343" s="4" t="str">
        <f>HYPERLINK("http://141.218.60.56/~jnz1568/getInfo.php?workbook=03_02.xlsx&amp;sheet=A0&amp;row=343&amp;col=12&amp;number=&amp;sourceID=30","")</f>
        <v/>
      </c>
      <c r="M343" s="4" t="str">
        <f>HYPERLINK("http://141.218.60.56/~jnz1568/getInfo.php?workbook=03_02.xlsx&amp;sheet=A0&amp;row=343&amp;col=13&amp;number=&amp;sourceID=30","")</f>
        <v/>
      </c>
      <c r="N343" s="4" t="str">
        <f>HYPERLINK("http://141.218.60.56/~jnz1568/getInfo.php?workbook=03_02.xlsx&amp;sheet=A0&amp;row=343&amp;col=14&amp;number=0.0002949&amp;sourceID=30","0.0002949")</f>
        <v>0.0002949</v>
      </c>
    </row>
    <row r="344" spans="1:14">
      <c r="A344" s="3">
        <v>3</v>
      </c>
      <c r="B344" s="3">
        <v>2</v>
      </c>
      <c r="C344" s="3">
        <v>30</v>
      </c>
      <c r="D344" s="3">
        <v>15</v>
      </c>
      <c r="E344" s="3">
        <f>((1/(INDEX(E0!J$4:J$52,C344,1)-INDEX(E0!J$4:J$52,D344,1))))*100000000</f>
        <v>0</v>
      </c>
      <c r="F344" s="4" t="str">
        <f>HYPERLINK("http://141.218.60.56/~jnz1568/getInfo.php?workbook=03_02.xlsx&amp;sheet=A0&amp;row=344&amp;col=6&amp;number=&amp;sourceID=27","")</f>
        <v/>
      </c>
      <c r="G344" s="4" t="str">
        <f>HYPERLINK("http://141.218.60.56/~jnz1568/getInfo.php?workbook=03_02.xlsx&amp;sheet=A0&amp;row=344&amp;col=7&amp;number=&amp;sourceID=15","")</f>
        <v/>
      </c>
      <c r="H344" s="4" t="str">
        <f>HYPERLINK("http://141.218.60.56/~jnz1568/getInfo.php?workbook=03_02.xlsx&amp;sheet=A0&amp;row=344&amp;col=8&amp;number=&amp;sourceID=15","")</f>
        <v/>
      </c>
      <c r="I344" s="4" t="str">
        <f>HYPERLINK("http://141.218.60.56/~jnz1568/getInfo.php?workbook=03_02.xlsx&amp;sheet=A0&amp;row=344&amp;col=9&amp;number=&amp;sourceID=15","")</f>
        <v/>
      </c>
      <c r="J344" s="4" t="str">
        <f>HYPERLINK("http://141.218.60.56/~jnz1568/getInfo.php?workbook=03_02.xlsx&amp;sheet=A0&amp;row=344&amp;col=10&amp;number=&amp;sourceID=15","")</f>
        <v/>
      </c>
      <c r="K344" s="4" t="str">
        <f>HYPERLINK("http://141.218.60.56/~jnz1568/getInfo.php?workbook=03_02.xlsx&amp;sheet=A0&amp;row=344&amp;col=11&amp;number=&amp;sourceID=30","")</f>
        <v/>
      </c>
      <c r="L344" s="4" t="str">
        <f>HYPERLINK("http://141.218.60.56/~jnz1568/getInfo.php?workbook=03_02.xlsx&amp;sheet=A0&amp;row=344&amp;col=12&amp;number=&amp;sourceID=30","")</f>
        <v/>
      </c>
      <c r="M344" s="4" t="str">
        <f>HYPERLINK("http://141.218.60.56/~jnz1568/getInfo.php?workbook=03_02.xlsx&amp;sheet=A0&amp;row=344&amp;col=13&amp;number=&amp;sourceID=30","")</f>
        <v/>
      </c>
      <c r="N344" s="4" t="str">
        <f>HYPERLINK("http://141.218.60.56/~jnz1568/getInfo.php?workbook=03_02.xlsx&amp;sheet=A0&amp;row=344&amp;col=14&amp;number=0.000303&amp;sourceID=30","0.000303")</f>
        <v>0.000303</v>
      </c>
    </row>
    <row r="345" spans="1:14">
      <c r="A345" s="3">
        <v>3</v>
      </c>
      <c r="B345" s="3">
        <v>2</v>
      </c>
      <c r="C345" s="3">
        <v>30</v>
      </c>
      <c r="D345" s="3">
        <v>16</v>
      </c>
      <c r="E345" s="3">
        <f>((1/(INDEX(E0!J$4:J$52,C345,1)-INDEX(E0!J$4:J$52,D345,1))))*100000000</f>
        <v>0</v>
      </c>
      <c r="F345" s="4" t="str">
        <f>HYPERLINK("http://141.218.60.56/~jnz1568/getInfo.php?workbook=03_02.xlsx&amp;sheet=A0&amp;row=345&amp;col=6&amp;number=&amp;sourceID=27","")</f>
        <v/>
      </c>
      <c r="G345" s="4" t="str">
        <f>HYPERLINK("http://141.218.60.56/~jnz1568/getInfo.php?workbook=03_02.xlsx&amp;sheet=A0&amp;row=345&amp;col=7&amp;number=159310000&amp;sourceID=15","159310000")</f>
        <v>159310000</v>
      </c>
      <c r="H345" s="4" t="str">
        <f>HYPERLINK("http://141.218.60.56/~jnz1568/getInfo.php?workbook=03_02.xlsx&amp;sheet=A0&amp;row=345&amp;col=8&amp;number=&amp;sourceID=15","")</f>
        <v/>
      </c>
      <c r="I345" s="4" t="str">
        <f>HYPERLINK("http://141.218.60.56/~jnz1568/getInfo.php?workbook=03_02.xlsx&amp;sheet=A0&amp;row=345&amp;col=9&amp;number=&amp;sourceID=15","")</f>
        <v/>
      </c>
      <c r="J345" s="4" t="str">
        <f>HYPERLINK("http://141.218.60.56/~jnz1568/getInfo.php?workbook=03_02.xlsx&amp;sheet=A0&amp;row=345&amp;col=10&amp;number=&amp;sourceID=15","")</f>
        <v/>
      </c>
      <c r="K345" s="4" t="str">
        <f>HYPERLINK("http://141.218.60.56/~jnz1568/getInfo.php?workbook=03_02.xlsx&amp;sheet=A0&amp;row=345&amp;col=11&amp;number=176000000&amp;sourceID=30","176000000")</f>
        <v>176000000</v>
      </c>
      <c r="L345" s="4" t="str">
        <f>HYPERLINK("http://141.218.60.56/~jnz1568/getInfo.php?workbook=03_02.xlsx&amp;sheet=A0&amp;row=345&amp;col=12&amp;number=&amp;sourceID=30","")</f>
        <v/>
      </c>
      <c r="M345" s="4" t="str">
        <f>HYPERLINK("http://141.218.60.56/~jnz1568/getInfo.php?workbook=03_02.xlsx&amp;sheet=A0&amp;row=345&amp;col=13&amp;number=&amp;sourceID=30","")</f>
        <v/>
      </c>
      <c r="N345" s="4" t="str">
        <f>HYPERLINK("http://141.218.60.56/~jnz1568/getInfo.php?workbook=03_02.xlsx&amp;sheet=A0&amp;row=345&amp;col=14&amp;number=0.0009536&amp;sourceID=30","0.0009536")</f>
        <v>0.0009536</v>
      </c>
    </row>
    <row r="346" spans="1:14">
      <c r="A346" s="3">
        <v>3</v>
      </c>
      <c r="B346" s="3">
        <v>2</v>
      </c>
      <c r="C346" s="3">
        <v>30</v>
      </c>
      <c r="D346" s="3">
        <v>17</v>
      </c>
      <c r="E346" s="3">
        <f>((1/(INDEX(E0!J$4:J$52,C346,1)-INDEX(E0!J$4:J$52,D346,1))))*100000000</f>
        <v>0</v>
      </c>
      <c r="F346" s="4" t="str">
        <f>HYPERLINK("http://141.218.60.56/~jnz1568/getInfo.php?workbook=03_02.xlsx&amp;sheet=A0&amp;row=346&amp;col=6&amp;number=&amp;sourceID=27","")</f>
        <v/>
      </c>
      <c r="G346" s="4" t="str">
        <f>HYPERLINK("http://141.218.60.56/~jnz1568/getInfo.php?workbook=03_02.xlsx&amp;sheet=A0&amp;row=346&amp;col=7&amp;number=&amp;sourceID=15","")</f>
        <v/>
      </c>
      <c r="H346" s="4" t="str">
        <f>HYPERLINK("http://141.218.60.56/~jnz1568/getInfo.php?workbook=03_02.xlsx&amp;sheet=A0&amp;row=346&amp;col=8&amp;number=&amp;sourceID=15","")</f>
        <v/>
      </c>
      <c r="I346" s="4" t="str">
        <f>HYPERLINK("http://141.218.60.56/~jnz1568/getInfo.php?workbook=03_02.xlsx&amp;sheet=A0&amp;row=346&amp;col=9&amp;number=&amp;sourceID=15","")</f>
        <v/>
      </c>
      <c r="J346" s="4" t="str">
        <f>HYPERLINK("http://141.218.60.56/~jnz1568/getInfo.php?workbook=03_02.xlsx&amp;sheet=A0&amp;row=346&amp;col=10&amp;number=&amp;sourceID=15","")</f>
        <v/>
      </c>
      <c r="K346" s="4" t="str">
        <f>HYPERLINK("http://141.218.60.56/~jnz1568/getInfo.php?workbook=03_02.xlsx&amp;sheet=A0&amp;row=346&amp;col=11&amp;number=&amp;sourceID=30","")</f>
        <v/>
      </c>
      <c r="L346" s="4" t="str">
        <f>HYPERLINK("http://141.218.60.56/~jnz1568/getInfo.php?workbook=03_02.xlsx&amp;sheet=A0&amp;row=346&amp;col=12&amp;number=253.7&amp;sourceID=30","253.7")</f>
        <v>253.7</v>
      </c>
      <c r="M346" s="4" t="str">
        <f>HYPERLINK("http://141.218.60.56/~jnz1568/getInfo.php?workbook=03_02.xlsx&amp;sheet=A0&amp;row=346&amp;col=13&amp;number=&amp;sourceID=30","")</f>
        <v/>
      </c>
      <c r="N346" s="4" t="str">
        <f>HYPERLINK("http://141.218.60.56/~jnz1568/getInfo.php?workbook=03_02.xlsx&amp;sheet=A0&amp;row=346&amp;col=14&amp;number=&amp;sourceID=30","")</f>
        <v/>
      </c>
    </row>
    <row r="347" spans="1:14">
      <c r="A347" s="3">
        <v>3</v>
      </c>
      <c r="B347" s="3">
        <v>2</v>
      </c>
      <c r="C347" s="3">
        <v>30</v>
      </c>
      <c r="D347" s="3">
        <v>18</v>
      </c>
      <c r="E347" s="3">
        <f>((1/(INDEX(E0!J$4:J$52,C347,1)-INDEX(E0!J$4:J$52,D347,1))))*100000000</f>
        <v>0</v>
      </c>
      <c r="F347" s="4" t="str">
        <f>HYPERLINK("http://141.218.60.56/~jnz1568/getInfo.php?workbook=03_02.xlsx&amp;sheet=A0&amp;row=347&amp;col=6&amp;number=&amp;sourceID=27","")</f>
        <v/>
      </c>
      <c r="G347" s="4" t="str">
        <f>HYPERLINK("http://141.218.60.56/~jnz1568/getInfo.php?workbook=03_02.xlsx&amp;sheet=A0&amp;row=347&amp;col=7&amp;number=&amp;sourceID=15","")</f>
        <v/>
      </c>
      <c r="H347" s="4" t="str">
        <f>HYPERLINK("http://141.218.60.56/~jnz1568/getInfo.php?workbook=03_02.xlsx&amp;sheet=A0&amp;row=347&amp;col=8&amp;number=&amp;sourceID=15","")</f>
        <v/>
      </c>
      <c r="I347" s="4" t="str">
        <f>HYPERLINK("http://141.218.60.56/~jnz1568/getInfo.php?workbook=03_02.xlsx&amp;sheet=A0&amp;row=347&amp;col=9&amp;number=&amp;sourceID=15","")</f>
        <v/>
      </c>
      <c r="J347" s="4" t="str">
        <f>HYPERLINK("http://141.218.60.56/~jnz1568/getInfo.php?workbook=03_02.xlsx&amp;sheet=A0&amp;row=347&amp;col=10&amp;number=&amp;sourceID=15","")</f>
        <v/>
      </c>
      <c r="K347" s="4" t="str">
        <f>HYPERLINK("http://141.218.60.56/~jnz1568/getInfo.php?workbook=03_02.xlsx&amp;sheet=A0&amp;row=347&amp;col=11&amp;number=&amp;sourceID=30","")</f>
        <v/>
      </c>
      <c r="L347" s="4" t="str">
        <f>HYPERLINK("http://141.218.60.56/~jnz1568/getInfo.php?workbook=03_02.xlsx&amp;sheet=A0&amp;row=347&amp;col=12&amp;number=&amp;sourceID=30","")</f>
        <v/>
      </c>
      <c r="M347" s="4" t="str">
        <f>HYPERLINK("http://141.218.60.56/~jnz1568/getInfo.php?workbook=03_02.xlsx&amp;sheet=A0&amp;row=347&amp;col=13&amp;number=&amp;sourceID=30","")</f>
        <v/>
      </c>
      <c r="N347" s="4" t="str">
        <f>HYPERLINK("http://141.218.60.56/~jnz1568/getInfo.php?workbook=03_02.xlsx&amp;sheet=A0&amp;row=347&amp;col=14&amp;number=0&amp;sourceID=30","0")</f>
        <v>0</v>
      </c>
    </row>
    <row r="348" spans="1:14">
      <c r="A348" s="3">
        <v>3</v>
      </c>
      <c r="B348" s="3">
        <v>2</v>
      </c>
      <c r="C348" s="3">
        <v>30</v>
      </c>
      <c r="D348" s="3">
        <v>21</v>
      </c>
      <c r="E348" s="3">
        <f>((1/(INDEX(E0!J$4:J$52,C348,1)-INDEX(E0!J$4:J$52,D348,1))))*100000000</f>
        <v>0</v>
      </c>
      <c r="F348" s="4" t="str">
        <f>HYPERLINK("http://141.218.60.56/~jnz1568/getInfo.php?workbook=03_02.xlsx&amp;sheet=A0&amp;row=348&amp;col=6&amp;number=&amp;sourceID=27","")</f>
        <v/>
      </c>
      <c r="G348" s="4" t="str">
        <f>HYPERLINK("http://141.218.60.56/~jnz1568/getInfo.php?workbook=03_02.xlsx&amp;sheet=A0&amp;row=348&amp;col=7&amp;number=&amp;sourceID=15","")</f>
        <v/>
      </c>
      <c r="H348" s="4" t="str">
        <f>HYPERLINK("http://141.218.60.56/~jnz1568/getInfo.php?workbook=03_02.xlsx&amp;sheet=A0&amp;row=348&amp;col=8&amp;number=&amp;sourceID=15","")</f>
        <v/>
      </c>
      <c r="I348" s="4" t="str">
        <f>HYPERLINK("http://141.218.60.56/~jnz1568/getInfo.php?workbook=03_02.xlsx&amp;sheet=A0&amp;row=348&amp;col=9&amp;number=&amp;sourceID=15","")</f>
        <v/>
      </c>
      <c r="J348" s="4" t="str">
        <f>HYPERLINK("http://141.218.60.56/~jnz1568/getInfo.php?workbook=03_02.xlsx&amp;sheet=A0&amp;row=348&amp;col=10&amp;number=&amp;sourceID=15","")</f>
        <v/>
      </c>
      <c r="K348" s="4" t="str">
        <f>HYPERLINK("http://141.218.60.56/~jnz1568/getInfo.php?workbook=03_02.xlsx&amp;sheet=A0&amp;row=348&amp;col=11&amp;number=&amp;sourceID=30","")</f>
        <v/>
      </c>
      <c r="L348" s="4" t="str">
        <f>HYPERLINK("http://141.218.60.56/~jnz1568/getInfo.php?workbook=03_02.xlsx&amp;sheet=A0&amp;row=348&amp;col=12&amp;number=4.556e-06&amp;sourceID=30","4.556e-06")</f>
        <v>4.556e-06</v>
      </c>
      <c r="M348" s="4" t="str">
        <f>HYPERLINK("http://141.218.60.56/~jnz1568/getInfo.php?workbook=03_02.xlsx&amp;sheet=A0&amp;row=348&amp;col=13&amp;number=&amp;sourceID=30","")</f>
        <v/>
      </c>
      <c r="N348" s="4" t="str">
        <f>HYPERLINK("http://141.218.60.56/~jnz1568/getInfo.php?workbook=03_02.xlsx&amp;sheet=A0&amp;row=348&amp;col=14&amp;number=&amp;sourceID=30","")</f>
        <v/>
      </c>
    </row>
    <row r="349" spans="1:14">
      <c r="A349" s="3">
        <v>3</v>
      </c>
      <c r="B349" s="3">
        <v>2</v>
      </c>
      <c r="C349" s="3">
        <v>30</v>
      </c>
      <c r="D349" s="3">
        <v>22</v>
      </c>
      <c r="E349" s="3">
        <f>((1/(INDEX(E0!J$4:J$52,C349,1)-INDEX(E0!J$4:J$52,D349,1))))*100000000</f>
        <v>0</v>
      </c>
      <c r="F349" s="4" t="str">
        <f>HYPERLINK("http://141.218.60.56/~jnz1568/getInfo.php?workbook=03_02.xlsx&amp;sheet=A0&amp;row=349&amp;col=6&amp;number=&amp;sourceID=27","")</f>
        <v/>
      </c>
      <c r="G349" s="4" t="str">
        <f>HYPERLINK("http://141.218.60.56/~jnz1568/getInfo.php?workbook=03_02.xlsx&amp;sheet=A0&amp;row=349&amp;col=7&amp;number=&amp;sourceID=15","")</f>
        <v/>
      </c>
      <c r="H349" s="4" t="str">
        <f>HYPERLINK("http://141.218.60.56/~jnz1568/getInfo.php?workbook=03_02.xlsx&amp;sheet=A0&amp;row=349&amp;col=8&amp;number=&amp;sourceID=15","")</f>
        <v/>
      </c>
      <c r="I349" s="4" t="str">
        <f>HYPERLINK("http://141.218.60.56/~jnz1568/getInfo.php?workbook=03_02.xlsx&amp;sheet=A0&amp;row=349&amp;col=9&amp;number=&amp;sourceID=15","")</f>
        <v/>
      </c>
      <c r="J349" s="4" t="str">
        <f>HYPERLINK("http://141.218.60.56/~jnz1568/getInfo.php?workbook=03_02.xlsx&amp;sheet=A0&amp;row=349&amp;col=10&amp;number=&amp;sourceID=15","")</f>
        <v/>
      </c>
      <c r="K349" s="4" t="str">
        <f>HYPERLINK("http://141.218.60.56/~jnz1568/getInfo.php?workbook=03_02.xlsx&amp;sheet=A0&amp;row=349&amp;col=11&amp;number=&amp;sourceID=30","")</f>
        <v/>
      </c>
      <c r="L349" s="4" t="str">
        <f>HYPERLINK("http://141.218.60.56/~jnz1568/getInfo.php?workbook=03_02.xlsx&amp;sheet=A0&amp;row=349&amp;col=12&amp;number=2.28e-06&amp;sourceID=30","2.28e-06")</f>
        <v>2.28e-06</v>
      </c>
      <c r="M349" s="4" t="str">
        <f>HYPERLINK("http://141.218.60.56/~jnz1568/getInfo.php?workbook=03_02.xlsx&amp;sheet=A0&amp;row=349&amp;col=13&amp;number=1e-14&amp;sourceID=30","1e-14")</f>
        <v>1e-14</v>
      </c>
      <c r="N349" s="4" t="str">
        <f>HYPERLINK("http://141.218.60.56/~jnz1568/getInfo.php?workbook=03_02.xlsx&amp;sheet=A0&amp;row=349&amp;col=14&amp;number=&amp;sourceID=30","")</f>
        <v/>
      </c>
    </row>
    <row r="350" spans="1:14">
      <c r="A350" s="3">
        <v>3</v>
      </c>
      <c r="B350" s="3">
        <v>2</v>
      </c>
      <c r="C350" s="3">
        <v>30</v>
      </c>
      <c r="D350" s="3">
        <v>23</v>
      </c>
      <c r="E350" s="3">
        <f>((1/(INDEX(E0!J$4:J$52,C350,1)-INDEX(E0!J$4:J$52,D350,1))))*100000000</f>
        <v>0</v>
      </c>
      <c r="F350" s="4" t="str">
        <f>HYPERLINK("http://141.218.60.56/~jnz1568/getInfo.php?workbook=03_02.xlsx&amp;sheet=A0&amp;row=350&amp;col=6&amp;number=&amp;sourceID=27","")</f>
        <v/>
      </c>
      <c r="G350" s="4" t="str">
        <f>HYPERLINK("http://141.218.60.56/~jnz1568/getInfo.php?workbook=03_02.xlsx&amp;sheet=A0&amp;row=350&amp;col=7&amp;number=&amp;sourceID=15","")</f>
        <v/>
      </c>
      <c r="H350" s="4" t="str">
        <f>HYPERLINK("http://141.218.60.56/~jnz1568/getInfo.php?workbook=03_02.xlsx&amp;sheet=A0&amp;row=350&amp;col=8&amp;number=&amp;sourceID=15","")</f>
        <v/>
      </c>
      <c r="I350" s="4" t="str">
        <f>HYPERLINK("http://141.218.60.56/~jnz1568/getInfo.php?workbook=03_02.xlsx&amp;sheet=A0&amp;row=350&amp;col=9&amp;number=&amp;sourceID=15","")</f>
        <v/>
      </c>
      <c r="J350" s="4" t="str">
        <f>HYPERLINK("http://141.218.60.56/~jnz1568/getInfo.php?workbook=03_02.xlsx&amp;sheet=A0&amp;row=350&amp;col=10&amp;number=&amp;sourceID=15","")</f>
        <v/>
      </c>
      <c r="K350" s="4" t="str">
        <f>HYPERLINK("http://141.218.60.56/~jnz1568/getInfo.php?workbook=03_02.xlsx&amp;sheet=A0&amp;row=350&amp;col=11&amp;number=&amp;sourceID=30","")</f>
        <v/>
      </c>
      <c r="L350" s="4" t="str">
        <f>HYPERLINK("http://141.218.60.56/~jnz1568/getInfo.php?workbook=03_02.xlsx&amp;sheet=A0&amp;row=350&amp;col=12&amp;number=&amp;sourceID=30","")</f>
        <v/>
      </c>
      <c r="M350" s="4" t="str">
        <f>HYPERLINK("http://141.218.60.56/~jnz1568/getInfo.php?workbook=03_02.xlsx&amp;sheet=A0&amp;row=350&amp;col=13&amp;number=&amp;sourceID=30","")</f>
        <v/>
      </c>
      <c r="N350" s="4" t="str">
        <f>HYPERLINK("http://141.218.60.56/~jnz1568/getInfo.php?workbook=03_02.xlsx&amp;sheet=A0&amp;row=350&amp;col=14&amp;number=0&amp;sourceID=30","0")</f>
        <v>0</v>
      </c>
    </row>
    <row r="351" spans="1:14">
      <c r="A351" s="3">
        <v>3</v>
      </c>
      <c r="B351" s="3">
        <v>2</v>
      </c>
      <c r="C351" s="3">
        <v>30</v>
      </c>
      <c r="D351" s="3">
        <v>24</v>
      </c>
      <c r="E351" s="3">
        <f>((1/(INDEX(E0!J$4:J$52,C351,1)-INDEX(E0!J$4:J$52,D351,1))))*100000000</f>
        <v>0</v>
      </c>
      <c r="F351" s="4" t="str">
        <f>HYPERLINK("http://141.218.60.56/~jnz1568/getInfo.php?workbook=03_02.xlsx&amp;sheet=A0&amp;row=351&amp;col=6&amp;number=&amp;sourceID=27","")</f>
        <v/>
      </c>
      <c r="G351" s="4" t="str">
        <f>HYPERLINK("http://141.218.60.56/~jnz1568/getInfo.php?workbook=03_02.xlsx&amp;sheet=A0&amp;row=351&amp;col=7&amp;number=&amp;sourceID=15","")</f>
        <v/>
      </c>
      <c r="H351" s="4" t="str">
        <f>HYPERLINK("http://141.218.60.56/~jnz1568/getInfo.php?workbook=03_02.xlsx&amp;sheet=A0&amp;row=351&amp;col=8&amp;number=&amp;sourceID=15","")</f>
        <v/>
      </c>
      <c r="I351" s="4" t="str">
        <f>HYPERLINK("http://141.218.60.56/~jnz1568/getInfo.php?workbook=03_02.xlsx&amp;sheet=A0&amp;row=351&amp;col=9&amp;number=&amp;sourceID=15","")</f>
        <v/>
      </c>
      <c r="J351" s="4" t="str">
        <f>HYPERLINK("http://141.218.60.56/~jnz1568/getInfo.php?workbook=03_02.xlsx&amp;sheet=A0&amp;row=351&amp;col=10&amp;number=&amp;sourceID=15","")</f>
        <v/>
      </c>
      <c r="K351" s="4" t="str">
        <f>HYPERLINK("http://141.218.60.56/~jnz1568/getInfo.php?workbook=03_02.xlsx&amp;sheet=A0&amp;row=351&amp;col=11&amp;number=0.04124&amp;sourceID=30","0.04124")</f>
        <v>0.04124</v>
      </c>
      <c r="L351" s="4" t="str">
        <f>HYPERLINK("http://141.218.60.56/~jnz1568/getInfo.php?workbook=03_02.xlsx&amp;sheet=A0&amp;row=351&amp;col=12&amp;number=&amp;sourceID=30","")</f>
        <v/>
      </c>
      <c r="M351" s="4" t="str">
        <f>HYPERLINK("http://141.218.60.56/~jnz1568/getInfo.php?workbook=03_02.xlsx&amp;sheet=A0&amp;row=351&amp;col=13&amp;number=&amp;sourceID=30","")</f>
        <v/>
      </c>
      <c r="N351" s="4" t="str">
        <f>HYPERLINK("http://141.218.60.56/~jnz1568/getInfo.php?workbook=03_02.xlsx&amp;sheet=A0&amp;row=351&amp;col=14&amp;number=0&amp;sourceID=30","0")</f>
        <v>0</v>
      </c>
    </row>
    <row r="352" spans="1:14">
      <c r="A352" s="3">
        <v>3</v>
      </c>
      <c r="B352" s="3">
        <v>2</v>
      </c>
      <c r="C352" s="3">
        <v>30</v>
      </c>
      <c r="D352" s="3">
        <v>25</v>
      </c>
      <c r="E352" s="3">
        <f>((1/(INDEX(E0!J$4:J$52,C352,1)-INDEX(E0!J$4:J$52,D352,1))))*100000000</f>
        <v>0</v>
      </c>
      <c r="F352" s="4" t="str">
        <f>HYPERLINK("http://141.218.60.56/~jnz1568/getInfo.php?workbook=03_02.xlsx&amp;sheet=A0&amp;row=352&amp;col=6&amp;number=&amp;sourceID=27","")</f>
        <v/>
      </c>
      <c r="G352" s="4" t="str">
        <f>HYPERLINK("http://141.218.60.56/~jnz1568/getInfo.php?workbook=03_02.xlsx&amp;sheet=A0&amp;row=352&amp;col=7&amp;number=&amp;sourceID=15","")</f>
        <v/>
      </c>
      <c r="H352" s="4" t="str">
        <f>HYPERLINK("http://141.218.60.56/~jnz1568/getInfo.php?workbook=03_02.xlsx&amp;sheet=A0&amp;row=352&amp;col=8&amp;number=&amp;sourceID=15","")</f>
        <v/>
      </c>
      <c r="I352" s="4" t="str">
        <f>HYPERLINK("http://141.218.60.56/~jnz1568/getInfo.php?workbook=03_02.xlsx&amp;sheet=A0&amp;row=352&amp;col=9&amp;number=&amp;sourceID=15","")</f>
        <v/>
      </c>
      <c r="J352" s="4" t="str">
        <f>HYPERLINK("http://141.218.60.56/~jnz1568/getInfo.php?workbook=03_02.xlsx&amp;sheet=A0&amp;row=352&amp;col=10&amp;number=&amp;sourceID=15","")</f>
        <v/>
      </c>
      <c r="K352" s="4" t="str">
        <f>HYPERLINK("http://141.218.60.56/~jnz1568/getInfo.php?workbook=03_02.xlsx&amp;sheet=A0&amp;row=352&amp;col=11&amp;number=0.005308&amp;sourceID=30","0.005308")</f>
        <v>0.005308</v>
      </c>
      <c r="L352" s="4" t="str">
        <f>HYPERLINK("http://141.218.60.56/~jnz1568/getInfo.php?workbook=03_02.xlsx&amp;sheet=A0&amp;row=352&amp;col=12&amp;number=&amp;sourceID=30","")</f>
        <v/>
      </c>
      <c r="M352" s="4" t="str">
        <f>HYPERLINK("http://141.218.60.56/~jnz1568/getInfo.php?workbook=03_02.xlsx&amp;sheet=A0&amp;row=352&amp;col=13&amp;number=&amp;sourceID=30","")</f>
        <v/>
      </c>
      <c r="N352" s="4" t="str">
        <f>HYPERLINK("http://141.218.60.56/~jnz1568/getInfo.php?workbook=03_02.xlsx&amp;sheet=A0&amp;row=352&amp;col=14&amp;number=0&amp;sourceID=30","0")</f>
        <v>0</v>
      </c>
    </row>
    <row r="353" spans="1:14">
      <c r="A353" s="3">
        <v>3</v>
      </c>
      <c r="B353" s="3">
        <v>2</v>
      </c>
      <c r="C353" s="3">
        <v>30</v>
      </c>
      <c r="D353" s="3">
        <v>27</v>
      </c>
      <c r="E353" s="3">
        <f>((1/(INDEX(E0!J$4:J$52,C353,1)-INDEX(E0!J$4:J$52,D353,1))))*100000000</f>
        <v>0</v>
      </c>
      <c r="F353" s="4" t="str">
        <f>HYPERLINK("http://141.218.60.56/~jnz1568/getInfo.php?workbook=03_02.xlsx&amp;sheet=A0&amp;row=353&amp;col=6&amp;number=&amp;sourceID=27","")</f>
        <v/>
      </c>
      <c r="G353" s="4" t="str">
        <f>HYPERLINK("http://141.218.60.56/~jnz1568/getInfo.php?workbook=03_02.xlsx&amp;sheet=A0&amp;row=353&amp;col=7&amp;number=&amp;sourceID=15","")</f>
        <v/>
      </c>
      <c r="H353" s="4" t="str">
        <f>HYPERLINK("http://141.218.60.56/~jnz1568/getInfo.php?workbook=03_02.xlsx&amp;sheet=A0&amp;row=353&amp;col=8&amp;number=&amp;sourceID=15","")</f>
        <v/>
      </c>
      <c r="I353" s="4" t="str">
        <f>HYPERLINK("http://141.218.60.56/~jnz1568/getInfo.php?workbook=03_02.xlsx&amp;sheet=A0&amp;row=353&amp;col=9&amp;number=&amp;sourceID=15","")</f>
        <v/>
      </c>
      <c r="J353" s="4" t="str">
        <f>HYPERLINK("http://141.218.60.56/~jnz1568/getInfo.php?workbook=03_02.xlsx&amp;sheet=A0&amp;row=353&amp;col=10&amp;number=&amp;sourceID=15","")</f>
        <v/>
      </c>
      <c r="K353" s="4" t="str">
        <f>HYPERLINK("http://141.218.60.56/~jnz1568/getInfo.php?workbook=03_02.xlsx&amp;sheet=A0&amp;row=353&amp;col=11&amp;number=&amp;sourceID=30","")</f>
        <v/>
      </c>
      <c r="L353" s="4" t="str">
        <f>HYPERLINK("http://141.218.60.56/~jnz1568/getInfo.php?workbook=03_02.xlsx&amp;sheet=A0&amp;row=353&amp;col=12&amp;number=0&amp;sourceID=30","0")</f>
        <v>0</v>
      </c>
      <c r="M353" s="4" t="str">
        <f>HYPERLINK("http://141.218.60.56/~jnz1568/getInfo.php?workbook=03_02.xlsx&amp;sheet=A0&amp;row=353&amp;col=13&amp;number=4.4e-14&amp;sourceID=30","4.4e-14")</f>
        <v>4.4e-14</v>
      </c>
      <c r="N353" s="4" t="str">
        <f>HYPERLINK("http://141.218.60.56/~jnz1568/getInfo.php?workbook=03_02.xlsx&amp;sheet=A0&amp;row=353&amp;col=14&amp;number=&amp;sourceID=30","")</f>
        <v/>
      </c>
    </row>
    <row r="354" spans="1:14">
      <c r="A354" s="3">
        <v>3</v>
      </c>
      <c r="B354" s="3">
        <v>2</v>
      </c>
      <c r="C354" s="3">
        <v>30</v>
      </c>
      <c r="D354" s="3">
        <v>28</v>
      </c>
      <c r="E354" s="3">
        <f>((1/(INDEX(E0!J$4:J$52,C354,1)-INDEX(E0!J$4:J$52,D354,1))))*100000000</f>
        <v>0</v>
      </c>
      <c r="F354" s="4" t="str">
        <f>HYPERLINK("http://141.218.60.56/~jnz1568/getInfo.php?workbook=03_02.xlsx&amp;sheet=A0&amp;row=354&amp;col=6&amp;number=&amp;sourceID=27","")</f>
        <v/>
      </c>
      <c r="G354" s="4" t="str">
        <f>HYPERLINK("http://141.218.60.56/~jnz1568/getInfo.php?workbook=03_02.xlsx&amp;sheet=A0&amp;row=354&amp;col=7&amp;number=&amp;sourceID=15","")</f>
        <v/>
      </c>
      <c r="H354" s="4" t="str">
        <f>HYPERLINK("http://141.218.60.56/~jnz1568/getInfo.php?workbook=03_02.xlsx&amp;sheet=A0&amp;row=354&amp;col=8&amp;number=&amp;sourceID=15","")</f>
        <v/>
      </c>
      <c r="I354" s="4" t="str">
        <f>HYPERLINK("http://141.218.60.56/~jnz1568/getInfo.php?workbook=03_02.xlsx&amp;sheet=A0&amp;row=354&amp;col=9&amp;number=&amp;sourceID=15","")</f>
        <v/>
      </c>
      <c r="J354" s="4" t="str">
        <f>HYPERLINK("http://141.218.60.56/~jnz1568/getInfo.php?workbook=03_02.xlsx&amp;sheet=A0&amp;row=354&amp;col=10&amp;number=&amp;sourceID=15","")</f>
        <v/>
      </c>
      <c r="K354" s="4" t="str">
        <f>HYPERLINK("http://141.218.60.56/~jnz1568/getInfo.php?workbook=03_02.xlsx&amp;sheet=A0&amp;row=354&amp;col=11&amp;number=&amp;sourceID=30","")</f>
        <v/>
      </c>
      <c r="L354" s="4" t="str">
        <f>HYPERLINK("http://141.218.60.56/~jnz1568/getInfo.php?workbook=03_02.xlsx&amp;sheet=A0&amp;row=354&amp;col=12&amp;number=0&amp;sourceID=30","0")</f>
        <v>0</v>
      </c>
      <c r="M354" s="4" t="str">
        <f>HYPERLINK("http://141.218.60.56/~jnz1568/getInfo.php?workbook=03_02.xlsx&amp;sheet=A0&amp;row=354&amp;col=13&amp;number=1e-14&amp;sourceID=30","1e-14")</f>
        <v>1e-14</v>
      </c>
      <c r="N354" s="4" t="str">
        <f>HYPERLINK("http://141.218.60.56/~jnz1568/getInfo.php?workbook=03_02.xlsx&amp;sheet=A0&amp;row=354&amp;col=14&amp;number=&amp;sourceID=30","")</f>
        <v/>
      </c>
    </row>
    <row r="355" spans="1:14">
      <c r="A355" s="3">
        <v>3</v>
      </c>
      <c r="B355" s="3">
        <v>2</v>
      </c>
      <c r="C355" s="3">
        <v>30</v>
      </c>
      <c r="D355" s="3">
        <v>29</v>
      </c>
      <c r="E355" s="3">
        <f>((1/(INDEX(E0!J$4:J$52,C355,1)-INDEX(E0!J$4:J$52,D355,1))))*100000000</f>
        <v>0</v>
      </c>
      <c r="F355" s="4" t="str">
        <f>HYPERLINK("http://141.218.60.56/~jnz1568/getInfo.php?workbook=03_02.xlsx&amp;sheet=A0&amp;row=355&amp;col=6&amp;number=&amp;sourceID=27","")</f>
        <v/>
      </c>
      <c r="G355" s="4" t="str">
        <f>HYPERLINK("http://141.218.60.56/~jnz1568/getInfo.php?workbook=03_02.xlsx&amp;sheet=A0&amp;row=355&amp;col=7&amp;number=&amp;sourceID=15","")</f>
        <v/>
      </c>
      <c r="H355" s="4" t="str">
        <f>HYPERLINK("http://141.218.60.56/~jnz1568/getInfo.php?workbook=03_02.xlsx&amp;sheet=A0&amp;row=355&amp;col=8&amp;number=&amp;sourceID=15","")</f>
        <v/>
      </c>
      <c r="I355" s="4" t="str">
        <f>HYPERLINK("http://141.218.60.56/~jnz1568/getInfo.php?workbook=03_02.xlsx&amp;sheet=A0&amp;row=355&amp;col=9&amp;number=&amp;sourceID=15","")</f>
        <v/>
      </c>
      <c r="J355" s="4" t="str">
        <f>HYPERLINK("http://141.218.60.56/~jnz1568/getInfo.php?workbook=03_02.xlsx&amp;sheet=A0&amp;row=355&amp;col=10&amp;number=&amp;sourceID=15","")</f>
        <v/>
      </c>
      <c r="K355" s="4" t="str">
        <f>HYPERLINK("http://141.218.60.56/~jnz1568/getInfo.php?workbook=03_02.xlsx&amp;sheet=A0&amp;row=355&amp;col=11&amp;number=&amp;sourceID=30","")</f>
        <v/>
      </c>
      <c r="L355" s="4" t="str">
        <f>HYPERLINK("http://141.218.60.56/~jnz1568/getInfo.php?workbook=03_02.xlsx&amp;sheet=A0&amp;row=355&amp;col=12&amp;number=0&amp;sourceID=30","0")</f>
        <v>0</v>
      </c>
      <c r="M355" s="4" t="str">
        <f>HYPERLINK("http://141.218.60.56/~jnz1568/getInfo.php?workbook=03_02.xlsx&amp;sheet=A0&amp;row=355&amp;col=13&amp;number=5e-14&amp;sourceID=30","5e-14")</f>
        <v>5e-14</v>
      </c>
      <c r="N355" s="4" t="str">
        <f>HYPERLINK("http://141.218.60.56/~jnz1568/getInfo.php?workbook=03_02.xlsx&amp;sheet=A0&amp;row=355&amp;col=14&amp;number=&amp;sourceID=30","")</f>
        <v/>
      </c>
    </row>
    <row r="356" spans="1:14">
      <c r="A356" s="3">
        <v>3</v>
      </c>
      <c r="B356" s="3">
        <v>2</v>
      </c>
      <c r="C356" s="3">
        <v>31</v>
      </c>
      <c r="D356" s="3">
        <v>1</v>
      </c>
      <c r="E356" s="3">
        <f>((1/(INDEX(E0!J$4:J$52,C356,1)-INDEX(E0!J$4:J$52,D356,1))))*100000000</f>
        <v>0</v>
      </c>
      <c r="F356" s="4" t="str">
        <f>HYPERLINK("http://141.218.60.56/~jnz1568/getInfo.php?workbook=03_02.xlsx&amp;sheet=A0&amp;row=356&amp;col=6&amp;number=&amp;sourceID=27","")</f>
        <v/>
      </c>
      <c r="G356" s="4" t="str">
        <f>HYPERLINK("http://141.218.60.56/~jnz1568/getInfo.php?workbook=03_02.xlsx&amp;sheet=A0&amp;row=356&amp;col=7&amp;number=3298400000&amp;sourceID=15","3298400000")</f>
        <v>3298400000</v>
      </c>
      <c r="H356" s="4" t="str">
        <f>HYPERLINK("http://141.218.60.56/~jnz1568/getInfo.php?workbook=03_02.xlsx&amp;sheet=A0&amp;row=356&amp;col=8&amp;number=&amp;sourceID=15","")</f>
        <v/>
      </c>
      <c r="I356" s="4" t="str">
        <f>HYPERLINK("http://141.218.60.56/~jnz1568/getInfo.php?workbook=03_02.xlsx&amp;sheet=A0&amp;row=356&amp;col=9&amp;number=&amp;sourceID=15","")</f>
        <v/>
      </c>
      <c r="J356" s="4" t="str">
        <f>HYPERLINK("http://141.218.60.56/~jnz1568/getInfo.php?workbook=03_02.xlsx&amp;sheet=A0&amp;row=356&amp;col=10&amp;number=&amp;sourceID=15","")</f>
        <v/>
      </c>
      <c r="K356" s="4" t="str">
        <f>HYPERLINK("http://141.218.60.56/~jnz1568/getInfo.php?workbook=03_02.xlsx&amp;sheet=A0&amp;row=356&amp;col=11&amp;number=9265000000&amp;sourceID=30","9265000000")</f>
        <v>9265000000</v>
      </c>
      <c r="L356" s="4" t="str">
        <f>HYPERLINK("http://141.218.60.56/~jnz1568/getInfo.php?workbook=03_02.xlsx&amp;sheet=A0&amp;row=356&amp;col=12&amp;number=&amp;sourceID=30","")</f>
        <v/>
      </c>
      <c r="M356" s="4" t="str">
        <f>HYPERLINK("http://141.218.60.56/~jnz1568/getInfo.php?workbook=03_02.xlsx&amp;sheet=A0&amp;row=356&amp;col=13&amp;number=&amp;sourceID=30","")</f>
        <v/>
      </c>
      <c r="N356" s="4" t="str">
        <f>HYPERLINK("http://141.218.60.56/~jnz1568/getInfo.php?workbook=03_02.xlsx&amp;sheet=A0&amp;row=356&amp;col=14&amp;number=&amp;sourceID=30","")</f>
        <v/>
      </c>
    </row>
    <row r="357" spans="1:14">
      <c r="A357" s="3">
        <v>3</v>
      </c>
      <c r="B357" s="3">
        <v>2</v>
      </c>
      <c r="C357" s="3">
        <v>31</v>
      </c>
      <c r="D357" s="3">
        <v>2</v>
      </c>
      <c r="E357" s="3">
        <f>((1/(INDEX(E0!J$4:J$52,C357,1)-INDEX(E0!J$4:J$52,D357,1))))*100000000</f>
        <v>0</v>
      </c>
      <c r="F357" s="4" t="str">
        <f>HYPERLINK("http://141.218.60.56/~jnz1568/getInfo.php?workbook=03_02.xlsx&amp;sheet=A0&amp;row=357&amp;col=6&amp;number=&amp;sourceID=27","")</f>
        <v/>
      </c>
      <c r="G357" s="4" t="str">
        <f>HYPERLINK("http://141.218.60.56/~jnz1568/getInfo.php?workbook=03_02.xlsx&amp;sheet=A0&amp;row=357&amp;col=7&amp;number=&amp;sourceID=15","")</f>
        <v/>
      </c>
      <c r="H357" s="4" t="str">
        <f>HYPERLINK("http://141.218.60.56/~jnz1568/getInfo.php?workbook=03_02.xlsx&amp;sheet=A0&amp;row=357&amp;col=8&amp;number=&amp;sourceID=15","")</f>
        <v/>
      </c>
      <c r="I357" s="4" t="str">
        <f>HYPERLINK("http://141.218.60.56/~jnz1568/getInfo.php?workbook=03_02.xlsx&amp;sheet=A0&amp;row=357&amp;col=9&amp;number=&amp;sourceID=15","")</f>
        <v/>
      </c>
      <c r="J357" s="4" t="str">
        <f>HYPERLINK("http://141.218.60.56/~jnz1568/getInfo.php?workbook=03_02.xlsx&amp;sheet=A0&amp;row=357&amp;col=10&amp;number=&amp;sourceID=15","")</f>
        <v/>
      </c>
      <c r="K357" s="4" t="str">
        <f>HYPERLINK("http://141.218.60.56/~jnz1568/getInfo.php?workbook=03_02.xlsx&amp;sheet=A0&amp;row=357&amp;col=11&amp;number=30.11&amp;sourceID=30","30.11")</f>
        <v>30.11</v>
      </c>
      <c r="L357" s="4" t="str">
        <f>HYPERLINK("http://141.218.60.56/~jnz1568/getInfo.php?workbook=03_02.xlsx&amp;sheet=A0&amp;row=357&amp;col=12&amp;number=&amp;sourceID=30","")</f>
        <v/>
      </c>
      <c r="M357" s="4" t="str">
        <f>HYPERLINK("http://141.218.60.56/~jnz1568/getInfo.php?workbook=03_02.xlsx&amp;sheet=A0&amp;row=357&amp;col=13&amp;number=&amp;sourceID=30","")</f>
        <v/>
      </c>
      <c r="N357" s="4" t="str">
        <f>HYPERLINK("http://141.218.60.56/~jnz1568/getInfo.php?workbook=03_02.xlsx&amp;sheet=A0&amp;row=357&amp;col=14&amp;number=0.007427&amp;sourceID=30","0.007427")</f>
        <v>0.007427</v>
      </c>
    </row>
    <row r="358" spans="1:14">
      <c r="A358" s="3">
        <v>3</v>
      </c>
      <c r="B358" s="3">
        <v>2</v>
      </c>
      <c r="C358" s="3">
        <v>31</v>
      </c>
      <c r="D358" s="3">
        <v>3</v>
      </c>
      <c r="E358" s="3">
        <f>((1/(INDEX(E0!J$4:J$52,C358,1)-INDEX(E0!J$4:J$52,D358,1))))*100000000</f>
        <v>0</v>
      </c>
      <c r="F358" s="4" t="str">
        <f>HYPERLINK("http://141.218.60.56/~jnz1568/getInfo.php?workbook=03_02.xlsx&amp;sheet=A0&amp;row=358&amp;col=6&amp;number=&amp;sourceID=27","")</f>
        <v/>
      </c>
      <c r="G358" s="4" t="str">
        <f>HYPERLINK("http://141.218.60.56/~jnz1568/getInfo.php?workbook=03_02.xlsx&amp;sheet=A0&amp;row=358&amp;col=7&amp;number=135330000&amp;sourceID=15","135330000")</f>
        <v>135330000</v>
      </c>
      <c r="H358" s="4" t="str">
        <f>HYPERLINK("http://141.218.60.56/~jnz1568/getInfo.php?workbook=03_02.xlsx&amp;sheet=A0&amp;row=358&amp;col=8&amp;number=&amp;sourceID=15","")</f>
        <v/>
      </c>
      <c r="I358" s="4" t="str">
        <f>HYPERLINK("http://141.218.60.56/~jnz1568/getInfo.php?workbook=03_02.xlsx&amp;sheet=A0&amp;row=358&amp;col=9&amp;number=&amp;sourceID=15","")</f>
        <v/>
      </c>
      <c r="J358" s="4" t="str">
        <f>HYPERLINK("http://141.218.60.56/~jnz1568/getInfo.php?workbook=03_02.xlsx&amp;sheet=A0&amp;row=358&amp;col=10&amp;number=&amp;sourceID=15","")</f>
        <v/>
      </c>
      <c r="K358" s="4" t="str">
        <f>HYPERLINK("http://141.218.60.56/~jnz1568/getInfo.php?workbook=03_02.xlsx&amp;sheet=A0&amp;row=358&amp;col=11&amp;number=231400000&amp;sourceID=30","231400000")</f>
        <v>231400000</v>
      </c>
      <c r="L358" s="4" t="str">
        <f>HYPERLINK("http://141.218.60.56/~jnz1568/getInfo.php?workbook=03_02.xlsx&amp;sheet=A0&amp;row=358&amp;col=12&amp;number=&amp;sourceID=30","")</f>
        <v/>
      </c>
      <c r="M358" s="4" t="str">
        <f>HYPERLINK("http://141.218.60.56/~jnz1568/getInfo.php?workbook=03_02.xlsx&amp;sheet=A0&amp;row=358&amp;col=13&amp;number=&amp;sourceID=30","")</f>
        <v/>
      </c>
      <c r="N358" s="4" t="str">
        <f>HYPERLINK("http://141.218.60.56/~jnz1568/getInfo.php?workbook=03_02.xlsx&amp;sheet=A0&amp;row=358&amp;col=14&amp;number=&amp;sourceID=30","")</f>
        <v/>
      </c>
    </row>
    <row r="359" spans="1:14">
      <c r="A359" s="3">
        <v>3</v>
      </c>
      <c r="B359" s="3">
        <v>2</v>
      </c>
      <c r="C359" s="3">
        <v>31</v>
      </c>
      <c r="D359" s="3">
        <v>4</v>
      </c>
      <c r="E359" s="3">
        <f>((1/(INDEX(E0!J$4:J$52,C359,1)-INDEX(E0!J$4:J$52,D359,1))))*100000000</f>
        <v>0</v>
      </c>
      <c r="F359" s="4" t="str">
        <f>HYPERLINK("http://141.218.60.56/~jnz1568/getInfo.php?workbook=03_02.xlsx&amp;sheet=A0&amp;row=359&amp;col=6&amp;number=&amp;sourceID=27","")</f>
        <v/>
      </c>
      <c r="G359" s="4" t="str">
        <f>HYPERLINK("http://141.218.60.56/~jnz1568/getInfo.php?workbook=03_02.xlsx&amp;sheet=A0&amp;row=359&amp;col=7&amp;number=&amp;sourceID=15","")</f>
        <v/>
      </c>
      <c r="H359" s="4" t="str">
        <f>HYPERLINK("http://141.218.60.56/~jnz1568/getInfo.php?workbook=03_02.xlsx&amp;sheet=A0&amp;row=359&amp;col=8&amp;number=&amp;sourceID=15","")</f>
        <v/>
      </c>
      <c r="I359" s="4" t="str">
        <f>HYPERLINK("http://141.218.60.56/~jnz1568/getInfo.php?workbook=03_02.xlsx&amp;sheet=A0&amp;row=359&amp;col=9&amp;number=&amp;sourceID=15","")</f>
        <v/>
      </c>
      <c r="J359" s="4" t="str">
        <f>HYPERLINK("http://141.218.60.56/~jnz1568/getInfo.php?workbook=03_02.xlsx&amp;sheet=A0&amp;row=359&amp;col=10&amp;number=&amp;sourceID=15","")</f>
        <v/>
      </c>
      <c r="K359" s="4" t="str">
        <f>HYPERLINK("http://141.218.60.56/~jnz1568/getInfo.php?workbook=03_02.xlsx&amp;sheet=A0&amp;row=359&amp;col=11&amp;number=&amp;sourceID=30","")</f>
        <v/>
      </c>
      <c r="L359" s="4" t="str">
        <f>HYPERLINK("http://141.218.60.56/~jnz1568/getInfo.php?workbook=03_02.xlsx&amp;sheet=A0&amp;row=359&amp;col=12&amp;number=0.001051&amp;sourceID=30","0.001051")</f>
        <v>0.001051</v>
      </c>
      <c r="M359" s="4" t="str">
        <f>HYPERLINK("http://141.218.60.56/~jnz1568/getInfo.php?workbook=03_02.xlsx&amp;sheet=A0&amp;row=359&amp;col=13&amp;number=5.887e-06&amp;sourceID=30","5.887e-06")</f>
        <v>5.887e-06</v>
      </c>
      <c r="N359" s="4" t="str">
        <f>HYPERLINK("http://141.218.60.56/~jnz1568/getInfo.php?workbook=03_02.xlsx&amp;sheet=A0&amp;row=359&amp;col=14&amp;number=&amp;sourceID=30","")</f>
        <v/>
      </c>
    </row>
    <row r="360" spans="1:14">
      <c r="A360" s="3">
        <v>3</v>
      </c>
      <c r="B360" s="3">
        <v>2</v>
      </c>
      <c r="C360" s="3">
        <v>31</v>
      </c>
      <c r="D360" s="3">
        <v>5</v>
      </c>
      <c r="E360" s="3">
        <f>((1/(INDEX(E0!J$4:J$52,C360,1)-INDEX(E0!J$4:J$52,D360,1))))*100000000</f>
        <v>0</v>
      </c>
      <c r="F360" s="4" t="str">
        <f>HYPERLINK("http://141.218.60.56/~jnz1568/getInfo.php?workbook=03_02.xlsx&amp;sheet=A0&amp;row=360&amp;col=6&amp;number=&amp;sourceID=27","")</f>
        <v/>
      </c>
      <c r="G360" s="4" t="str">
        <f>HYPERLINK("http://141.218.60.56/~jnz1568/getInfo.php?workbook=03_02.xlsx&amp;sheet=A0&amp;row=360&amp;col=7&amp;number=&amp;sourceID=15","")</f>
        <v/>
      </c>
      <c r="H360" s="4" t="str">
        <f>HYPERLINK("http://141.218.60.56/~jnz1568/getInfo.php?workbook=03_02.xlsx&amp;sheet=A0&amp;row=360&amp;col=8&amp;number=&amp;sourceID=15","")</f>
        <v/>
      </c>
      <c r="I360" s="4" t="str">
        <f>HYPERLINK("http://141.218.60.56/~jnz1568/getInfo.php?workbook=03_02.xlsx&amp;sheet=A0&amp;row=360&amp;col=9&amp;number=&amp;sourceID=15","")</f>
        <v/>
      </c>
      <c r="J360" s="4" t="str">
        <f>HYPERLINK("http://141.218.60.56/~jnz1568/getInfo.php?workbook=03_02.xlsx&amp;sheet=A0&amp;row=360&amp;col=10&amp;number=&amp;sourceID=15","")</f>
        <v/>
      </c>
      <c r="K360" s="4" t="str">
        <f>HYPERLINK("http://141.218.60.56/~jnz1568/getInfo.php?workbook=03_02.xlsx&amp;sheet=A0&amp;row=360&amp;col=11&amp;number=&amp;sourceID=30","")</f>
        <v/>
      </c>
      <c r="L360" s="4" t="str">
        <f>HYPERLINK("http://141.218.60.56/~jnz1568/getInfo.php?workbook=03_02.xlsx&amp;sheet=A0&amp;row=360&amp;col=12&amp;number=0.0001895&amp;sourceID=30","0.0001895")</f>
        <v>0.0001895</v>
      </c>
      <c r="M360" s="4" t="str">
        <f>HYPERLINK("http://141.218.60.56/~jnz1568/getInfo.php?workbook=03_02.xlsx&amp;sheet=A0&amp;row=360&amp;col=13&amp;number=1.116e-05&amp;sourceID=30","1.116e-05")</f>
        <v>1.116e-05</v>
      </c>
      <c r="N360" s="4" t="str">
        <f>HYPERLINK("http://141.218.60.56/~jnz1568/getInfo.php?workbook=03_02.xlsx&amp;sheet=A0&amp;row=360&amp;col=14&amp;number=&amp;sourceID=30","")</f>
        <v/>
      </c>
    </row>
    <row r="361" spans="1:14">
      <c r="A361" s="3">
        <v>3</v>
      </c>
      <c r="B361" s="3">
        <v>2</v>
      </c>
      <c r="C361" s="3">
        <v>31</v>
      </c>
      <c r="D361" s="3">
        <v>6</v>
      </c>
      <c r="E361" s="3">
        <f>((1/(INDEX(E0!J$4:J$52,C361,1)-INDEX(E0!J$4:J$52,D361,1))))*100000000</f>
        <v>0</v>
      </c>
      <c r="F361" s="4" t="str">
        <f>HYPERLINK("http://141.218.60.56/~jnz1568/getInfo.php?workbook=03_02.xlsx&amp;sheet=A0&amp;row=361&amp;col=6&amp;number=&amp;sourceID=27","")</f>
        <v/>
      </c>
      <c r="G361" s="4" t="str">
        <f>HYPERLINK("http://141.218.60.56/~jnz1568/getInfo.php?workbook=03_02.xlsx&amp;sheet=A0&amp;row=361&amp;col=7&amp;number=&amp;sourceID=15","")</f>
        <v/>
      </c>
      <c r="H361" s="4" t="str">
        <f>HYPERLINK("http://141.218.60.56/~jnz1568/getInfo.php?workbook=03_02.xlsx&amp;sheet=A0&amp;row=361&amp;col=8&amp;number=&amp;sourceID=15","")</f>
        <v/>
      </c>
      <c r="I361" s="4" t="str">
        <f>HYPERLINK("http://141.218.60.56/~jnz1568/getInfo.php?workbook=03_02.xlsx&amp;sheet=A0&amp;row=361&amp;col=9&amp;number=&amp;sourceID=15","")</f>
        <v/>
      </c>
      <c r="J361" s="4" t="str">
        <f>HYPERLINK("http://141.218.60.56/~jnz1568/getInfo.php?workbook=03_02.xlsx&amp;sheet=A0&amp;row=361&amp;col=10&amp;number=&amp;sourceID=15","")</f>
        <v/>
      </c>
      <c r="K361" s="4" t="str">
        <f>HYPERLINK("http://141.218.60.56/~jnz1568/getInfo.php?workbook=03_02.xlsx&amp;sheet=A0&amp;row=361&amp;col=11&amp;number=&amp;sourceID=30","")</f>
        <v/>
      </c>
      <c r="L361" s="4" t="str">
        <f>HYPERLINK("http://141.218.60.56/~jnz1568/getInfo.php?workbook=03_02.xlsx&amp;sheet=A0&amp;row=361&amp;col=12&amp;number=&amp;sourceID=30","")</f>
        <v/>
      </c>
      <c r="M361" s="4" t="str">
        <f>HYPERLINK("http://141.218.60.56/~jnz1568/getInfo.php?workbook=03_02.xlsx&amp;sheet=A0&amp;row=361&amp;col=13&amp;number=7.131e-06&amp;sourceID=30","7.131e-06")</f>
        <v>7.131e-06</v>
      </c>
      <c r="N361" s="4" t="str">
        <f>HYPERLINK("http://141.218.60.56/~jnz1568/getInfo.php?workbook=03_02.xlsx&amp;sheet=A0&amp;row=361&amp;col=14&amp;number=&amp;sourceID=30","")</f>
        <v/>
      </c>
    </row>
    <row r="362" spans="1:14">
      <c r="A362" s="3">
        <v>3</v>
      </c>
      <c r="B362" s="3">
        <v>2</v>
      </c>
      <c r="C362" s="3">
        <v>31</v>
      </c>
      <c r="D362" s="3">
        <v>7</v>
      </c>
      <c r="E362" s="3">
        <f>((1/(INDEX(E0!J$4:J$52,C362,1)-INDEX(E0!J$4:J$52,D362,1))))*100000000</f>
        <v>0</v>
      </c>
      <c r="F362" s="4" t="str">
        <f>HYPERLINK("http://141.218.60.56/~jnz1568/getInfo.php?workbook=03_02.xlsx&amp;sheet=A0&amp;row=362&amp;col=6&amp;number=&amp;sourceID=27","")</f>
        <v/>
      </c>
      <c r="G362" s="4" t="str">
        <f>HYPERLINK("http://141.218.60.56/~jnz1568/getInfo.php?workbook=03_02.xlsx&amp;sheet=A0&amp;row=362&amp;col=7&amp;number=&amp;sourceID=15","")</f>
        <v/>
      </c>
      <c r="H362" s="4" t="str">
        <f>HYPERLINK("http://141.218.60.56/~jnz1568/getInfo.php?workbook=03_02.xlsx&amp;sheet=A0&amp;row=362&amp;col=8&amp;number=649.88&amp;sourceID=15","649.88")</f>
        <v>649.88</v>
      </c>
      <c r="I362" s="4" t="str">
        <f>HYPERLINK("http://141.218.60.56/~jnz1568/getInfo.php?workbook=03_02.xlsx&amp;sheet=A0&amp;row=362&amp;col=9&amp;number=&amp;sourceID=15","")</f>
        <v/>
      </c>
      <c r="J362" s="4" t="str">
        <f>HYPERLINK("http://141.218.60.56/~jnz1568/getInfo.php?workbook=03_02.xlsx&amp;sheet=A0&amp;row=362&amp;col=10&amp;number=&amp;sourceID=15","")</f>
        <v/>
      </c>
      <c r="K362" s="4" t="str">
        <f>HYPERLINK("http://141.218.60.56/~jnz1568/getInfo.php?workbook=03_02.xlsx&amp;sheet=A0&amp;row=362&amp;col=11&amp;number=&amp;sourceID=30","")</f>
        <v/>
      </c>
      <c r="L362" s="4" t="str">
        <f>HYPERLINK("http://141.218.60.56/~jnz1568/getInfo.php?workbook=03_02.xlsx&amp;sheet=A0&amp;row=362&amp;col=12&amp;number=1077&amp;sourceID=30","1077")</f>
        <v>1077</v>
      </c>
      <c r="M362" s="4" t="str">
        <f>HYPERLINK("http://141.218.60.56/~jnz1568/getInfo.php?workbook=03_02.xlsx&amp;sheet=A0&amp;row=362&amp;col=13&amp;number=1.223e-06&amp;sourceID=30","1.223e-06")</f>
        <v>1.223e-06</v>
      </c>
      <c r="N362" s="4" t="str">
        <f>HYPERLINK("http://141.218.60.56/~jnz1568/getInfo.php?workbook=03_02.xlsx&amp;sheet=A0&amp;row=362&amp;col=14&amp;number=&amp;sourceID=30","")</f>
        <v/>
      </c>
    </row>
    <row r="363" spans="1:14">
      <c r="A363" s="3">
        <v>3</v>
      </c>
      <c r="B363" s="3">
        <v>2</v>
      </c>
      <c r="C363" s="3">
        <v>31</v>
      </c>
      <c r="D363" s="3">
        <v>8</v>
      </c>
      <c r="E363" s="3">
        <f>((1/(INDEX(E0!J$4:J$52,C363,1)-INDEX(E0!J$4:J$52,D363,1))))*100000000</f>
        <v>0</v>
      </c>
      <c r="F363" s="4" t="str">
        <f>HYPERLINK("http://141.218.60.56/~jnz1568/getInfo.php?workbook=03_02.xlsx&amp;sheet=A0&amp;row=363&amp;col=6&amp;number=&amp;sourceID=27","")</f>
        <v/>
      </c>
      <c r="G363" s="4" t="str">
        <f>HYPERLINK("http://141.218.60.56/~jnz1568/getInfo.php?workbook=03_02.xlsx&amp;sheet=A0&amp;row=363&amp;col=7&amp;number=&amp;sourceID=15","")</f>
        <v/>
      </c>
      <c r="H363" s="4" t="str">
        <f>HYPERLINK("http://141.218.60.56/~jnz1568/getInfo.php?workbook=03_02.xlsx&amp;sheet=A0&amp;row=363&amp;col=8&amp;number=&amp;sourceID=15","")</f>
        <v/>
      </c>
      <c r="I363" s="4" t="str">
        <f>HYPERLINK("http://141.218.60.56/~jnz1568/getInfo.php?workbook=03_02.xlsx&amp;sheet=A0&amp;row=363&amp;col=9&amp;number=&amp;sourceID=15","")</f>
        <v/>
      </c>
      <c r="J363" s="4" t="str">
        <f>HYPERLINK("http://141.218.60.56/~jnz1568/getInfo.php?workbook=03_02.xlsx&amp;sheet=A0&amp;row=363&amp;col=10&amp;number=&amp;sourceID=15","")</f>
        <v/>
      </c>
      <c r="K363" s="4" t="str">
        <f>HYPERLINK("http://141.218.60.56/~jnz1568/getInfo.php?workbook=03_02.xlsx&amp;sheet=A0&amp;row=363&amp;col=11&amp;number=5.055&amp;sourceID=30","5.055")</f>
        <v>5.055</v>
      </c>
      <c r="L363" s="4" t="str">
        <f>HYPERLINK("http://141.218.60.56/~jnz1568/getInfo.php?workbook=03_02.xlsx&amp;sheet=A0&amp;row=363&amp;col=12&amp;number=&amp;sourceID=30","")</f>
        <v/>
      </c>
      <c r="M363" s="4" t="str">
        <f>HYPERLINK("http://141.218.60.56/~jnz1568/getInfo.php?workbook=03_02.xlsx&amp;sheet=A0&amp;row=363&amp;col=13&amp;number=&amp;sourceID=30","")</f>
        <v/>
      </c>
      <c r="N363" s="4" t="str">
        <f>HYPERLINK("http://141.218.60.56/~jnz1568/getInfo.php?workbook=03_02.xlsx&amp;sheet=A0&amp;row=363&amp;col=14&amp;number=7.931e-05&amp;sourceID=30","7.931e-05")</f>
        <v>7.931e-05</v>
      </c>
    </row>
    <row r="364" spans="1:14">
      <c r="A364" s="3">
        <v>3</v>
      </c>
      <c r="B364" s="3">
        <v>2</v>
      </c>
      <c r="C364" s="3">
        <v>31</v>
      </c>
      <c r="D364" s="3">
        <v>9</v>
      </c>
      <c r="E364" s="3">
        <f>((1/(INDEX(E0!J$4:J$52,C364,1)-INDEX(E0!J$4:J$52,D364,1))))*100000000</f>
        <v>0</v>
      </c>
      <c r="F364" s="4" t="str">
        <f>HYPERLINK("http://141.218.60.56/~jnz1568/getInfo.php?workbook=03_02.xlsx&amp;sheet=A0&amp;row=364&amp;col=6&amp;number=&amp;sourceID=27","")</f>
        <v/>
      </c>
      <c r="G364" s="4" t="str">
        <f>HYPERLINK("http://141.218.60.56/~jnz1568/getInfo.php?workbook=03_02.xlsx&amp;sheet=A0&amp;row=364&amp;col=7&amp;number=34105000&amp;sourceID=15","34105000")</f>
        <v>34105000</v>
      </c>
      <c r="H364" s="4" t="str">
        <f>HYPERLINK("http://141.218.60.56/~jnz1568/getInfo.php?workbook=03_02.xlsx&amp;sheet=A0&amp;row=364&amp;col=8&amp;number=&amp;sourceID=15","")</f>
        <v/>
      </c>
      <c r="I364" s="4" t="str">
        <f>HYPERLINK("http://141.218.60.56/~jnz1568/getInfo.php?workbook=03_02.xlsx&amp;sheet=A0&amp;row=364&amp;col=9&amp;number=&amp;sourceID=15","")</f>
        <v/>
      </c>
      <c r="J364" s="4" t="str">
        <f>HYPERLINK("http://141.218.60.56/~jnz1568/getInfo.php?workbook=03_02.xlsx&amp;sheet=A0&amp;row=364&amp;col=10&amp;number=&amp;sourceID=15","")</f>
        <v/>
      </c>
      <c r="K364" s="4" t="str">
        <f>HYPERLINK("http://141.218.60.56/~jnz1568/getInfo.php?workbook=03_02.xlsx&amp;sheet=A0&amp;row=364&amp;col=11&amp;number=46720000&amp;sourceID=30","46720000")</f>
        <v>46720000</v>
      </c>
      <c r="L364" s="4" t="str">
        <f>HYPERLINK("http://141.218.60.56/~jnz1568/getInfo.php?workbook=03_02.xlsx&amp;sheet=A0&amp;row=364&amp;col=12&amp;number=&amp;sourceID=30","")</f>
        <v/>
      </c>
      <c r="M364" s="4" t="str">
        <f>HYPERLINK("http://141.218.60.56/~jnz1568/getInfo.php?workbook=03_02.xlsx&amp;sheet=A0&amp;row=364&amp;col=13&amp;number=&amp;sourceID=30","")</f>
        <v/>
      </c>
      <c r="N364" s="4" t="str">
        <f>HYPERLINK("http://141.218.60.56/~jnz1568/getInfo.php?workbook=03_02.xlsx&amp;sheet=A0&amp;row=364&amp;col=14&amp;number=&amp;sourceID=30","")</f>
        <v/>
      </c>
    </row>
    <row r="365" spans="1:14">
      <c r="A365" s="3">
        <v>3</v>
      </c>
      <c r="B365" s="3">
        <v>2</v>
      </c>
      <c r="C365" s="3">
        <v>31</v>
      </c>
      <c r="D365" s="3">
        <v>10</v>
      </c>
      <c r="E365" s="3">
        <f>((1/(INDEX(E0!J$4:J$52,C365,1)-INDEX(E0!J$4:J$52,D365,1))))*100000000</f>
        <v>0</v>
      </c>
      <c r="F365" s="4" t="str">
        <f>HYPERLINK("http://141.218.60.56/~jnz1568/getInfo.php?workbook=03_02.xlsx&amp;sheet=A0&amp;row=365&amp;col=6&amp;number=&amp;sourceID=27","")</f>
        <v/>
      </c>
      <c r="G365" s="4" t="str">
        <f>HYPERLINK("http://141.218.60.56/~jnz1568/getInfo.php?workbook=03_02.xlsx&amp;sheet=A0&amp;row=365&amp;col=7&amp;number=&amp;sourceID=15","")</f>
        <v/>
      </c>
      <c r="H365" s="4" t="str">
        <f>HYPERLINK("http://141.218.60.56/~jnz1568/getInfo.php?workbook=03_02.xlsx&amp;sheet=A0&amp;row=365&amp;col=8&amp;number=&amp;sourceID=15","")</f>
        <v/>
      </c>
      <c r="I365" s="4" t="str">
        <f>HYPERLINK("http://141.218.60.56/~jnz1568/getInfo.php?workbook=03_02.xlsx&amp;sheet=A0&amp;row=365&amp;col=9&amp;number=&amp;sourceID=15","")</f>
        <v/>
      </c>
      <c r="J365" s="4" t="str">
        <f>HYPERLINK("http://141.218.60.56/~jnz1568/getInfo.php?workbook=03_02.xlsx&amp;sheet=A0&amp;row=365&amp;col=10&amp;number=&amp;sourceID=15","")</f>
        <v/>
      </c>
      <c r="K365" s="4" t="str">
        <f>HYPERLINK("http://141.218.60.56/~jnz1568/getInfo.php?workbook=03_02.xlsx&amp;sheet=A0&amp;row=365&amp;col=11&amp;number=&amp;sourceID=30","")</f>
        <v/>
      </c>
      <c r="L365" s="4" t="str">
        <f>HYPERLINK("http://141.218.60.56/~jnz1568/getInfo.php?workbook=03_02.xlsx&amp;sheet=A0&amp;row=365&amp;col=12&amp;number=0.0001722&amp;sourceID=30","0.0001722")</f>
        <v>0.0001722</v>
      </c>
      <c r="M365" s="4" t="str">
        <f>HYPERLINK("http://141.218.60.56/~jnz1568/getInfo.php?workbook=03_02.xlsx&amp;sheet=A0&amp;row=365&amp;col=13&amp;number=6.256e-07&amp;sourceID=30","6.256e-07")</f>
        <v>6.256e-07</v>
      </c>
      <c r="N365" s="4" t="str">
        <f>HYPERLINK("http://141.218.60.56/~jnz1568/getInfo.php?workbook=03_02.xlsx&amp;sheet=A0&amp;row=365&amp;col=14&amp;number=&amp;sourceID=30","")</f>
        <v/>
      </c>
    </row>
    <row r="366" spans="1:14">
      <c r="A366" s="3">
        <v>3</v>
      </c>
      <c r="B366" s="3">
        <v>2</v>
      </c>
      <c r="C366" s="3">
        <v>31</v>
      </c>
      <c r="D366" s="3">
        <v>11</v>
      </c>
      <c r="E366" s="3">
        <f>((1/(INDEX(E0!J$4:J$52,C366,1)-INDEX(E0!J$4:J$52,D366,1))))*100000000</f>
        <v>0</v>
      </c>
      <c r="F366" s="4" t="str">
        <f>HYPERLINK("http://141.218.60.56/~jnz1568/getInfo.php?workbook=03_02.xlsx&amp;sheet=A0&amp;row=366&amp;col=6&amp;number=&amp;sourceID=27","")</f>
        <v/>
      </c>
      <c r="G366" s="4" t="str">
        <f>HYPERLINK("http://141.218.60.56/~jnz1568/getInfo.php?workbook=03_02.xlsx&amp;sheet=A0&amp;row=366&amp;col=7&amp;number=&amp;sourceID=15","")</f>
        <v/>
      </c>
      <c r="H366" s="4" t="str">
        <f>HYPERLINK("http://141.218.60.56/~jnz1568/getInfo.php?workbook=03_02.xlsx&amp;sheet=A0&amp;row=366&amp;col=8&amp;number=&amp;sourceID=15","")</f>
        <v/>
      </c>
      <c r="I366" s="4" t="str">
        <f>HYPERLINK("http://141.218.60.56/~jnz1568/getInfo.php?workbook=03_02.xlsx&amp;sheet=A0&amp;row=366&amp;col=9&amp;number=&amp;sourceID=15","")</f>
        <v/>
      </c>
      <c r="J366" s="4" t="str">
        <f>HYPERLINK("http://141.218.60.56/~jnz1568/getInfo.php?workbook=03_02.xlsx&amp;sheet=A0&amp;row=366&amp;col=10&amp;number=&amp;sourceID=15","")</f>
        <v/>
      </c>
      <c r="K366" s="4" t="str">
        <f>HYPERLINK("http://141.218.60.56/~jnz1568/getInfo.php?workbook=03_02.xlsx&amp;sheet=A0&amp;row=366&amp;col=11&amp;number=&amp;sourceID=30","")</f>
        <v/>
      </c>
      <c r="L366" s="4" t="str">
        <f>HYPERLINK("http://141.218.60.56/~jnz1568/getInfo.php?workbook=03_02.xlsx&amp;sheet=A0&amp;row=366&amp;col=12&amp;number=5.143e-05&amp;sourceID=30","5.143e-05")</f>
        <v>5.143e-05</v>
      </c>
      <c r="M366" s="4" t="str">
        <f>HYPERLINK("http://141.218.60.56/~jnz1568/getInfo.php?workbook=03_02.xlsx&amp;sheet=A0&amp;row=366&amp;col=13&amp;number=5.142e-07&amp;sourceID=30","5.142e-07")</f>
        <v>5.142e-07</v>
      </c>
      <c r="N366" s="4" t="str">
        <f>HYPERLINK("http://141.218.60.56/~jnz1568/getInfo.php?workbook=03_02.xlsx&amp;sheet=A0&amp;row=366&amp;col=14&amp;number=&amp;sourceID=30","")</f>
        <v/>
      </c>
    </row>
    <row r="367" spans="1:14">
      <c r="A367" s="3">
        <v>3</v>
      </c>
      <c r="B367" s="3">
        <v>2</v>
      </c>
      <c r="C367" s="3">
        <v>31</v>
      </c>
      <c r="D367" s="3">
        <v>12</v>
      </c>
      <c r="E367" s="3">
        <f>((1/(INDEX(E0!J$4:J$52,C367,1)-INDEX(E0!J$4:J$52,D367,1))))*100000000</f>
        <v>0</v>
      </c>
      <c r="F367" s="4" t="str">
        <f>HYPERLINK("http://141.218.60.56/~jnz1568/getInfo.php?workbook=03_02.xlsx&amp;sheet=A0&amp;row=367&amp;col=6&amp;number=&amp;sourceID=27","")</f>
        <v/>
      </c>
      <c r="G367" s="4" t="str">
        <f>HYPERLINK("http://141.218.60.56/~jnz1568/getInfo.php?workbook=03_02.xlsx&amp;sheet=A0&amp;row=367&amp;col=7&amp;number=&amp;sourceID=15","")</f>
        <v/>
      </c>
      <c r="H367" s="4" t="str">
        <f>HYPERLINK("http://141.218.60.56/~jnz1568/getInfo.php?workbook=03_02.xlsx&amp;sheet=A0&amp;row=367&amp;col=8&amp;number=&amp;sourceID=15","")</f>
        <v/>
      </c>
      <c r="I367" s="4" t="str">
        <f>HYPERLINK("http://141.218.60.56/~jnz1568/getInfo.php?workbook=03_02.xlsx&amp;sheet=A0&amp;row=367&amp;col=9&amp;number=&amp;sourceID=15","")</f>
        <v/>
      </c>
      <c r="J367" s="4" t="str">
        <f>HYPERLINK("http://141.218.60.56/~jnz1568/getInfo.php?workbook=03_02.xlsx&amp;sheet=A0&amp;row=367&amp;col=10&amp;number=&amp;sourceID=15","")</f>
        <v/>
      </c>
      <c r="K367" s="4" t="str">
        <f>HYPERLINK("http://141.218.60.56/~jnz1568/getInfo.php?workbook=03_02.xlsx&amp;sheet=A0&amp;row=367&amp;col=11&amp;number=&amp;sourceID=30","")</f>
        <v/>
      </c>
      <c r="L367" s="4" t="str">
        <f>HYPERLINK("http://141.218.60.56/~jnz1568/getInfo.php?workbook=03_02.xlsx&amp;sheet=A0&amp;row=367&amp;col=12&amp;number=&amp;sourceID=30","")</f>
        <v/>
      </c>
      <c r="M367" s="4" t="str">
        <f>HYPERLINK("http://141.218.60.56/~jnz1568/getInfo.php?workbook=03_02.xlsx&amp;sheet=A0&amp;row=367&amp;col=13&amp;number=6.755e-07&amp;sourceID=30","6.755e-07")</f>
        <v>6.755e-07</v>
      </c>
      <c r="N367" s="4" t="str">
        <f>HYPERLINK("http://141.218.60.56/~jnz1568/getInfo.php?workbook=03_02.xlsx&amp;sheet=A0&amp;row=367&amp;col=14&amp;number=&amp;sourceID=30","")</f>
        <v/>
      </c>
    </row>
    <row r="368" spans="1:14">
      <c r="A368" s="3">
        <v>3</v>
      </c>
      <c r="B368" s="3">
        <v>2</v>
      </c>
      <c r="C368" s="3">
        <v>31</v>
      </c>
      <c r="D368" s="3">
        <v>13</v>
      </c>
      <c r="E368" s="3">
        <f>((1/(INDEX(E0!J$4:J$52,C368,1)-INDEX(E0!J$4:J$52,D368,1))))*100000000</f>
        <v>0</v>
      </c>
      <c r="F368" s="4" t="str">
        <f>HYPERLINK("http://141.218.60.56/~jnz1568/getInfo.php?workbook=03_02.xlsx&amp;sheet=A0&amp;row=368&amp;col=6&amp;number=&amp;sourceID=27","")</f>
        <v/>
      </c>
      <c r="G368" s="4" t="str">
        <f>HYPERLINK("http://141.218.60.56/~jnz1568/getInfo.php?workbook=03_02.xlsx&amp;sheet=A0&amp;row=368&amp;col=7&amp;number=&amp;sourceID=15","")</f>
        <v/>
      </c>
      <c r="H368" s="4" t="str">
        <f>HYPERLINK("http://141.218.60.56/~jnz1568/getInfo.php?workbook=03_02.xlsx&amp;sheet=A0&amp;row=368&amp;col=8&amp;number=&amp;sourceID=15","")</f>
        <v/>
      </c>
      <c r="I368" s="4" t="str">
        <f>HYPERLINK("http://141.218.60.56/~jnz1568/getInfo.php?workbook=03_02.xlsx&amp;sheet=A0&amp;row=368&amp;col=9&amp;number=&amp;sourceID=15","")</f>
        <v/>
      </c>
      <c r="J368" s="4" t="str">
        <f>HYPERLINK("http://141.218.60.56/~jnz1568/getInfo.php?workbook=03_02.xlsx&amp;sheet=A0&amp;row=368&amp;col=10&amp;number=&amp;sourceID=15","")</f>
        <v/>
      </c>
      <c r="K368" s="4" t="str">
        <f>HYPERLINK("http://141.218.60.56/~jnz1568/getInfo.php?workbook=03_02.xlsx&amp;sheet=A0&amp;row=368&amp;col=11&amp;number=619.8&amp;sourceID=30","619.8")</f>
        <v>619.8</v>
      </c>
      <c r="L368" s="4" t="str">
        <f>HYPERLINK("http://141.218.60.56/~jnz1568/getInfo.php?workbook=03_02.xlsx&amp;sheet=A0&amp;row=368&amp;col=12&amp;number=&amp;sourceID=30","")</f>
        <v/>
      </c>
      <c r="M368" s="4" t="str">
        <f>HYPERLINK("http://141.218.60.56/~jnz1568/getInfo.php?workbook=03_02.xlsx&amp;sheet=A0&amp;row=368&amp;col=13&amp;number=&amp;sourceID=30","")</f>
        <v/>
      </c>
      <c r="N368" s="4" t="str">
        <f>HYPERLINK("http://141.218.60.56/~jnz1568/getInfo.php?workbook=03_02.xlsx&amp;sheet=A0&amp;row=368&amp;col=14&amp;number=1.938e-06&amp;sourceID=30","1.938e-06")</f>
        <v>1.938e-06</v>
      </c>
    </row>
    <row r="369" spans="1:14">
      <c r="A369" s="3">
        <v>3</v>
      </c>
      <c r="B369" s="3">
        <v>2</v>
      </c>
      <c r="C369" s="3">
        <v>31</v>
      </c>
      <c r="D369" s="3">
        <v>14</v>
      </c>
      <c r="E369" s="3">
        <f>((1/(INDEX(E0!J$4:J$52,C369,1)-INDEX(E0!J$4:J$52,D369,1))))*100000000</f>
        <v>0</v>
      </c>
      <c r="F369" s="4" t="str">
        <f>HYPERLINK("http://141.218.60.56/~jnz1568/getInfo.php?workbook=03_02.xlsx&amp;sheet=A0&amp;row=369&amp;col=6&amp;number=&amp;sourceID=27","")</f>
        <v/>
      </c>
      <c r="G369" s="4" t="str">
        <f>HYPERLINK("http://141.218.60.56/~jnz1568/getInfo.php?workbook=03_02.xlsx&amp;sheet=A0&amp;row=369&amp;col=7&amp;number=&amp;sourceID=15","")</f>
        <v/>
      </c>
      <c r="H369" s="4" t="str">
        <f>HYPERLINK("http://141.218.60.56/~jnz1568/getInfo.php?workbook=03_02.xlsx&amp;sheet=A0&amp;row=369&amp;col=8&amp;number=&amp;sourceID=15","")</f>
        <v/>
      </c>
      <c r="I369" s="4" t="str">
        <f>HYPERLINK("http://141.218.60.56/~jnz1568/getInfo.php?workbook=03_02.xlsx&amp;sheet=A0&amp;row=369&amp;col=9&amp;number=&amp;sourceID=15","")</f>
        <v/>
      </c>
      <c r="J369" s="4" t="str">
        <f>HYPERLINK("http://141.218.60.56/~jnz1568/getInfo.php?workbook=03_02.xlsx&amp;sheet=A0&amp;row=369&amp;col=10&amp;number=&amp;sourceID=15","")</f>
        <v/>
      </c>
      <c r="K369" s="4" t="str">
        <f>HYPERLINK("http://141.218.60.56/~jnz1568/getInfo.php?workbook=03_02.xlsx&amp;sheet=A0&amp;row=369&amp;col=11&amp;number=&amp;sourceID=30","")</f>
        <v/>
      </c>
      <c r="L369" s="4" t="str">
        <f>HYPERLINK("http://141.218.60.56/~jnz1568/getInfo.php?workbook=03_02.xlsx&amp;sheet=A0&amp;row=369&amp;col=12&amp;number=&amp;sourceID=30","")</f>
        <v/>
      </c>
      <c r="M369" s="4" t="str">
        <f>HYPERLINK("http://141.218.60.56/~jnz1568/getInfo.php?workbook=03_02.xlsx&amp;sheet=A0&amp;row=369&amp;col=13&amp;number=&amp;sourceID=30","")</f>
        <v/>
      </c>
      <c r="N369" s="4" t="str">
        <f>HYPERLINK("http://141.218.60.56/~jnz1568/getInfo.php?workbook=03_02.xlsx&amp;sheet=A0&amp;row=369&amp;col=14&amp;number=1.131e-05&amp;sourceID=30","1.131e-05")</f>
        <v>1.131e-05</v>
      </c>
    </row>
    <row r="370" spans="1:14">
      <c r="A370" s="3">
        <v>3</v>
      </c>
      <c r="B370" s="3">
        <v>2</v>
      </c>
      <c r="C370" s="3">
        <v>31</v>
      </c>
      <c r="D370" s="3">
        <v>15</v>
      </c>
      <c r="E370" s="3">
        <f>((1/(INDEX(E0!J$4:J$52,C370,1)-INDEX(E0!J$4:J$52,D370,1))))*100000000</f>
        <v>0</v>
      </c>
      <c r="F370" s="4" t="str">
        <f>HYPERLINK("http://141.218.60.56/~jnz1568/getInfo.php?workbook=03_02.xlsx&amp;sheet=A0&amp;row=370&amp;col=6&amp;number=&amp;sourceID=27","")</f>
        <v/>
      </c>
      <c r="G370" s="4" t="str">
        <f>HYPERLINK("http://141.218.60.56/~jnz1568/getInfo.php?workbook=03_02.xlsx&amp;sheet=A0&amp;row=370&amp;col=7&amp;number=&amp;sourceID=15","")</f>
        <v/>
      </c>
      <c r="H370" s="4" t="str">
        <f>HYPERLINK("http://141.218.60.56/~jnz1568/getInfo.php?workbook=03_02.xlsx&amp;sheet=A0&amp;row=370&amp;col=8&amp;number=&amp;sourceID=15","")</f>
        <v/>
      </c>
      <c r="I370" s="4" t="str">
        <f>HYPERLINK("http://141.218.60.56/~jnz1568/getInfo.php?workbook=03_02.xlsx&amp;sheet=A0&amp;row=370&amp;col=9&amp;number=&amp;sourceID=15","")</f>
        <v/>
      </c>
      <c r="J370" s="4" t="str">
        <f>HYPERLINK("http://141.218.60.56/~jnz1568/getInfo.php?workbook=03_02.xlsx&amp;sheet=A0&amp;row=370&amp;col=10&amp;number=&amp;sourceID=15","")</f>
        <v/>
      </c>
      <c r="K370" s="4" t="str">
        <f>HYPERLINK("http://141.218.60.56/~jnz1568/getInfo.php?workbook=03_02.xlsx&amp;sheet=A0&amp;row=370&amp;col=11&amp;number=0.3851&amp;sourceID=30","0.3851")</f>
        <v>0.3851</v>
      </c>
      <c r="L370" s="4" t="str">
        <f>HYPERLINK("http://141.218.60.56/~jnz1568/getInfo.php?workbook=03_02.xlsx&amp;sheet=A0&amp;row=370&amp;col=12&amp;number=&amp;sourceID=30","")</f>
        <v/>
      </c>
      <c r="M370" s="4" t="str">
        <f>HYPERLINK("http://141.218.60.56/~jnz1568/getInfo.php?workbook=03_02.xlsx&amp;sheet=A0&amp;row=370&amp;col=13&amp;number=&amp;sourceID=30","")</f>
        <v/>
      </c>
      <c r="N370" s="4" t="str">
        <f>HYPERLINK("http://141.218.60.56/~jnz1568/getInfo.php?workbook=03_02.xlsx&amp;sheet=A0&amp;row=370&amp;col=14&amp;number=1.344e-07&amp;sourceID=30","1.344e-07")</f>
        <v>1.344e-07</v>
      </c>
    </row>
    <row r="371" spans="1:14">
      <c r="A371" s="3">
        <v>3</v>
      </c>
      <c r="B371" s="3">
        <v>2</v>
      </c>
      <c r="C371" s="3">
        <v>31</v>
      </c>
      <c r="D371" s="3">
        <v>16</v>
      </c>
      <c r="E371" s="3">
        <f>((1/(INDEX(E0!J$4:J$52,C371,1)-INDEX(E0!J$4:J$52,D371,1))))*100000000</f>
        <v>0</v>
      </c>
      <c r="F371" s="4" t="str">
        <f>HYPERLINK("http://141.218.60.56/~jnz1568/getInfo.php?workbook=03_02.xlsx&amp;sheet=A0&amp;row=371&amp;col=6&amp;number=&amp;sourceID=27","")</f>
        <v/>
      </c>
      <c r="G371" s="4" t="str">
        <f>HYPERLINK("http://141.218.60.56/~jnz1568/getInfo.php?workbook=03_02.xlsx&amp;sheet=A0&amp;row=371&amp;col=7&amp;number=4651400&amp;sourceID=15","4651400")</f>
        <v>4651400</v>
      </c>
      <c r="H371" s="4" t="str">
        <f>HYPERLINK("http://141.218.60.56/~jnz1568/getInfo.php?workbook=03_02.xlsx&amp;sheet=A0&amp;row=371&amp;col=8&amp;number=&amp;sourceID=15","")</f>
        <v/>
      </c>
      <c r="I371" s="4" t="str">
        <f>HYPERLINK("http://141.218.60.56/~jnz1568/getInfo.php?workbook=03_02.xlsx&amp;sheet=A0&amp;row=371&amp;col=9&amp;number=&amp;sourceID=15","")</f>
        <v/>
      </c>
      <c r="J371" s="4" t="str">
        <f>HYPERLINK("http://141.218.60.56/~jnz1568/getInfo.php?workbook=03_02.xlsx&amp;sheet=A0&amp;row=371&amp;col=10&amp;number=&amp;sourceID=15","")</f>
        <v/>
      </c>
      <c r="K371" s="4" t="str">
        <f>HYPERLINK("http://141.218.60.56/~jnz1568/getInfo.php?workbook=03_02.xlsx&amp;sheet=A0&amp;row=371&amp;col=11&amp;number=3979000&amp;sourceID=30","3979000")</f>
        <v>3979000</v>
      </c>
      <c r="L371" s="4" t="str">
        <f>HYPERLINK("http://141.218.60.56/~jnz1568/getInfo.php?workbook=03_02.xlsx&amp;sheet=A0&amp;row=371&amp;col=12&amp;number=&amp;sourceID=30","")</f>
        <v/>
      </c>
      <c r="M371" s="4" t="str">
        <f>HYPERLINK("http://141.218.60.56/~jnz1568/getInfo.php?workbook=03_02.xlsx&amp;sheet=A0&amp;row=371&amp;col=13&amp;number=&amp;sourceID=30","")</f>
        <v/>
      </c>
      <c r="N371" s="4" t="str">
        <f>HYPERLINK("http://141.218.60.56/~jnz1568/getInfo.php?workbook=03_02.xlsx&amp;sheet=A0&amp;row=371&amp;col=14&amp;number=5.651e-06&amp;sourceID=30","5.651e-06")</f>
        <v>5.651e-06</v>
      </c>
    </row>
    <row r="372" spans="1:14">
      <c r="A372" s="3">
        <v>3</v>
      </c>
      <c r="B372" s="3">
        <v>2</v>
      </c>
      <c r="C372" s="3">
        <v>31</v>
      </c>
      <c r="D372" s="3">
        <v>17</v>
      </c>
      <c r="E372" s="3">
        <f>((1/(INDEX(E0!J$4:J$52,C372,1)-INDEX(E0!J$4:J$52,D372,1))))*100000000</f>
        <v>0</v>
      </c>
      <c r="F372" s="4" t="str">
        <f>HYPERLINK("http://141.218.60.56/~jnz1568/getInfo.php?workbook=03_02.xlsx&amp;sheet=A0&amp;row=372&amp;col=6&amp;number=&amp;sourceID=27","")</f>
        <v/>
      </c>
      <c r="G372" s="4" t="str">
        <f>HYPERLINK("http://141.218.60.56/~jnz1568/getInfo.php?workbook=03_02.xlsx&amp;sheet=A0&amp;row=372&amp;col=7&amp;number=&amp;sourceID=15","")</f>
        <v/>
      </c>
      <c r="H372" s="4" t="str">
        <f>HYPERLINK("http://141.218.60.56/~jnz1568/getInfo.php?workbook=03_02.xlsx&amp;sheet=A0&amp;row=372&amp;col=8&amp;number=160.9&amp;sourceID=15","160.9")</f>
        <v>160.9</v>
      </c>
      <c r="I372" s="4" t="str">
        <f>HYPERLINK("http://141.218.60.56/~jnz1568/getInfo.php?workbook=03_02.xlsx&amp;sheet=A0&amp;row=372&amp;col=9&amp;number=&amp;sourceID=15","")</f>
        <v/>
      </c>
      <c r="J372" s="4" t="str">
        <f>HYPERLINK("http://141.218.60.56/~jnz1568/getInfo.php?workbook=03_02.xlsx&amp;sheet=A0&amp;row=372&amp;col=10&amp;number=&amp;sourceID=15","")</f>
        <v/>
      </c>
      <c r="K372" s="4" t="str">
        <f>HYPERLINK("http://141.218.60.56/~jnz1568/getInfo.php?workbook=03_02.xlsx&amp;sheet=A0&amp;row=372&amp;col=11&amp;number=&amp;sourceID=30","")</f>
        <v/>
      </c>
      <c r="L372" s="4" t="str">
        <f>HYPERLINK("http://141.218.60.56/~jnz1568/getInfo.php?workbook=03_02.xlsx&amp;sheet=A0&amp;row=372&amp;col=12&amp;number=167&amp;sourceID=30","167")</f>
        <v>167</v>
      </c>
      <c r="M372" s="4" t="str">
        <f>HYPERLINK("http://141.218.60.56/~jnz1568/getInfo.php?workbook=03_02.xlsx&amp;sheet=A0&amp;row=372&amp;col=13&amp;number=2.291e-08&amp;sourceID=30","2.291e-08")</f>
        <v>2.291e-08</v>
      </c>
      <c r="N372" s="4" t="str">
        <f>HYPERLINK("http://141.218.60.56/~jnz1568/getInfo.php?workbook=03_02.xlsx&amp;sheet=A0&amp;row=372&amp;col=14&amp;number=&amp;sourceID=30","")</f>
        <v/>
      </c>
    </row>
    <row r="373" spans="1:14">
      <c r="A373" s="3">
        <v>3</v>
      </c>
      <c r="B373" s="3">
        <v>2</v>
      </c>
      <c r="C373" s="3">
        <v>31</v>
      </c>
      <c r="D373" s="3">
        <v>18</v>
      </c>
      <c r="E373" s="3">
        <f>((1/(INDEX(E0!J$4:J$52,C373,1)-INDEX(E0!J$4:J$52,D373,1))))*100000000</f>
        <v>0</v>
      </c>
      <c r="F373" s="4" t="str">
        <f>HYPERLINK("http://141.218.60.56/~jnz1568/getInfo.php?workbook=03_02.xlsx&amp;sheet=A0&amp;row=373&amp;col=6&amp;number=&amp;sourceID=27","")</f>
        <v/>
      </c>
      <c r="G373" s="4" t="str">
        <f>HYPERLINK("http://141.218.60.56/~jnz1568/getInfo.php?workbook=03_02.xlsx&amp;sheet=A0&amp;row=373&amp;col=7&amp;number=&amp;sourceID=15","")</f>
        <v/>
      </c>
      <c r="H373" s="4" t="str">
        <f>HYPERLINK("http://141.218.60.56/~jnz1568/getInfo.php?workbook=03_02.xlsx&amp;sheet=A0&amp;row=373&amp;col=8&amp;number=&amp;sourceID=15","")</f>
        <v/>
      </c>
      <c r="I373" s="4" t="str">
        <f>HYPERLINK("http://141.218.60.56/~jnz1568/getInfo.php?workbook=03_02.xlsx&amp;sheet=A0&amp;row=373&amp;col=9&amp;number=&amp;sourceID=15","")</f>
        <v/>
      </c>
      <c r="J373" s="4" t="str">
        <f>HYPERLINK("http://141.218.60.56/~jnz1568/getInfo.php?workbook=03_02.xlsx&amp;sheet=A0&amp;row=373&amp;col=10&amp;number=&amp;sourceID=15","")</f>
        <v/>
      </c>
      <c r="K373" s="4" t="str">
        <f>HYPERLINK("http://141.218.60.56/~jnz1568/getInfo.php?workbook=03_02.xlsx&amp;sheet=A0&amp;row=373&amp;col=11&amp;number=1.044&amp;sourceID=30","1.044")</f>
        <v>1.044</v>
      </c>
      <c r="L373" s="4" t="str">
        <f>HYPERLINK("http://141.218.60.56/~jnz1568/getInfo.php?workbook=03_02.xlsx&amp;sheet=A0&amp;row=373&amp;col=12&amp;number=&amp;sourceID=30","")</f>
        <v/>
      </c>
      <c r="M373" s="4" t="str">
        <f>HYPERLINK("http://141.218.60.56/~jnz1568/getInfo.php?workbook=03_02.xlsx&amp;sheet=A0&amp;row=373&amp;col=13&amp;number=&amp;sourceID=30","")</f>
        <v/>
      </c>
      <c r="N373" s="4" t="str">
        <f>HYPERLINK("http://141.218.60.56/~jnz1568/getInfo.php?workbook=03_02.xlsx&amp;sheet=A0&amp;row=373&amp;col=14&amp;number=1.639e-07&amp;sourceID=30","1.639e-07")</f>
        <v>1.639e-07</v>
      </c>
    </row>
    <row r="374" spans="1:14">
      <c r="A374" s="3">
        <v>3</v>
      </c>
      <c r="B374" s="3">
        <v>2</v>
      </c>
      <c r="C374" s="3">
        <v>31</v>
      </c>
      <c r="D374" s="3">
        <v>19</v>
      </c>
      <c r="E374" s="3">
        <f>((1/(INDEX(E0!J$4:J$52,C374,1)-INDEX(E0!J$4:J$52,D374,1))))*100000000</f>
        <v>0</v>
      </c>
      <c r="F374" s="4" t="str">
        <f>HYPERLINK("http://141.218.60.56/~jnz1568/getInfo.php?workbook=03_02.xlsx&amp;sheet=A0&amp;row=374&amp;col=6&amp;number=&amp;sourceID=27","")</f>
        <v/>
      </c>
      <c r="G374" s="4" t="str">
        <f>HYPERLINK("http://141.218.60.56/~jnz1568/getInfo.php?workbook=03_02.xlsx&amp;sheet=A0&amp;row=374&amp;col=7&amp;number=170270&amp;sourceID=15","170270")</f>
        <v>170270</v>
      </c>
      <c r="H374" s="4" t="str">
        <f>HYPERLINK("http://141.218.60.56/~jnz1568/getInfo.php?workbook=03_02.xlsx&amp;sheet=A0&amp;row=374&amp;col=8&amp;number=&amp;sourceID=15","")</f>
        <v/>
      </c>
      <c r="I374" s="4" t="str">
        <f>HYPERLINK("http://141.218.60.56/~jnz1568/getInfo.php?workbook=03_02.xlsx&amp;sheet=A0&amp;row=374&amp;col=9&amp;number=&amp;sourceID=15","")</f>
        <v/>
      </c>
      <c r="J374" s="4" t="str">
        <f>HYPERLINK("http://141.218.60.56/~jnz1568/getInfo.php?workbook=03_02.xlsx&amp;sheet=A0&amp;row=374&amp;col=10&amp;number=&amp;sourceID=15","")</f>
        <v/>
      </c>
      <c r="K374" s="4" t="str">
        <f>HYPERLINK("http://141.218.60.56/~jnz1568/getInfo.php?workbook=03_02.xlsx&amp;sheet=A0&amp;row=374&amp;col=11&amp;number=23470&amp;sourceID=30","23470")</f>
        <v>23470</v>
      </c>
      <c r="L374" s="4" t="str">
        <f>HYPERLINK("http://141.218.60.56/~jnz1568/getInfo.php?workbook=03_02.xlsx&amp;sheet=A0&amp;row=374&amp;col=12&amp;number=&amp;sourceID=30","")</f>
        <v/>
      </c>
      <c r="M374" s="4" t="str">
        <f>HYPERLINK("http://141.218.60.56/~jnz1568/getInfo.php?workbook=03_02.xlsx&amp;sheet=A0&amp;row=374&amp;col=13&amp;number=&amp;sourceID=30","")</f>
        <v/>
      </c>
      <c r="N374" s="4" t="str">
        <f>HYPERLINK("http://141.218.60.56/~jnz1568/getInfo.php?workbook=03_02.xlsx&amp;sheet=A0&amp;row=374&amp;col=14&amp;number=&amp;sourceID=30","")</f>
        <v/>
      </c>
    </row>
    <row r="375" spans="1:14">
      <c r="A375" s="3">
        <v>3</v>
      </c>
      <c r="B375" s="3">
        <v>2</v>
      </c>
      <c r="C375" s="3">
        <v>31</v>
      </c>
      <c r="D375" s="3">
        <v>20</v>
      </c>
      <c r="E375" s="3">
        <f>((1/(INDEX(E0!J$4:J$52,C375,1)-INDEX(E0!J$4:J$52,D375,1))))*100000000</f>
        <v>0</v>
      </c>
      <c r="F375" s="4" t="str">
        <f>HYPERLINK("http://141.218.60.56/~jnz1568/getInfo.php?workbook=03_02.xlsx&amp;sheet=A0&amp;row=375&amp;col=6&amp;number=&amp;sourceID=27","")</f>
        <v/>
      </c>
      <c r="G375" s="4" t="str">
        <f>HYPERLINK("http://141.218.60.56/~jnz1568/getInfo.php?workbook=03_02.xlsx&amp;sheet=A0&amp;row=375&amp;col=7&amp;number=&amp;sourceID=15","")</f>
        <v/>
      </c>
      <c r="H375" s="4" t="str">
        <f>HYPERLINK("http://141.218.60.56/~jnz1568/getInfo.php?workbook=03_02.xlsx&amp;sheet=A0&amp;row=375&amp;col=8&amp;number=&amp;sourceID=15","")</f>
        <v/>
      </c>
      <c r="I375" s="4" t="str">
        <f>HYPERLINK("http://141.218.60.56/~jnz1568/getInfo.php?workbook=03_02.xlsx&amp;sheet=A0&amp;row=375&amp;col=9&amp;number=&amp;sourceID=15","")</f>
        <v/>
      </c>
      <c r="J375" s="4" t="str">
        <f>HYPERLINK("http://141.218.60.56/~jnz1568/getInfo.php?workbook=03_02.xlsx&amp;sheet=A0&amp;row=375&amp;col=10&amp;number=&amp;sourceID=15","")</f>
        <v/>
      </c>
      <c r="K375" s="4" t="str">
        <f>HYPERLINK("http://141.218.60.56/~jnz1568/getInfo.php?workbook=03_02.xlsx&amp;sheet=A0&amp;row=375&amp;col=11&amp;number=&amp;sourceID=30","")</f>
        <v/>
      </c>
      <c r="L375" s="4" t="str">
        <f>HYPERLINK("http://141.218.60.56/~jnz1568/getInfo.php?workbook=03_02.xlsx&amp;sheet=A0&amp;row=375&amp;col=12&amp;number=&amp;sourceID=30","")</f>
        <v/>
      </c>
      <c r="M375" s="4" t="str">
        <f>HYPERLINK("http://141.218.60.56/~jnz1568/getInfo.php?workbook=03_02.xlsx&amp;sheet=A0&amp;row=375&amp;col=13&amp;number=1.459e-08&amp;sourceID=30","1.459e-08")</f>
        <v>1.459e-08</v>
      </c>
      <c r="N375" s="4" t="str">
        <f>HYPERLINK("http://141.218.60.56/~jnz1568/getInfo.php?workbook=03_02.xlsx&amp;sheet=A0&amp;row=375&amp;col=14&amp;number=&amp;sourceID=30","")</f>
        <v/>
      </c>
    </row>
    <row r="376" spans="1:14">
      <c r="A376" s="3">
        <v>3</v>
      </c>
      <c r="B376" s="3">
        <v>2</v>
      </c>
      <c r="C376" s="3">
        <v>31</v>
      </c>
      <c r="D376" s="3">
        <v>21</v>
      </c>
      <c r="E376" s="3">
        <f>((1/(INDEX(E0!J$4:J$52,C376,1)-INDEX(E0!J$4:J$52,D376,1))))*100000000</f>
        <v>0</v>
      </c>
      <c r="F376" s="4" t="str">
        <f>HYPERLINK("http://141.218.60.56/~jnz1568/getInfo.php?workbook=03_02.xlsx&amp;sheet=A0&amp;row=376&amp;col=6&amp;number=&amp;sourceID=27","")</f>
        <v/>
      </c>
      <c r="G376" s="4" t="str">
        <f>HYPERLINK("http://141.218.60.56/~jnz1568/getInfo.php?workbook=03_02.xlsx&amp;sheet=A0&amp;row=376&amp;col=7&amp;number=&amp;sourceID=15","")</f>
        <v/>
      </c>
      <c r="H376" s="4" t="str">
        <f>HYPERLINK("http://141.218.60.56/~jnz1568/getInfo.php?workbook=03_02.xlsx&amp;sheet=A0&amp;row=376&amp;col=8&amp;number=&amp;sourceID=15","")</f>
        <v/>
      </c>
      <c r="I376" s="4" t="str">
        <f>HYPERLINK("http://141.218.60.56/~jnz1568/getInfo.php?workbook=03_02.xlsx&amp;sheet=A0&amp;row=376&amp;col=9&amp;number=&amp;sourceID=15","")</f>
        <v/>
      </c>
      <c r="J376" s="4" t="str">
        <f>HYPERLINK("http://141.218.60.56/~jnz1568/getInfo.php?workbook=03_02.xlsx&amp;sheet=A0&amp;row=376&amp;col=10&amp;number=&amp;sourceID=15","")</f>
        <v/>
      </c>
      <c r="K376" s="4" t="str">
        <f>HYPERLINK("http://141.218.60.56/~jnz1568/getInfo.php?workbook=03_02.xlsx&amp;sheet=A0&amp;row=376&amp;col=11&amp;number=&amp;sourceID=30","")</f>
        <v/>
      </c>
      <c r="L376" s="4" t="str">
        <f>HYPERLINK("http://141.218.60.56/~jnz1568/getInfo.php?workbook=03_02.xlsx&amp;sheet=A0&amp;row=376&amp;col=12&amp;number=1.655e-09&amp;sourceID=30","1.655e-09")</f>
        <v>1.655e-09</v>
      </c>
      <c r="M376" s="4" t="str">
        <f>HYPERLINK("http://141.218.60.56/~jnz1568/getInfo.php?workbook=03_02.xlsx&amp;sheet=A0&amp;row=376&amp;col=13&amp;number=1.44e-08&amp;sourceID=30","1.44e-08")</f>
        <v>1.44e-08</v>
      </c>
      <c r="N376" s="4" t="str">
        <f>HYPERLINK("http://141.218.60.56/~jnz1568/getInfo.php?workbook=03_02.xlsx&amp;sheet=A0&amp;row=376&amp;col=14&amp;number=&amp;sourceID=30","")</f>
        <v/>
      </c>
    </row>
    <row r="377" spans="1:14">
      <c r="A377" s="3">
        <v>3</v>
      </c>
      <c r="B377" s="3">
        <v>2</v>
      </c>
      <c r="C377" s="3">
        <v>31</v>
      </c>
      <c r="D377" s="3">
        <v>22</v>
      </c>
      <c r="E377" s="3">
        <f>((1/(INDEX(E0!J$4:J$52,C377,1)-INDEX(E0!J$4:J$52,D377,1))))*100000000</f>
        <v>0</v>
      </c>
      <c r="F377" s="4" t="str">
        <f>HYPERLINK("http://141.218.60.56/~jnz1568/getInfo.php?workbook=03_02.xlsx&amp;sheet=A0&amp;row=377&amp;col=6&amp;number=&amp;sourceID=27","")</f>
        <v/>
      </c>
      <c r="G377" s="4" t="str">
        <f>HYPERLINK("http://141.218.60.56/~jnz1568/getInfo.php?workbook=03_02.xlsx&amp;sheet=A0&amp;row=377&amp;col=7&amp;number=&amp;sourceID=15","")</f>
        <v/>
      </c>
      <c r="H377" s="4" t="str">
        <f>HYPERLINK("http://141.218.60.56/~jnz1568/getInfo.php?workbook=03_02.xlsx&amp;sheet=A0&amp;row=377&amp;col=8&amp;number=&amp;sourceID=15","")</f>
        <v/>
      </c>
      <c r="I377" s="4" t="str">
        <f>HYPERLINK("http://141.218.60.56/~jnz1568/getInfo.php?workbook=03_02.xlsx&amp;sheet=A0&amp;row=377&amp;col=9&amp;number=&amp;sourceID=15","")</f>
        <v/>
      </c>
      <c r="J377" s="4" t="str">
        <f>HYPERLINK("http://141.218.60.56/~jnz1568/getInfo.php?workbook=03_02.xlsx&amp;sheet=A0&amp;row=377&amp;col=10&amp;number=&amp;sourceID=15","")</f>
        <v/>
      </c>
      <c r="K377" s="4" t="str">
        <f>HYPERLINK("http://141.218.60.56/~jnz1568/getInfo.php?workbook=03_02.xlsx&amp;sheet=A0&amp;row=377&amp;col=11&amp;number=&amp;sourceID=30","")</f>
        <v/>
      </c>
      <c r="L377" s="4" t="str">
        <f>HYPERLINK("http://141.218.60.56/~jnz1568/getInfo.php?workbook=03_02.xlsx&amp;sheet=A0&amp;row=377&amp;col=12&amp;number=5.601e-10&amp;sourceID=30","5.601e-10")</f>
        <v>5.601e-10</v>
      </c>
      <c r="M377" s="4" t="str">
        <f>HYPERLINK("http://141.218.60.56/~jnz1568/getInfo.php?workbook=03_02.xlsx&amp;sheet=A0&amp;row=377&amp;col=13&amp;number=6.03e-09&amp;sourceID=30","6.03e-09")</f>
        <v>6.03e-09</v>
      </c>
      <c r="N377" s="4" t="str">
        <f>HYPERLINK("http://141.218.60.56/~jnz1568/getInfo.php?workbook=03_02.xlsx&amp;sheet=A0&amp;row=377&amp;col=14&amp;number=&amp;sourceID=30","")</f>
        <v/>
      </c>
    </row>
    <row r="378" spans="1:14">
      <c r="A378" s="3">
        <v>3</v>
      </c>
      <c r="B378" s="3">
        <v>2</v>
      </c>
      <c r="C378" s="3">
        <v>31</v>
      </c>
      <c r="D378" s="3">
        <v>23</v>
      </c>
      <c r="E378" s="3">
        <f>((1/(INDEX(E0!J$4:J$52,C378,1)-INDEX(E0!J$4:J$52,D378,1))))*100000000</f>
        <v>0</v>
      </c>
      <c r="F378" s="4" t="str">
        <f>HYPERLINK("http://141.218.60.56/~jnz1568/getInfo.php?workbook=03_02.xlsx&amp;sheet=A0&amp;row=378&amp;col=6&amp;number=&amp;sourceID=27","")</f>
        <v/>
      </c>
      <c r="G378" s="4" t="str">
        <f>HYPERLINK("http://141.218.60.56/~jnz1568/getInfo.php?workbook=03_02.xlsx&amp;sheet=A0&amp;row=378&amp;col=7&amp;number=0.0002157&amp;sourceID=15","0.0002157")</f>
        <v>0.0002157</v>
      </c>
      <c r="H378" s="4" t="str">
        <f>HYPERLINK("http://141.218.60.56/~jnz1568/getInfo.php?workbook=03_02.xlsx&amp;sheet=A0&amp;row=378&amp;col=8&amp;number=&amp;sourceID=15","")</f>
        <v/>
      </c>
      <c r="I378" s="4" t="str">
        <f>HYPERLINK("http://141.218.60.56/~jnz1568/getInfo.php?workbook=03_02.xlsx&amp;sheet=A0&amp;row=378&amp;col=9&amp;number=&amp;sourceID=15","")</f>
        <v/>
      </c>
      <c r="J378" s="4" t="str">
        <f>HYPERLINK("http://141.218.60.56/~jnz1568/getInfo.php?workbook=03_02.xlsx&amp;sheet=A0&amp;row=378&amp;col=10&amp;number=&amp;sourceID=15","")</f>
        <v/>
      </c>
      <c r="K378" s="4" t="str">
        <f>HYPERLINK("http://141.218.60.56/~jnz1568/getInfo.php?workbook=03_02.xlsx&amp;sheet=A0&amp;row=378&amp;col=11&amp;number=0.001615&amp;sourceID=30","0.001615")</f>
        <v>0.001615</v>
      </c>
      <c r="L378" s="4" t="str">
        <f>HYPERLINK("http://141.218.60.56/~jnz1568/getInfo.php?workbook=03_02.xlsx&amp;sheet=A0&amp;row=378&amp;col=12&amp;number=&amp;sourceID=30","")</f>
        <v/>
      </c>
      <c r="M378" s="4" t="str">
        <f>HYPERLINK("http://141.218.60.56/~jnz1568/getInfo.php?workbook=03_02.xlsx&amp;sheet=A0&amp;row=378&amp;col=13&amp;number=&amp;sourceID=30","")</f>
        <v/>
      </c>
      <c r="N378" s="4" t="str">
        <f>HYPERLINK("http://141.218.60.56/~jnz1568/getInfo.php?workbook=03_02.xlsx&amp;sheet=A0&amp;row=378&amp;col=14&amp;number=2.41e-13&amp;sourceID=30","2.41e-13")</f>
        <v>2.41e-13</v>
      </c>
    </row>
    <row r="379" spans="1:14">
      <c r="A379" s="3">
        <v>3</v>
      </c>
      <c r="B379" s="3">
        <v>2</v>
      </c>
      <c r="C379" s="3">
        <v>31</v>
      </c>
      <c r="D379" s="3">
        <v>24</v>
      </c>
      <c r="E379" s="3">
        <f>((1/(INDEX(E0!J$4:J$52,C379,1)-INDEX(E0!J$4:J$52,D379,1))))*100000000</f>
        <v>0</v>
      </c>
      <c r="F379" s="4" t="str">
        <f>HYPERLINK("http://141.218.60.56/~jnz1568/getInfo.php?workbook=03_02.xlsx&amp;sheet=A0&amp;row=379&amp;col=6&amp;number=&amp;sourceID=27","")</f>
        <v/>
      </c>
      <c r="G379" s="4" t="str">
        <f>HYPERLINK("http://141.218.60.56/~jnz1568/getInfo.php?workbook=03_02.xlsx&amp;sheet=A0&amp;row=379&amp;col=7&amp;number=0.2804&amp;sourceID=15","0.2804")</f>
        <v>0.2804</v>
      </c>
      <c r="H379" s="4" t="str">
        <f>HYPERLINK("http://141.218.60.56/~jnz1568/getInfo.php?workbook=03_02.xlsx&amp;sheet=A0&amp;row=379&amp;col=8&amp;number=&amp;sourceID=15","")</f>
        <v/>
      </c>
      <c r="I379" s="4" t="str">
        <f>HYPERLINK("http://141.218.60.56/~jnz1568/getInfo.php?workbook=03_02.xlsx&amp;sheet=A0&amp;row=379&amp;col=9&amp;number=&amp;sourceID=15","")</f>
        <v/>
      </c>
      <c r="J379" s="4" t="str">
        <f>HYPERLINK("http://141.218.60.56/~jnz1568/getInfo.php?workbook=03_02.xlsx&amp;sheet=A0&amp;row=379&amp;col=10&amp;number=&amp;sourceID=15","")</f>
        <v/>
      </c>
      <c r="K379" s="4" t="str">
        <f>HYPERLINK("http://141.218.60.56/~jnz1568/getInfo.php?workbook=03_02.xlsx&amp;sheet=A0&amp;row=379&amp;col=11&amp;number=1.26&amp;sourceID=30","1.26")</f>
        <v>1.26</v>
      </c>
      <c r="L379" s="4" t="str">
        <f>HYPERLINK("http://141.218.60.56/~jnz1568/getInfo.php?workbook=03_02.xlsx&amp;sheet=A0&amp;row=379&amp;col=12&amp;number=&amp;sourceID=30","")</f>
        <v/>
      </c>
      <c r="M379" s="4" t="str">
        <f>HYPERLINK("http://141.218.60.56/~jnz1568/getInfo.php?workbook=03_02.xlsx&amp;sheet=A0&amp;row=379&amp;col=13&amp;number=&amp;sourceID=30","")</f>
        <v/>
      </c>
      <c r="N379" s="4" t="str">
        <f>HYPERLINK("http://141.218.60.56/~jnz1568/getInfo.php?workbook=03_02.xlsx&amp;sheet=A0&amp;row=379&amp;col=14&amp;number=3.519e-12&amp;sourceID=30","3.519e-12")</f>
        <v>3.519e-12</v>
      </c>
    </row>
    <row r="380" spans="1:14">
      <c r="A380" s="3">
        <v>3</v>
      </c>
      <c r="B380" s="3">
        <v>2</v>
      </c>
      <c r="C380" s="3">
        <v>31</v>
      </c>
      <c r="D380" s="3">
        <v>25</v>
      </c>
      <c r="E380" s="3">
        <f>((1/(INDEX(E0!J$4:J$52,C380,1)-INDEX(E0!J$4:J$52,D380,1))))*100000000</f>
        <v>0</v>
      </c>
      <c r="F380" s="4" t="str">
        <f>HYPERLINK("http://141.218.60.56/~jnz1568/getInfo.php?workbook=03_02.xlsx&amp;sheet=A0&amp;row=380&amp;col=6&amp;number=&amp;sourceID=27","")</f>
        <v/>
      </c>
      <c r="G380" s="4" t="str">
        <f>HYPERLINK("http://141.218.60.56/~jnz1568/getInfo.php?workbook=03_02.xlsx&amp;sheet=A0&amp;row=380&amp;col=7&amp;number=&amp;sourceID=15","")</f>
        <v/>
      </c>
      <c r="H380" s="4" t="str">
        <f>HYPERLINK("http://141.218.60.56/~jnz1568/getInfo.php?workbook=03_02.xlsx&amp;sheet=A0&amp;row=380&amp;col=8&amp;number=&amp;sourceID=15","")</f>
        <v/>
      </c>
      <c r="I380" s="4" t="str">
        <f>HYPERLINK("http://141.218.60.56/~jnz1568/getInfo.php?workbook=03_02.xlsx&amp;sheet=A0&amp;row=380&amp;col=9&amp;number=&amp;sourceID=15","")</f>
        <v/>
      </c>
      <c r="J380" s="4" t="str">
        <f>HYPERLINK("http://141.218.60.56/~jnz1568/getInfo.php?workbook=03_02.xlsx&amp;sheet=A0&amp;row=380&amp;col=10&amp;number=&amp;sourceID=15","")</f>
        <v/>
      </c>
      <c r="K380" s="4" t="str">
        <f>HYPERLINK("http://141.218.60.56/~jnz1568/getInfo.php?workbook=03_02.xlsx&amp;sheet=A0&amp;row=380&amp;col=11&amp;number=&amp;sourceID=30","")</f>
        <v/>
      </c>
      <c r="L380" s="4" t="str">
        <f>HYPERLINK("http://141.218.60.56/~jnz1568/getInfo.php?workbook=03_02.xlsx&amp;sheet=A0&amp;row=380&amp;col=12&amp;number=&amp;sourceID=30","")</f>
        <v/>
      </c>
      <c r="M380" s="4" t="str">
        <f>HYPERLINK("http://141.218.60.56/~jnz1568/getInfo.php?workbook=03_02.xlsx&amp;sheet=A0&amp;row=380&amp;col=13&amp;number=&amp;sourceID=30","")</f>
        <v/>
      </c>
      <c r="N380" s="4" t="str">
        <f>HYPERLINK("http://141.218.60.56/~jnz1568/getInfo.php?workbook=03_02.xlsx&amp;sheet=A0&amp;row=380&amp;col=14&amp;number=2.029e-11&amp;sourceID=30","2.029e-11")</f>
        <v>2.029e-11</v>
      </c>
    </row>
    <row r="381" spans="1:14">
      <c r="A381" s="3">
        <v>3</v>
      </c>
      <c r="B381" s="3">
        <v>2</v>
      </c>
      <c r="C381" s="3">
        <v>31</v>
      </c>
      <c r="D381" s="3">
        <v>26</v>
      </c>
      <c r="E381" s="3">
        <f>((1/(INDEX(E0!J$4:J$52,C381,1)-INDEX(E0!J$4:J$52,D381,1))))*100000000</f>
        <v>0</v>
      </c>
      <c r="F381" s="4" t="str">
        <f>HYPERLINK("http://141.218.60.56/~jnz1568/getInfo.php?workbook=03_02.xlsx&amp;sheet=A0&amp;row=381&amp;col=6&amp;number=&amp;sourceID=27","")</f>
        <v/>
      </c>
      <c r="G381" s="4" t="str">
        <f>HYPERLINK("http://141.218.60.56/~jnz1568/getInfo.php?workbook=03_02.xlsx&amp;sheet=A0&amp;row=381&amp;col=7&amp;number=1202.4&amp;sourceID=15","1202.4")</f>
        <v>1202.4</v>
      </c>
      <c r="H381" s="4" t="str">
        <f>HYPERLINK("http://141.218.60.56/~jnz1568/getInfo.php?workbook=03_02.xlsx&amp;sheet=A0&amp;row=381&amp;col=8&amp;number=&amp;sourceID=15","")</f>
        <v/>
      </c>
      <c r="I381" s="4" t="str">
        <f>HYPERLINK("http://141.218.60.56/~jnz1568/getInfo.php?workbook=03_02.xlsx&amp;sheet=A0&amp;row=381&amp;col=9&amp;number=&amp;sourceID=15","")</f>
        <v/>
      </c>
      <c r="J381" s="4" t="str">
        <f>HYPERLINK("http://141.218.60.56/~jnz1568/getInfo.php?workbook=03_02.xlsx&amp;sheet=A0&amp;row=381&amp;col=10&amp;number=&amp;sourceID=15","")</f>
        <v/>
      </c>
      <c r="K381" s="4" t="str">
        <f>HYPERLINK("http://141.218.60.56/~jnz1568/getInfo.php?workbook=03_02.xlsx&amp;sheet=A0&amp;row=381&amp;col=11&amp;number=12680&amp;sourceID=30","12680")</f>
        <v>12680</v>
      </c>
      <c r="L381" s="4" t="str">
        <f>HYPERLINK("http://141.218.60.56/~jnz1568/getInfo.php?workbook=03_02.xlsx&amp;sheet=A0&amp;row=381&amp;col=12&amp;number=&amp;sourceID=30","")</f>
        <v/>
      </c>
      <c r="M381" s="4" t="str">
        <f>HYPERLINK("http://141.218.60.56/~jnz1568/getInfo.php?workbook=03_02.xlsx&amp;sheet=A0&amp;row=381&amp;col=13&amp;number=&amp;sourceID=30","")</f>
        <v/>
      </c>
      <c r="N381" s="4" t="str">
        <f>HYPERLINK("http://141.218.60.56/~jnz1568/getInfo.php?workbook=03_02.xlsx&amp;sheet=A0&amp;row=381&amp;col=14&amp;number=7.522e-12&amp;sourceID=30","7.522e-12")</f>
        <v>7.522e-12</v>
      </c>
    </row>
    <row r="382" spans="1:14">
      <c r="A382" s="3">
        <v>3</v>
      </c>
      <c r="B382" s="3">
        <v>2</v>
      </c>
      <c r="C382" s="3">
        <v>31</v>
      </c>
      <c r="D382" s="3">
        <v>27</v>
      </c>
      <c r="E382" s="3">
        <f>((1/(INDEX(E0!J$4:J$52,C382,1)-INDEX(E0!J$4:J$52,D382,1))))*100000000</f>
        <v>0</v>
      </c>
      <c r="F382" s="4" t="str">
        <f>HYPERLINK("http://141.218.60.56/~jnz1568/getInfo.php?workbook=03_02.xlsx&amp;sheet=A0&amp;row=382&amp;col=6&amp;number=&amp;sourceID=27","")</f>
        <v/>
      </c>
      <c r="G382" s="4" t="str">
        <f>HYPERLINK("http://141.218.60.56/~jnz1568/getInfo.php?workbook=03_02.xlsx&amp;sheet=A0&amp;row=382&amp;col=7&amp;number=&amp;sourceID=15","")</f>
        <v/>
      </c>
      <c r="H382" s="4" t="str">
        <f>HYPERLINK("http://141.218.60.56/~jnz1568/getInfo.php?workbook=03_02.xlsx&amp;sheet=A0&amp;row=382&amp;col=8&amp;number=&amp;sourceID=15","")</f>
        <v/>
      </c>
      <c r="I382" s="4" t="str">
        <f>HYPERLINK("http://141.218.60.56/~jnz1568/getInfo.php?workbook=03_02.xlsx&amp;sheet=A0&amp;row=382&amp;col=9&amp;number=&amp;sourceID=15","")</f>
        <v/>
      </c>
      <c r="J382" s="4" t="str">
        <f>HYPERLINK("http://141.218.60.56/~jnz1568/getInfo.php?workbook=03_02.xlsx&amp;sheet=A0&amp;row=382&amp;col=10&amp;number=&amp;sourceID=15","")</f>
        <v/>
      </c>
      <c r="K382" s="4" t="str">
        <f>HYPERLINK("http://141.218.60.56/~jnz1568/getInfo.php?workbook=03_02.xlsx&amp;sheet=A0&amp;row=382&amp;col=11&amp;number=&amp;sourceID=30","")</f>
        <v/>
      </c>
      <c r="L382" s="4" t="str">
        <f>HYPERLINK("http://141.218.60.56/~jnz1568/getInfo.php?workbook=03_02.xlsx&amp;sheet=A0&amp;row=382&amp;col=12&amp;number=1.549e-12&amp;sourceID=30","1.549e-12")</f>
        <v>1.549e-12</v>
      </c>
      <c r="M382" s="4" t="str">
        <f>HYPERLINK("http://141.218.60.56/~jnz1568/getInfo.php?workbook=03_02.xlsx&amp;sheet=A0&amp;row=382&amp;col=13&amp;number=0&amp;sourceID=30","0")</f>
        <v>0</v>
      </c>
      <c r="N382" s="4" t="str">
        <f>HYPERLINK("http://141.218.60.56/~jnz1568/getInfo.php?workbook=03_02.xlsx&amp;sheet=A0&amp;row=382&amp;col=14&amp;number=&amp;sourceID=30","")</f>
        <v/>
      </c>
    </row>
    <row r="383" spans="1:14">
      <c r="A383" s="3">
        <v>3</v>
      </c>
      <c r="B383" s="3">
        <v>2</v>
      </c>
      <c r="C383" s="3">
        <v>31</v>
      </c>
      <c r="D383" s="3">
        <v>28</v>
      </c>
      <c r="E383" s="3">
        <f>((1/(INDEX(E0!J$4:J$52,C383,1)-INDEX(E0!J$4:J$52,D383,1))))*100000000</f>
        <v>0</v>
      </c>
      <c r="F383" s="4" t="str">
        <f>HYPERLINK("http://141.218.60.56/~jnz1568/getInfo.php?workbook=03_02.xlsx&amp;sheet=A0&amp;row=383&amp;col=6&amp;number=&amp;sourceID=27","")</f>
        <v/>
      </c>
      <c r="G383" s="4" t="str">
        <f>HYPERLINK("http://141.218.60.56/~jnz1568/getInfo.php?workbook=03_02.xlsx&amp;sheet=A0&amp;row=383&amp;col=7&amp;number=&amp;sourceID=15","")</f>
        <v/>
      </c>
      <c r="H383" s="4" t="str">
        <f>HYPERLINK("http://141.218.60.56/~jnz1568/getInfo.php?workbook=03_02.xlsx&amp;sheet=A0&amp;row=383&amp;col=8&amp;number=&amp;sourceID=15","")</f>
        <v/>
      </c>
      <c r="I383" s="4" t="str">
        <f>HYPERLINK("http://141.218.60.56/~jnz1568/getInfo.php?workbook=03_02.xlsx&amp;sheet=A0&amp;row=383&amp;col=9&amp;number=&amp;sourceID=15","")</f>
        <v/>
      </c>
      <c r="J383" s="4" t="str">
        <f>HYPERLINK("http://141.218.60.56/~jnz1568/getInfo.php?workbook=03_02.xlsx&amp;sheet=A0&amp;row=383&amp;col=10&amp;number=&amp;sourceID=15","")</f>
        <v/>
      </c>
      <c r="K383" s="4" t="str">
        <f>HYPERLINK("http://141.218.60.56/~jnz1568/getInfo.php?workbook=03_02.xlsx&amp;sheet=A0&amp;row=383&amp;col=11&amp;number=&amp;sourceID=30","")</f>
        <v/>
      </c>
      <c r="L383" s="4" t="str">
        <f>HYPERLINK("http://141.218.60.56/~jnz1568/getInfo.php?workbook=03_02.xlsx&amp;sheet=A0&amp;row=383&amp;col=12&amp;number=2.27e-06&amp;sourceID=30","2.27e-06")</f>
        <v>2.27e-06</v>
      </c>
      <c r="M383" s="4" t="str">
        <f>HYPERLINK("http://141.218.60.56/~jnz1568/getInfo.php?workbook=03_02.xlsx&amp;sheet=A0&amp;row=383&amp;col=13&amp;number=&amp;sourceID=30","")</f>
        <v/>
      </c>
      <c r="N383" s="4" t="str">
        <f>HYPERLINK("http://141.218.60.56/~jnz1568/getInfo.php?workbook=03_02.xlsx&amp;sheet=A0&amp;row=383&amp;col=14&amp;number=&amp;sourceID=30","")</f>
        <v/>
      </c>
    </row>
    <row r="384" spans="1:14">
      <c r="A384" s="3">
        <v>3</v>
      </c>
      <c r="B384" s="3">
        <v>2</v>
      </c>
      <c r="C384" s="3">
        <v>31</v>
      </c>
      <c r="D384" s="3">
        <v>30</v>
      </c>
      <c r="E384" s="3">
        <f>((1/(INDEX(E0!J$4:J$52,C384,1)-INDEX(E0!J$4:J$52,D384,1))))*100000000</f>
        <v>0</v>
      </c>
      <c r="F384" s="4" t="str">
        <f>HYPERLINK("http://141.218.60.56/~jnz1568/getInfo.php?workbook=03_02.xlsx&amp;sheet=A0&amp;row=384&amp;col=6&amp;number=&amp;sourceID=27","")</f>
        <v/>
      </c>
      <c r="G384" s="4" t="str">
        <f>HYPERLINK("http://141.218.60.56/~jnz1568/getInfo.php?workbook=03_02.xlsx&amp;sheet=A0&amp;row=384&amp;col=7&amp;number=&amp;sourceID=15","")</f>
        <v/>
      </c>
      <c r="H384" s="4" t="str">
        <f>HYPERLINK("http://141.218.60.56/~jnz1568/getInfo.php?workbook=03_02.xlsx&amp;sheet=A0&amp;row=384&amp;col=8&amp;number=&amp;sourceID=15","")</f>
        <v/>
      </c>
      <c r="I384" s="4" t="str">
        <f>HYPERLINK("http://141.218.60.56/~jnz1568/getInfo.php?workbook=03_02.xlsx&amp;sheet=A0&amp;row=384&amp;col=9&amp;number=&amp;sourceID=15","")</f>
        <v/>
      </c>
      <c r="J384" s="4" t="str">
        <f>HYPERLINK("http://141.218.60.56/~jnz1568/getInfo.php?workbook=03_02.xlsx&amp;sheet=A0&amp;row=384&amp;col=10&amp;number=&amp;sourceID=15","")</f>
        <v/>
      </c>
      <c r="K384" s="4" t="str">
        <f>HYPERLINK("http://141.218.60.56/~jnz1568/getInfo.php?workbook=03_02.xlsx&amp;sheet=A0&amp;row=384&amp;col=11&amp;number=&amp;sourceID=30","")</f>
        <v/>
      </c>
      <c r="L384" s="4" t="str">
        <f>HYPERLINK("http://141.218.60.56/~jnz1568/getInfo.php?workbook=03_02.xlsx&amp;sheet=A0&amp;row=384&amp;col=12&amp;number=8.411e-06&amp;sourceID=30","8.411e-06")</f>
        <v>8.411e-06</v>
      </c>
      <c r="M384" s="4" t="str">
        <f>HYPERLINK("http://141.218.60.56/~jnz1568/getInfo.php?workbook=03_02.xlsx&amp;sheet=A0&amp;row=384&amp;col=13&amp;number=&amp;sourceID=30","")</f>
        <v/>
      </c>
      <c r="N384" s="4" t="str">
        <f>HYPERLINK("http://141.218.60.56/~jnz1568/getInfo.php?workbook=03_02.xlsx&amp;sheet=A0&amp;row=384&amp;col=14&amp;number=&amp;sourceID=30","")</f>
        <v/>
      </c>
    </row>
    <row r="385" spans="1:14">
      <c r="A385" s="3">
        <v>3</v>
      </c>
      <c r="B385" s="3">
        <v>2</v>
      </c>
      <c r="C385" s="3">
        <v>32</v>
      </c>
      <c r="D385" s="3">
        <v>1</v>
      </c>
      <c r="E385" s="3">
        <f>((1/(INDEX(E0!J$4:J$52,C385,1)-INDEX(E0!J$4:J$52,D385,1))))*100000000</f>
        <v>0</v>
      </c>
      <c r="F385" s="4" t="str">
        <f>HYPERLINK("http://141.218.60.56/~jnz1568/getInfo.php?workbook=03_02.xlsx&amp;sheet=A0&amp;row=385&amp;col=6&amp;number=&amp;sourceID=27","")</f>
        <v/>
      </c>
      <c r="G385" s="4" t="str">
        <f>HYPERLINK("http://141.218.60.56/~jnz1568/getInfo.php?workbook=03_02.xlsx&amp;sheet=A0&amp;row=385&amp;col=7&amp;number=&amp;sourceID=15","")</f>
        <v/>
      </c>
      <c r="H385" s="4" t="str">
        <f>HYPERLINK("http://141.218.60.56/~jnz1568/getInfo.php?workbook=03_02.xlsx&amp;sheet=A0&amp;row=385&amp;col=8&amp;number=&amp;sourceID=15","")</f>
        <v/>
      </c>
      <c r="I385" s="4" t="str">
        <f>HYPERLINK("http://141.218.60.56/~jnz1568/getInfo.php?workbook=03_02.xlsx&amp;sheet=A0&amp;row=385&amp;col=9&amp;number=&amp;sourceID=15","")</f>
        <v/>
      </c>
      <c r="J385" s="4" t="str">
        <f>HYPERLINK("http://141.218.60.56/~jnz1568/getInfo.php?workbook=03_02.xlsx&amp;sheet=A0&amp;row=385&amp;col=10&amp;number=&amp;sourceID=15","")</f>
        <v/>
      </c>
      <c r="K385" s="4" t="str">
        <f>HYPERLINK("http://141.218.60.56/~jnz1568/getInfo.php?workbook=03_02.xlsx&amp;sheet=A0&amp;row=385&amp;col=11&amp;number=&amp;sourceID=30","")</f>
        <v/>
      </c>
      <c r="L385" s="4" t="str">
        <f>HYPERLINK("http://141.218.60.56/~jnz1568/getInfo.php?workbook=03_02.xlsx&amp;sheet=A0&amp;row=385&amp;col=12&amp;number=&amp;sourceID=30","")</f>
        <v/>
      </c>
      <c r="M385" s="4" t="str">
        <f>HYPERLINK("http://141.218.60.56/~jnz1568/getInfo.php?workbook=03_02.xlsx&amp;sheet=A0&amp;row=385&amp;col=13&amp;number=0.3078&amp;sourceID=30","0.3078")</f>
        <v>0.3078</v>
      </c>
      <c r="N385" s="4" t="str">
        <f>HYPERLINK("http://141.218.60.56/~jnz1568/getInfo.php?workbook=03_02.xlsx&amp;sheet=A0&amp;row=385&amp;col=14&amp;number=&amp;sourceID=30","")</f>
        <v/>
      </c>
    </row>
    <row r="386" spans="1:14">
      <c r="A386" s="3">
        <v>3</v>
      </c>
      <c r="B386" s="3">
        <v>2</v>
      </c>
      <c r="C386" s="3">
        <v>32</v>
      </c>
      <c r="D386" s="3">
        <v>2</v>
      </c>
      <c r="E386" s="3">
        <f>((1/(INDEX(E0!J$4:J$52,C386,1)-INDEX(E0!J$4:J$52,D386,1))))*100000000</f>
        <v>0</v>
      </c>
      <c r="F386" s="4" t="str">
        <f>HYPERLINK("http://141.218.60.56/~jnz1568/getInfo.php?workbook=03_02.xlsx&amp;sheet=A0&amp;row=386&amp;col=6&amp;number=&amp;sourceID=27","")</f>
        <v/>
      </c>
      <c r="G386" s="4" t="str">
        <f>HYPERLINK("http://141.218.60.56/~jnz1568/getInfo.php?workbook=03_02.xlsx&amp;sheet=A0&amp;row=386&amp;col=7&amp;number=&amp;sourceID=15","")</f>
        <v/>
      </c>
      <c r="H386" s="4" t="str">
        <f>HYPERLINK("http://141.218.60.56/~jnz1568/getInfo.php?workbook=03_02.xlsx&amp;sheet=A0&amp;row=386&amp;col=8&amp;number=&amp;sourceID=15","")</f>
        <v/>
      </c>
      <c r="I386" s="4" t="str">
        <f>HYPERLINK("http://141.218.60.56/~jnz1568/getInfo.php?workbook=03_02.xlsx&amp;sheet=A0&amp;row=386&amp;col=9&amp;number=&amp;sourceID=15","")</f>
        <v/>
      </c>
      <c r="J386" s="4" t="str">
        <f>HYPERLINK("http://141.218.60.56/~jnz1568/getInfo.php?workbook=03_02.xlsx&amp;sheet=A0&amp;row=386&amp;col=10&amp;number=&amp;sourceID=15","")</f>
        <v/>
      </c>
      <c r="K386" s="4" t="str">
        <f>HYPERLINK("http://141.218.60.56/~jnz1568/getInfo.php?workbook=03_02.xlsx&amp;sheet=A0&amp;row=386&amp;col=11&amp;number=&amp;sourceID=30","")</f>
        <v/>
      </c>
      <c r="L386" s="4" t="str">
        <f>HYPERLINK("http://141.218.60.56/~jnz1568/getInfo.php?workbook=03_02.xlsx&amp;sheet=A0&amp;row=386&amp;col=12&amp;number=6.397e-05&amp;sourceID=30","6.397e-05")</f>
        <v>6.397e-05</v>
      </c>
      <c r="M386" s="4" t="str">
        <f>HYPERLINK("http://141.218.60.56/~jnz1568/getInfo.php?workbook=03_02.xlsx&amp;sheet=A0&amp;row=386&amp;col=13&amp;number=3.85e-06&amp;sourceID=30","3.85e-06")</f>
        <v>3.85e-06</v>
      </c>
      <c r="N386" s="4" t="str">
        <f>HYPERLINK("http://141.218.60.56/~jnz1568/getInfo.php?workbook=03_02.xlsx&amp;sheet=A0&amp;row=386&amp;col=14&amp;number=&amp;sourceID=30","")</f>
        <v/>
      </c>
    </row>
    <row r="387" spans="1:14">
      <c r="A387" s="3">
        <v>3</v>
      </c>
      <c r="B387" s="3">
        <v>2</v>
      </c>
      <c r="C387" s="3">
        <v>32</v>
      </c>
      <c r="D387" s="3">
        <v>3</v>
      </c>
      <c r="E387" s="3">
        <f>((1/(INDEX(E0!J$4:J$52,C387,1)-INDEX(E0!J$4:J$52,D387,1))))*100000000</f>
        <v>0</v>
      </c>
      <c r="F387" s="4" t="str">
        <f>HYPERLINK("http://141.218.60.56/~jnz1568/getInfo.php?workbook=03_02.xlsx&amp;sheet=A0&amp;row=387&amp;col=6&amp;number=&amp;sourceID=27","")</f>
        <v/>
      </c>
      <c r="G387" s="4" t="str">
        <f>HYPERLINK("http://141.218.60.56/~jnz1568/getInfo.php?workbook=03_02.xlsx&amp;sheet=A0&amp;row=387&amp;col=7&amp;number=&amp;sourceID=15","")</f>
        <v/>
      </c>
      <c r="H387" s="4" t="str">
        <f>HYPERLINK("http://141.218.60.56/~jnz1568/getInfo.php?workbook=03_02.xlsx&amp;sheet=A0&amp;row=387&amp;col=8&amp;number=&amp;sourceID=15","")</f>
        <v/>
      </c>
      <c r="I387" s="4" t="str">
        <f>HYPERLINK("http://141.218.60.56/~jnz1568/getInfo.php?workbook=03_02.xlsx&amp;sheet=A0&amp;row=387&amp;col=9&amp;number=&amp;sourceID=15","")</f>
        <v/>
      </c>
      <c r="J387" s="4" t="str">
        <f>HYPERLINK("http://141.218.60.56/~jnz1568/getInfo.php?workbook=03_02.xlsx&amp;sheet=A0&amp;row=387&amp;col=10&amp;number=&amp;sourceID=15","")</f>
        <v/>
      </c>
      <c r="K387" s="4" t="str">
        <f>HYPERLINK("http://141.218.60.56/~jnz1568/getInfo.php?workbook=03_02.xlsx&amp;sheet=A0&amp;row=387&amp;col=11&amp;number=&amp;sourceID=30","")</f>
        <v/>
      </c>
      <c r="L387" s="4" t="str">
        <f>HYPERLINK("http://141.218.60.56/~jnz1568/getInfo.php?workbook=03_02.xlsx&amp;sheet=A0&amp;row=387&amp;col=12&amp;number=&amp;sourceID=30","")</f>
        <v/>
      </c>
      <c r="M387" s="4" t="str">
        <f>HYPERLINK("http://141.218.60.56/~jnz1568/getInfo.php?workbook=03_02.xlsx&amp;sheet=A0&amp;row=387&amp;col=13&amp;number=3.467e-09&amp;sourceID=30","3.467e-09")</f>
        <v>3.467e-09</v>
      </c>
      <c r="N387" s="4" t="str">
        <f>HYPERLINK("http://141.218.60.56/~jnz1568/getInfo.php?workbook=03_02.xlsx&amp;sheet=A0&amp;row=387&amp;col=14&amp;number=&amp;sourceID=30","")</f>
        <v/>
      </c>
    </row>
    <row r="388" spans="1:14">
      <c r="A388" s="3">
        <v>3</v>
      </c>
      <c r="B388" s="3">
        <v>2</v>
      </c>
      <c r="C388" s="3">
        <v>32</v>
      </c>
      <c r="D388" s="3">
        <v>4</v>
      </c>
      <c r="E388" s="3">
        <f>((1/(INDEX(E0!J$4:J$52,C388,1)-INDEX(E0!J$4:J$52,D388,1))))*100000000</f>
        <v>0</v>
      </c>
      <c r="F388" s="4" t="str">
        <f>HYPERLINK("http://141.218.60.56/~jnz1568/getInfo.php?workbook=03_02.xlsx&amp;sheet=A0&amp;row=388&amp;col=6&amp;number=&amp;sourceID=27","")</f>
        <v/>
      </c>
      <c r="G388" s="4" t="str">
        <f>HYPERLINK("http://141.218.60.56/~jnz1568/getInfo.php?workbook=03_02.xlsx&amp;sheet=A0&amp;row=388&amp;col=7&amp;number=16841000&amp;sourceID=15","16841000")</f>
        <v>16841000</v>
      </c>
      <c r="H388" s="4" t="str">
        <f>HYPERLINK("http://141.218.60.56/~jnz1568/getInfo.php?workbook=03_02.xlsx&amp;sheet=A0&amp;row=388&amp;col=8&amp;number=&amp;sourceID=15","")</f>
        <v/>
      </c>
      <c r="I388" s="4" t="str">
        <f>HYPERLINK("http://141.218.60.56/~jnz1568/getInfo.php?workbook=03_02.xlsx&amp;sheet=A0&amp;row=388&amp;col=9&amp;number=&amp;sourceID=15","")</f>
        <v/>
      </c>
      <c r="J388" s="4" t="str">
        <f>HYPERLINK("http://141.218.60.56/~jnz1568/getInfo.php?workbook=03_02.xlsx&amp;sheet=A0&amp;row=388&amp;col=10&amp;number=&amp;sourceID=15","")</f>
        <v/>
      </c>
      <c r="K388" s="4" t="str">
        <f>HYPERLINK("http://141.218.60.56/~jnz1568/getInfo.php?workbook=03_02.xlsx&amp;sheet=A0&amp;row=388&amp;col=11&amp;number=8407000&amp;sourceID=30","8407000")</f>
        <v>8407000</v>
      </c>
      <c r="L388" s="4" t="str">
        <f>HYPERLINK("http://141.218.60.56/~jnz1568/getInfo.php?workbook=03_02.xlsx&amp;sheet=A0&amp;row=388&amp;col=12&amp;number=&amp;sourceID=30","")</f>
        <v/>
      </c>
      <c r="M388" s="4" t="str">
        <f>HYPERLINK("http://141.218.60.56/~jnz1568/getInfo.php?workbook=03_02.xlsx&amp;sheet=A0&amp;row=388&amp;col=13&amp;number=&amp;sourceID=30","")</f>
        <v/>
      </c>
      <c r="N388" s="4" t="str">
        <f>HYPERLINK("http://141.218.60.56/~jnz1568/getInfo.php?workbook=03_02.xlsx&amp;sheet=A0&amp;row=388&amp;col=14&amp;number=0.0002847&amp;sourceID=30","0.0002847")</f>
        <v>0.0002847</v>
      </c>
    </row>
    <row r="389" spans="1:14">
      <c r="A389" s="3">
        <v>3</v>
      </c>
      <c r="B389" s="3">
        <v>2</v>
      </c>
      <c r="C389" s="3">
        <v>32</v>
      </c>
      <c r="D389" s="3">
        <v>5</v>
      </c>
      <c r="E389" s="3">
        <f>((1/(INDEX(E0!J$4:J$52,C389,1)-INDEX(E0!J$4:J$52,D389,1))))*100000000</f>
        <v>0</v>
      </c>
      <c r="F389" s="4" t="str">
        <f>HYPERLINK("http://141.218.60.56/~jnz1568/getInfo.php?workbook=03_02.xlsx&amp;sheet=A0&amp;row=389&amp;col=6&amp;number=&amp;sourceID=27","")</f>
        <v/>
      </c>
      <c r="G389" s="4" t="str">
        <f>HYPERLINK("http://141.218.60.56/~jnz1568/getInfo.php?workbook=03_02.xlsx&amp;sheet=A0&amp;row=389&amp;col=7&amp;number=28069000&amp;sourceID=15","28069000")</f>
        <v>28069000</v>
      </c>
      <c r="H389" s="4" t="str">
        <f>HYPERLINK("http://141.218.60.56/~jnz1568/getInfo.php?workbook=03_02.xlsx&amp;sheet=A0&amp;row=389&amp;col=8&amp;number=&amp;sourceID=15","")</f>
        <v/>
      </c>
      <c r="I389" s="4" t="str">
        <f>HYPERLINK("http://141.218.60.56/~jnz1568/getInfo.php?workbook=03_02.xlsx&amp;sheet=A0&amp;row=389&amp;col=9&amp;number=&amp;sourceID=15","")</f>
        <v/>
      </c>
      <c r="J389" s="4" t="str">
        <f>HYPERLINK("http://141.218.60.56/~jnz1568/getInfo.php?workbook=03_02.xlsx&amp;sheet=A0&amp;row=389&amp;col=10&amp;number=&amp;sourceID=15","")</f>
        <v/>
      </c>
      <c r="K389" s="4" t="str">
        <f>HYPERLINK("http://141.218.60.56/~jnz1568/getInfo.php?workbook=03_02.xlsx&amp;sheet=A0&amp;row=389&amp;col=11&amp;number=14000000&amp;sourceID=30","14000000")</f>
        <v>14000000</v>
      </c>
      <c r="L389" s="4" t="str">
        <f>HYPERLINK("http://141.218.60.56/~jnz1568/getInfo.php?workbook=03_02.xlsx&amp;sheet=A0&amp;row=389&amp;col=12&amp;number=&amp;sourceID=30","")</f>
        <v/>
      </c>
      <c r="M389" s="4" t="str">
        <f>HYPERLINK("http://141.218.60.56/~jnz1568/getInfo.php?workbook=03_02.xlsx&amp;sheet=A0&amp;row=389&amp;col=13&amp;number=&amp;sourceID=30","")</f>
        <v/>
      </c>
      <c r="N389" s="4" t="str">
        <f>HYPERLINK("http://141.218.60.56/~jnz1568/getInfo.php?workbook=03_02.xlsx&amp;sheet=A0&amp;row=389&amp;col=14&amp;number=0.0008565&amp;sourceID=30","0.0008565")</f>
        <v>0.0008565</v>
      </c>
    </row>
    <row r="390" spans="1:14">
      <c r="A390" s="3">
        <v>3</v>
      </c>
      <c r="B390" s="3">
        <v>2</v>
      </c>
      <c r="C390" s="3">
        <v>32</v>
      </c>
      <c r="D390" s="3">
        <v>6</v>
      </c>
      <c r="E390" s="3">
        <f>((1/(INDEX(E0!J$4:J$52,C390,1)-INDEX(E0!J$4:J$52,D390,1))))*100000000</f>
        <v>0</v>
      </c>
      <c r="F390" s="4" t="str">
        <f>HYPERLINK("http://141.218.60.56/~jnz1568/getInfo.php?workbook=03_02.xlsx&amp;sheet=A0&amp;row=390&amp;col=6&amp;number=&amp;sourceID=27","")</f>
        <v/>
      </c>
      <c r="G390" s="4" t="str">
        <f>HYPERLINK("http://141.218.60.56/~jnz1568/getInfo.php?workbook=03_02.xlsx&amp;sheet=A0&amp;row=390&amp;col=7&amp;number=5613700&amp;sourceID=15","5613700")</f>
        <v>5613700</v>
      </c>
      <c r="H390" s="4" t="str">
        <f>HYPERLINK("http://141.218.60.56/~jnz1568/getInfo.php?workbook=03_02.xlsx&amp;sheet=A0&amp;row=390&amp;col=8&amp;number=&amp;sourceID=15","")</f>
        <v/>
      </c>
      <c r="I390" s="4" t="str">
        <f>HYPERLINK("http://141.218.60.56/~jnz1568/getInfo.php?workbook=03_02.xlsx&amp;sheet=A0&amp;row=390&amp;col=9&amp;number=&amp;sourceID=15","")</f>
        <v/>
      </c>
      <c r="J390" s="4" t="str">
        <f>HYPERLINK("http://141.218.60.56/~jnz1568/getInfo.php?workbook=03_02.xlsx&amp;sheet=A0&amp;row=390&amp;col=10&amp;number=&amp;sourceID=15","")</f>
        <v/>
      </c>
      <c r="K390" s="4" t="str">
        <f>HYPERLINK("http://141.218.60.56/~jnz1568/getInfo.php?workbook=03_02.xlsx&amp;sheet=A0&amp;row=390&amp;col=11&amp;number=2809000&amp;sourceID=30","2809000")</f>
        <v>2809000</v>
      </c>
      <c r="L390" s="4" t="str">
        <f>HYPERLINK("http://141.218.60.56/~jnz1568/getInfo.php?workbook=03_02.xlsx&amp;sheet=A0&amp;row=390&amp;col=12&amp;number=&amp;sourceID=30","")</f>
        <v/>
      </c>
      <c r="M390" s="4" t="str">
        <f>HYPERLINK("http://141.218.60.56/~jnz1568/getInfo.php?workbook=03_02.xlsx&amp;sheet=A0&amp;row=390&amp;col=13&amp;number=&amp;sourceID=30","")</f>
        <v/>
      </c>
      <c r="N390" s="4" t="str">
        <f>HYPERLINK("http://141.218.60.56/~jnz1568/getInfo.php?workbook=03_02.xlsx&amp;sheet=A0&amp;row=390&amp;col=14&amp;number=&amp;sourceID=30","")</f>
        <v/>
      </c>
    </row>
    <row r="391" spans="1:14">
      <c r="A391" s="3">
        <v>3</v>
      </c>
      <c r="B391" s="3">
        <v>2</v>
      </c>
      <c r="C391" s="3">
        <v>32</v>
      </c>
      <c r="D391" s="3">
        <v>7</v>
      </c>
      <c r="E391" s="3">
        <f>((1/(INDEX(E0!J$4:J$52,C391,1)-INDEX(E0!J$4:J$52,D391,1))))*100000000</f>
        <v>0</v>
      </c>
      <c r="F391" s="4" t="str">
        <f>HYPERLINK("http://141.218.60.56/~jnz1568/getInfo.php?workbook=03_02.xlsx&amp;sheet=A0&amp;row=391&amp;col=6&amp;number=&amp;sourceID=27","")</f>
        <v/>
      </c>
      <c r="G391" s="4" t="str">
        <f>HYPERLINK("http://141.218.60.56/~jnz1568/getInfo.php?workbook=03_02.xlsx&amp;sheet=A0&amp;row=391&amp;col=7&amp;number=&amp;sourceID=15","")</f>
        <v/>
      </c>
      <c r="H391" s="4" t="str">
        <f>HYPERLINK("http://141.218.60.56/~jnz1568/getInfo.php?workbook=03_02.xlsx&amp;sheet=A0&amp;row=391&amp;col=8&amp;number=&amp;sourceID=15","")</f>
        <v/>
      </c>
      <c r="I391" s="4" t="str">
        <f>HYPERLINK("http://141.218.60.56/~jnz1568/getInfo.php?workbook=03_02.xlsx&amp;sheet=A0&amp;row=391&amp;col=9&amp;number=&amp;sourceID=15","")</f>
        <v/>
      </c>
      <c r="J391" s="4" t="str">
        <f>HYPERLINK("http://141.218.60.56/~jnz1568/getInfo.php?workbook=03_02.xlsx&amp;sheet=A0&amp;row=391&amp;col=10&amp;number=&amp;sourceID=15","")</f>
        <v/>
      </c>
      <c r="K391" s="4" t="str">
        <f>HYPERLINK("http://141.218.60.56/~jnz1568/getInfo.php?workbook=03_02.xlsx&amp;sheet=A0&amp;row=391&amp;col=11&amp;number=8.566&amp;sourceID=30","8.566")</f>
        <v>8.566</v>
      </c>
      <c r="L391" s="4" t="str">
        <f>HYPERLINK("http://141.218.60.56/~jnz1568/getInfo.php?workbook=03_02.xlsx&amp;sheet=A0&amp;row=391&amp;col=12&amp;number=&amp;sourceID=30","")</f>
        <v/>
      </c>
      <c r="M391" s="4" t="str">
        <f>HYPERLINK("http://141.218.60.56/~jnz1568/getInfo.php?workbook=03_02.xlsx&amp;sheet=A0&amp;row=391&amp;col=13&amp;number=&amp;sourceID=30","")</f>
        <v/>
      </c>
      <c r="N391" s="4" t="str">
        <f>HYPERLINK("http://141.218.60.56/~jnz1568/getInfo.php?workbook=03_02.xlsx&amp;sheet=A0&amp;row=391&amp;col=14&amp;number=0.002666&amp;sourceID=30","0.002666")</f>
        <v>0.002666</v>
      </c>
    </row>
    <row r="392" spans="1:14">
      <c r="A392" s="3">
        <v>3</v>
      </c>
      <c r="B392" s="3">
        <v>2</v>
      </c>
      <c r="C392" s="3">
        <v>32</v>
      </c>
      <c r="D392" s="3">
        <v>8</v>
      </c>
      <c r="E392" s="3">
        <f>((1/(INDEX(E0!J$4:J$52,C392,1)-INDEX(E0!J$4:J$52,D392,1))))*100000000</f>
        <v>0</v>
      </c>
      <c r="F392" s="4" t="str">
        <f>HYPERLINK("http://141.218.60.56/~jnz1568/getInfo.php?workbook=03_02.xlsx&amp;sheet=A0&amp;row=392&amp;col=6&amp;number=&amp;sourceID=27","")</f>
        <v/>
      </c>
      <c r="G392" s="4" t="str">
        <f>HYPERLINK("http://141.218.60.56/~jnz1568/getInfo.php?workbook=03_02.xlsx&amp;sheet=A0&amp;row=392&amp;col=7&amp;number=&amp;sourceID=15","")</f>
        <v/>
      </c>
      <c r="H392" s="4" t="str">
        <f>HYPERLINK("http://141.218.60.56/~jnz1568/getInfo.php?workbook=03_02.xlsx&amp;sheet=A0&amp;row=392&amp;col=8&amp;number=&amp;sourceID=15","")</f>
        <v/>
      </c>
      <c r="I392" s="4" t="str">
        <f>HYPERLINK("http://141.218.60.56/~jnz1568/getInfo.php?workbook=03_02.xlsx&amp;sheet=A0&amp;row=392&amp;col=9&amp;number=&amp;sourceID=15","")</f>
        <v/>
      </c>
      <c r="J392" s="4" t="str">
        <f>HYPERLINK("http://141.218.60.56/~jnz1568/getInfo.php?workbook=03_02.xlsx&amp;sheet=A0&amp;row=392&amp;col=10&amp;number=&amp;sourceID=15","")</f>
        <v/>
      </c>
      <c r="K392" s="4" t="str">
        <f>HYPERLINK("http://141.218.60.56/~jnz1568/getInfo.php?workbook=03_02.xlsx&amp;sheet=A0&amp;row=392&amp;col=11&amp;number=&amp;sourceID=30","")</f>
        <v/>
      </c>
      <c r="L392" s="4" t="str">
        <f>HYPERLINK("http://141.218.60.56/~jnz1568/getInfo.php?workbook=03_02.xlsx&amp;sheet=A0&amp;row=392&amp;col=12&amp;number=1.031e-07&amp;sourceID=30","1.031e-07")</f>
        <v>1.031e-07</v>
      </c>
      <c r="M392" s="4" t="str">
        <f>HYPERLINK("http://141.218.60.56/~jnz1568/getInfo.php?workbook=03_02.xlsx&amp;sheet=A0&amp;row=392&amp;col=13&amp;number=2.8e-08&amp;sourceID=30","2.8e-08")</f>
        <v>2.8e-08</v>
      </c>
      <c r="N392" s="4" t="str">
        <f>HYPERLINK("http://141.218.60.56/~jnz1568/getInfo.php?workbook=03_02.xlsx&amp;sheet=A0&amp;row=392&amp;col=14&amp;number=&amp;sourceID=30","")</f>
        <v/>
      </c>
    </row>
    <row r="393" spans="1:14">
      <c r="A393" s="3">
        <v>3</v>
      </c>
      <c r="B393" s="3">
        <v>2</v>
      </c>
      <c r="C393" s="3">
        <v>32</v>
      </c>
      <c r="D393" s="3">
        <v>9</v>
      </c>
      <c r="E393" s="3">
        <f>((1/(INDEX(E0!J$4:J$52,C393,1)-INDEX(E0!J$4:J$52,D393,1))))*100000000</f>
        <v>0</v>
      </c>
      <c r="F393" s="4" t="str">
        <f>HYPERLINK("http://141.218.60.56/~jnz1568/getInfo.php?workbook=03_02.xlsx&amp;sheet=A0&amp;row=393&amp;col=6&amp;number=&amp;sourceID=27","")</f>
        <v/>
      </c>
      <c r="G393" s="4" t="str">
        <f>HYPERLINK("http://141.218.60.56/~jnz1568/getInfo.php?workbook=03_02.xlsx&amp;sheet=A0&amp;row=393&amp;col=7&amp;number=&amp;sourceID=15","")</f>
        <v/>
      </c>
      <c r="H393" s="4" t="str">
        <f>HYPERLINK("http://141.218.60.56/~jnz1568/getInfo.php?workbook=03_02.xlsx&amp;sheet=A0&amp;row=393&amp;col=8&amp;number=&amp;sourceID=15","")</f>
        <v/>
      </c>
      <c r="I393" s="4" t="str">
        <f>HYPERLINK("http://141.218.60.56/~jnz1568/getInfo.php?workbook=03_02.xlsx&amp;sheet=A0&amp;row=393&amp;col=9&amp;number=&amp;sourceID=15","")</f>
        <v/>
      </c>
      <c r="J393" s="4" t="str">
        <f>HYPERLINK("http://141.218.60.56/~jnz1568/getInfo.php?workbook=03_02.xlsx&amp;sheet=A0&amp;row=393&amp;col=10&amp;number=&amp;sourceID=15","")</f>
        <v/>
      </c>
      <c r="K393" s="4" t="str">
        <f>HYPERLINK("http://141.218.60.56/~jnz1568/getInfo.php?workbook=03_02.xlsx&amp;sheet=A0&amp;row=393&amp;col=11&amp;number=&amp;sourceID=30","")</f>
        <v/>
      </c>
      <c r="L393" s="4" t="str">
        <f>HYPERLINK("http://141.218.60.56/~jnz1568/getInfo.php?workbook=03_02.xlsx&amp;sheet=A0&amp;row=393&amp;col=12&amp;number=&amp;sourceID=30","")</f>
        <v/>
      </c>
      <c r="M393" s="4" t="str">
        <f>HYPERLINK("http://141.218.60.56/~jnz1568/getInfo.php?workbook=03_02.xlsx&amp;sheet=A0&amp;row=393&amp;col=13&amp;number=1.485e-07&amp;sourceID=30","1.485e-07")</f>
        <v>1.485e-07</v>
      </c>
      <c r="N393" s="4" t="str">
        <f>HYPERLINK("http://141.218.60.56/~jnz1568/getInfo.php?workbook=03_02.xlsx&amp;sheet=A0&amp;row=393&amp;col=14&amp;number=&amp;sourceID=30","")</f>
        <v/>
      </c>
    </row>
    <row r="394" spans="1:14">
      <c r="A394" s="3">
        <v>3</v>
      </c>
      <c r="B394" s="3">
        <v>2</v>
      </c>
      <c r="C394" s="3">
        <v>32</v>
      </c>
      <c r="D394" s="3">
        <v>10</v>
      </c>
      <c r="E394" s="3">
        <f>((1/(INDEX(E0!J$4:J$52,C394,1)-INDEX(E0!J$4:J$52,D394,1))))*100000000</f>
        <v>0</v>
      </c>
      <c r="F394" s="4" t="str">
        <f>HYPERLINK("http://141.218.60.56/~jnz1568/getInfo.php?workbook=03_02.xlsx&amp;sheet=A0&amp;row=394&amp;col=6&amp;number=&amp;sourceID=27","")</f>
        <v/>
      </c>
      <c r="G394" s="4" t="str">
        <f>HYPERLINK("http://141.218.60.56/~jnz1568/getInfo.php?workbook=03_02.xlsx&amp;sheet=A0&amp;row=394&amp;col=7&amp;number=10710000&amp;sourceID=15","10710000")</f>
        <v>10710000</v>
      </c>
      <c r="H394" s="4" t="str">
        <f>HYPERLINK("http://141.218.60.56/~jnz1568/getInfo.php?workbook=03_02.xlsx&amp;sheet=A0&amp;row=394&amp;col=8&amp;number=&amp;sourceID=15","")</f>
        <v/>
      </c>
      <c r="I394" s="4" t="str">
        <f>HYPERLINK("http://141.218.60.56/~jnz1568/getInfo.php?workbook=03_02.xlsx&amp;sheet=A0&amp;row=394&amp;col=9&amp;number=&amp;sourceID=15","")</f>
        <v/>
      </c>
      <c r="J394" s="4" t="str">
        <f>HYPERLINK("http://141.218.60.56/~jnz1568/getInfo.php?workbook=03_02.xlsx&amp;sheet=A0&amp;row=394&amp;col=10&amp;number=&amp;sourceID=15","")</f>
        <v/>
      </c>
      <c r="K394" s="4" t="str">
        <f>HYPERLINK("http://141.218.60.56/~jnz1568/getInfo.php?workbook=03_02.xlsx&amp;sheet=A0&amp;row=394&amp;col=11&amp;number=8708000&amp;sourceID=30","8708000")</f>
        <v>8708000</v>
      </c>
      <c r="L394" s="4" t="str">
        <f>HYPERLINK("http://141.218.60.56/~jnz1568/getInfo.php?workbook=03_02.xlsx&amp;sheet=A0&amp;row=394&amp;col=12&amp;number=&amp;sourceID=30","")</f>
        <v/>
      </c>
      <c r="M394" s="4" t="str">
        <f>HYPERLINK("http://141.218.60.56/~jnz1568/getInfo.php?workbook=03_02.xlsx&amp;sheet=A0&amp;row=394&amp;col=13&amp;number=&amp;sourceID=30","")</f>
        <v/>
      </c>
      <c r="N394" s="4" t="str">
        <f>HYPERLINK("http://141.218.60.56/~jnz1568/getInfo.php?workbook=03_02.xlsx&amp;sheet=A0&amp;row=394&amp;col=14&amp;number=3.17e-05&amp;sourceID=30","3.17e-05")</f>
        <v>3.17e-05</v>
      </c>
    </row>
    <row r="395" spans="1:14">
      <c r="A395" s="3">
        <v>3</v>
      </c>
      <c r="B395" s="3">
        <v>2</v>
      </c>
      <c r="C395" s="3">
        <v>32</v>
      </c>
      <c r="D395" s="3">
        <v>11</v>
      </c>
      <c r="E395" s="3">
        <f>((1/(INDEX(E0!J$4:J$52,C395,1)-INDEX(E0!J$4:J$52,D395,1))))*100000000</f>
        <v>0</v>
      </c>
      <c r="F395" s="4" t="str">
        <f>HYPERLINK("http://141.218.60.56/~jnz1568/getInfo.php?workbook=03_02.xlsx&amp;sheet=A0&amp;row=395&amp;col=6&amp;number=&amp;sourceID=27","")</f>
        <v/>
      </c>
      <c r="G395" s="4" t="str">
        <f>HYPERLINK("http://141.218.60.56/~jnz1568/getInfo.php?workbook=03_02.xlsx&amp;sheet=A0&amp;row=395&amp;col=7&amp;number=17849000&amp;sourceID=15","17849000")</f>
        <v>17849000</v>
      </c>
      <c r="H395" s="4" t="str">
        <f>HYPERLINK("http://141.218.60.56/~jnz1568/getInfo.php?workbook=03_02.xlsx&amp;sheet=A0&amp;row=395&amp;col=8&amp;number=&amp;sourceID=15","")</f>
        <v/>
      </c>
      <c r="I395" s="4" t="str">
        <f>HYPERLINK("http://141.218.60.56/~jnz1568/getInfo.php?workbook=03_02.xlsx&amp;sheet=A0&amp;row=395&amp;col=9&amp;number=&amp;sourceID=15","")</f>
        <v/>
      </c>
      <c r="J395" s="4" t="str">
        <f>HYPERLINK("http://141.218.60.56/~jnz1568/getInfo.php?workbook=03_02.xlsx&amp;sheet=A0&amp;row=395&amp;col=10&amp;number=&amp;sourceID=15","")</f>
        <v/>
      </c>
      <c r="K395" s="4" t="str">
        <f>HYPERLINK("http://141.218.60.56/~jnz1568/getInfo.php?workbook=03_02.xlsx&amp;sheet=A0&amp;row=395&amp;col=11&amp;number=14510000&amp;sourceID=30","14510000")</f>
        <v>14510000</v>
      </c>
      <c r="L395" s="4" t="str">
        <f>HYPERLINK("http://141.218.60.56/~jnz1568/getInfo.php?workbook=03_02.xlsx&amp;sheet=A0&amp;row=395&amp;col=12&amp;number=&amp;sourceID=30","")</f>
        <v/>
      </c>
      <c r="M395" s="4" t="str">
        <f>HYPERLINK("http://141.218.60.56/~jnz1568/getInfo.php?workbook=03_02.xlsx&amp;sheet=A0&amp;row=395&amp;col=13&amp;number=&amp;sourceID=30","")</f>
        <v/>
      </c>
      <c r="N395" s="4" t="str">
        <f>HYPERLINK("http://141.218.60.56/~jnz1568/getInfo.php?workbook=03_02.xlsx&amp;sheet=A0&amp;row=395&amp;col=14&amp;number=9.531e-05&amp;sourceID=30","9.531e-05")</f>
        <v>9.531e-05</v>
      </c>
    </row>
    <row r="396" spans="1:14">
      <c r="A396" s="3">
        <v>3</v>
      </c>
      <c r="B396" s="3">
        <v>2</v>
      </c>
      <c r="C396" s="3">
        <v>32</v>
      </c>
      <c r="D396" s="3">
        <v>12</v>
      </c>
      <c r="E396" s="3">
        <f>((1/(INDEX(E0!J$4:J$52,C396,1)-INDEX(E0!J$4:J$52,D396,1))))*100000000</f>
        <v>0</v>
      </c>
      <c r="F396" s="4" t="str">
        <f>HYPERLINK("http://141.218.60.56/~jnz1568/getInfo.php?workbook=03_02.xlsx&amp;sheet=A0&amp;row=396&amp;col=6&amp;number=&amp;sourceID=27","")</f>
        <v/>
      </c>
      <c r="G396" s="4" t="str">
        <f>HYPERLINK("http://141.218.60.56/~jnz1568/getInfo.php?workbook=03_02.xlsx&amp;sheet=A0&amp;row=396&amp;col=7&amp;number=3569900&amp;sourceID=15","3569900")</f>
        <v>3569900</v>
      </c>
      <c r="H396" s="4" t="str">
        <f>HYPERLINK("http://141.218.60.56/~jnz1568/getInfo.php?workbook=03_02.xlsx&amp;sheet=A0&amp;row=396&amp;col=8&amp;number=&amp;sourceID=15","")</f>
        <v/>
      </c>
      <c r="I396" s="4" t="str">
        <f>HYPERLINK("http://141.218.60.56/~jnz1568/getInfo.php?workbook=03_02.xlsx&amp;sheet=A0&amp;row=396&amp;col=9&amp;number=&amp;sourceID=15","")</f>
        <v/>
      </c>
      <c r="J396" s="4" t="str">
        <f>HYPERLINK("http://141.218.60.56/~jnz1568/getInfo.php?workbook=03_02.xlsx&amp;sheet=A0&amp;row=396&amp;col=10&amp;number=&amp;sourceID=15","")</f>
        <v/>
      </c>
      <c r="K396" s="4" t="str">
        <f>HYPERLINK("http://141.218.60.56/~jnz1568/getInfo.php?workbook=03_02.xlsx&amp;sheet=A0&amp;row=396&amp;col=11&amp;number=2905000&amp;sourceID=30","2905000")</f>
        <v>2905000</v>
      </c>
      <c r="L396" s="4" t="str">
        <f>HYPERLINK("http://141.218.60.56/~jnz1568/getInfo.php?workbook=03_02.xlsx&amp;sheet=A0&amp;row=396&amp;col=12&amp;number=&amp;sourceID=30","")</f>
        <v/>
      </c>
      <c r="M396" s="4" t="str">
        <f>HYPERLINK("http://141.218.60.56/~jnz1568/getInfo.php?workbook=03_02.xlsx&amp;sheet=A0&amp;row=396&amp;col=13&amp;number=&amp;sourceID=30","")</f>
        <v/>
      </c>
      <c r="N396" s="4" t="str">
        <f>HYPERLINK("http://141.218.60.56/~jnz1568/getInfo.php?workbook=03_02.xlsx&amp;sheet=A0&amp;row=396&amp;col=14&amp;number=&amp;sourceID=30","")</f>
        <v/>
      </c>
    </row>
    <row r="397" spans="1:14">
      <c r="A397" s="3">
        <v>3</v>
      </c>
      <c r="B397" s="3">
        <v>2</v>
      </c>
      <c r="C397" s="3">
        <v>32</v>
      </c>
      <c r="D397" s="3">
        <v>13</v>
      </c>
      <c r="E397" s="3">
        <f>((1/(INDEX(E0!J$4:J$52,C397,1)-INDEX(E0!J$4:J$52,D397,1))))*100000000</f>
        <v>0</v>
      </c>
      <c r="F397" s="4" t="str">
        <f>HYPERLINK("http://141.218.60.56/~jnz1568/getInfo.php?workbook=03_02.xlsx&amp;sheet=A0&amp;row=397&amp;col=6&amp;number=&amp;sourceID=27","")</f>
        <v/>
      </c>
      <c r="G397" s="4" t="str">
        <f>HYPERLINK("http://141.218.60.56/~jnz1568/getInfo.php?workbook=03_02.xlsx&amp;sheet=A0&amp;row=397&amp;col=7&amp;number=&amp;sourceID=15","")</f>
        <v/>
      </c>
      <c r="H397" s="4" t="str">
        <f>HYPERLINK("http://141.218.60.56/~jnz1568/getInfo.php?workbook=03_02.xlsx&amp;sheet=A0&amp;row=397&amp;col=8&amp;number=&amp;sourceID=15","")</f>
        <v/>
      </c>
      <c r="I397" s="4" t="str">
        <f>HYPERLINK("http://141.218.60.56/~jnz1568/getInfo.php?workbook=03_02.xlsx&amp;sheet=A0&amp;row=397&amp;col=9&amp;number=&amp;sourceID=15","")</f>
        <v/>
      </c>
      <c r="J397" s="4" t="str">
        <f>HYPERLINK("http://141.218.60.56/~jnz1568/getInfo.php?workbook=03_02.xlsx&amp;sheet=A0&amp;row=397&amp;col=10&amp;number=&amp;sourceID=15","")</f>
        <v/>
      </c>
      <c r="K397" s="4" t="str">
        <f>HYPERLINK("http://141.218.60.56/~jnz1568/getInfo.php?workbook=03_02.xlsx&amp;sheet=A0&amp;row=397&amp;col=11&amp;number=&amp;sourceID=30","")</f>
        <v/>
      </c>
      <c r="L397" s="4" t="str">
        <f>HYPERLINK("http://141.218.60.56/~jnz1568/getInfo.php?workbook=03_02.xlsx&amp;sheet=A0&amp;row=397&amp;col=12&amp;number=14.48&amp;sourceID=30","14.48")</f>
        <v>14.48</v>
      </c>
      <c r="M397" s="4" t="str">
        <f>HYPERLINK("http://141.218.60.56/~jnz1568/getInfo.php?workbook=03_02.xlsx&amp;sheet=A0&amp;row=397&amp;col=13&amp;number=1.151e-09&amp;sourceID=30","1.151e-09")</f>
        <v>1.151e-09</v>
      </c>
      <c r="N397" s="4" t="str">
        <f>HYPERLINK("http://141.218.60.56/~jnz1568/getInfo.php?workbook=03_02.xlsx&amp;sheet=A0&amp;row=397&amp;col=14&amp;number=&amp;sourceID=30","")</f>
        <v/>
      </c>
    </row>
    <row r="398" spans="1:14">
      <c r="A398" s="3">
        <v>3</v>
      </c>
      <c r="B398" s="3">
        <v>2</v>
      </c>
      <c r="C398" s="3">
        <v>32</v>
      </c>
      <c r="D398" s="3">
        <v>14</v>
      </c>
      <c r="E398" s="3">
        <f>((1/(INDEX(E0!J$4:J$52,C398,1)-INDEX(E0!J$4:J$52,D398,1))))*100000000</f>
        <v>0</v>
      </c>
      <c r="F398" s="4" t="str">
        <f>HYPERLINK("http://141.218.60.56/~jnz1568/getInfo.php?workbook=03_02.xlsx&amp;sheet=A0&amp;row=398&amp;col=6&amp;number=&amp;sourceID=27","")</f>
        <v/>
      </c>
      <c r="G398" s="4" t="str">
        <f>HYPERLINK("http://141.218.60.56/~jnz1568/getInfo.php?workbook=03_02.xlsx&amp;sheet=A0&amp;row=398&amp;col=7&amp;number=&amp;sourceID=15","")</f>
        <v/>
      </c>
      <c r="H398" s="4" t="str">
        <f>HYPERLINK("http://141.218.60.56/~jnz1568/getInfo.php?workbook=03_02.xlsx&amp;sheet=A0&amp;row=398&amp;col=8&amp;number=&amp;sourceID=15","")</f>
        <v/>
      </c>
      <c r="I398" s="4" t="str">
        <f>HYPERLINK("http://141.218.60.56/~jnz1568/getInfo.php?workbook=03_02.xlsx&amp;sheet=A0&amp;row=398&amp;col=9&amp;number=&amp;sourceID=15","")</f>
        <v/>
      </c>
      <c r="J398" s="4" t="str">
        <f>HYPERLINK("http://141.218.60.56/~jnz1568/getInfo.php?workbook=03_02.xlsx&amp;sheet=A0&amp;row=398&amp;col=10&amp;number=&amp;sourceID=15","")</f>
        <v/>
      </c>
      <c r="K398" s="4" t="str">
        <f>HYPERLINK("http://141.218.60.56/~jnz1568/getInfo.php?workbook=03_02.xlsx&amp;sheet=A0&amp;row=398&amp;col=11&amp;number=&amp;sourceID=30","")</f>
        <v/>
      </c>
      <c r="L398" s="4" t="str">
        <f>HYPERLINK("http://141.218.60.56/~jnz1568/getInfo.php?workbook=03_02.xlsx&amp;sheet=A0&amp;row=398&amp;col=12&amp;number=20.26&amp;sourceID=30","20.26")</f>
        <v>20.26</v>
      </c>
      <c r="M398" s="4" t="str">
        <f>HYPERLINK("http://141.218.60.56/~jnz1568/getInfo.php?workbook=03_02.xlsx&amp;sheet=A0&amp;row=398&amp;col=13&amp;number=&amp;sourceID=30","")</f>
        <v/>
      </c>
      <c r="N398" s="4" t="str">
        <f>HYPERLINK("http://141.218.60.56/~jnz1568/getInfo.php?workbook=03_02.xlsx&amp;sheet=A0&amp;row=398&amp;col=14&amp;number=&amp;sourceID=30","")</f>
        <v/>
      </c>
    </row>
    <row r="399" spans="1:14">
      <c r="A399" s="3">
        <v>3</v>
      </c>
      <c r="B399" s="3">
        <v>2</v>
      </c>
      <c r="C399" s="3">
        <v>32</v>
      </c>
      <c r="D399" s="3">
        <v>15</v>
      </c>
      <c r="E399" s="3">
        <f>((1/(INDEX(E0!J$4:J$52,C399,1)-INDEX(E0!J$4:J$52,D399,1))))*100000000</f>
        <v>0</v>
      </c>
      <c r="F399" s="4" t="str">
        <f>HYPERLINK("http://141.218.60.56/~jnz1568/getInfo.php?workbook=03_02.xlsx&amp;sheet=A0&amp;row=399&amp;col=6&amp;number=&amp;sourceID=27","")</f>
        <v/>
      </c>
      <c r="G399" s="4" t="str">
        <f>HYPERLINK("http://141.218.60.56/~jnz1568/getInfo.php?workbook=03_02.xlsx&amp;sheet=A0&amp;row=399&amp;col=7&amp;number=&amp;sourceID=15","")</f>
        <v/>
      </c>
      <c r="H399" s="4" t="str">
        <f>HYPERLINK("http://141.218.60.56/~jnz1568/getInfo.php?workbook=03_02.xlsx&amp;sheet=A0&amp;row=399&amp;col=8&amp;number=&amp;sourceID=15","")</f>
        <v/>
      </c>
      <c r="I399" s="4" t="str">
        <f>HYPERLINK("http://141.218.60.56/~jnz1568/getInfo.php?workbook=03_02.xlsx&amp;sheet=A0&amp;row=399&amp;col=9&amp;number=&amp;sourceID=15","")</f>
        <v/>
      </c>
      <c r="J399" s="4" t="str">
        <f>HYPERLINK("http://141.218.60.56/~jnz1568/getInfo.php?workbook=03_02.xlsx&amp;sheet=A0&amp;row=399&amp;col=10&amp;number=&amp;sourceID=15","")</f>
        <v/>
      </c>
      <c r="K399" s="4" t="str">
        <f>HYPERLINK("http://141.218.60.56/~jnz1568/getInfo.php?workbook=03_02.xlsx&amp;sheet=A0&amp;row=399&amp;col=11&amp;number=&amp;sourceID=30","")</f>
        <v/>
      </c>
      <c r="L399" s="4" t="str">
        <f>HYPERLINK("http://141.218.60.56/~jnz1568/getInfo.php?workbook=03_02.xlsx&amp;sheet=A0&amp;row=399&amp;col=12&amp;number=8.691&amp;sourceID=30","8.691")</f>
        <v>8.691</v>
      </c>
      <c r="M399" s="4" t="str">
        <f>HYPERLINK("http://141.218.60.56/~jnz1568/getInfo.php?workbook=03_02.xlsx&amp;sheet=A0&amp;row=399&amp;col=13&amp;number=4.056e-09&amp;sourceID=30","4.056e-09")</f>
        <v>4.056e-09</v>
      </c>
      <c r="N399" s="4" t="str">
        <f>HYPERLINK("http://141.218.60.56/~jnz1568/getInfo.php?workbook=03_02.xlsx&amp;sheet=A0&amp;row=399&amp;col=14&amp;number=&amp;sourceID=30","")</f>
        <v/>
      </c>
    </row>
    <row r="400" spans="1:14">
      <c r="A400" s="3">
        <v>3</v>
      </c>
      <c r="B400" s="3">
        <v>2</v>
      </c>
      <c r="C400" s="3">
        <v>32</v>
      </c>
      <c r="D400" s="3">
        <v>16</v>
      </c>
      <c r="E400" s="3">
        <f>((1/(INDEX(E0!J$4:J$52,C400,1)-INDEX(E0!J$4:J$52,D400,1))))*100000000</f>
        <v>0</v>
      </c>
      <c r="F400" s="4" t="str">
        <f>HYPERLINK("http://141.218.60.56/~jnz1568/getInfo.php?workbook=03_02.xlsx&amp;sheet=A0&amp;row=400&amp;col=6&amp;number=&amp;sourceID=27","")</f>
        <v/>
      </c>
      <c r="G400" s="4" t="str">
        <f>HYPERLINK("http://141.218.60.56/~jnz1568/getInfo.php?workbook=03_02.xlsx&amp;sheet=A0&amp;row=400&amp;col=7&amp;number=&amp;sourceID=15","")</f>
        <v/>
      </c>
      <c r="H400" s="4" t="str">
        <f>HYPERLINK("http://141.218.60.56/~jnz1568/getInfo.php?workbook=03_02.xlsx&amp;sheet=A0&amp;row=400&amp;col=8&amp;number=&amp;sourceID=15","")</f>
        <v/>
      </c>
      <c r="I400" s="4" t="str">
        <f>HYPERLINK("http://141.218.60.56/~jnz1568/getInfo.php?workbook=03_02.xlsx&amp;sheet=A0&amp;row=400&amp;col=9&amp;number=&amp;sourceID=15","")</f>
        <v/>
      </c>
      <c r="J400" s="4" t="str">
        <f>HYPERLINK("http://141.218.60.56/~jnz1568/getInfo.php?workbook=03_02.xlsx&amp;sheet=A0&amp;row=400&amp;col=10&amp;number=&amp;sourceID=15","")</f>
        <v/>
      </c>
      <c r="K400" s="4" t="str">
        <f>HYPERLINK("http://141.218.60.56/~jnz1568/getInfo.php?workbook=03_02.xlsx&amp;sheet=A0&amp;row=400&amp;col=11&amp;number=&amp;sourceID=30","")</f>
        <v/>
      </c>
      <c r="L400" s="4" t="str">
        <f>HYPERLINK("http://141.218.60.56/~jnz1568/getInfo.php?workbook=03_02.xlsx&amp;sheet=A0&amp;row=400&amp;col=12&amp;number=0.002559&amp;sourceID=30","0.002559")</f>
        <v>0.002559</v>
      </c>
      <c r="M400" s="4" t="str">
        <f>HYPERLINK("http://141.218.60.56/~jnz1568/getInfo.php?workbook=03_02.xlsx&amp;sheet=A0&amp;row=400&amp;col=13&amp;number=5.545e-12&amp;sourceID=30","5.545e-12")</f>
        <v>5.545e-12</v>
      </c>
      <c r="N400" s="4" t="str">
        <f>HYPERLINK("http://141.218.60.56/~jnz1568/getInfo.php?workbook=03_02.xlsx&amp;sheet=A0&amp;row=400&amp;col=14&amp;number=&amp;sourceID=30","")</f>
        <v/>
      </c>
    </row>
    <row r="401" spans="1:14">
      <c r="A401" s="3">
        <v>3</v>
      </c>
      <c r="B401" s="3">
        <v>2</v>
      </c>
      <c r="C401" s="3">
        <v>32</v>
      </c>
      <c r="D401" s="3">
        <v>17</v>
      </c>
      <c r="E401" s="3">
        <f>((1/(INDEX(E0!J$4:J$52,C401,1)-INDEX(E0!J$4:J$52,D401,1))))*100000000</f>
        <v>0</v>
      </c>
      <c r="F401" s="4" t="str">
        <f>HYPERLINK("http://141.218.60.56/~jnz1568/getInfo.php?workbook=03_02.xlsx&amp;sheet=A0&amp;row=401&amp;col=6&amp;number=&amp;sourceID=27","")</f>
        <v/>
      </c>
      <c r="G401" s="4" t="str">
        <f>HYPERLINK("http://141.218.60.56/~jnz1568/getInfo.php?workbook=03_02.xlsx&amp;sheet=A0&amp;row=401&amp;col=7&amp;number=&amp;sourceID=15","")</f>
        <v/>
      </c>
      <c r="H401" s="4" t="str">
        <f>HYPERLINK("http://141.218.60.56/~jnz1568/getInfo.php?workbook=03_02.xlsx&amp;sheet=A0&amp;row=401&amp;col=8&amp;number=&amp;sourceID=15","")</f>
        <v/>
      </c>
      <c r="I401" s="4" t="str">
        <f>HYPERLINK("http://141.218.60.56/~jnz1568/getInfo.php?workbook=03_02.xlsx&amp;sheet=A0&amp;row=401&amp;col=9&amp;number=&amp;sourceID=15","")</f>
        <v/>
      </c>
      <c r="J401" s="4" t="str">
        <f>HYPERLINK("http://141.218.60.56/~jnz1568/getInfo.php?workbook=03_02.xlsx&amp;sheet=A0&amp;row=401&amp;col=10&amp;number=&amp;sourceID=15","")</f>
        <v/>
      </c>
      <c r="K401" s="4" t="str">
        <f>HYPERLINK("http://141.218.60.56/~jnz1568/getInfo.php?workbook=03_02.xlsx&amp;sheet=A0&amp;row=401&amp;col=11&amp;number=5.343&amp;sourceID=30","5.343")</f>
        <v>5.343</v>
      </c>
      <c r="L401" s="4" t="str">
        <f>HYPERLINK("http://141.218.60.56/~jnz1568/getInfo.php?workbook=03_02.xlsx&amp;sheet=A0&amp;row=401&amp;col=12&amp;number=&amp;sourceID=30","")</f>
        <v/>
      </c>
      <c r="M401" s="4" t="str">
        <f>HYPERLINK("http://141.218.60.56/~jnz1568/getInfo.php?workbook=03_02.xlsx&amp;sheet=A0&amp;row=401&amp;col=13&amp;number=&amp;sourceID=30","")</f>
        <v/>
      </c>
      <c r="N401" s="4" t="str">
        <f>HYPERLINK("http://141.218.60.56/~jnz1568/getInfo.php?workbook=03_02.xlsx&amp;sheet=A0&amp;row=401&amp;col=14&amp;number=0.0001034&amp;sourceID=30","0.0001034")</f>
        <v>0.0001034</v>
      </c>
    </row>
    <row r="402" spans="1:14">
      <c r="A402" s="3">
        <v>3</v>
      </c>
      <c r="B402" s="3">
        <v>2</v>
      </c>
      <c r="C402" s="3">
        <v>32</v>
      </c>
      <c r="D402" s="3">
        <v>18</v>
      </c>
      <c r="E402" s="3">
        <f>((1/(INDEX(E0!J$4:J$52,C402,1)-INDEX(E0!J$4:J$52,D402,1))))*100000000</f>
        <v>0</v>
      </c>
      <c r="F402" s="4" t="str">
        <f>HYPERLINK("http://141.218.60.56/~jnz1568/getInfo.php?workbook=03_02.xlsx&amp;sheet=A0&amp;row=402&amp;col=6&amp;number=&amp;sourceID=27","")</f>
        <v/>
      </c>
      <c r="G402" s="4" t="str">
        <f>HYPERLINK("http://141.218.60.56/~jnz1568/getInfo.php?workbook=03_02.xlsx&amp;sheet=A0&amp;row=402&amp;col=7&amp;number=&amp;sourceID=15","")</f>
        <v/>
      </c>
      <c r="H402" s="4" t="str">
        <f>HYPERLINK("http://141.218.60.56/~jnz1568/getInfo.php?workbook=03_02.xlsx&amp;sheet=A0&amp;row=402&amp;col=8&amp;number=&amp;sourceID=15","")</f>
        <v/>
      </c>
      <c r="I402" s="4" t="str">
        <f>HYPERLINK("http://141.218.60.56/~jnz1568/getInfo.php?workbook=03_02.xlsx&amp;sheet=A0&amp;row=402&amp;col=9&amp;number=&amp;sourceID=15","")</f>
        <v/>
      </c>
      <c r="J402" s="4" t="str">
        <f>HYPERLINK("http://141.218.60.56/~jnz1568/getInfo.php?workbook=03_02.xlsx&amp;sheet=A0&amp;row=402&amp;col=10&amp;number=&amp;sourceID=15","")</f>
        <v/>
      </c>
      <c r="K402" s="4" t="str">
        <f>HYPERLINK("http://141.218.60.56/~jnz1568/getInfo.php?workbook=03_02.xlsx&amp;sheet=A0&amp;row=402&amp;col=11&amp;number=&amp;sourceID=30","")</f>
        <v/>
      </c>
      <c r="L402" s="4" t="str">
        <f>HYPERLINK("http://141.218.60.56/~jnz1568/getInfo.php?workbook=03_02.xlsx&amp;sheet=A0&amp;row=402&amp;col=12&amp;number=1.078e-08&amp;sourceID=30","1.078e-08")</f>
        <v>1.078e-08</v>
      </c>
      <c r="M402" s="4" t="str">
        <f>HYPERLINK("http://141.218.60.56/~jnz1568/getInfo.php?workbook=03_02.xlsx&amp;sheet=A0&amp;row=402&amp;col=13&amp;number=5.978e-10&amp;sourceID=30","5.978e-10")</f>
        <v>5.978e-10</v>
      </c>
      <c r="N402" s="4" t="str">
        <f>HYPERLINK("http://141.218.60.56/~jnz1568/getInfo.php?workbook=03_02.xlsx&amp;sheet=A0&amp;row=402&amp;col=14&amp;number=&amp;sourceID=30","")</f>
        <v/>
      </c>
    </row>
    <row r="403" spans="1:14">
      <c r="A403" s="3">
        <v>3</v>
      </c>
      <c r="B403" s="3">
        <v>2</v>
      </c>
      <c r="C403" s="3">
        <v>32</v>
      </c>
      <c r="D403" s="3">
        <v>19</v>
      </c>
      <c r="E403" s="3">
        <f>((1/(INDEX(E0!J$4:J$52,C403,1)-INDEX(E0!J$4:J$52,D403,1))))*100000000</f>
        <v>0</v>
      </c>
      <c r="F403" s="4" t="str">
        <f>HYPERLINK("http://141.218.60.56/~jnz1568/getInfo.php?workbook=03_02.xlsx&amp;sheet=A0&amp;row=403&amp;col=6&amp;number=&amp;sourceID=27","")</f>
        <v/>
      </c>
      <c r="G403" s="4" t="str">
        <f>HYPERLINK("http://141.218.60.56/~jnz1568/getInfo.php?workbook=03_02.xlsx&amp;sheet=A0&amp;row=403&amp;col=7&amp;number=&amp;sourceID=15","")</f>
        <v/>
      </c>
      <c r="H403" s="4" t="str">
        <f>HYPERLINK("http://141.218.60.56/~jnz1568/getInfo.php?workbook=03_02.xlsx&amp;sheet=A0&amp;row=403&amp;col=8&amp;number=&amp;sourceID=15","")</f>
        <v/>
      </c>
      <c r="I403" s="4" t="str">
        <f>HYPERLINK("http://141.218.60.56/~jnz1568/getInfo.php?workbook=03_02.xlsx&amp;sheet=A0&amp;row=403&amp;col=9&amp;number=&amp;sourceID=15","")</f>
        <v/>
      </c>
      <c r="J403" s="4" t="str">
        <f>HYPERLINK("http://141.218.60.56/~jnz1568/getInfo.php?workbook=03_02.xlsx&amp;sheet=A0&amp;row=403&amp;col=10&amp;number=&amp;sourceID=15","")</f>
        <v/>
      </c>
      <c r="K403" s="4" t="str">
        <f>HYPERLINK("http://141.218.60.56/~jnz1568/getInfo.php?workbook=03_02.xlsx&amp;sheet=A0&amp;row=403&amp;col=11&amp;number=&amp;sourceID=30","")</f>
        <v/>
      </c>
      <c r="L403" s="4" t="str">
        <f>HYPERLINK("http://141.218.60.56/~jnz1568/getInfo.php?workbook=03_02.xlsx&amp;sheet=A0&amp;row=403&amp;col=12&amp;number=&amp;sourceID=30","")</f>
        <v/>
      </c>
      <c r="M403" s="4" t="str">
        <f>HYPERLINK("http://141.218.60.56/~jnz1568/getInfo.php?workbook=03_02.xlsx&amp;sheet=A0&amp;row=403&amp;col=13&amp;number=1.982e-08&amp;sourceID=30","1.982e-08")</f>
        <v>1.982e-08</v>
      </c>
      <c r="N403" s="4" t="str">
        <f>HYPERLINK("http://141.218.60.56/~jnz1568/getInfo.php?workbook=03_02.xlsx&amp;sheet=A0&amp;row=403&amp;col=14&amp;number=&amp;sourceID=30","")</f>
        <v/>
      </c>
    </row>
    <row r="404" spans="1:14">
      <c r="A404" s="3">
        <v>3</v>
      </c>
      <c r="B404" s="3">
        <v>2</v>
      </c>
      <c r="C404" s="3">
        <v>32</v>
      </c>
      <c r="D404" s="3">
        <v>20</v>
      </c>
      <c r="E404" s="3">
        <f>((1/(INDEX(E0!J$4:J$52,C404,1)-INDEX(E0!J$4:J$52,D404,1))))*100000000</f>
        <v>0</v>
      </c>
      <c r="F404" s="4" t="str">
        <f>HYPERLINK("http://141.218.60.56/~jnz1568/getInfo.php?workbook=03_02.xlsx&amp;sheet=A0&amp;row=404&amp;col=6&amp;number=&amp;sourceID=27","")</f>
        <v/>
      </c>
      <c r="G404" s="4" t="str">
        <f>HYPERLINK("http://141.218.60.56/~jnz1568/getInfo.php?workbook=03_02.xlsx&amp;sheet=A0&amp;row=404&amp;col=7&amp;number=2563800&amp;sourceID=15","2563800")</f>
        <v>2563800</v>
      </c>
      <c r="H404" s="4" t="str">
        <f>HYPERLINK("http://141.218.60.56/~jnz1568/getInfo.php?workbook=03_02.xlsx&amp;sheet=A0&amp;row=404&amp;col=8&amp;number=&amp;sourceID=15","")</f>
        <v/>
      </c>
      <c r="I404" s="4" t="str">
        <f>HYPERLINK("http://141.218.60.56/~jnz1568/getInfo.php?workbook=03_02.xlsx&amp;sheet=A0&amp;row=404&amp;col=9&amp;number=&amp;sourceID=15","")</f>
        <v/>
      </c>
      <c r="J404" s="4" t="str">
        <f>HYPERLINK("http://141.218.60.56/~jnz1568/getInfo.php?workbook=03_02.xlsx&amp;sheet=A0&amp;row=404&amp;col=10&amp;number=&amp;sourceID=15","")</f>
        <v/>
      </c>
      <c r="K404" s="4" t="str">
        <f>HYPERLINK("http://141.218.60.56/~jnz1568/getInfo.php?workbook=03_02.xlsx&amp;sheet=A0&amp;row=404&amp;col=11&amp;number=2426000&amp;sourceID=30","2426000")</f>
        <v>2426000</v>
      </c>
      <c r="L404" s="4" t="str">
        <f>HYPERLINK("http://141.218.60.56/~jnz1568/getInfo.php?workbook=03_02.xlsx&amp;sheet=A0&amp;row=404&amp;col=12&amp;number=&amp;sourceID=30","")</f>
        <v/>
      </c>
      <c r="M404" s="4" t="str">
        <f>HYPERLINK("http://141.218.60.56/~jnz1568/getInfo.php?workbook=03_02.xlsx&amp;sheet=A0&amp;row=404&amp;col=13&amp;number=&amp;sourceID=30","")</f>
        <v/>
      </c>
      <c r="N404" s="4" t="str">
        <f>HYPERLINK("http://141.218.60.56/~jnz1568/getInfo.php?workbook=03_02.xlsx&amp;sheet=A0&amp;row=404&amp;col=14&amp;number=&amp;sourceID=30","")</f>
        <v/>
      </c>
    </row>
    <row r="405" spans="1:14">
      <c r="A405" s="3">
        <v>3</v>
      </c>
      <c r="B405" s="3">
        <v>2</v>
      </c>
      <c r="C405" s="3">
        <v>32</v>
      </c>
      <c r="D405" s="3">
        <v>21</v>
      </c>
      <c r="E405" s="3">
        <f>((1/(INDEX(E0!J$4:J$52,C405,1)-INDEX(E0!J$4:J$52,D405,1))))*100000000</f>
        <v>0</v>
      </c>
      <c r="F405" s="4" t="str">
        <f>HYPERLINK("http://141.218.60.56/~jnz1568/getInfo.php?workbook=03_02.xlsx&amp;sheet=A0&amp;row=405&amp;col=6&amp;number=&amp;sourceID=27","")</f>
        <v/>
      </c>
      <c r="G405" s="4" t="str">
        <f>HYPERLINK("http://141.218.60.56/~jnz1568/getInfo.php?workbook=03_02.xlsx&amp;sheet=A0&amp;row=405&amp;col=7&amp;number=7691300&amp;sourceID=15","7691300")</f>
        <v>7691300</v>
      </c>
      <c r="H405" s="4" t="str">
        <f>HYPERLINK("http://141.218.60.56/~jnz1568/getInfo.php?workbook=03_02.xlsx&amp;sheet=A0&amp;row=405&amp;col=8&amp;number=&amp;sourceID=15","")</f>
        <v/>
      </c>
      <c r="I405" s="4" t="str">
        <f>HYPERLINK("http://141.218.60.56/~jnz1568/getInfo.php?workbook=03_02.xlsx&amp;sheet=A0&amp;row=405&amp;col=9&amp;number=&amp;sourceID=15","")</f>
        <v/>
      </c>
      <c r="J405" s="4" t="str">
        <f>HYPERLINK("http://141.218.60.56/~jnz1568/getInfo.php?workbook=03_02.xlsx&amp;sheet=A0&amp;row=405&amp;col=10&amp;number=&amp;sourceID=15","")</f>
        <v/>
      </c>
      <c r="K405" s="4" t="str">
        <f>HYPERLINK("http://141.218.60.56/~jnz1568/getInfo.php?workbook=03_02.xlsx&amp;sheet=A0&amp;row=405&amp;col=11&amp;number=7275000&amp;sourceID=30","7275000")</f>
        <v>7275000</v>
      </c>
      <c r="L405" s="4" t="str">
        <f>HYPERLINK("http://141.218.60.56/~jnz1568/getInfo.php?workbook=03_02.xlsx&amp;sheet=A0&amp;row=405&amp;col=12&amp;number=&amp;sourceID=30","")</f>
        <v/>
      </c>
      <c r="M405" s="4" t="str">
        <f>HYPERLINK("http://141.218.60.56/~jnz1568/getInfo.php?workbook=03_02.xlsx&amp;sheet=A0&amp;row=405&amp;col=13&amp;number=&amp;sourceID=30","")</f>
        <v/>
      </c>
      <c r="N405" s="4" t="str">
        <f>HYPERLINK("http://141.218.60.56/~jnz1568/getInfo.php?workbook=03_02.xlsx&amp;sheet=A0&amp;row=405&amp;col=14&amp;number=2.279e-06&amp;sourceID=30","2.279e-06")</f>
        <v>2.279e-06</v>
      </c>
    </row>
    <row r="406" spans="1:14">
      <c r="A406" s="3">
        <v>3</v>
      </c>
      <c r="B406" s="3">
        <v>2</v>
      </c>
      <c r="C406" s="3">
        <v>32</v>
      </c>
      <c r="D406" s="3">
        <v>22</v>
      </c>
      <c r="E406" s="3">
        <f>((1/(INDEX(E0!J$4:J$52,C406,1)-INDEX(E0!J$4:J$52,D406,1))))*100000000</f>
        <v>0</v>
      </c>
      <c r="F406" s="4" t="str">
        <f>HYPERLINK("http://141.218.60.56/~jnz1568/getInfo.php?workbook=03_02.xlsx&amp;sheet=A0&amp;row=406&amp;col=6&amp;number=&amp;sourceID=27","")</f>
        <v/>
      </c>
      <c r="G406" s="4" t="str">
        <f>HYPERLINK("http://141.218.60.56/~jnz1568/getInfo.php?workbook=03_02.xlsx&amp;sheet=A0&amp;row=406&amp;col=7&amp;number=12819000&amp;sourceID=15","12819000")</f>
        <v>12819000</v>
      </c>
      <c r="H406" s="4" t="str">
        <f>HYPERLINK("http://141.218.60.56/~jnz1568/getInfo.php?workbook=03_02.xlsx&amp;sheet=A0&amp;row=406&amp;col=8&amp;number=&amp;sourceID=15","")</f>
        <v/>
      </c>
      <c r="I406" s="4" t="str">
        <f>HYPERLINK("http://141.218.60.56/~jnz1568/getInfo.php?workbook=03_02.xlsx&amp;sheet=A0&amp;row=406&amp;col=9&amp;number=&amp;sourceID=15","")</f>
        <v/>
      </c>
      <c r="J406" s="4" t="str">
        <f>HYPERLINK("http://141.218.60.56/~jnz1568/getInfo.php?workbook=03_02.xlsx&amp;sheet=A0&amp;row=406&amp;col=10&amp;number=&amp;sourceID=15","")</f>
        <v/>
      </c>
      <c r="K406" s="4" t="str">
        <f>HYPERLINK("http://141.218.60.56/~jnz1568/getInfo.php?workbook=03_02.xlsx&amp;sheet=A0&amp;row=406&amp;col=11&amp;number=12130000&amp;sourceID=30","12130000")</f>
        <v>12130000</v>
      </c>
      <c r="L406" s="4" t="str">
        <f>HYPERLINK("http://141.218.60.56/~jnz1568/getInfo.php?workbook=03_02.xlsx&amp;sheet=A0&amp;row=406&amp;col=12&amp;number=&amp;sourceID=30","")</f>
        <v/>
      </c>
      <c r="M406" s="4" t="str">
        <f>HYPERLINK("http://141.218.60.56/~jnz1568/getInfo.php?workbook=03_02.xlsx&amp;sheet=A0&amp;row=406&amp;col=13&amp;number=&amp;sourceID=30","")</f>
        <v/>
      </c>
      <c r="N406" s="4" t="str">
        <f>HYPERLINK("http://141.218.60.56/~jnz1568/getInfo.php?workbook=03_02.xlsx&amp;sheet=A0&amp;row=406&amp;col=14&amp;number=6.852e-06&amp;sourceID=30","6.852e-06")</f>
        <v>6.852e-06</v>
      </c>
    </row>
    <row r="407" spans="1:14">
      <c r="A407" s="3">
        <v>3</v>
      </c>
      <c r="B407" s="3">
        <v>2</v>
      </c>
      <c r="C407" s="3">
        <v>32</v>
      </c>
      <c r="D407" s="3">
        <v>23</v>
      </c>
      <c r="E407" s="3">
        <f>((1/(INDEX(E0!J$4:J$52,C407,1)-INDEX(E0!J$4:J$52,D407,1))))*100000000</f>
        <v>0</v>
      </c>
      <c r="F407" s="4" t="str">
        <f>HYPERLINK("http://141.218.60.56/~jnz1568/getInfo.php?workbook=03_02.xlsx&amp;sheet=A0&amp;row=407&amp;col=6&amp;number=&amp;sourceID=27","")</f>
        <v/>
      </c>
      <c r="G407" s="4" t="str">
        <f>HYPERLINK("http://141.218.60.56/~jnz1568/getInfo.php?workbook=03_02.xlsx&amp;sheet=A0&amp;row=407&amp;col=7&amp;number=&amp;sourceID=15","")</f>
        <v/>
      </c>
      <c r="H407" s="4" t="str">
        <f>HYPERLINK("http://141.218.60.56/~jnz1568/getInfo.php?workbook=03_02.xlsx&amp;sheet=A0&amp;row=407&amp;col=8&amp;number=&amp;sourceID=15","")</f>
        <v/>
      </c>
      <c r="I407" s="4" t="str">
        <f>HYPERLINK("http://141.218.60.56/~jnz1568/getInfo.php?workbook=03_02.xlsx&amp;sheet=A0&amp;row=407&amp;col=9&amp;number=&amp;sourceID=15","")</f>
        <v/>
      </c>
      <c r="J407" s="4" t="str">
        <f>HYPERLINK("http://141.218.60.56/~jnz1568/getInfo.php?workbook=03_02.xlsx&amp;sheet=A0&amp;row=407&amp;col=10&amp;number=&amp;sourceID=15","")</f>
        <v/>
      </c>
      <c r="K407" s="4" t="str">
        <f>HYPERLINK("http://141.218.60.56/~jnz1568/getInfo.php?workbook=03_02.xlsx&amp;sheet=A0&amp;row=407&amp;col=11&amp;number=&amp;sourceID=30","")</f>
        <v/>
      </c>
      <c r="L407" s="4" t="str">
        <f>HYPERLINK("http://141.218.60.56/~jnz1568/getInfo.php?workbook=03_02.xlsx&amp;sheet=A0&amp;row=407&amp;col=12&amp;number=4.751&amp;sourceID=30","4.751")</f>
        <v>4.751</v>
      </c>
      <c r="M407" s="4" t="str">
        <f>HYPERLINK("http://141.218.60.56/~jnz1568/getInfo.php?workbook=03_02.xlsx&amp;sheet=A0&amp;row=407&amp;col=13&amp;number=7.182e-10&amp;sourceID=30","7.182e-10")</f>
        <v>7.182e-10</v>
      </c>
      <c r="N407" s="4" t="str">
        <f>HYPERLINK("http://141.218.60.56/~jnz1568/getInfo.php?workbook=03_02.xlsx&amp;sheet=A0&amp;row=407&amp;col=14&amp;number=&amp;sourceID=30","")</f>
        <v/>
      </c>
    </row>
    <row r="408" spans="1:14">
      <c r="A408" s="3">
        <v>3</v>
      </c>
      <c r="B408" s="3">
        <v>2</v>
      </c>
      <c r="C408" s="3">
        <v>32</v>
      </c>
      <c r="D408" s="3">
        <v>24</v>
      </c>
      <c r="E408" s="3">
        <f>((1/(INDEX(E0!J$4:J$52,C408,1)-INDEX(E0!J$4:J$52,D408,1))))*100000000</f>
        <v>0</v>
      </c>
      <c r="F408" s="4" t="str">
        <f>HYPERLINK("http://141.218.60.56/~jnz1568/getInfo.php?workbook=03_02.xlsx&amp;sheet=A0&amp;row=408&amp;col=6&amp;number=&amp;sourceID=27","")</f>
        <v/>
      </c>
      <c r="G408" s="4" t="str">
        <f>HYPERLINK("http://141.218.60.56/~jnz1568/getInfo.php?workbook=03_02.xlsx&amp;sheet=A0&amp;row=408&amp;col=7&amp;number=&amp;sourceID=15","")</f>
        <v/>
      </c>
      <c r="H408" s="4" t="str">
        <f>HYPERLINK("http://141.218.60.56/~jnz1568/getInfo.php?workbook=03_02.xlsx&amp;sheet=A0&amp;row=408&amp;col=8&amp;number=&amp;sourceID=15","")</f>
        <v/>
      </c>
      <c r="I408" s="4" t="str">
        <f>HYPERLINK("http://141.218.60.56/~jnz1568/getInfo.php?workbook=03_02.xlsx&amp;sheet=A0&amp;row=408&amp;col=9&amp;number=&amp;sourceID=15","")</f>
        <v/>
      </c>
      <c r="J408" s="4" t="str">
        <f>HYPERLINK("http://141.218.60.56/~jnz1568/getInfo.php?workbook=03_02.xlsx&amp;sheet=A0&amp;row=408&amp;col=10&amp;number=&amp;sourceID=15","")</f>
        <v/>
      </c>
      <c r="K408" s="4" t="str">
        <f>HYPERLINK("http://141.218.60.56/~jnz1568/getInfo.php?workbook=03_02.xlsx&amp;sheet=A0&amp;row=408&amp;col=11&amp;number=&amp;sourceID=30","")</f>
        <v/>
      </c>
      <c r="L408" s="4" t="str">
        <f>HYPERLINK("http://141.218.60.56/~jnz1568/getInfo.php?workbook=03_02.xlsx&amp;sheet=A0&amp;row=408&amp;col=12&amp;number=7.916&amp;sourceID=30","7.916")</f>
        <v>7.916</v>
      </c>
      <c r="M408" s="4" t="str">
        <f>HYPERLINK("http://141.218.60.56/~jnz1568/getInfo.php?workbook=03_02.xlsx&amp;sheet=A0&amp;row=408&amp;col=13&amp;number=2.146e-10&amp;sourceID=30","2.146e-10")</f>
        <v>2.146e-10</v>
      </c>
      <c r="N408" s="4" t="str">
        <f>HYPERLINK("http://141.218.60.56/~jnz1568/getInfo.php?workbook=03_02.xlsx&amp;sheet=A0&amp;row=408&amp;col=14&amp;number=&amp;sourceID=30","")</f>
        <v/>
      </c>
    </row>
    <row r="409" spans="1:14">
      <c r="A409" s="3">
        <v>3</v>
      </c>
      <c r="B409" s="3">
        <v>2</v>
      </c>
      <c r="C409" s="3">
        <v>32</v>
      </c>
      <c r="D409" s="3">
        <v>25</v>
      </c>
      <c r="E409" s="3">
        <f>((1/(INDEX(E0!J$4:J$52,C409,1)-INDEX(E0!J$4:J$52,D409,1))))*100000000</f>
        <v>0</v>
      </c>
      <c r="F409" s="4" t="str">
        <f>HYPERLINK("http://141.218.60.56/~jnz1568/getInfo.php?workbook=03_02.xlsx&amp;sheet=A0&amp;row=409&amp;col=6&amp;number=&amp;sourceID=27","")</f>
        <v/>
      </c>
      <c r="G409" s="4" t="str">
        <f>HYPERLINK("http://141.218.60.56/~jnz1568/getInfo.php?workbook=03_02.xlsx&amp;sheet=A0&amp;row=409&amp;col=7&amp;number=&amp;sourceID=15","")</f>
        <v/>
      </c>
      <c r="H409" s="4" t="str">
        <f>HYPERLINK("http://141.218.60.56/~jnz1568/getInfo.php?workbook=03_02.xlsx&amp;sheet=A0&amp;row=409&amp;col=8&amp;number=&amp;sourceID=15","")</f>
        <v/>
      </c>
      <c r="I409" s="4" t="str">
        <f>HYPERLINK("http://141.218.60.56/~jnz1568/getInfo.php?workbook=03_02.xlsx&amp;sheet=A0&amp;row=409&amp;col=9&amp;number=&amp;sourceID=15","")</f>
        <v/>
      </c>
      <c r="J409" s="4" t="str">
        <f>HYPERLINK("http://141.218.60.56/~jnz1568/getInfo.php?workbook=03_02.xlsx&amp;sheet=A0&amp;row=409&amp;col=10&amp;number=&amp;sourceID=15","")</f>
        <v/>
      </c>
      <c r="K409" s="4" t="str">
        <f>HYPERLINK("http://141.218.60.56/~jnz1568/getInfo.php?workbook=03_02.xlsx&amp;sheet=A0&amp;row=409&amp;col=11&amp;number=&amp;sourceID=30","")</f>
        <v/>
      </c>
      <c r="L409" s="4" t="str">
        <f>HYPERLINK("http://141.218.60.56/~jnz1568/getInfo.php?workbook=03_02.xlsx&amp;sheet=A0&amp;row=409&amp;col=12&amp;number=11.08&amp;sourceID=30","11.08")</f>
        <v>11.08</v>
      </c>
      <c r="M409" s="4" t="str">
        <f>HYPERLINK("http://141.218.60.56/~jnz1568/getInfo.php?workbook=03_02.xlsx&amp;sheet=A0&amp;row=409&amp;col=13&amp;number=&amp;sourceID=30","")</f>
        <v/>
      </c>
      <c r="N409" s="4" t="str">
        <f>HYPERLINK("http://141.218.60.56/~jnz1568/getInfo.php?workbook=03_02.xlsx&amp;sheet=A0&amp;row=409&amp;col=14&amp;number=&amp;sourceID=30","")</f>
        <v/>
      </c>
    </row>
    <row r="410" spans="1:14">
      <c r="A410" s="3">
        <v>3</v>
      </c>
      <c r="B410" s="3">
        <v>2</v>
      </c>
      <c r="C410" s="3">
        <v>32</v>
      </c>
      <c r="D410" s="3">
        <v>26</v>
      </c>
      <c r="E410" s="3">
        <f>((1/(INDEX(E0!J$4:J$52,C410,1)-INDEX(E0!J$4:J$52,D410,1))))*100000000</f>
        <v>0</v>
      </c>
      <c r="F410" s="4" t="str">
        <f>HYPERLINK("http://141.218.60.56/~jnz1568/getInfo.php?workbook=03_02.xlsx&amp;sheet=A0&amp;row=410&amp;col=6&amp;number=&amp;sourceID=27","")</f>
        <v/>
      </c>
      <c r="G410" s="4" t="str">
        <f>HYPERLINK("http://141.218.60.56/~jnz1568/getInfo.php?workbook=03_02.xlsx&amp;sheet=A0&amp;row=410&amp;col=7&amp;number=&amp;sourceID=15","")</f>
        <v/>
      </c>
      <c r="H410" s="4" t="str">
        <f>HYPERLINK("http://141.218.60.56/~jnz1568/getInfo.php?workbook=03_02.xlsx&amp;sheet=A0&amp;row=410&amp;col=8&amp;number=&amp;sourceID=15","")</f>
        <v/>
      </c>
      <c r="I410" s="4" t="str">
        <f>HYPERLINK("http://141.218.60.56/~jnz1568/getInfo.php?workbook=03_02.xlsx&amp;sheet=A0&amp;row=410&amp;col=9&amp;number=&amp;sourceID=15","")</f>
        <v/>
      </c>
      <c r="J410" s="4" t="str">
        <f>HYPERLINK("http://141.218.60.56/~jnz1568/getInfo.php?workbook=03_02.xlsx&amp;sheet=A0&amp;row=410&amp;col=10&amp;number=&amp;sourceID=15","")</f>
        <v/>
      </c>
      <c r="K410" s="4" t="str">
        <f>HYPERLINK("http://141.218.60.56/~jnz1568/getInfo.php?workbook=03_02.xlsx&amp;sheet=A0&amp;row=410&amp;col=11&amp;number=&amp;sourceID=30","")</f>
        <v/>
      </c>
      <c r="L410" s="4" t="str">
        <f>HYPERLINK("http://141.218.60.56/~jnz1568/getInfo.php?workbook=03_02.xlsx&amp;sheet=A0&amp;row=410&amp;col=12&amp;number=0.0007578&amp;sourceID=30","0.0007578")</f>
        <v>0.0007578</v>
      </c>
      <c r="M410" s="4" t="str">
        <f>HYPERLINK("http://141.218.60.56/~jnz1568/getInfo.php?workbook=03_02.xlsx&amp;sheet=A0&amp;row=410&amp;col=13&amp;number=4.14e-13&amp;sourceID=30","4.14e-13")</f>
        <v>4.14e-13</v>
      </c>
      <c r="N410" s="4" t="str">
        <f>HYPERLINK("http://141.218.60.56/~jnz1568/getInfo.php?workbook=03_02.xlsx&amp;sheet=A0&amp;row=410&amp;col=14&amp;number=&amp;sourceID=30","")</f>
        <v/>
      </c>
    </row>
    <row r="411" spans="1:14">
      <c r="A411" s="3">
        <v>3</v>
      </c>
      <c r="B411" s="3">
        <v>2</v>
      </c>
      <c r="C411" s="3">
        <v>32</v>
      </c>
      <c r="D411" s="3">
        <v>27</v>
      </c>
      <c r="E411" s="3">
        <f>((1/(INDEX(E0!J$4:J$52,C411,1)-INDEX(E0!J$4:J$52,D411,1))))*100000000</f>
        <v>0</v>
      </c>
      <c r="F411" s="4" t="str">
        <f>HYPERLINK("http://141.218.60.56/~jnz1568/getInfo.php?workbook=03_02.xlsx&amp;sheet=A0&amp;row=411&amp;col=6&amp;number=&amp;sourceID=27","")</f>
        <v/>
      </c>
      <c r="G411" s="4" t="str">
        <f>HYPERLINK("http://141.218.60.56/~jnz1568/getInfo.php?workbook=03_02.xlsx&amp;sheet=A0&amp;row=411&amp;col=7&amp;number=&amp;sourceID=15","")</f>
        <v/>
      </c>
      <c r="H411" s="4" t="str">
        <f>HYPERLINK("http://141.218.60.56/~jnz1568/getInfo.php?workbook=03_02.xlsx&amp;sheet=A0&amp;row=411&amp;col=8&amp;number=&amp;sourceID=15","")</f>
        <v/>
      </c>
      <c r="I411" s="4" t="str">
        <f>HYPERLINK("http://141.218.60.56/~jnz1568/getInfo.php?workbook=03_02.xlsx&amp;sheet=A0&amp;row=411&amp;col=9&amp;number=&amp;sourceID=15","")</f>
        <v/>
      </c>
      <c r="J411" s="4" t="str">
        <f>HYPERLINK("http://141.218.60.56/~jnz1568/getInfo.php?workbook=03_02.xlsx&amp;sheet=A0&amp;row=411&amp;col=10&amp;number=&amp;sourceID=15","")</f>
        <v/>
      </c>
      <c r="K411" s="4" t="str">
        <f>HYPERLINK("http://141.218.60.56/~jnz1568/getInfo.php?workbook=03_02.xlsx&amp;sheet=A0&amp;row=411&amp;col=11&amp;number=0.0002726&amp;sourceID=30","0.0002726")</f>
        <v>0.0002726</v>
      </c>
      <c r="L411" s="4" t="str">
        <f>HYPERLINK("http://141.218.60.56/~jnz1568/getInfo.php?workbook=03_02.xlsx&amp;sheet=A0&amp;row=411&amp;col=12&amp;number=&amp;sourceID=30","")</f>
        <v/>
      </c>
      <c r="M411" s="4" t="str">
        <f>HYPERLINK("http://141.218.60.56/~jnz1568/getInfo.php?workbook=03_02.xlsx&amp;sheet=A0&amp;row=411&amp;col=13&amp;number=&amp;sourceID=30","")</f>
        <v/>
      </c>
      <c r="N411" s="4" t="str">
        <f>HYPERLINK("http://141.218.60.56/~jnz1568/getInfo.php?workbook=03_02.xlsx&amp;sheet=A0&amp;row=411&amp;col=14&amp;number=0&amp;sourceID=30","0")</f>
        <v>0</v>
      </c>
    </row>
    <row r="412" spans="1:14">
      <c r="A412" s="3">
        <v>3</v>
      </c>
      <c r="B412" s="3">
        <v>2</v>
      </c>
      <c r="C412" s="3">
        <v>32</v>
      </c>
      <c r="D412" s="3">
        <v>28</v>
      </c>
      <c r="E412" s="3">
        <f>((1/(INDEX(E0!J$4:J$52,C412,1)-INDEX(E0!J$4:J$52,D412,1))))*100000000</f>
        <v>0</v>
      </c>
      <c r="F412" s="4" t="str">
        <f>HYPERLINK("http://141.218.60.56/~jnz1568/getInfo.php?workbook=03_02.xlsx&amp;sheet=A0&amp;row=412&amp;col=6&amp;number=&amp;sourceID=27","")</f>
        <v/>
      </c>
      <c r="G412" s="4" t="str">
        <f>HYPERLINK("http://141.218.60.56/~jnz1568/getInfo.php?workbook=03_02.xlsx&amp;sheet=A0&amp;row=412&amp;col=7&amp;number=&amp;sourceID=15","")</f>
        <v/>
      </c>
      <c r="H412" s="4" t="str">
        <f>HYPERLINK("http://141.218.60.56/~jnz1568/getInfo.php?workbook=03_02.xlsx&amp;sheet=A0&amp;row=412&amp;col=8&amp;number=&amp;sourceID=15","")</f>
        <v/>
      </c>
      <c r="I412" s="4" t="str">
        <f>HYPERLINK("http://141.218.60.56/~jnz1568/getInfo.php?workbook=03_02.xlsx&amp;sheet=A0&amp;row=412&amp;col=9&amp;number=&amp;sourceID=15","")</f>
        <v/>
      </c>
      <c r="J412" s="4" t="str">
        <f>HYPERLINK("http://141.218.60.56/~jnz1568/getInfo.php?workbook=03_02.xlsx&amp;sheet=A0&amp;row=412&amp;col=10&amp;number=&amp;sourceID=15","")</f>
        <v/>
      </c>
      <c r="K412" s="4" t="str">
        <f>HYPERLINK("http://141.218.60.56/~jnz1568/getInfo.php?workbook=03_02.xlsx&amp;sheet=A0&amp;row=412&amp;col=11&amp;number=&amp;sourceID=30","")</f>
        <v/>
      </c>
      <c r="L412" s="4" t="str">
        <f>HYPERLINK("http://141.218.60.56/~jnz1568/getInfo.php?workbook=03_02.xlsx&amp;sheet=A0&amp;row=412&amp;col=12&amp;number=&amp;sourceID=30","")</f>
        <v/>
      </c>
      <c r="M412" s="4" t="str">
        <f>HYPERLINK("http://141.218.60.56/~jnz1568/getInfo.php?workbook=03_02.xlsx&amp;sheet=A0&amp;row=412&amp;col=13&amp;number=&amp;sourceID=30","")</f>
        <v/>
      </c>
      <c r="N412" s="4" t="str">
        <f>HYPERLINK("http://141.218.60.56/~jnz1568/getInfo.php?workbook=03_02.xlsx&amp;sheet=A0&amp;row=412&amp;col=14&amp;number=0&amp;sourceID=30","0")</f>
        <v>0</v>
      </c>
    </row>
    <row r="413" spans="1:14">
      <c r="A413" s="3">
        <v>3</v>
      </c>
      <c r="B413" s="3">
        <v>2</v>
      </c>
      <c r="C413" s="3">
        <v>32</v>
      </c>
      <c r="D413" s="3">
        <v>30</v>
      </c>
      <c r="E413" s="3">
        <f>((1/(INDEX(E0!J$4:J$52,C413,1)-INDEX(E0!J$4:J$52,D413,1))))*100000000</f>
        <v>0</v>
      </c>
      <c r="F413" s="4" t="str">
        <f>HYPERLINK("http://141.218.60.56/~jnz1568/getInfo.php?workbook=03_02.xlsx&amp;sheet=A0&amp;row=413&amp;col=6&amp;number=&amp;sourceID=27","")</f>
        <v/>
      </c>
      <c r="G413" s="4" t="str">
        <f>HYPERLINK("http://141.218.60.56/~jnz1568/getInfo.php?workbook=03_02.xlsx&amp;sheet=A0&amp;row=413&amp;col=7&amp;number=&amp;sourceID=15","")</f>
        <v/>
      </c>
      <c r="H413" s="4" t="str">
        <f>HYPERLINK("http://141.218.60.56/~jnz1568/getInfo.php?workbook=03_02.xlsx&amp;sheet=A0&amp;row=413&amp;col=8&amp;number=&amp;sourceID=15","")</f>
        <v/>
      </c>
      <c r="I413" s="4" t="str">
        <f>HYPERLINK("http://141.218.60.56/~jnz1568/getInfo.php?workbook=03_02.xlsx&amp;sheet=A0&amp;row=413&amp;col=9&amp;number=&amp;sourceID=15","")</f>
        <v/>
      </c>
      <c r="J413" s="4" t="str">
        <f>HYPERLINK("http://141.218.60.56/~jnz1568/getInfo.php?workbook=03_02.xlsx&amp;sheet=A0&amp;row=413&amp;col=10&amp;number=&amp;sourceID=15","")</f>
        <v/>
      </c>
      <c r="K413" s="4" t="str">
        <f>HYPERLINK("http://141.218.60.56/~jnz1568/getInfo.php?workbook=03_02.xlsx&amp;sheet=A0&amp;row=413&amp;col=11&amp;number=&amp;sourceID=30","")</f>
        <v/>
      </c>
      <c r="L413" s="4" t="str">
        <f>HYPERLINK("http://141.218.60.56/~jnz1568/getInfo.php?workbook=03_02.xlsx&amp;sheet=A0&amp;row=413&amp;col=12&amp;number=&amp;sourceID=30","")</f>
        <v/>
      </c>
      <c r="M413" s="4" t="str">
        <f>HYPERLINK("http://141.218.60.56/~jnz1568/getInfo.php?workbook=03_02.xlsx&amp;sheet=A0&amp;row=413&amp;col=13&amp;number=&amp;sourceID=30","")</f>
        <v/>
      </c>
      <c r="N413" s="4" t="str">
        <f>HYPERLINK("http://141.218.60.56/~jnz1568/getInfo.php?workbook=03_02.xlsx&amp;sheet=A0&amp;row=413&amp;col=14&amp;number=0&amp;sourceID=30","0")</f>
        <v>0</v>
      </c>
    </row>
    <row r="414" spans="1:14">
      <c r="A414" s="3">
        <v>3</v>
      </c>
      <c r="B414" s="3">
        <v>2</v>
      </c>
      <c r="C414" s="3">
        <v>32</v>
      </c>
      <c r="D414" s="3">
        <v>31</v>
      </c>
      <c r="E414" s="3">
        <f>((1/(INDEX(E0!J$4:J$52,C414,1)-INDEX(E0!J$4:J$52,D414,1))))*100000000</f>
        <v>0</v>
      </c>
      <c r="F414" s="4" t="str">
        <f>HYPERLINK("http://141.218.60.56/~jnz1568/getInfo.php?workbook=03_02.xlsx&amp;sheet=A0&amp;row=414&amp;col=6&amp;number=&amp;sourceID=27","")</f>
        <v/>
      </c>
      <c r="G414" s="4" t="str">
        <f>HYPERLINK("http://141.218.60.56/~jnz1568/getInfo.php?workbook=03_02.xlsx&amp;sheet=A0&amp;row=414&amp;col=7&amp;number=&amp;sourceID=15","")</f>
        <v/>
      </c>
      <c r="H414" s="4" t="str">
        <f>HYPERLINK("http://141.218.60.56/~jnz1568/getInfo.php?workbook=03_02.xlsx&amp;sheet=A0&amp;row=414&amp;col=8&amp;number=&amp;sourceID=15","")</f>
        <v/>
      </c>
      <c r="I414" s="4" t="str">
        <f>HYPERLINK("http://141.218.60.56/~jnz1568/getInfo.php?workbook=03_02.xlsx&amp;sheet=A0&amp;row=414&amp;col=9&amp;number=&amp;sourceID=15","")</f>
        <v/>
      </c>
      <c r="J414" s="4" t="str">
        <f>HYPERLINK("http://141.218.60.56/~jnz1568/getInfo.php?workbook=03_02.xlsx&amp;sheet=A0&amp;row=414&amp;col=10&amp;number=&amp;sourceID=15","")</f>
        <v/>
      </c>
      <c r="K414" s="4" t="str">
        <f>HYPERLINK("http://141.218.60.56/~jnz1568/getInfo.php?workbook=03_02.xlsx&amp;sheet=A0&amp;row=414&amp;col=11&amp;number=3.898&amp;sourceID=30","3.898")</f>
        <v>3.898</v>
      </c>
      <c r="L414" s="4" t="str">
        <f>HYPERLINK("http://141.218.60.56/~jnz1568/getInfo.php?workbook=03_02.xlsx&amp;sheet=A0&amp;row=414&amp;col=12&amp;number=&amp;sourceID=30","")</f>
        <v/>
      </c>
      <c r="M414" s="4" t="str">
        <f>HYPERLINK("http://141.218.60.56/~jnz1568/getInfo.php?workbook=03_02.xlsx&amp;sheet=A0&amp;row=414&amp;col=13&amp;number=&amp;sourceID=30","")</f>
        <v/>
      </c>
      <c r="N414" s="4" t="str">
        <f>HYPERLINK("http://141.218.60.56/~jnz1568/getInfo.php?workbook=03_02.xlsx&amp;sheet=A0&amp;row=414&amp;col=14&amp;number=4.823e-06&amp;sourceID=30","4.823e-06")</f>
        <v>4.823e-06</v>
      </c>
    </row>
    <row r="415" spans="1:14">
      <c r="A415" s="3">
        <v>3</v>
      </c>
      <c r="B415" s="3">
        <v>2</v>
      </c>
      <c r="C415" s="3">
        <v>33</v>
      </c>
      <c r="D415" s="3">
        <v>2</v>
      </c>
      <c r="E415" s="3">
        <f>((1/(INDEX(E0!J$4:J$52,C415,1)-INDEX(E0!J$4:J$52,D415,1))))*100000000</f>
        <v>0</v>
      </c>
      <c r="F415" s="4" t="str">
        <f>HYPERLINK("http://141.218.60.56/~jnz1568/getInfo.php?workbook=03_02.xlsx&amp;sheet=A0&amp;row=415&amp;col=6&amp;number=&amp;sourceID=27","")</f>
        <v/>
      </c>
      <c r="G415" s="4" t="str">
        <f>HYPERLINK("http://141.218.60.56/~jnz1568/getInfo.php?workbook=03_02.xlsx&amp;sheet=A0&amp;row=415&amp;col=7&amp;number=&amp;sourceID=15","")</f>
        <v/>
      </c>
      <c r="H415" s="4" t="str">
        <f>HYPERLINK("http://141.218.60.56/~jnz1568/getInfo.php?workbook=03_02.xlsx&amp;sheet=A0&amp;row=415&amp;col=8&amp;number=&amp;sourceID=15","")</f>
        <v/>
      </c>
      <c r="I415" s="4" t="str">
        <f>HYPERLINK("http://141.218.60.56/~jnz1568/getInfo.php?workbook=03_02.xlsx&amp;sheet=A0&amp;row=415&amp;col=9&amp;number=&amp;sourceID=15","")</f>
        <v/>
      </c>
      <c r="J415" s="4" t="str">
        <f>HYPERLINK("http://141.218.60.56/~jnz1568/getInfo.php?workbook=03_02.xlsx&amp;sheet=A0&amp;row=415&amp;col=10&amp;number=&amp;sourceID=15","")</f>
        <v/>
      </c>
      <c r="K415" s="4" t="str">
        <f>HYPERLINK("http://141.218.60.56/~jnz1568/getInfo.php?workbook=03_02.xlsx&amp;sheet=A0&amp;row=415&amp;col=11&amp;number=&amp;sourceID=30","")</f>
        <v/>
      </c>
      <c r="L415" s="4" t="str">
        <f>HYPERLINK("http://141.218.60.56/~jnz1568/getInfo.php?workbook=03_02.xlsx&amp;sheet=A0&amp;row=415&amp;col=12&amp;number=&amp;sourceID=30","")</f>
        <v/>
      </c>
      <c r="M415" s="4" t="str">
        <f>HYPERLINK("http://141.218.60.56/~jnz1568/getInfo.php?workbook=03_02.xlsx&amp;sheet=A0&amp;row=415&amp;col=13&amp;number=1.967e-06&amp;sourceID=30","1.967e-06")</f>
        <v>1.967e-06</v>
      </c>
      <c r="N415" s="4" t="str">
        <f>HYPERLINK("http://141.218.60.56/~jnz1568/getInfo.php?workbook=03_02.xlsx&amp;sheet=A0&amp;row=415&amp;col=14&amp;number=&amp;sourceID=30","")</f>
        <v/>
      </c>
    </row>
    <row r="416" spans="1:14">
      <c r="A416" s="3">
        <v>3</v>
      </c>
      <c r="B416" s="3">
        <v>2</v>
      </c>
      <c r="C416" s="3">
        <v>33</v>
      </c>
      <c r="D416" s="3">
        <v>4</v>
      </c>
      <c r="E416" s="3">
        <f>((1/(INDEX(E0!J$4:J$52,C416,1)-INDEX(E0!J$4:J$52,D416,1))))*100000000</f>
        <v>0</v>
      </c>
      <c r="F416" s="4" t="str">
        <f>HYPERLINK("http://141.218.60.56/~jnz1568/getInfo.php?workbook=03_02.xlsx&amp;sheet=A0&amp;row=416&amp;col=6&amp;number=&amp;sourceID=27","")</f>
        <v/>
      </c>
      <c r="G416" s="4" t="str">
        <f>HYPERLINK("http://141.218.60.56/~jnz1568/getInfo.php?workbook=03_02.xlsx&amp;sheet=A0&amp;row=416&amp;col=7&amp;number=&amp;sourceID=15","")</f>
        <v/>
      </c>
      <c r="H416" s="4" t="str">
        <f>HYPERLINK("http://141.218.60.56/~jnz1568/getInfo.php?workbook=03_02.xlsx&amp;sheet=A0&amp;row=416&amp;col=8&amp;number=&amp;sourceID=15","")</f>
        <v/>
      </c>
      <c r="I416" s="4" t="str">
        <f>HYPERLINK("http://141.218.60.56/~jnz1568/getInfo.php?workbook=03_02.xlsx&amp;sheet=A0&amp;row=416&amp;col=9&amp;number=&amp;sourceID=15","")</f>
        <v/>
      </c>
      <c r="J416" s="4" t="str">
        <f>HYPERLINK("http://141.218.60.56/~jnz1568/getInfo.php?workbook=03_02.xlsx&amp;sheet=A0&amp;row=416&amp;col=10&amp;number=&amp;sourceID=15","")</f>
        <v/>
      </c>
      <c r="K416" s="4" t="str">
        <f>HYPERLINK("http://141.218.60.56/~jnz1568/getInfo.php?workbook=03_02.xlsx&amp;sheet=A0&amp;row=416&amp;col=11&amp;number=49.23&amp;sourceID=30","49.23")</f>
        <v>49.23</v>
      </c>
      <c r="L416" s="4" t="str">
        <f>HYPERLINK("http://141.218.60.56/~jnz1568/getInfo.php?workbook=03_02.xlsx&amp;sheet=A0&amp;row=416&amp;col=12&amp;number=&amp;sourceID=30","")</f>
        <v/>
      </c>
      <c r="M416" s="4" t="str">
        <f>HYPERLINK("http://141.218.60.56/~jnz1568/getInfo.php?workbook=03_02.xlsx&amp;sheet=A0&amp;row=416&amp;col=13&amp;number=&amp;sourceID=30","")</f>
        <v/>
      </c>
      <c r="N416" s="4" t="str">
        <f>HYPERLINK("http://141.218.60.56/~jnz1568/getInfo.php?workbook=03_02.xlsx&amp;sheet=A0&amp;row=416&amp;col=14&amp;number=&amp;sourceID=30","")</f>
        <v/>
      </c>
    </row>
    <row r="417" spans="1:14">
      <c r="A417" s="3">
        <v>3</v>
      </c>
      <c r="B417" s="3">
        <v>2</v>
      </c>
      <c r="C417" s="3">
        <v>33</v>
      </c>
      <c r="D417" s="3">
        <v>5</v>
      </c>
      <c r="E417" s="3">
        <f>((1/(INDEX(E0!J$4:J$52,C417,1)-INDEX(E0!J$4:J$52,D417,1))))*100000000</f>
        <v>0</v>
      </c>
      <c r="F417" s="4" t="str">
        <f>HYPERLINK("http://141.218.60.56/~jnz1568/getInfo.php?workbook=03_02.xlsx&amp;sheet=A0&amp;row=417&amp;col=6&amp;number=&amp;sourceID=27","")</f>
        <v/>
      </c>
      <c r="G417" s="4" t="str">
        <f>HYPERLINK("http://141.218.60.56/~jnz1568/getInfo.php?workbook=03_02.xlsx&amp;sheet=A0&amp;row=417&amp;col=7&amp;number=&amp;sourceID=15","")</f>
        <v/>
      </c>
      <c r="H417" s="4" t="str">
        <f>HYPERLINK("http://141.218.60.56/~jnz1568/getInfo.php?workbook=03_02.xlsx&amp;sheet=A0&amp;row=417&amp;col=8&amp;number=&amp;sourceID=15","")</f>
        <v/>
      </c>
      <c r="I417" s="4" t="str">
        <f>HYPERLINK("http://141.218.60.56/~jnz1568/getInfo.php?workbook=03_02.xlsx&amp;sheet=A0&amp;row=417&amp;col=9&amp;number=&amp;sourceID=15","")</f>
        <v/>
      </c>
      <c r="J417" s="4" t="str">
        <f>HYPERLINK("http://141.218.60.56/~jnz1568/getInfo.php?workbook=03_02.xlsx&amp;sheet=A0&amp;row=417&amp;col=10&amp;number=&amp;sourceID=15","")</f>
        <v/>
      </c>
      <c r="K417" s="4" t="str">
        <f>HYPERLINK("http://141.218.60.56/~jnz1568/getInfo.php?workbook=03_02.xlsx&amp;sheet=A0&amp;row=417&amp;col=11&amp;number=&amp;sourceID=30","")</f>
        <v/>
      </c>
      <c r="L417" s="4" t="str">
        <f>HYPERLINK("http://141.218.60.56/~jnz1568/getInfo.php?workbook=03_02.xlsx&amp;sheet=A0&amp;row=417&amp;col=12&amp;number=&amp;sourceID=30","")</f>
        <v/>
      </c>
      <c r="M417" s="4" t="str">
        <f>HYPERLINK("http://141.218.60.56/~jnz1568/getInfo.php?workbook=03_02.xlsx&amp;sheet=A0&amp;row=417&amp;col=13&amp;number=&amp;sourceID=30","")</f>
        <v/>
      </c>
      <c r="N417" s="4" t="str">
        <f>HYPERLINK("http://141.218.60.56/~jnz1568/getInfo.php?workbook=03_02.xlsx&amp;sheet=A0&amp;row=417&amp;col=14&amp;number=0.00133&amp;sourceID=30","0.00133")</f>
        <v>0.00133</v>
      </c>
    </row>
    <row r="418" spans="1:14">
      <c r="A418" s="3">
        <v>3</v>
      </c>
      <c r="B418" s="3">
        <v>2</v>
      </c>
      <c r="C418" s="3">
        <v>33</v>
      </c>
      <c r="D418" s="3">
        <v>7</v>
      </c>
      <c r="E418" s="3">
        <f>((1/(INDEX(E0!J$4:J$52,C418,1)-INDEX(E0!J$4:J$52,D418,1))))*100000000</f>
        <v>0</v>
      </c>
      <c r="F418" s="4" t="str">
        <f>HYPERLINK("http://141.218.60.56/~jnz1568/getInfo.php?workbook=03_02.xlsx&amp;sheet=A0&amp;row=418&amp;col=6&amp;number=&amp;sourceID=27","")</f>
        <v/>
      </c>
      <c r="G418" s="4" t="str">
        <f>HYPERLINK("http://141.218.60.56/~jnz1568/getInfo.php?workbook=03_02.xlsx&amp;sheet=A0&amp;row=418&amp;col=7&amp;number=39149000&amp;sourceID=15","39149000")</f>
        <v>39149000</v>
      </c>
      <c r="H418" s="4" t="str">
        <f>HYPERLINK("http://141.218.60.56/~jnz1568/getInfo.php?workbook=03_02.xlsx&amp;sheet=A0&amp;row=418&amp;col=8&amp;number=&amp;sourceID=15","")</f>
        <v/>
      </c>
      <c r="I418" s="4" t="str">
        <f>HYPERLINK("http://141.218.60.56/~jnz1568/getInfo.php?workbook=03_02.xlsx&amp;sheet=A0&amp;row=418&amp;col=9&amp;number=&amp;sourceID=15","")</f>
        <v/>
      </c>
      <c r="J418" s="4" t="str">
        <f>HYPERLINK("http://141.218.60.56/~jnz1568/getInfo.php?workbook=03_02.xlsx&amp;sheet=A0&amp;row=418&amp;col=10&amp;number=&amp;sourceID=15","")</f>
        <v/>
      </c>
      <c r="K418" s="4" t="str">
        <f>HYPERLINK("http://141.218.60.56/~jnz1568/getInfo.php?workbook=03_02.xlsx&amp;sheet=A0&amp;row=418&amp;col=11&amp;number=184800000&amp;sourceID=30","184800000")</f>
        <v>184800000</v>
      </c>
      <c r="L418" s="4" t="str">
        <f>HYPERLINK("http://141.218.60.56/~jnz1568/getInfo.php?workbook=03_02.xlsx&amp;sheet=A0&amp;row=418&amp;col=12&amp;number=&amp;sourceID=30","")</f>
        <v/>
      </c>
      <c r="M418" s="4" t="str">
        <f>HYPERLINK("http://141.218.60.56/~jnz1568/getInfo.php?workbook=03_02.xlsx&amp;sheet=A0&amp;row=418&amp;col=13&amp;number=&amp;sourceID=30","")</f>
        <v/>
      </c>
      <c r="N418" s="4" t="str">
        <f>HYPERLINK("http://141.218.60.56/~jnz1568/getInfo.php?workbook=03_02.xlsx&amp;sheet=A0&amp;row=418&amp;col=14&amp;number=&amp;sourceID=30","")</f>
        <v/>
      </c>
    </row>
    <row r="419" spans="1:14">
      <c r="A419" s="3">
        <v>3</v>
      </c>
      <c r="B419" s="3">
        <v>2</v>
      </c>
      <c r="C419" s="3">
        <v>33</v>
      </c>
      <c r="D419" s="3">
        <v>8</v>
      </c>
      <c r="E419" s="3">
        <f>((1/(INDEX(E0!J$4:J$52,C419,1)-INDEX(E0!J$4:J$52,D419,1))))*100000000</f>
        <v>0</v>
      </c>
      <c r="F419" s="4" t="str">
        <f>HYPERLINK("http://141.218.60.56/~jnz1568/getInfo.php?workbook=03_02.xlsx&amp;sheet=A0&amp;row=419&amp;col=6&amp;number=&amp;sourceID=27","")</f>
        <v/>
      </c>
      <c r="G419" s="4" t="str">
        <f>HYPERLINK("http://141.218.60.56/~jnz1568/getInfo.php?workbook=03_02.xlsx&amp;sheet=A0&amp;row=419&amp;col=7&amp;number=&amp;sourceID=15","")</f>
        <v/>
      </c>
      <c r="H419" s="4" t="str">
        <f>HYPERLINK("http://141.218.60.56/~jnz1568/getInfo.php?workbook=03_02.xlsx&amp;sheet=A0&amp;row=419&amp;col=8&amp;number=&amp;sourceID=15","")</f>
        <v/>
      </c>
      <c r="I419" s="4" t="str">
        <f>HYPERLINK("http://141.218.60.56/~jnz1568/getInfo.php?workbook=03_02.xlsx&amp;sheet=A0&amp;row=419&amp;col=9&amp;number=&amp;sourceID=15","")</f>
        <v/>
      </c>
      <c r="J419" s="4" t="str">
        <f>HYPERLINK("http://141.218.60.56/~jnz1568/getInfo.php?workbook=03_02.xlsx&amp;sheet=A0&amp;row=419&amp;col=10&amp;number=&amp;sourceID=15","")</f>
        <v/>
      </c>
      <c r="K419" s="4" t="str">
        <f>HYPERLINK("http://141.218.60.56/~jnz1568/getInfo.php?workbook=03_02.xlsx&amp;sheet=A0&amp;row=419&amp;col=11&amp;number=&amp;sourceID=30","")</f>
        <v/>
      </c>
      <c r="L419" s="4" t="str">
        <f>HYPERLINK("http://141.218.60.56/~jnz1568/getInfo.php?workbook=03_02.xlsx&amp;sheet=A0&amp;row=419&amp;col=12&amp;number=&amp;sourceID=30","")</f>
        <v/>
      </c>
      <c r="M419" s="4" t="str">
        <f>HYPERLINK("http://141.218.60.56/~jnz1568/getInfo.php?workbook=03_02.xlsx&amp;sheet=A0&amp;row=419&amp;col=13&amp;number=2.045e-07&amp;sourceID=30","2.045e-07")</f>
        <v>2.045e-07</v>
      </c>
      <c r="N419" s="4" t="str">
        <f>HYPERLINK("http://141.218.60.56/~jnz1568/getInfo.php?workbook=03_02.xlsx&amp;sheet=A0&amp;row=419&amp;col=14&amp;number=&amp;sourceID=30","")</f>
        <v/>
      </c>
    </row>
    <row r="420" spans="1:14">
      <c r="A420" s="3">
        <v>3</v>
      </c>
      <c r="B420" s="3">
        <v>2</v>
      </c>
      <c r="C420" s="3">
        <v>33</v>
      </c>
      <c r="D420" s="3">
        <v>10</v>
      </c>
      <c r="E420" s="3">
        <f>((1/(INDEX(E0!J$4:J$52,C420,1)-INDEX(E0!J$4:J$52,D420,1))))*100000000</f>
        <v>0</v>
      </c>
      <c r="F420" s="4" t="str">
        <f>HYPERLINK("http://141.218.60.56/~jnz1568/getInfo.php?workbook=03_02.xlsx&amp;sheet=A0&amp;row=420&amp;col=6&amp;number=&amp;sourceID=27","")</f>
        <v/>
      </c>
      <c r="G420" s="4" t="str">
        <f>HYPERLINK("http://141.218.60.56/~jnz1568/getInfo.php?workbook=03_02.xlsx&amp;sheet=A0&amp;row=420&amp;col=7&amp;number=&amp;sourceID=15","")</f>
        <v/>
      </c>
      <c r="H420" s="4" t="str">
        <f>HYPERLINK("http://141.218.60.56/~jnz1568/getInfo.php?workbook=03_02.xlsx&amp;sheet=A0&amp;row=420&amp;col=8&amp;number=&amp;sourceID=15","")</f>
        <v/>
      </c>
      <c r="I420" s="4" t="str">
        <f>HYPERLINK("http://141.218.60.56/~jnz1568/getInfo.php?workbook=03_02.xlsx&amp;sheet=A0&amp;row=420&amp;col=9&amp;number=&amp;sourceID=15","")</f>
        <v/>
      </c>
      <c r="J420" s="4" t="str">
        <f>HYPERLINK("http://141.218.60.56/~jnz1568/getInfo.php?workbook=03_02.xlsx&amp;sheet=A0&amp;row=420&amp;col=10&amp;number=&amp;sourceID=15","")</f>
        <v/>
      </c>
      <c r="K420" s="4" t="str">
        <f>HYPERLINK("http://141.218.60.56/~jnz1568/getInfo.php?workbook=03_02.xlsx&amp;sheet=A0&amp;row=420&amp;col=11&amp;number=13.03&amp;sourceID=30","13.03")</f>
        <v>13.03</v>
      </c>
      <c r="L420" s="4" t="str">
        <f>HYPERLINK("http://141.218.60.56/~jnz1568/getInfo.php?workbook=03_02.xlsx&amp;sheet=A0&amp;row=420&amp;col=12&amp;number=&amp;sourceID=30","")</f>
        <v/>
      </c>
      <c r="M420" s="4" t="str">
        <f>HYPERLINK("http://141.218.60.56/~jnz1568/getInfo.php?workbook=03_02.xlsx&amp;sheet=A0&amp;row=420&amp;col=13&amp;number=&amp;sourceID=30","")</f>
        <v/>
      </c>
      <c r="N420" s="4" t="str">
        <f>HYPERLINK("http://141.218.60.56/~jnz1568/getInfo.php?workbook=03_02.xlsx&amp;sheet=A0&amp;row=420&amp;col=14&amp;number=&amp;sourceID=30","")</f>
        <v/>
      </c>
    </row>
    <row r="421" spans="1:14">
      <c r="A421" s="3">
        <v>3</v>
      </c>
      <c r="B421" s="3">
        <v>2</v>
      </c>
      <c r="C421" s="3">
        <v>33</v>
      </c>
      <c r="D421" s="3">
        <v>11</v>
      </c>
      <c r="E421" s="3">
        <f>((1/(INDEX(E0!J$4:J$52,C421,1)-INDEX(E0!J$4:J$52,D421,1))))*100000000</f>
        <v>0</v>
      </c>
      <c r="F421" s="4" t="str">
        <f>HYPERLINK("http://141.218.60.56/~jnz1568/getInfo.php?workbook=03_02.xlsx&amp;sheet=A0&amp;row=421&amp;col=6&amp;number=&amp;sourceID=27","")</f>
        <v/>
      </c>
      <c r="G421" s="4" t="str">
        <f>HYPERLINK("http://141.218.60.56/~jnz1568/getInfo.php?workbook=03_02.xlsx&amp;sheet=A0&amp;row=421&amp;col=7&amp;number=&amp;sourceID=15","")</f>
        <v/>
      </c>
      <c r="H421" s="4" t="str">
        <f>HYPERLINK("http://141.218.60.56/~jnz1568/getInfo.php?workbook=03_02.xlsx&amp;sheet=A0&amp;row=421&amp;col=8&amp;number=&amp;sourceID=15","")</f>
        <v/>
      </c>
      <c r="I421" s="4" t="str">
        <f>HYPERLINK("http://141.218.60.56/~jnz1568/getInfo.php?workbook=03_02.xlsx&amp;sheet=A0&amp;row=421&amp;col=9&amp;number=&amp;sourceID=15","")</f>
        <v/>
      </c>
      <c r="J421" s="4" t="str">
        <f>HYPERLINK("http://141.218.60.56/~jnz1568/getInfo.php?workbook=03_02.xlsx&amp;sheet=A0&amp;row=421&amp;col=10&amp;number=&amp;sourceID=15","")</f>
        <v/>
      </c>
      <c r="K421" s="4" t="str">
        <f>HYPERLINK("http://141.218.60.56/~jnz1568/getInfo.php?workbook=03_02.xlsx&amp;sheet=A0&amp;row=421&amp;col=11&amp;number=&amp;sourceID=30","")</f>
        <v/>
      </c>
      <c r="L421" s="4" t="str">
        <f>HYPERLINK("http://141.218.60.56/~jnz1568/getInfo.php?workbook=03_02.xlsx&amp;sheet=A0&amp;row=421&amp;col=12&amp;number=&amp;sourceID=30","")</f>
        <v/>
      </c>
      <c r="M421" s="4" t="str">
        <f>HYPERLINK("http://141.218.60.56/~jnz1568/getInfo.php?workbook=03_02.xlsx&amp;sheet=A0&amp;row=421&amp;col=13&amp;number=&amp;sourceID=30","")</f>
        <v/>
      </c>
      <c r="N421" s="4" t="str">
        <f>HYPERLINK("http://141.218.60.56/~jnz1568/getInfo.php?workbook=03_02.xlsx&amp;sheet=A0&amp;row=421&amp;col=14&amp;number=0.0001307&amp;sourceID=30","0.0001307")</f>
        <v>0.0001307</v>
      </c>
    </row>
    <row r="422" spans="1:14">
      <c r="A422" s="3">
        <v>3</v>
      </c>
      <c r="B422" s="3">
        <v>2</v>
      </c>
      <c r="C422" s="3">
        <v>33</v>
      </c>
      <c r="D422" s="3">
        <v>13</v>
      </c>
      <c r="E422" s="3">
        <f>((1/(INDEX(E0!J$4:J$52,C422,1)-INDEX(E0!J$4:J$52,D422,1))))*100000000</f>
        <v>0</v>
      </c>
      <c r="F422" s="4" t="str">
        <f>HYPERLINK("http://141.218.60.56/~jnz1568/getInfo.php?workbook=03_02.xlsx&amp;sheet=A0&amp;row=422&amp;col=6&amp;number=&amp;sourceID=27","")</f>
        <v/>
      </c>
      <c r="G422" s="4" t="str">
        <f>HYPERLINK("http://141.218.60.56/~jnz1568/getInfo.php?workbook=03_02.xlsx&amp;sheet=A0&amp;row=422&amp;col=7&amp;number=&amp;sourceID=15","")</f>
        <v/>
      </c>
      <c r="H422" s="4" t="str">
        <f>HYPERLINK("http://141.218.60.56/~jnz1568/getInfo.php?workbook=03_02.xlsx&amp;sheet=A0&amp;row=422&amp;col=8&amp;number=&amp;sourceID=15","")</f>
        <v/>
      </c>
      <c r="I422" s="4" t="str">
        <f>HYPERLINK("http://141.218.60.56/~jnz1568/getInfo.php?workbook=03_02.xlsx&amp;sheet=A0&amp;row=422&amp;col=9&amp;number=&amp;sourceID=15","")</f>
        <v/>
      </c>
      <c r="J422" s="4" t="str">
        <f>HYPERLINK("http://141.218.60.56/~jnz1568/getInfo.php?workbook=03_02.xlsx&amp;sheet=A0&amp;row=422&amp;col=10&amp;number=&amp;sourceID=15","")</f>
        <v/>
      </c>
      <c r="K422" s="4" t="str">
        <f>HYPERLINK("http://141.218.60.56/~jnz1568/getInfo.php?workbook=03_02.xlsx&amp;sheet=A0&amp;row=422&amp;col=11&amp;number=&amp;sourceID=30","")</f>
        <v/>
      </c>
      <c r="L422" s="4" t="str">
        <f>HYPERLINK("http://141.218.60.56/~jnz1568/getInfo.php?workbook=03_02.xlsx&amp;sheet=A0&amp;row=422&amp;col=12&amp;number=0.0118&amp;sourceID=30","0.0118")</f>
        <v>0.0118</v>
      </c>
      <c r="M422" s="4" t="str">
        <f>HYPERLINK("http://141.218.60.56/~jnz1568/getInfo.php?workbook=03_02.xlsx&amp;sheet=A0&amp;row=422&amp;col=13&amp;number=&amp;sourceID=30","")</f>
        <v/>
      </c>
      <c r="N422" s="4" t="str">
        <f>HYPERLINK("http://141.218.60.56/~jnz1568/getInfo.php?workbook=03_02.xlsx&amp;sheet=A0&amp;row=422&amp;col=14&amp;number=&amp;sourceID=30","")</f>
        <v/>
      </c>
    </row>
    <row r="423" spans="1:14">
      <c r="A423" s="3">
        <v>3</v>
      </c>
      <c r="B423" s="3">
        <v>2</v>
      </c>
      <c r="C423" s="3">
        <v>33</v>
      </c>
      <c r="D423" s="3">
        <v>15</v>
      </c>
      <c r="E423" s="3">
        <f>((1/(INDEX(E0!J$4:J$52,C423,1)-INDEX(E0!J$4:J$52,D423,1))))*100000000</f>
        <v>0</v>
      </c>
      <c r="F423" s="4" t="str">
        <f>HYPERLINK("http://141.218.60.56/~jnz1568/getInfo.php?workbook=03_02.xlsx&amp;sheet=A0&amp;row=423&amp;col=6&amp;number=&amp;sourceID=27","")</f>
        <v/>
      </c>
      <c r="G423" s="4" t="str">
        <f>HYPERLINK("http://141.218.60.56/~jnz1568/getInfo.php?workbook=03_02.xlsx&amp;sheet=A0&amp;row=423&amp;col=7&amp;number=&amp;sourceID=15","")</f>
        <v/>
      </c>
      <c r="H423" s="4" t="str">
        <f>HYPERLINK("http://141.218.60.56/~jnz1568/getInfo.php?workbook=03_02.xlsx&amp;sheet=A0&amp;row=423&amp;col=8&amp;number=&amp;sourceID=15","")</f>
        <v/>
      </c>
      <c r="I423" s="4" t="str">
        <f>HYPERLINK("http://141.218.60.56/~jnz1568/getInfo.php?workbook=03_02.xlsx&amp;sheet=A0&amp;row=423&amp;col=9&amp;number=&amp;sourceID=15","")</f>
        <v/>
      </c>
      <c r="J423" s="4" t="str">
        <f>HYPERLINK("http://141.218.60.56/~jnz1568/getInfo.php?workbook=03_02.xlsx&amp;sheet=A0&amp;row=423&amp;col=10&amp;number=&amp;sourceID=15","")</f>
        <v/>
      </c>
      <c r="K423" s="4" t="str">
        <f>HYPERLINK("http://141.218.60.56/~jnz1568/getInfo.php?workbook=03_02.xlsx&amp;sheet=A0&amp;row=423&amp;col=11&amp;number=&amp;sourceID=30","")</f>
        <v/>
      </c>
      <c r="L423" s="4" t="str">
        <f>HYPERLINK("http://141.218.60.56/~jnz1568/getInfo.php?workbook=03_02.xlsx&amp;sheet=A0&amp;row=423&amp;col=12&amp;number=&amp;sourceID=30","")</f>
        <v/>
      </c>
      <c r="M423" s="4" t="str">
        <f>HYPERLINK("http://141.218.60.56/~jnz1568/getInfo.php?workbook=03_02.xlsx&amp;sheet=A0&amp;row=423&amp;col=13&amp;number=0&amp;sourceID=30","0")</f>
        <v>0</v>
      </c>
      <c r="N423" s="4" t="str">
        <f>HYPERLINK("http://141.218.60.56/~jnz1568/getInfo.php?workbook=03_02.xlsx&amp;sheet=A0&amp;row=423&amp;col=14&amp;number=&amp;sourceID=30","")</f>
        <v/>
      </c>
    </row>
    <row r="424" spans="1:14">
      <c r="A424" s="3">
        <v>3</v>
      </c>
      <c r="B424" s="3">
        <v>2</v>
      </c>
      <c r="C424" s="3">
        <v>33</v>
      </c>
      <c r="D424" s="3">
        <v>16</v>
      </c>
      <c r="E424" s="3">
        <f>((1/(INDEX(E0!J$4:J$52,C424,1)-INDEX(E0!J$4:J$52,D424,1))))*100000000</f>
        <v>0</v>
      </c>
      <c r="F424" s="4" t="str">
        <f>HYPERLINK("http://141.218.60.56/~jnz1568/getInfo.php?workbook=03_02.xlsx&amp;sheet=A0&amp;row=424&amp;col=6&amp;number=&amp;sourceID=27","")</f>
        <v/>
      </c>
      <c r="G424" s="4" t="str">
        <f>HYPERLINK("http://141.218.60.56/~jnz1568/getInfo.php?workbook=03_02.xlsx&amp;sheet=A0&amp;row=424&amp;col=7&amp;number=&amp;sourceID=15","")</f>
        <v/>
      </c>
      <c r="H424" s="4" t="str">
        <f>HYPERLINK("http://141.218.60.56/~jnz1568/getInfo.php?workbook=03_02.xlsx&amp;sheet=A0&amp;row=424&amp;col=8&amp;number=46.388&amp;sourceID=15","46.388")</f>
        <v>46.388</v>
      </c>
      <c r="I424" s="4" t="str">
        <f>HYPERLINK("http://141.218.60.56/~jnz1568/getInfo.php?workbook=03_02.xlsx&amp;sheet=A0&amp;row=424&amp;col=9&amp;number=&amp;sourceID=15","")</f>
        <v/>
      </c>
      <c r="J424" s="4" t="str">
        <f>HYPERLINK("http://141.218.60.56/~jnz1568/getInfo.php?workbook=03_02.xlsx&amp;sheet=A0&amp;row=424&amp;col=10&amp;number=&amp;sourceID=15","")</f>
        <v/>
      </c>
      <c r="K424" s="4" t="str">
        <f>HYPERLINK("http://141.218.60.56/~jnz1568/getInfo.php?workbook=03_02.xlsx&amp;sheet=A0&amp;row=424&amp;col=11&amp;number=&amp;sourceID=30","")</f>
        <v/>
      </c>
      <c r="L424" s="4" t="str">
        <f>HYPERLINK("http://141.218.60.56/~jnz1568/getInfo.php?workbook=03_02.xlsx&amp;sheet=A0&amp;row=424&amp;col=12&amp;number=69.71&amp;sourceID=30","69.71")</f>
        <v>69.71</v>
      </c>
      <c r="M424" s="4" t="str">
        <f>HYPERLINK("http://141.218.60.56/~jnz1568/getInfo.php?workbook=03_02.xlsx&amp;sheet=A0&amp;row=424&amp;col=13&amp;number=&amp;sourceID=30","")</f>
        <v/>
      </c>
      <c r="N424" s="4" t="str">
        <f>HYPERLINK("http://141.218.60.56/~jnz1568/getInfo.php?workbook=03_02.xlsx&amp;sheet=A0&amp;row=424&amp;col=14&amp;number=&amp;sourceID=30","")</f>
        <v/>
      </c>
    </row>
    <row r="425" spans="1:14">
      <c r="A425" s="3">
        <v>3</v>
      </c>
      <c r="B425" s="3">
        <v>2</v>
      </c>
      <c r="C425" s="3">
        <v>33</v>
      </c>
      <c r="D425" s="3">
        <v>17</v>
      </c>
      <c r="E425" s="3">
        <f>((1/(INDEX(E0!J$4:J$52,C425,1)-INDEX(E0!J$4:J$52,D425,1))))*100000000</f>
        <v>0</v>
      </c>
      <c r="F425" s="4" t="str">
        <f>HYPERLINK("http://141.218.60.56/~jnz1568/getInfo.php?workbook=03_02.xlsx&amp;sheet=A0&amp;row=425&amp;col=6&amp;number=&amp;sourceID=27","")</f>
        <v/>
      </c>
      <c r="G425" s="4" t="str">
        <f>HYPERLINK("http://141.218.60.56/~jnz1568/getInfo.php?workbook=03_02.xlsx&amp;sheet=A0&amp;row=425&amp;col=7&amp;number=25203000&amp;sourceID=15","25203000")</f>
        <v>25203000</v>
      </c>
      <c r="H425" s="4" t="str">
        <f>HYPERLINK("http://141.218.60.56/~jnz1568/getInfo.php?workbook=03_02.xlsx&amp;sheet=A0&amp;row=425&amp;col=8&amp;number=&amp;sourceID=15","")</f>
        <v/>
      </c>
      <c r="I425" s="4" t="str">
        <f>HYPERLINK("http://141.218.60.56/~jnz1568/getInfo.php?workbook=03_02.xlsx&amp;sheet=A0&amp;row=425&amp;col=9&amp;number=&amp;sourceID=15","")</f>
        <v/>
      </c>
      <c r="J425" s="4" t="str">
        <f>HYPERLINK("http://141.218.60.56/~jnz1568/getInfo.php?workbook=03_02.xlsx&amp;sheet=A0&amp;row=425&amp;col=10&amp;number=&amp;sourceID=15","")</f>
        <v/>
      </c>
      <c r="K425" s="4" t="str">
        <f>HYPERLINK("http://141.218.60.56/~jnz1568/getInfo.php?workbook=03_02.xlsx&amp;sheet=A0&amp;row=425&amp;col=11&amp;number=52250000&amp;sourceID=30","52250000")</f>
        <v>52250000</v>
      </c>
      <c r="L425" s="4" t="str">
        <f>HYPERLINK("http://141.218.60.56/~jnz1568/getInfo.php?workbook=03_02.xlsx&amp;sheet=A0&amp;row=425&amp;col=12&amp;number=&amp;sourceID=30","")</f>
        <v/>
      </c>
      <c r="M425" s="4" t="str">
        <f>HYPERLINK("http://141.218.60.56/~jnz1568/getInfo.php?workbook=03_02.xlsx&amp;sheet=A0&amp;row=425&amp;col=13&amp;number=&amp;sourceID=30","")</f>
        <v/>
      </c>
      <c r="N425" s="4" t="str">
        <f>HYPERLINK("http://141.218.60.56/~jnz1568/getInfo.php?workbook=03_02.xlsx&amp;sheet=A0&amp;row=425&amp;col=14&amp;number=&amp;sourceID=30","")</f>
        <v/>
      </c>
    </row>
    <row r="426" spans="1:14">
      <c r="A426" s="3">
        <v>3</v>
      </c>
      <c r="B426" s="3">
        <v>2</v>
      </c>
      <c r="C426" s="3">
        <v>33</v>
      </c>
      <c r="D426" s="3">
        <v>18</v>
      </c>
      <c r="E426" s="3">
        <f>((1/(INDEX(E0!J$4:J$52,C426,1)-INDEX(E0!J$4:J$52,D426,1))))*100000000</f>
        <v>0</v>
      </c>
      <c r="F426" s="4" t="str">
        <f>HYPERLINK("http://141.218.60.56/~jnz1568/getInfo.php?workbook=03_02.xlsx&amp;sheet=A0&amp;row=426&amp;col=6&amp;number=&amp;sourceID=27","")</f>
        <v/>
      </c>
      <c r="G426" s="4" t="str">
        <f>HYPERLINK("http://141.218.60.56/~jnz1568/getInfo.php?workbook=03_02.xlsx&amp;sheet=A0&amp;row=426&amp;col=7&amp;number=&amp;sourceID=15","")</f>
        <v/>
      </c>
      <c r="H426" s="4" t="str">
        <f>HYPERLINK("http://141.218.60.56/~jnz1568/getInfo.php?workbook=03_02.xlsx&amp;sheet=A0&amp;row=426&amp;col=8&amp;number=&amp;sourceID=15","")</f>
        <v/>
      </c>
      <c r="I426" s="4" t="str">
        <f>HYPERLINK("http://141.218.60.56/~jnz1568/getInfo.php?workbook=03_02.xlsx&amp;sheet=A0&amp;row=426&amp;col=9&amp;number=&amp;sourceID=15","")</f>
        <v/>
      </c>
      <c r="J426" s="4" t="str">
        <f>HYPERLINK("http://141.218.60.56/~jnz1568/getInfo.php?workbook=03_02.xlsx&amp;sheet=A0&amp;row=426&amp;col=10&amp;number=&amp;sourceID=15","")</f>
        <v/>
      </c>
      <c r="K426" s="4" t="str">
        <f>HYPERLINK("http://141.218.60.56/~jnz1568/getInfo.php?workbook=03_02.xlsx&amp;sheet=A0&amp;row=426&amp;col=11&amp;number=&amp;sourceID=30","")</f>
        <v/>
      </c>
      <c r="L426" s="4" t="str">
        <f>HYPERLINK("http://141.218.60.56/~jnz1568/getInfo.php?workbook=03_02.xlsx&amp;sheet=A0&amp;row=426&amp;col=12&amp;number=&amp;sourceID=30","")</f>
        <v/>
      </c>
      <c r="M426" s="4" t="str">
        <f>HYPERLINK("http://141.218.60.56/~jnz1568/getInfo.php?workbook=03_02.xlsx&amp;sheet=A0&amp;row=426&amp;col=13&amp;number=6.951e-08&amp;sourceID=30","6.951e-08")</f>
        <v>6.951e-08</v>
      </c>
      <c r="N426" s="4" t="str">
        <f>HYPERLINK("http://141.218.60.56/~jnz1568/getInfo.php?workbook=03_02.xlsx&amp;sheet=A0&amp;row=426&amp;col=14&amp;number=&amp;sourceID=30","")</f>
        <v/>
      </c>
    </row>
    <row r="427" spans="1:14">
      <c r="A427" s="3">
        <v>3</v>
      </c>
      <c r="B427" s="3">
        <v>2</v>
      </c>
      <c r="C427" s="3">
        <v>33</v>
      </c>
      <c r="D427" s="3">
        <v>21</v>
      </c>
      <c r="E427" s="3">
        <f>((1/(INDEX(E0!J$4:J$52,C427,1)-INDEX(E0!J$4:J$52,D427,1))))*100000000</f>
        <v>0</v>
      </c>
      <c r="F427" s="4" t="str">
        <f>HYPERLINK("http://141.218.60.56/~jnz1568/getInfo.php?workbook=03_02.xlsx&amp;sheet=A0&amp;row=427&amp;col=6&amp;number=&amp;sourceID=27","")</f>
        <v/>
      </c>
      <c r="G427" s="4" t="str">
        <f>HYPERLINK("http://141.218.60.56/~jnz1568/getInfo.php?workbook=03_02.xlsx&amp;sheet=A0&amp;row=427&amp;col=7&amp;number=&amp;sourceID=15","")</f>
        <v/>
      </c>
      <c r="H427" s="4" t="str">
        <f>HYPERLINK("http://141.218.60.56/~jnz1568/getInfo.php?workbook=03_02.xlsx&amp;sheet=A0&amp;row=427&amp;col=8&amp;number=&amp;sourceID=15","")</f>
        <v/>
      </c>
      <c r="I427" s="4" t="str">
        <f>HYPERLINK("http://141.218.60.56/~jnz1568/getInfo.php?workbook=03_02.xlsx&amp;sheet=A0&amp;row=427&amp;col=9&amp;number=&amp;sourceID=15","")</f>
        <v/>
      </c>
      <c r="J427" s="4" t="str">
        <f>HYPERLINK("http://141.218.60.56/~jnz1568/getInfo.php?workbook=03_02.xlsx&amp;sheet=A0&amp;row=427&amp;col=10&amp;number=&amp;sourceID=15","")</f>
        <v/>
      </c>
      <c r="K427" s="4" t="str">
        <f>HYPERLINK("http://141.218.60.56/~jnz1568/getInfo.php?workbook=03_02.xlsx&amp;sheet=A0&amp;row=427&amp;col=11&amp;number=4.828&amp;sourceID=30","4.828")</f>
        <v>4.828</v>
      </c>
      <c r="L427" s="4" t="str">
        <f>HYPERLINK("http://141.218.60.56/~jnz1568/getInfo.php?workbook=03_02.xlsx&amp;sheet=A0&amp;row=427&amp;col=12&amp;number=&amp;sourceID=30","")</f>
        <v/>
      </c>
      <c r="M427" s="4" t="str">
        <f>HYPERLINK("http://141.218.60.56/~jnz1568/getInfo.php?workbook=03_02.xlsx&amp;sheet=A0&amp;row=427&amp;col=13&amp;number=&amp;sourceID=30","")</f>
        <v/>
      </c>
      <c r="N427" s="4" t="str">
        <f>HYPERLINK("http://141.218.60.56/~jnz1568/getInfo.php?workbook=03_02.xlsx&amp;sheet=A0&amp;row=427&amp;col=14&amp;number=&amp;sourceID=30","")</f>
        <v/>
      </c>
    </row>
    <row r="428" spans="1:14">
      <c r="A428" s="3">
        <v>3</v>
      </c>
      <c r="B428" s="3">
        <v>2</v>
      </c>
      <c r="C428" s="3">
        <v>33</v>
      </c>
      <c r="D428" s="3">
        <v>22</v>
      </c>
      <c r="E428" s="3">
        <f>((1/(INDEX(E0!J$4:J$52,C428,1)-INDEX(E0!J$4:J$52,D428,1))))*100000000</f>
        <v>0</v>
      </c>
      <c r="F428" s="4" t="str">
        <f>HYPERLINK("http://141.218.60.56/~jnz1568/getInfo.php?workbook=03_02.xlsx&amp;sheet=A0&amp;row=428&amp;col=6&amp;number=&amp;sourceID=27","")</f>
        <v/>
      </c>
      <c r="G428" s="4" t="str">
        <f>HYPERLINK("http://141.218.60.56/~jnz1568/getInfo.php?workbook=03_02.xlsx&amp;sheet=A0&amp;row=428&amp;col=7&amp;number=&amp;sourceID=15","")</f>
        <v/>
      </c>
      <c r="H428" s="4" t="str">
        <f>HYPERLINK("http://141.218.60.56/~jnz1568/getInfo.php?workbook=03_02.xlsx&amp;sheet=A0&amp;row=428&amp;col=8&amp;number=&amp;sourceID=15","")</f>
        <v/>
      </c>
      <c r="I428" s="4" t="str">
        <f>HYPERLINK("http://141.218.60.56/~jnz1568/getInfo.php?workbook=03_02.xlsx&amp;sheet=A0&amp;row=428&amp;col=9&amp;number=&amp;sourceID=15","")</f>
        <v/>
      </c>
      <c r="J428" s="4" t="str">
        <f>HYPERLINK("http://141.218.60.56/~jnz1568/getInfo.php?workbook=03_02.xlsx&amp;sheet=A0&amp;row=428&amp;col=10&amp;number=&amp;sourceID=15","")</f>
        <v/>
      </c>
      <c r="K428" s="4" t="str">
        <f>HYPERLINK("http://141.218.60.56/~jnz1568/getInfo.php?workbook=03_02.xlsx&amp;sheet=A0&amp;row=428&amp;col=11&amp;number=&amp;sourceID=30","")</f>
        <v/>
      </c>
      <c r="L428" s="4" t="str">
        <f>HYPERLINK("http://141.218.60.56/~jnz1568/getInfo.php?workbook=03_02.xlsx&amp;sheet=A0&amp;row=428&amp;col=12&amp;number=&amp;sourceID=30","")</f>
        <v/>
      </c>
      <c r="M428" s="4" t="str">
        <f>HYPERLINK("http://141.218.60.56/~jnz1568/getInfo.php?workbook=03_02.xlsx&amp;sheet=A0&amp;row=428&amp;col=13&amp;number=&amp;sourceID=30","")</f>
        <v/>
      </c>
      <c r="N428" s="4" t="str">
        <f>HYPERLINK("http://141.218.60.56/~jnz1568/getInfo.php?workbook=03_02.xlsx&amp;sheet=A0&amp;row=428&amp;col=14&amp;number=7.784e-06&amp;sourceID=30","7.784e-06")</f>
        <v>7.784e-06</v>
      </c>
    </row>
    <row r="429" spans="1:14">
      <c r="A429" s="3">
        <v>3</v>
      </c>
      <c r="B429" s="3">
        <v>2</v>
      </c>
      <c r="C429" s="3">
        <v>33</v>
      </c>
      <c r="D429" s="3">
        <v>23</v>
      </c>
      <c r="E429" s="3">
        <f>((1/(INDEX(E0!J$4:J$52,C429,1)-INDEX(E0!J$4:J$52,D429,1))))*100000000</f>
        <v>0</v>
      </c>
      <c r="F429" s="4" t="str">
        <f>HYPERLINK("http://141.218.60.56/~jnz1568/getInfo.php?workbook=03_02.xlsx&amp;sheet=A0&amp;row=429&amp;col=6&amp;number=&amp;sourceID=27","")</f>
        <v/>
      </c>
      <c r="G429" s="4" t="str">
        <f>HYPERLINK("http://141.218.60.56/~jnz1568/getInfo.php?workbook=03_02.xlsx&amp;sheet=A0&amp;row=429&amp;col=7&amp;number=&amp;sourceID=15","")</f>
        <v/>
      </c>
      <c r="H429" s="4" t="str">
        <f>HYPERLINK("http://141.218.60.56/~jnz1568/getInfo.php?workbook=03_02.xlsx&amp;sheet=A0&amp;row=429&amp;col=8&amp;number=&amp;sourceID=15","")</f>
        <v/>
      </c>
      <c r="I429" s="4" t="str">
        <f>HYPERLINK("http://141.218.60.56/~jnz1568/getInfo.php?workbook=03_02.xlsx&amp;sheet=A0&amp;row=429&amp;col=9&amp;number=&amp;sourceID=15","")</f>
        <v/>
      </c>
      <c r="J429" s="4" t="str">
        <f>HYPERLINK("http://141.218.60.56/~jnz1568/getInfo.php?workbook=03_02.xlsx&amp;sheet=A0&amp;row=429&amp;col=10&amp;number=&amp;sourceID=15","")</f>
        <v/>
      </c>
      <c r="K429" s="4" t="str">
        <f>HYPERLINK("http://141.218.60.56/~jnz1568/getInfo.php?workbook=03_02.xlsx&amp;sheet=A0&amp;row=429&amp;col=11&amp;number=&amp;sourceID=30","")</f>
        <v/>
      </c>
      <c r="L429" s="4" t="str">
        <f>HYPERLINK("http://141.218.60.56/~jnz1568/getInfo.php?workbook=03_02.xlsx&amp;sheet=A0&amp;row=429&amp;col=12&amp;number=&amp;sourceID=30","")</f>
        <v/>
      </c>
      <c r="M429" s="4" t="str">
        <f>HYPERLINK("http://141.218.60.56/~jnz1568/getInfo.php?workbook=03_02.xlsx&amp;sheet=A0&amp;row=429&amp;col=13&amp;number=2.05e-13&amp;sourceID=30","2.05e-13")</f>
        <v>2.05e-13</v>
      </c>
      <c r="N429" s="4" t="str">
        <f>HYPERLINK("http://141.218.60.56/~jnz1568/getInfo.php?workbook=03_02.xlsx&amp;sheet=A0&amp;row=429&amp;col=14&amp;number=&amp;sourceID=30","")</f>
        <v/>
      </c>
    </row>
    <row r="430" spans="1:14">
      <c r="A430" s="3">
        <v>3</v>
      </c>
      <c r="B430" s="3">
        <v>2</v>
      </c>
      <c r="C430" s="3">
        <v>33</v>
      </c>
      <c r="D430" s="3">
        <v>24</v>
      </c>
      <c r="E430" s="3">
        <f>((1/(INDEX(E0!J$4:J$52,C430,1)-INDEX(E0!J$4:J$52,D430,1))))*100000000</f>
        <v>0</v>
      </c>
      <c r="F430" s="4" t="str">
        <f>HYPERLINK("http://141.218.60.56/~jnz1568/getInfo.php?workbook=03_02.xlsx&amp;sheet=A0&amp;row=430&amp;col=6&amp;number=&amp;sourceID=27","")</f>
        <v/>
      </c>
      <c r="G430" s="4" t="str">
        <f>HYPERLINK("http://141.218.60.56/~jnz1568/getInfo.php?workbook=03_02.xlsx&amp;sheet=A0&amp;row=430&amp;col=7&amp;number=&amp;sourceID=15","")</f>
        <v/>
      </c>
      <c r="H430" s="4" t="str">
        <f>HYPERLINK("http://141.218.60.56/~jnz1568/getInfo.php?workbook=03_02.xlsx&amp;sheet=A0&amp;row=430&amp;col=8&amp;number=&amp;sourceID=15","")</f>
        <v/>
      </c>
      <c r="I430" s="4" t="str">
        <f>HYPERLINK("http://141.218.60.56/~jnz1568/getInfo.php?workbook=03_02.xlsx&amp;sheet=A0&amp;row=430&amp;col=9&amp;number=&amp;sourceID=15","")</f>
        <v/>
      </c>
      <c r="J430" s="4" t="str">
        <f>HYPERLINK("http://141.218.60.56/~jnz1568/getInfo.php?workbook=03_02.xlsx&amp;sheet=A0&amp;row=430&amp;col=10&amp;number=&amp;sourceID=15","")</f>
        <v/>
      </c>
      <c r="K430" s="4" t="str">
        <f>HYPERLINK("http://141.218.60.56/~jnz1568/getInfo.php?workbook=03_02.xlsx&amp;sheet=A0&amp;row=430&amp;col=11&amp;number=&amp;sourceID=30","")</f>
        <v/>
      </c>
      <c r="L430" s="4" t="str">
        <f>HYPERLINK("http://141.218.60.56/~jnz1568/getInfo.php?workbook=03_02.xlsx&amp;sheet=A0&amp;row=430&amp;col=12&amp;number=0.00251&amp;sourceID=30","0.00251")</f>
        <v>0.00251</v>
      </c>
      <c r="M430" s="4" t="str">
        <f>HYPERLINK("http://141.218.60.56/~jnz1568/getInfo.php?workbook=03_02.xlsx&amp;sheet=A0&amp;row=430&amp;col=13&amp;number=&amp;sourceID=30","")</f>
        <v/>
      </c>
      <c r="N430" s="4" t="str">
        <f>HYPERLINK("http://141.218.60.56/~jnz1568/getInfo.php?workbook=03_02.xlsx&amp;sheet=A0&amp;row=430&amp;col=14&amp;number=&amp;sourceID=30","")</f>
        <v/>
      </c>
    </row>
    <row r="431" spans="1:14">
      <c r="A431" s="3">
        <v>3</v>
      </c>
      <c r="B431" s="3">
        <v>2</v>
      </c>
      <c r="C431" s="3">
        <v>33</v>
      </c>
      <c r="D431" s="3">
        <v>26</v>
      </c>
      <c r="E431" s="3">
        <f>((1/(INDEX(E0!J$4:J$52,C431,1)-INDEX(E0!J$4:J$52,D431,1))))*100000000</f>
        <v>0</v>
      </c>
      <c r="F431" s="4" t="str">
        <f>HYPERLINK("http://141.218.60.56/~jnz1568/getInfo.php?workbook=03_02.xlsx&amp;sheet=A0&amp;row=431&amp;col=6&amp;number=&amp;sourceID=27","")</f>
        <v/>
      </c>
      <c r="G431" s="4" t="str">
        <f>HYPERLINK("http://141.218.60.56/~jnz1568/getInfo.php?workbook=03_02.xlsx&amp;sheet=A0&amp;row=431&amp;col=7&amp;number=&amp;sourceID=15","")</f>
        <v/>
      </c>
      <c r="H431" s="4" t="str">
        <f>HYPERLINK("http://141.218.60.56/~jnz1568/getInfo.php?workbook=03_02.xlsx&amp;sheet=A0&amp;row=431&amp;col=8&amp;number=23.547&amp;sourceID=15","23.547")</f>
        <v>23.547</v>
      </c>
      <c r="I431" s="4" t="str">
        <f>HYPERLINK("http://141.218.60.56/~jnz1568/getInfo.php?workbook=03_02.xlsx&amp;sheet=A0&amp;row=431&amp;col=9&amp;number=&amp;sourceID=15","")</f>
        <v/>
      </c>
      <c r="J431" s="4" t="str">
        <f>HYPERLINK("http://141.218.60.56/~jnz1568/getInfo.php?workbook=03_02.xlsx&amp;sheet=A0&amp;row=431&amp;col=10&amp;number=&amp;sourceID=15","")</f>
        <v/>
      </c>
      <c r="K431" s="4" t="str">
        <f>HYPERLINK("http://141.218.60.56/~jnz1568/getInfo.php?workbook=03_02.xlsx&amp;sheet=A0&amp;row=431&amp;col=11&amp;number=&amp;sourceID=30","")</f>
        <v/>
      </c>
      <c r="L431" s="4" t="str">
        <f>HYPERLINK("http://141.218.60.56/~jnz1568/getInfo.php?workbook=03_02.xlsx&amp;sheet=A0&amp;row=431&amp;col=12&amp;number=26.37&amp;sourceID=30","26.37")</f>
        <v>26.37</v>
      </c>
      <c r="M431" s="4" t="str">
        <f>HYPERLINK("http://141.218.60.56/~jnz1568/getInfo.php?workbook=03_02.xlsx&amp;sheet=A0&amp;row=431&amp;col=13&amp;number=&amp;sourceID=30","")</f>
        <v/>
      </c>
      <c r="N431" s="4" t="str">
        <f>HYPERLINK("http://141.218.60.56/~jnz1568/getInfo.php?workbook=03_02.xlsx&amp;sheet=A0&amp;row=431&amp;col=14&amp;number=&amp;sourceID=30","")</f>
        <v/>
      </c>
    </row>
    <row r="432" spans="1:14">
      <c r="A432" s="3">
        <v>3</v>
      </c>
      <c r="B432" s="3">
        <v>2</v>
      </c>
      <c r="C432" s="3">
        <v>33</v>
      </c>
      <c r="D432" s="3">
        <v>27</v>
      </c>
      <c r="E432" s="3">
        <f>((1/(INDEX(E0!J$4:J$52,C432,1)-INDEX(E0!J$4:J$52,D432,1))))*100000000</f>
        <v>0</v>
      </c>
      <c r="F432" s="4" t="str">
        <f>HYPERLINK("http://141.218.60.56/~jnz1568/getInfo.php?workbook=03_02.xlsx&amp;sheet=A0&amp;row=432&amp;col=6&amp;number=&amp;sourceID=27","")</f>
        <v/>
      </c>
      <c r="G432" s="4" t="str">
        <f>HYPERLINK("http://141.218.60.56/~jnz1568/getInfo.php?workbook=03_02.xlsx&amp;sheet=A0&amp;row=432&amp;col=7&amp;number=&amp;sourceID=15","")</f>
        <v/>
      </c>
      <c r="H432" s="4" t="str">
        <f>HYPERLINK("http://141.218.60.56/~jnz1568/getInfo.php?workbook=03_02.xlsx&amp;sheet=A0&amp;row=432&amp;col=8&amp;number=&amp;sourceID=15","")</f>
        <v/>
      </c>
      <c r="I432" s="4" t="str">
        <f>HYPERLINK("http://141.218.60.56/~jnz1568/getInfo.php?workbook=03_02.xlsx&amp;sheet=A0&amp;row=432&amp;col=9&amp;number=&amp;sourceID=15","")</f>
        <v/>
      </c>
      <c r="J432" s="4" t="str">
        <f>HYPERLINK("http://141.218.60.56/~jnz1568/getInfo.php?workbook=03_02.xlsx&amp;sheet=A0&amp;row=432&amp;col=10&amp;number=&amp;sourceID=15","")</f>
        <v/>
      </c>
      <c r="K432" s="4" t="str">
        <f>HYPERLINK("http://141.218.60.56/~jnz1568/getInfo.php?workbook=03_02.xlsx&amp;sheet=A0&amp;row=432&amp;col=11&amp;number=&amp;sourceID=30","")</f>
        <v/>
      </c>
      <c r="L432" s="4" t="str">
        <f>HYPERLINK("http://141.218.60.56/~jnz1568/getInfo.php?workbook=03_02.xlsx&amp;sheet=A0&amp;row=432&amp;col=12&amp;number=&amp;sourceID=30","")</f>
        <v/>
      </c>
      <c r="M432" s="4" t="str">
        <f>HYPERLINK("http://141.218.60.56/~jnz1568/getInfo.php?workbook=03_02.xlsx&amp;sheet=A0&amp;row=432&amp;col=13&amp;number=&amp;sourceID=30","")</f>
        <v/>
      </c>
      <c r="N432" s="4" t="str">
        <f>HYPERLINK("http://141.218.60.56/~jnz1568/getInfo.php?workbook=03_02.xlsx&amp;sheet=A0&amp;row=432&amp;col=14&amp;number=0&amp;sourceID=30","0")</f>
        <v>0</v>
      </c>
    </row>
    <row r="433" spans="1:14">
      <c r="A433" s="3">
        <v>3</v>
      </c>
      <c r="B433" s="3">
        <v>2</v>
      </c>
      <c r="C433" s="3">
        <v>33</v>
      </c>
      <c r="D433" s="3">
        <v>31</v>
      </c>
      <c r="E433" s="3">
        <f>((1/(INDEX(E0!J$4:J$52,C433,1)-INDEX(E0!J$4:J$52,D433,1))))*100000000</f>
        <v>0</v>
      </c>
      <c r="F433" s="4" t="str">
        <f>HYPERLINK("http://141.218.60.56/~jnz1568/getInfo.php?workbook=03_02.xlsx&amp;sheet=A0&amp;row=433&amp;col=6&amp;number=&amp;sourceID=27","")</f>
        <v/>
      </c>
      <c r="G433" s="4" t="str">
        <f>HYPERLINK("http://141.218.60.56/~jnz1568/getInfo.php?workbook=03_02.xlsx&amp;sheet=A0&amp;row=433&amp;col=7&amp;number=18062000&amp;sourceID=15","18062000")</f>
        <v>18062000</v>
      </c>
      <c r="H433" s="4" t="str">
        <f>HYPERLINK("http://141.218.60.56/~jnz1568/getInfo.php?workbook=03_02.xlsx&amp;sheet=A0&amp;row=433&amp;col=8&amp;number=&amp;sourceID=15","")</f>
        <v/>
      </c>
      <c r="I433" s="4" t="str">
        <f>HYPERLINK("http://141.218.60.56/~jnz1568/getInfo.php?workbook=03_02.xlsx&amp;sheet=A0&amp;row=433&amp;col=9&amp;number=&amp;sourceID=15","")</f>
        <v/>
      </c>
      <c r="J433" s="4" t="str">
        <f>HYPERLINK("http://141.218.60.56/~jnz1568/getInfo.php?workbook=03_02.xlsx&amp;sheet=A0&amp;row=433&amp;col=10&amp;number=&amp;sourceID=15","")</f>
        <v/>
      </c>
      <c r="K433" s="4" t="str">
        <f>HYPERLINK("http://141.218.60.56/~jnz1568/getInfo.php?workbook=03_02.xlsx&amp;sheet=A0&amp;row=433&amp;col=11&amp;number=20710000&amp;sourceID=30","20710000")</f>
        <v>20710000</v>
      </c>
      <c r="L433" s="4" t="str">
        <f>HYPERLINK("http://141.218.60.56/~jnz1568/getInfo.php?workbook=03_02.xlsx&amp;sheet=A0&amp;row=433&amp;col=12&amp;number=&amp;sourceID=30","")</f>
        <v/>
      </c>
      <c r="M433" s="4" t="str">
        <f>HYPERLINK("http://141.218.60.56/~jnz1568/getInfo.php?workbook=03_02.xlsx&amp;sheet=A0&amp;row=433&amp;col=13&amp;number=&amp;sourceID=30","")</f>
        <v/>
      </c>
      <c r="N433" s="4" t="str">
        <f>HYPERLINK("http://141.218.60.56/~jnz1568/getInfo.php?workbook=03_02.xlsx&amp;sheet=A0&amp;row=433&amp;col=14&amp;number=&amp;sourceID=30","")</f>
        <v/>
      </c>
    </row>
    <row r="434" spans="1:14">
      <c r="A434" s="3">
        <v>3</v>
      </c>
      <c r="B434" s="3">
        <v>2</v>
      </c>
      <c r="C434" s="3">
        <v>33</v>
      </c>
      <c r="D434" s="3">
        <v>32</v>
      </c>
      <c r="E434" s="3">
        <f>((1/(INDEX(E0!J$4:J$52,C434,1)-INDEX(E0!J$4:J$52,D434,1))))*100000000</f>
        <v>0</v>
      </c>
      <c r="F434" s="4" t="str">
        <f>HYPERLINK("http://141.218.60.56/~jnz1568/getInfo.php?workbook=03_02.xlsx&amp;sheet=A0&amp;row=434&amp;col=6&amp;number=&amp;sourceID=27","")</f>
        <v/>
      </c>
      <c r="G434" s="4" t="str">
        <f>HYPERLINK("http://141.218.60.56/~jnz1568/getInfo.php?workbook=03_02.xlsx&amp;sheet=A0&amp;row=434&amp;col=7&amp;number=&amp;sourceID=15","")</f>
        <v/>
      </c>
      <c r="H434" s="4" t="str">
        <f>HYPERLINK("http://141.218.60.56/~jnz1568/getInfo.php?workbook=03_02.xlsx&amp;sheet=A0&amp;row=434&amp;col=8&amp;number=&amp;sourceID=15","")</f>
        <v/>
      </c>
      <c r="I434" s="4" t="str">
        <f>HYPERLINK("http://141.218.60.56/~jnz1568/getInfo.php?workbook=03_02.xlsx&amp;sheet=A0&amp;row=434&amp;col=9&amp;number=&amp;sourceID=15","")</f>
        <v/>
      </c>
      <c r="J434" s="4" t="str">
        <f>HYPERLINK("http://141.218.60.56/~jnz1568/getInfo.php?workbook=03_02.xlsx&amp;sheet=A0&amp;row=434&amp;col=10&amp;number=&amp;sourceID=15","")</f>
        <v/>
      </c>
      <c r="K434" s="4" t="str">
        <f>HYPERLINK("http://141.218.60.56/~jnz1568/getInfo.php?workbook=03_02.xlsx&amp;sheet=A0&amp;row=434&amp;col=11&amp;number=&amp;sourceID=30","")</f>
        <v/>
      </c>
      <c r="L434" s="4" t="str">
        <f>HYPERLINK("http://141.218.60.56/~jnz1568/getInfo.php?workbook=03_02.xlsx&amp;sheet=A0&amp;row=434&amp;col=12&amp;number=&amp;sourceID=30","")</f>
        <v/>
      </c>
      <c r="M434" s="4" t="str">
        <f>HYPERLINK("http://141.218.60.56/~jnz1568/getInfo.php?workbook=03_02.xlsx&amp;sheet=A0&amp;row=434&amp;col=13&amp;number=5.855e-09&amp;sourceID=30","5.855e-09")</f>
        <v>5.855e-09</v>
      </c>
      <c r="N434" s="4" t="str">
        <f>HYPERLINK("http://141.218.60.56/~jnz1568/getInfo.php?workbook=03_02.xlsx&amp;sheet=A0&amp;row=434&amp;col=14&amp;number=&amp;sourceID=30","")</f>
        <v/>
      </c>
    </row>
    <row r="435" spans="1:14">
      <c r="A435" s="3">
        <v>3</v>
      </c>
      <c r="B435" s="3">
        <v>2</v>
      </c>
      <c r="C435" s="3">
        <v>34</v>
      </c>
      <c r="D435" s="3">
        <v>2</v>
      </c>
      <c r="E435" s="3">
        <f>((1/(INDEX(E0!J$4:J$52,C435,1)-INDEX(E0!J$4:J$52,D435,1))))*100000000</f>
        <v>0</v>
      </c>
      <c r="F435" s="4" t="str">
        <f>HYPERLINK("http://141.218.60.56/~jnz1568/getInfo.php?workbook=03_02.xlsx&amp;sheet=A0&amp;row=435&amp;col=6&amp;number=&amp;sourceID=27","")</f>
        <v/>
      </c>
      <c r="G435" s="4" t="str">
        <f>HYPERLINK("http://141.218.60.56/~jnz1568/getInfo.php?workbook=03_02.xlsx&amp;sheet=A0&amp;row=435&amp;col=7&amp;number=76688000&amp;sourceID=15","76688000")</f>
        <v>76688000</v>
      </c>
      <c r="H435" s="4" t="str">
        <f>HYPERLINK("http://141.218.60.56/~jnz1568/getInfo.php?workbook=03_02.xlsx&amp;sheet=A0&amp;row=435&amp;col=8&amp;number=&amp;sourceID=15","")</f>
        <v/>
      </c>
      <c r="I435" s="4" t="str">
        <f>HYPERLINK("http://141.218.60.56/~jnz1568/getInfo.php?workbook=03_02.xlsx&amp;sheet=A0&amp;row=435&amp;col=9&amp;number=&amp;sourceID=15","")</f>
        <v/>
      </c>
      <c r="J435" s="4" t="str">
        <f>HYPERLINK("http://141.218.60.56/~jnz1568/getInfo.php?workbook=03_02.xlsx&amp;sheet=A0&amp;row=435&amp;col=10&amp;number=&amp;sourceID=15","")</f>
        <v/>
      </c>
      <c r="K435" s="4" t="str">
        <f>HYPERLINK("http://141.218.60.56/~jnz1568/getInfo.php?workbook=03_02.xlsx&amp;sheet=A0&amp;row=435&amp;col=11&amp;number=39150000&amp;sourceID=30","39150000")</f>
        <v>39150000</v>
      </c>
      <c r="L435" s="4" t="str">
        <f>HYPERLINK("http://141.218.60.56/~jnz1568/getInfo.php?workbook=03_02.xlsx&amp;sheet=A0&amp;row=435&amp;col=12&amp;number=&amp;sourceID=30","")</f>
        <v/>
      </c>
      <c r="M435" s="4" t="str">
        <f>HYPERLINK("http://141.218.60.56/~jnz1568/getInfo.php?workbook=03_02.xlsx&amp;sheet=A0&amp;row=435&amp;col=13&amp;number=&amp;sourceID=30","")</f>
        <v/>
      </c>
      <c r="N435" s="4" t="str">
        <f>HYPERLINK("http://141.218.60.56/~jnz1568/getInfo.php?workbook=03_02.xlsx&amp;sheet=A0&amp;row=435&amp;col=14&amp;number=&amp;sourceID=30","")</f>
        <v/>
      </c>
    </row>
    <row r="436" spans="1:14">
      <c r="A436" s="3">
        <v>3</v>
      </c>
      <c r="B436" s="3">
        <v>2</v>
      </c>
      <c r="C436" s="3">
        <v>34</v>
      </c>
      <c r="D436" s="3">
        <v>4</v>
      </c>
      <c r="E436" s="3">
        <f>((1/(INDEX(E0!J$4:J$52,C436,1)-INDEX(E0!J$4:J$52,D436,1))))*100000000</f>
        <v>0</v>
      </c>
      <c r="F436" s="4" t="str">
        <f>HYPERLINK("http://141.218.60.56/~jnz1568/getInfo.php?workbook=03_02.xlsx&amp;sheet=A0&amp;row=436&amp;col=6&amp;number=&amp;sourceID=27","")</f>
        <v/>
      </c>
      <c r="G436" s="4" t="str">
        <f>HYPERLINK("http://141.218.60.56/~jnz1568/getInfo.php?workbook=03_02.xlsx&amp;sheet=A0&amp;row=436&amp;col=7&amp;number=&amp;sourceID=15","")</f>
        <v/>
      </c>
      <c r="H436" s="4" t="str">
        <f>HYPERLINK("http://141.218.60.56/~jnz1568/getInfo.php?workbook=03_02.xlsx&amp;sheet=A0&amp;row=436&amp;col=8&amp;number=&amp;sourceID=15","")</f>
        <v/>
      </c>
      <c r="I436" s="4" t="str">
        <f>HYPERLINK("http://141.218.60.56/~jnz1568/getInfo.php?workbook=03_02.xlsx&amp;sheet=A0&amp;row=436&amp;col=9&amp;number=&amp;sourceID=15","")</f>
        <v/>
      </c>
      <c r="J436" s="4" t="str">
        <f>HYPERLINK("http://141.218.60.56/~jnz1568/getInfo.php?workbook=03_02.xlsx&amp;sheet=A0&amp;row=436&amp;col=10&amp;number=&amp;sourceID=15","")</f>
        <v/>
      </c>
      <c r="K436" s="4" t="str">
        <f>HYPERLINK("http://141.218.60.56/~jnz1568/getInfo.php?workbook=03_02.xlsx&amp;sheet=A0&amp;row=436&amp;col=11&amp;number=&amp;sourceID=30","")</f>
        <v/>
      </c>
      <c r="L436" s="4" t="str">
        <f>HYPERLINK("http://141.218.60.56/~jnz1568/getInfo.php?workbook=03_02.xlsx&amp;sheet=A0&amp;row=436&amp;col=12&amp;number=&amp;sourceID=30","")</f>
        <v/>
      </c>
      <c r="M436" s="4" t="str">
        <f>HYPERLINK("http://141.218.60.56/~jnz1568/getInfo.php?workbook=03_02.xlsx&amp;sheet=A0&amp;row=436&amp;col=13&amp;number=4.888e-06&amp;sourceID=30","4.888e-06")</f>
        <v>4.888e-06</v>
      </c>
      <c r="N436" s="4" t="str">
        <f>HYPERLINK("http://141.218.60.56/~jnz1568/getInfo.php?workbook=03_02.xlsx&amp;sheet=A0&amp;row=436&amp;col=14&amp;number=&amp;sourceID=30","")</f>
        <v/>
      </c>
    </row>
    <row r="437" spans="1:14">
      <c r="A437" s="3">
        <v>3</v>
      </c>
      <c r="B437" s="3">
        <v>2</v>
      </c>
      <c r="C437" s="3">
        <v>34</v>
      </c>
      <c r="D437" s="3">
        <v>5</v>
      </c>
      <c r="E437" s="3">
        <f>((1/(INDEX(E0!J$4:J$52,C437,1)-INDEX(E0!J$4:J$52,D437,1))))*100000000</f>
        <v>0</v>
      </c>
      <c r="F437" s="4" t="str">
        <f>HYPERLINK("http://141.218.60.56/~jnz1568/getInfo.php?workbook=03_02.xlsx&amp;sheet=A0&amp;row=437&amp;col=6&amp;number=&amp;sourceID=27","")</f>
        <v/>
      </c>
      <c r="G437" s="4" t="str">
        <f>HYPERLINK("http://141.218.60.56/~jnz1568/getInfo.php?workbook=03_02.xlsx&amp;sheet=A0&amp;row=437&amp;col=7&amp;number=&amp;sourceID=15","")</f>
        <v/>
      </c>
      <c r="H437" s="4" t="str">
        <f>HYPERLINK("http://141.218.60.56/~jnz1568/getInfo.php?workbook=03_02.xlsx&amp;sheet=A0&amp;row=437&amp;col=8&amp;number=&amp;sourceID=15","")</f>
        <v/>
      </c>
      <c r="I437" s="4" t="str">
        <f>HYPERLINK("http://141.218.60.56/~jnz1568/getInfo.php?workbook=03_02.xlsx&amp;sheet=A0&amp;row=437&amp;col=9&amp;number=&amp;sourceID=15","")</f>
        <v/>
      </c>
      <c r="J437" s="4" t="str">
        <f>HYPERLINK("http://141.218.60.56/~jnz1568/getInfo.php?workbook=03_02.xlsx&amp;sheet=A0&amp;row=437&amp;col=10&amp;number=&amp;sourceID=15","")</f>
        <v/>
      </c>
      <c r="K437" s="4" t="str">
        <f>HYPERLINK("http://141.218.60.56/~jnz1568/getInfo.php?workbook=03_02.xlsx&amp;sheet=A0&amp;row=437&amp;col=11&amp;number=&amp;sourceID=30","")</f>
        <v/>
      </c>
      <c r="L437" s="4" t="str">
        <f>HYPERLINK("http://141.218.60.56/~jnz1568/getInfo.php?workbook=03_02.xlsx&amp;sheet=A0&amp;row=437&amp;col=12&amp;number=13.94&amp;sourceID=30","13.94")</f>
        <v>13.94</v>
      </c>
      <c r="M437" s="4" t="str">
        <f>HYPERLINK("http://141.218.60.56/~jnz1568/getInfo.php?workbook=03_02.xlsx&amp;sheet=A0&amp;row=437&amp;col=13&amp;number=&amp;sourceID=30","")</f>
        <v/>
      </c>
      <c r="N437" s="4" t="str">
        <f>HYPERLINK("http://141.218.60.56/~jnz1568/getInfo.php?workbook=03_02.xlsx&amp;sheet=A0&amp;row=437&amp;col=14&amp;number=&amp;sourceID=30","")</f>
        <v/>
      </c>
    </row>
    <row r="438" spans="1:14">
      <c r="A438" s="3">
        <v>3</v>
      </c>
      <c r="B438" s="3">
        <v>2</v>
      </c>
      <c r="C438" s="3">
        <v>34</v>
      </c>
      <c r="D438" s="3">
        <v>7</v>
      </c>
      <c r="E438" s="3">
        <f>((1/(INDEX(E0!J$4:J$52,C438,1)-INDEX(E0!J$4:J$52,D438,1))))*100000000</f>
        <v>0</v>
      </c>
      <c r="F438" s="4" t="str">
        <f>HYPERLINK("http://141.218.60.56/~jnz1568/getInfo.php?workbook=03_02.xlsx&amp;sheet=A0&amp;row=438&amp;col=6&amp;number=&amp;sourceID=27","")</f>
        <v/>
      </c>
      <c r="G438" s="4" t="str">
        <f>HYPERLINK("http://141.218.60.56/~jnz1568/getInfo.php?workbook=03_02.xlsx&amp;sheet=A0&amp;row=438&amp;col=7&amp;number=&amp;sourceID=15","")</f>
        <v/>
      </c>
      <c r="H438" s="4" t="str">
        <f>HYPERLINK("http://141.218.60.56/~jnz1568/getInfo.php?workbook=03_02.xlsx&amp;sheet=A0&amp;row=438&amp;col=8&amp;number=&amp;sourceID=15","")</f>
        <v/>
      </c>
      <c r="I438" s="4" t="str">
        <f>HYPERLINK("http://141.218.60.56/~jnz1568/getInfo.php?workbook=03_02.xlsx&amp;sheet=A0&amp;row=438&amp;col=9&amp;number=&amp;sourceID=15","")</f>
        <v/>
      </c>
      <c r="J438" s="4" t="str">
        <f>HYPERLINK("http://141.218.60.56/~jnz1568/getInfo.php?workbook=03_02.xlsx&amp;sheet=A0&amp;row=438&amp;col=10&amp;number=&amp;sourceID=15","")</f>
        <v/>
      </c>
      <c r="K438" s="4" t="str">
        <f>HYPERLINK("http://141.218.60.56/~jnz1568/getInfo.php?workbook=03_02.xlsx&amp;sheet=A0&amp;row=438&amp;col=11&amp;number=&amp;sourceID=30","")</f>
        <v/>
      </c>
      <c r="L438" s="4" t="str">
        <f>HYPERLINK("http://141.218.60.56/~jnz1568/getInfo.php?workbook=03_02.xlsx&amp;sheet=A0&amp;row=438&amp;col=12&amp;number=&amp;sourceID=30","")</f>
        <v/>
      </c>
      <c r="M438" s="4" t="str">
        <f>HYPERLINK("http://141.218.60.56/~jnz1568/getInfo.php?workbook=03_02.xlsx&amp;sheet=A0&amp;row=438&amp;col=13&amp;number=8.174e-06&amp;sourceID=30","8.174e-06")</f>
        <v>8.174e-06</v>
      </c>
      <c r="N438" s="4" t="str">
        <f>HYPERLINK("http://141.218.60.56/~jnz1568/getInfo.php?workbook=03_02.xlsx&amp;sheet=A0&amp;row=438&amp;col=14&amp;number=&amp;sourceID=30","")</f>
        <v/>
      </c>
    </row>
    <row r="439" spans="1:14">
      <c r="A439" s="3">
        <v>3</v>
      </c>
      <c r="B439" s="3">
        <v>2</v>
      </c>
      <c r="C439" s="3">
        <v>34</v>
      </c>
      <c r="D439" s="3">
        <v>8</v>
      </c>
      <c r="E439" s="3">
        <f>((1/(INDEX(E0!J$4:J$52,C439,1)-INDEX(E0!J$4:J$52,D439,1))))*100000000</f>
        <v>0</v>
      </c>
      <c r="F439" s="4" t="str">
        <f>HYPERLINK("http://141.218.60.56/~jnz1568/getInfo.php?workbook=03_02.xlsx&amp;sheet=A0&amp;row=439&amp;col=6&amp;number=&amp;sourceID=27","")</f>
        <v/>
      </c>
      <c r="G439" s="4" t="str">
        <f>HYPERLINK("http://141.218.60.56/~jnz1568/getInfo.php?workbook=03_02.xlsx&amp;sheet=A0&amp;row=439&amp;col=7&amp;number=19081000&amp;sourceID=15","19081000")</f>
        <v>19081000</v>
      </c>
      <c r="H439" s="4" t="str">
        <f>HYPERLINK("http://141.218.60.56/~jnz1568/getInfo.php?workbook=03_02.xlsx&amp;sheet=A0&amp;row=439&amp;col=8&amp;number=&amp;sourceID=15","")</f>
        <v/>
      </c>
      <c r="I439" s="4" t="str">
        <f>HYPERLINK("http://141.218.60.56/~jnz1568/getInfo.php?workbook=03_02.xlsx&amp;sheet=A0&amp;row=439&amp;col=9&amp;number=&amp;sourceID=15","")</f>
        <v/>
      </c>
      <c r="J439" s="4" t="str">
        <f>HYPERLINK("http://141.218.60.56/~jnz1568/getInfo.php?workbook=03_02.xlsx&amp;sheet=A0&amp;row=439&amp;col=10&amp;number=&amp;sourceID=15","")</f>
        <v/>
      </c>
      <c r="K439" s="4" t="str">
        <f>HYPERLINK("http://141.218.60.56/~jnz1568/getInfo.php?workbook=03_02.xlsx&amp;sheet=A0&amp;row=439&amp;col=11&amp;number=13750000&amp;sourceID=30","13750000")</f>
        <v>13750000</v>
      </c>
      <c r="L439" s="4" t="str">
        <f>HYPERLINK("http://141.218.60.56/~jnz1568/getInfo.php?workbook=03_02.xlsx&amp;sheet=A0&amp;row=439&amp;col=12&amp;number=&amp;sourceID=30","")</f>
        <v/>
      </c>
      <c r="M439" s="4" t="str">
        <f>HYPERLINK("http://141.218.60.56/~jnz1568/getInfo.php?workbook=03_02.xlsx&amp;sheet=A0&amp;row=439&amp;col=13&amp;number=&amp;sourceID=30","")</f>
        <v/>
      </c>
      <c r="N439" s="4" t="str">
        <f>HYPERLINK("http://141.218.60.56/~jnz1568/getInfo.php?workbook=03_02.xlsx&amp;sheet=A0&amp;row=439&amp;col=14&amp;number=&amp;sourceID=30","")</f>
        <v/>
      </c>
    </row>
    <row r="440" spans="1:14">
      <c r="A440" s="3">
        <v>3</v>
      </c>
      <c r="B440" s="3">
        <v>2</v>
      </c>
      <c r="C440" s="3">
        <v>34</v>
      </c>
      <c r="D440" s="3">
        <v>10</v>
      </c>
      <c r="E440" s="3">
        <f>((1/(INDEX(E0!J$4:J$52,C440,1)-INDEX(E0!J$4:J$52,D440,1))))*100000000</f>
        <v>0</v>
      </c>
      <c r="F440" s="4" t="str">
        <f>HYPERLINK("http://141.218.60.56/~jnz1568/getInfo.php?workbook=03_02.xlsx&amp;sheet=A0&amp;row=440&amp;col=6&amp;number=&amp;sourceID=27","")</f>
        <v/>
      </c>
      <c r="G440" s="4" t="str">
        <f>HYPERLINK("http://141.218.60.56/~jnz1568/getInfo.php?workbook=03_02.xlsx&amp;sheet=A0&amp;row=440&amp;col=7&amp;number=&amp;sourceID=15","")</f>
        <v/>
      </c>
      <c r="H440" s="4" t="str">
        <f>HYPERLINK("http://141.218.60.56/~jnz1568/getInfo.php?workbook=03_02.xlsx&amp;sheet=A0&amp;row=440&amp;col=8&amp;number=&amp;sourceID=15","")</f>
        <v/>
      </c>
      <c r="I440" s="4" t="str">
        <f>HYPERLINK("http://141.218.60.56/~jnz1568/getInfo.php?workbook=03_02.xlsx&amp;sheet=A0&amp;row=440&amp;col=9&amp;number=&amp;sourceID=15","")</f>
        <v/>
      </c>
      <c r="J440" s="4" t="str">
        <f>HYPERLINK("http://141.218.60.56/~jnz1568/getInfo.php?workbook=03_02.xlsx&amp;sheet=A0&amp;row=440&amp;col=10&amp;number=&amp;sourceID=15","")</f>
        <v/>
      </c>
      <c r="K440" s="4" t="str">
        <f>HYPERLINK("http://141.218.60.56/~jnz1568/getInfo.php?workbook=03_02.xlsx&amp;sheet=A0&amp;row=440&amp;col=11&amp;number=&amp;sourceID=30","")</f>
        <v/>
      </c>
      <c r="L440" s="4" t="str">
        <f>HYPERLINK("http://141.218.60.56/~jnz1568/getInfo.php?workbook=03_02.xlsx&amp;sheet=A0&amp;row=440&amp;col=12&amp;number=&amp;sourceID=30","")</f>
        <v/>
      </c>
      <c r="M440" s="4" t="str">
        <f>HYPERLINK("http://141.218.60.56/~jnz1568/getInfo.php?workbook=03_02.xlsx&amp;sheet=A0&amp;row=440&amp;col=13&amp;number=5.417e-07&amp;sourceID=30","5.417e-07")</f>
        <v>5.417e-07</v>
      </c>
      <c r="N440" s="4" t="str">
        <f>HYPERLINK("http://141.218.60.56/~jnz1568/getInfo.php?workbook=03_02.xlsx&amp;sheet=A0&amp;row=440&amp;col=14&amp;number=&amp;sourceID=30","")</f>
        <v/>
      </c>
    </row>
    <row r="441" spans="1:14">
      <c r="A441" s="3">
        <v>3</v>
      </c>
      <c r="B441" s="3">
        <v>2</v>
      </c>
      <c r="C441" s="3">
        <v>34</v>
      </c>
      <c r="D441" s="3">
        <v>11</v>
      </c>
      <c r="E441" s="3">
        <f>((1/(INDEX(E0!J$4:J$52,C441,1)-INDEX(E0!J$4:J$52,D441,1))))*100000000</f>
        <v>0</v>
      </c>
      <c r="F441" s="4" t="str">
        <f>HYPERLINK("http://141.218.60.56/~jnz1568/getInfo.php?workbook=03_02.xlsx&amp;sheet=A0&amp;row=441&amp;col=6&amp;number=&amp;sourceID=27","")</f>
        <v/>
      </c>
      <c r="G441" s="4" t="str">
        <f>HYPERLINK("http://141.218.60.56/~jnz1568/getInfo.php?workbook=03_02.xlsx&amp;sheet=A0&amp;row=441&amp;col=7&amp;number=&amp;sourceID=15","")</f>
        <v/>
      </c>
      <c r="H441" s="4" t="str">
        <f>HYPERLINK("http://141.218.60.56/~jnz1568/getInfo.php?workbook=03_02.xlsx&amp;sheet=A0&amp;row=441&amp;col=8&amp;number=&amp;sourceID=15","")</f>
        <v/>
      </c>
      <c r="I441" s="4" t="str">
        <f>HYPERLINK("http://141.218.60.56/~jnz1568/getInfo.php?workbook=03_02.xlsx&amp;sheet=A0&amp;row=441&amp;col=9&amp;number=&amp;sourceID=15","")</f>
        <v/>
      </c>
      <c r="J441" s="4" t="str">
        <f>HYPERLINK("http://141.218.60.56/~jnz1568/getInfo.php?workbook=03_02.xlsx&amp;sheet=A0&amp;row=441&amp;col=10&amp;number=&amp;sourceID=15","")</f>
        <v/>
      </c>
      <c r="K441" s="4" t="str">
        <f>HYPERLINK("http://141.218.60.56/~jnz1568/getInfo.php?workbook=03_02.xlsx&amp;sheet=A0&amp;row=441&amp;col=11&amp;number=&amp;sourceID=30","")</f>
        <v/>
      </c>
      <c r="L441" s="4" t="str">
        <f>HYPERLINK("http://141.218.60.56/~jnz1568/getInfo.php?workbook=03_02.xlsx&amp;sheet=A0&amp;row=441&amp;col=12&amp;number=60.8&amp;sourceID=30","60.8")</f>
        <v>60.8</v>
      </c>
      <c r="M441" s="4" t="str">
        <f>HYPERLINK("http://141.218.60.56/~jnz1568/getInfo.php?workbook=03_02.xlsx&amp;sheet=A0&amp;row=441&amp;col=13&amp;number=&amp;sourceID=30","")</f>
        <v/>
      </c>
      <c r="N441" s="4" t="str">
        <f>HYPERLINK("http://141.218.60.56/~jnz1568/getInfo.php?workbook=03_02.xlsx&amp;sheet=A0&amp;row=441&amp;col=14&amp;number=&amp;sourceID=30","")</f>
        <v/>
      </c>
    </row>
    <row r="442" spans="1:14">
      <c r="A442" s="3">
        <v>3</v>
      </c>
      <c r="B442" s="3">
        <v>2</v>
      </c>
      <c r="C442" s="3">
        <v>34</v>
      </c>
      <c r="D442" s="3">
        <v>13</v>
      </c>
      <c r="E442" s="3">
        <f>((1/(INDEX(E0!J$4:J$52,C442,1)-INDEX(E0!J$4:J$52,D442,1))))*100000000</f>
        <v>0</v>
      </c>
      <c r="F442" s="4" t="str">
        <f>HYPERLINK("http://141.218.60.56/~jnz1568/getInfo.php?workbook=03_02.xlsx&amp;sheet=A0&amp;row=442&amp;col=6&amp;number=&amp;sourceID=27","")</f>
        <v/>
      </c>
      <c r="G442" s="4" t="str">
        <f>HYPERLINK("http://141.218.60.56/~jnz1568/getInfo.php?workbook=03_02.xlsx&amp;sheet=A0&amp;row=442&amp;col=7&amp;number=&amp;sourceID=15","")</f>
        <v/>
      </c>
      <c r="H442" s="4" t="str">
        <f>HYPERLINK("http://141.218.60.56/~jnz1568/getInfo.php?workbook=03_02.xlsx&amp;sheet=A0&amp;row=442&amp;col=8&amp;number=&amp;sourceID=15","")</f>
        <v/>
      </c>
      <c r="I442" s="4" t="str">
        <f>HYPERLINK("http://141.218.60.56/~jnz1568/getInfo.php?workbook=03_02.xlsx&amp;sheet=A0&amp;row=442&amp;col=9&amp;number=&amp;sourceID=15","")</f>
        <v/>
      </c>
      <c r="J442" s="4" t="str">
        <f>HYPERLINK("http://141.218.60.56/~jnz1568/getInfo.php?workbook=03_02.xlsx&amp;sheet=A0&amp;row=442&amp;col=10&amp;number=&amp;sourceID=15","")</f>
        <v/>
      </c>
      <c r="K442" s="4" t="str">
        <f>HYPERLINK("http://141.218.60.56/~jnz1568/getInfo.php?workbook=03_02.xlsx&amp;sheet=A0&amp;row=442&amp;col=11&amp;number=&amp;sourceID=30","")</f>
        <v/>
      </c>
      <c r="L442" s="4" t="str">
        <f>HYPERLINK("http://141.218.60.56/~jnz1568/getInfo.php?workbook=03_02.xlsx&amp;sheet=A0&amp;row=442&amp;col=12&amp;number=&amp;sourceID=30","")</f>
        <v/>
      </c>
      <c r="M442" s="4" t="str">
        <f>HYPERLINK("http://141.218.60.56/~jnz1568/getInfo.php?workbook=03_02.xlsx&amp;sheet=A0&amp;row=442&amp;col=13&amp;number=&amp;sourceID=30","")</f>
        <v/>
      </c>
      <c r="N442" s="4" t="str">
        <f>HYPERLINK("http://141.218.60.56/~jnz1568/getInfo.php?workbook=03_02.xlsx&amp;sheet=A0&amp;row=442&amp;col=14&amp;number=2.327e-06&amp;sourceID=30","2.327e-06")</f>
        <v>2.327e-06</v>
      </c>
    </row>
    <row r="443" spans="1:14">
      <c r="A443" s="3">
        <v>3</v>
      </c>
      <c r="B443" s="3">
        <v>2</v>
      </c>
      <c r="C443" s="3">
        <v>34</v>
      </c>
      <c r="D443" s="3">
        <v>15</v>
      </c>
      <c r="E443" s="3">
        <f>((1/(INDEX(E0!J$4:J$52,C443,1)-INDEX(E0!J$4:J$52,D443,1))))*100000000</f>
        <v>0</v>
      </c>
      <c r="F443" s="4" t="str">
        <f>HYPERLINK("http://141.218.60.56/~jnz1568/getInfo.php?workbook=03_02.xlsx&amp;sheet=A0&amp;row=443&amp;col=6&amp;number=&amp;sourceID=27","")</f>
        <v/>
      </c>
      <c r="G443" s="4" t="str">
        <f>HYPERLINK("http://141.218.60.56/~jnz1568/getInfo.php?workbook=03_02.xlsx&amp;sheet=A0&amp;row=443&amp;col=7&amp;number=3946700&amp;sourceID=15","3946700")</f>
        <v>3946700</v>
      </c>
      <c r="H443" s="4" t="str">
        <f>HYPERLINK("http://141.218.60.56/~jnz1568/getInfo.php?workbook=03_02.xlsx&amp;sheet=A0&amp;row=443&amp;col=8&amp;number=&amp;sourceID=15","")</f>
        <v/>
      </c>
      <c r="I443" s="4" t="str">
        <f>HYPERLINK("http://141.218.60.56/~jnz1568/getInfo.php?workbook=03_02.xlsx&amp;sheet=A0&amp;row=443&amp;col=9&amp;number=&amp;sourceID=15","")</f>
        <v/>
      </c>
      <c r="J443" s="4" t="str">
        <f>HYPERLINK("http://141.218.60.56/~jnz1568/getInfo.php?workbook=03_02.xlsx&amp;sheet=A0&amp;row=443&amp;col=10&amp;number=&amp;sourceID=15","")</f>
        <v/>
      </c>
      <c r="K443" s="4" t="str">
        <f>HYPERLINK("http://141.218.60.56/~jnz1568/getInfo.php?workbook=03_02.xlsx&amp;sheet=A0&amp;row=443&amp;col=11&amp;number=3541000&amp;sourceID=30","3541000")</f>
        <v>3541000</v>
      </c>
      <c r="L443" s="4" t="str">
        <f>HYPERLINK("http://141.218.60.56/~jnz1568/getInfo.php?workbook=03_02.xlsx&amp;sheet=A0&amp;row=443&amp;col=12&amp;number=&amp;sourceID=30","")</f>
        <v/>
      </c>
      <c r="M443" s="4" t="str">
        <f>HYPERLINK("http://141.218.60.56/~jnz1568/getInfo.php?workbook=03_02.xlsx&amp;sheet=A0&amp;row=443&amp;col=13&amp;number=&amp;sourceID=30","")</f>
        <v/>
      </c>
      <c r="N443" s="4" t="str">
        <f>HYPERLINK("http://141.218.60.56/~jnz1568/getInfo.php?workbook=03_02.xlsx&amp;sheet=A0&amp;row=443&amp;col=14&amp;number=&amp;sourceID=30","")</f>
        <v/>
      </c>
    </row>
    <row r="444" spans="1:14">
      <c r="A444" s="3">
        <v>3</v>
      </c>
      <c r="B444" s="3">
        <v>2</v>
      </c>
      <c r="C444" s="3">
        <v>34</v>
      </c>
      <c r="D444" s="3">
        <v>16</v>
      </c>
      <c r="E444" s="3">
        <f>((1/(INDEX(E0!J$4:J$52,C444,1)-INDEX(E0!J$4:J$52,D444,1))))*100000000</f>
        <v>0</v>
      </c>
      <c r="F444" s="4" t="str">
        <f>HYPERLINK("http://141.218.60.56/~jnz1568/getInfo.php?workbook=03_02.xlsx&amp;sheet=A0&amp;row=444&amp;col=6&amp;number=&amp;sourceID=27","")</f>
        <v/>
      </c>
      <c r="G444" s="4" t="str">
        <f>HYPERLINK("http://141.218.60.56/~jnz1568/getInfo.php?workbook=03_02.xlsx&amp;sheet=A0&amp;row=444&amp;col=7&amp;number=&amp;sourceID=15","")</f>
        <v/>
      </c>
      <c r="H444" s="4" t="str">
        <f>HYPERLINK("http://141.218.60.56/~jnz1568/getInfo.php?workbook=03_02.xlsx&amp;sheet=A0&amp;row=444&amp;col=8&amp;number=&amp;sourceID=15","")</f>
        <v/>
      </c>
      <c r="I444" s="4" t="str">
        <f>HYPERLINK("http://141.218.60.56/~jnz1568/getInfo.php?workbook=03_02.xlsx&amp;sheet=A0&amp;row=444&amp;col=9&amp;number=&amp;sourceID=15","")</f>
        <v/>
      </c>
      <c r="J444" s="4" t="str">
        <f>HYPERLINK("http://141.218.60.56/~jnz1568/getInfo.php?workbook=03_02.xlsx&amp;sheet=A0&amp;row=444&amp;col=10&amp;number=&amp;sourceID=15","")</f>
        <v/>
      </c>
      <c r="K444" s="4" t="str">
        <f>HYPERLINK("http://141.218.60.56/~jnz1568/getInfo.php?workbook=03_02.xlsx&amp;sheet=A0&amp;row=444&amp;col=11&amp;number=&amp;sourceID=30","")</f>
        <v/>
      </c>
      <c r="L444" s="4" t="str">
        <f>HYPERLINK("http://141.218.60.56/~jnz1568/getInfo.php?workbook=03_02.xlsx&amp;sheet=A0&amp;row=444&amp;col=12&amp;number=&amp;sourceID=30","")</f>
        <v/>
      </c>
      <c r="M444" s="4" t="str">
        <f>HYPERLINK("http://141.218.60.56/~jnz1568/getInfo.php?workbook=03_02.xlsx&amp;sheet=A0&amp;row=444&amp;col=13&amp;number=&amp;sourceID=30","")</f>
        <v/>
      </c>
      <c r="N444" s="4" t="str">
        <f>HYPERLINK("http://141.218.60.56/~jnz1568/getInfo.php?workbook=03_02.xlsx&amp;sheet=A0&amp;row=444&amp;col=14&amp;number=1.607e-05&amp;sourceID=30","1.607e-05")</f>
        <v>1.607e-05</v>
      </c>
    </row>
    <row r="445" spans="1:14">
      <c r="A445" s="3">
        <v>3</v>
      </c>
      <c r="B445" s="3">
        <v>2</v>
      </c>
      <c r="C445" s="3">
        <v>34</v>
      </c>
      <c r="D445" s="3">
        <v>17</v>
      </c>
      <c r="E445" s="3">
        <f>((1/(INDEX(E0!J$4:J$52,C445,1)-INDEX(E0!J$4:J$52,D445,1))))*100000000</f>
        <v>0</v>
      </c>
      <c r="F445" s="4" t="str">
        <f>HYPERLINK("http://141.218.60.56/~jnz1568/getInfo.php?workbook=03_02.xlsx&amp;sheet=A0&amp;row=445&amp;col=6&amp;number=&amp;sourceID=27","")</f>
        <v/>
      </c>
      <c r="G445" s="4" t="str">
        <f>HYPERLINK("http://141.218.60.56/~jnz1568/getInfo.php?workbook=03_02.xlsx&amp;sheet=A0&amp;row=445&amp;col=7&amp;number=&amp;sourceID=15","")</f>
        <v/>
      </c>
      <c r="H445" s="4" t="str">
        <f>HYPERLINK("http://141.218.60.56/~jnz1568/getInfo.php?workbook=03_02.xlsx&amp;sheet=A0&amp;row=445&amp;col=8&amp;number=&amp;sourceID=15","")</f>
        <v/>
      </c>
      <c r="I445" s="4" t="str">
        <f>HYPERLINK("http://141.218.60.56/~jnz1568/getInfo.php?workbook=03_02.xlsx&amp;sheet=A0&amp;row=445&amp;col=9&amp;number=&amp;sourceID=15","")</f>
        <v/>
      </c>
      <c r="J445" s="4" t="str">
        <f>HYPERLINK("http://141.218.60.56/~jnz1568/getInfo.php?workbook=03_02.xlsx&amp;sheet=A0&amp;row=445&amp;col=10&amp;number=&amp;sourceID=15","")</f>
        <v/>
      </c>
      <c r="K445" s="4" t="str">
        <f>HYPERLINK("http://141.218.60.56/~jnz1568/getInfo.php?workbook=03_02.xlsx&amp;sheet=A0&amp;row=445&amp;col=11&amp;number=&amp;sourceID=30","")</f>
        <v/>
      </c>
      <c r="L445" s="4" t="str">
        <f>HYPERLINK("http://141.218.60.56/~jnz1568/getInfo.php?workbook=03_02.xlsx&amp;sheet=A0&amp;row=445&amp;col=12&amp;number=&amp;sourceID=30","")</f>
        <v/>
      </c>
      <c r="M445" s="4" t="str">
        <f>HYPERLINK("http://141.218.60.56/~jnz1568/getInfo.php?workbook=03_02.xlsx&amp;sheet=A0&amp;row=445&amp;col=13&amp;number=1.18e-06&amp;sourceID=30","1.18e-06")</f>
        <v>1.18e-06</v>
      </c>
      <c r="N445" s="4" t="str">
        <f>HYPERLINK("http://141.218.60.56/~jnz1568/getInfo.php?workbook=03_02.xlsx&amp;sheet=A0&amp;row=445&amp;col=14&amp;number=&amp;sourceID=30","")</f>
        <v/>
      </c>
    </row>
    <row r="446" spans="1:14">
      <c r="A446" s="3">
        <v>3</v>
      </c>
      <c r="B446" s="3">
        <v>2</v>
      </c>
      <c r="C446" s="3">
        <v>34</v>
      </c>
      <c r="D446" s="3">
        <v>18</v>
      </c>
      <c r="E446" s="3">
        <f>((1/(INDEX(E0!J$4:J$52,C446,1)-INDEX(E0!J$4:J$52,D446,1))))*100000000</f>
        <v>0</v>
      </c>
      <c r="F446" s="4" t="str">
        <f>HYPERLINK("http://141.218.60.56/~jnz1568/getInfo.php?workbook=03_02.xlsx&amp;sheet=A0&amp;row=446&amp;col=6&amp;number=&amp;sourceID=27","")</f>
        <v/>
      </c>
      <c r="G446" s="4" t="str">
        <f>HYPERLINK("http://141.218.60.56/~jnz1568/getInfo.php?workbook=03_02.xlsx&amp;sheet=A0&amp;row=446&amp;col=7&amp;number=6440900&amp;sourceID=15","6440900")</f>
        <v>6440900</v>
      </c>
      <c r="H446" s="4" t="str">
        <f>HYPERLINK("http://141.218.60.56/~jnz1568/getInfo.php?workbook=03_02.xlsx&amp;sheet=A0&amp;row=446&amp;col=8&amp;number=&amp;sourceID=15","")</f>
        <v/>
      </c>
      <c r="I446" s="4" t="str">
        <f>HYPERLINK("http://141.218.60.56/~jnz1568/getInfo.php?workbook=03_02.xlsx&amp;sheet=A0&amp;row=446&amp;col=9&amp;number=&amp;sourceID=15","")</f>
        <v/>
      </c>
      <c r="J446" s="4" t="str">
        <f>HYPERLINK("http://141.218.60.56/~jnz1568/getInfo.php?workbook=03_02.xlsx&amp;sheet=A0&amp;row=446&amp;col=10&amp;number=&amp;sourceID=15","")</f>
        <v/>
      </c>
      <c r="K446" s="4" t="str">
        <f>HYPERLINK("http://141.218.60.56/~jnz1568/getInfo.php?workbook=03_02.xlsx&amp;sheet=A0&amp;row=446&amp;col=11&amp;number=5448000&amp;sourceID=30","5448000")</f>
        <v>5448000</v>
      </c>
      <c r="L446" s="4" t="str">
        <f>HYPERLINK("http://141.218.60.56/~jnz1568/getInfo.php?workbook=03_02.xlsx&amp;sheet=A0&amp;row=446&amp;col=12&amp;number=&amp;sourceID=30","")</f>
        <v/>
      </c>
      <c r="M446" s="4" t="str">
        <f>HYPERLINK("http://141.218.60.56/~jnz1568/getInfo.php?workbook=03_02.xlsx&amp;sheet=A0&amp;row=446&amp;col=13&amp;number=&amp;sourceID=30","")</f>
        <v/>
      </c>
      <c r="N446" s="4" t="str">
        <f>HYPERLINK("http://141.218.60.56/~jnz1568/getInfo.php?workbook=03_02.xlsx&amp;sheet=A0&amp;row=446&amp;col=14&amp;number=&amp;sourceID=30","")</f>
        <v/>
      </c>
    </row>
    <row r="447" spans="1:14">
      <c r="A447" s="3">
        <v>3</v>
      </c>
      <c r="B447" s="3">
        <v>2</v>
      </c>
      <c r="C447" s="3">
        <v>34</v>
      </c>
      <c r="D447" s="3">
        <v>21</v>
      </c>
      <c r="E447" s="3">
        <f>((1/(INDEX(E0!J$4:J$52,C447,1)-INDEX(E0!J$4:J$52,D447,1))))*100000000</f>
        <v>0</v>
      </c>
      <c r="F447" s="4" t="str">
        <f>HYPERLINK("http://141.218.60.56/~jnz1568/getInfo.php?workbook=03_02.xlsx&amp;sheet=A0&amp;row=447&amp;col=6&amp;number=&amp;sourceID=27","")</f>
        <v/>
      </c>
      <c r="G447" s="4" t="str">
        <f>HYPERLINK("http://141.218.60.56/~jnz1568/getInfo.php?workbook=03_02.xlsx&amp;sheet=A0&amp;row=447&amp;col=7&amp;number=&amp;sourceID=15","")</f>
        <v/>
      </c>
      <c r="H447" s="4" t="str">
        <f>HYPERLINK("http://141.218.60.56/~jnz1568/getInfo.php?workbook=03_02.xlsx&amp;sheet=A0&amp;row=447&amp;col=8&amp;number=&amp;sourceID=15","")</f>
        <v/>
      </c>
      <c r="I447" s="4" t="str">
        <f>HYPERLINK("http://141.218.60.56/~jnz1568/getInfo.php?workbook=03_02.xlsx&amp;sheet=A0&amp;row=447&amp;col=9&amp;number=&amp;sourceID=15","")</f>
        <v/>
      </c>
      <c r="J447" s="4" t="str">
        <f>HYPERLINK("http://141.218.60.56/~jnz1568/getInfo.php?workbook=03_02.xlsx&amp;sheet=A0&amp;row=447&amp;col=10&amp;number=&amp;sourceID=15","")</f>
        <v/>
      </c>
      <c r="K447" s="4" t="str">
        <f>HYPERLINK("http://141.218.60.56/~jnz1568/getInfo.php?workbook=03_02.xlsx&amp;sheet=A0&amp;row=447&amp;col=11&amp;number=&amp;sourceID=30","")</f>
        <v/>
      </c>
      <c r="L447" s="4" t="str">
        <f>HYPERLINK("http://141.218.60.56/~jnz1568/getInfo.php?workbook=03_02.xlsx&amp;sheet=A0&amp;row=447&amp;col=12&amp;number=&amp;sourceID=30","")</f>
        <v/>
      </c>
      <c r="M447" s="4" t="str">
        <f>HYPERLINK("http://141.218.60.56/~jnz1568/getInfo.php?workbook=03_02.xlsx&amp;sheet=A0&amp;row=447&amp;col=13&amp;number=6.596e-08&amp;sourceID=30","6.596e-08")</f>
        <v>6.596e-08</v>
      </c>
      <c r="N447" s="4" t="str">
        <f>HYPERLINK("http://141.218.60.56/~jnz1568/getInfo.php?workbook=03_02.xlsx&amp;sheet=A0&amp;row=447&amp;col=14&amp;number=&amp;sourceID=30","")</f>
        <v/>
      </c>
    </row>
    <row r="448" spans="1:14">
      <c r="A448" s="3">
        <v>3</v>
      </c>
      <c r="B448" s="3">
        <v>2</v>
      </c>
      <c r="C448" s="3">
        <v>34</v>
      </c>
      <c r="D448" s="3">
        <v>22</v>
      </c>
      <c r="E448" s="3">
        <f>((1/(INDEX(E0!J$4:J$52,C448,1)-INDEX(E0!J$4:J$52,D448,1))))*100000000</f>
        <v>0</v>
      </c>
      <c r="F448" s="4" t="str">
        <f>HYPERLINK("http://141.218.60.56/~jnz1568/getInfo.php?workbook=03_02.xlsx&amp;sheet=A0&amp;row=448&amp;col=6&amp;number=&amp;sourceID=27","")</f>
        <v/>
      </c>
      <c r="G448" s="4" t="str">
        <f>HYPERLINK("http://141.218.60.56/~jnz1568/getInfo.php?workbook=03_02.xlsx&amp;sheet=A0&amp;row=448&amp;col=7&amp;number=&amp;sourceID=15","")</f>
        <v/>
      </c>
      <c r="H448" s="4" t="str">
        <f>HYPERLINK("http://141.218.60.56/~jnz1568/getInfo.php?workbook=03_02.xlsx&amp;sheet=A0&amp;row=448&amp;col=8&amp;number=&amp;sourceID=15","")</f>
        <v/>
      </c>
      <c r="I448" s="4" t="str">
        <f>HYPERLINK("http://141.218.60.56/~jnz1568/getInfo.php?workbook=03_02.xlsx&amp;sheet=A0&amp;row=448&amp;col=9&amp;number=&amp;sourceID=15","")</f>
        <v/>
      </c>
      <c r="J448" s="4" t="str">
        <f>HYPERLINK("http://141.218.60.56/~jnz1568/getInfo.php?workbook=03_02.xlsx&amp;sheet=A0&amp;row=448&amp;col=10&amp;number=&amp;sourceID=15","")</f>
        <v/>
      </c>
      <c r="K448" s="4" t="str">
        <f>HYPERLINK("http://141.218.60.56/~jnz1568/getInfo.php?workbook=03_02.xlsx&amp;sheet=A0&amp;row=448&amp;col=11&amp;number=&amp;sourceID=30","")</f>
        <v/>
      </c>
      <c r="L448" s="4" t="str">
        <f>HYPERLINK("http://141.218.60.56/~jnz1568/getInfo.php?workbook=03_02.xlsx&amp;sheet=A0&amp;row=448&amp;col=12&amp;number=29.1&amp;sourceID=30","29.1")</f>
        <v>29.1</v>
      </c>
      <c r="M448" s="4" t="str">
        <f>HYPERLINK("http://141.218.60.56/~jnz1568/getInfo.php?workbook=03_02.xlsx&amp;sheet=A0&amp;row=448&amp;col=13&amp;number=&amp;sourceID=30","")</f>
        <v/>
      </c>
      <c r="N448" s="4" t="str">
        <f>HYPERLINK("http://141.218.60.56/~jnz1568/getInfo.php?workbook=03_02.xlsx&amp;sheet=A0&amp;row=448&amp;col=14&amp;number=&amp;sourceID=30","")</f>
        <v/>
      </c>
    </row>
    <row r="449" spans="1:14">
      <c r="A449" s="3">
        <v>3</v>
      </c>
      <c r="B449" s="3">
        <v>2</v>
      </c>
      <c r="C449" s="3">
        <v>34</v>
      </c>
      <c r="D449" s="3">
        <v>23</v>
      </c>
      <c r="E449" s="3">
        <f>((1/(INDEX(E0!J$4:J$52,C449,1)-INDEX(E0!J$4:J$52,D449,1))))*100000000</f>
        <v>0</v>
      </c>
      <c r="F449" s="4" t="str">
        <f>HYPERLINK("http://141.218.60.56/~jnz1568/getInfo.php?workbook=03_02.xlsx&amp;sheet=A0&amp;row=449&amp;col=6&amp;number=&amp;sourceID=27","")</f>
        <v/>
      </c>
      <c r="G449" s="4" t="str">
        <f>HYPERLINK("http://141.218.60.56/~jnz1568/getInfo.php?workbook=03_02.xlsx&amp;sheet=A0&amp;row=449&amp;col=7&amp;number=4760100&amp;sourceID=15","4760100")</f>
        <v>4760100</v>
      </c>
      <c r="H449" s="4" t="str">
        <f>HYPERLINK("http://141.218.60.56/~jnz1568/getInfo.php?workbook=03_02.xlsx&amp;sheet=A0&amp;row=449&amp;col=8&amp;number=&amp;sourceID=15","")</f>
        <v/>
      </c>
      <c r="I449" s="4" t="str">
        <f>HYPERLINK("http://141.218.60.56/~jnz1568/getInfo.php?workbook=03_02.xlsx&amp;sheet=A0&amp;row=449&amp;col=9&amp;number=&amp;sourceID=15","")</f>
        <v/>
      </c>
      <c r="J449" s="4" t="str">
        <f>HYPERLINK("http://141.218.60.56/~jnz1568/getInfo.php?workbook=03_02.xlsx&amp;sheet=A0&amp;row=449&amp;col=10&amp;number=&amp;sourceID=15","")</f>
        <v/>
      </c>
      <c r="K449" s="4" t="str">
        <f>HYPERLINK("http://141.218.60.56/~jnz1568/getInfo.php?workbook=03_02.xlsx&amp;sheet=A0&amp;row=449&amp;col=11&amp;number=4441000&amp;sourceID=30","4441000")</f>
        <v>4441000</v>
      </c>
      <c r="L449" s="4" t="str">
        <f>HYPERLINK("http://141.218.60.56/~jnz1568/getInfo.php?workbook=03_02.xlsx&amp;sheet=A0&amp;row=449&amp;col=12&amp;number=&amp;sourceID=30","")</f>
        <v/>
      </c>
      <c r="M449" s="4" t="str">
        <f>HYPERLINK("http://141.218.60.56/~jnz1568/getInfo.php?workbook=03_02.xlsx&amp;sheet=A0&amp;row=449&amp;col=13&amp;number=&amp;sourceID=30","")</f>
        <v/>
      </c>
      <c r="N449" s="4" t="str">
        <f>HYPERLINK("http://141.218.60.56/~jnz1568/getInfo.php?workbook=03_02.xlsx&amp;sheet=A0&amp;row=449&amp;col=14&amp;number=&amp;sourceID=30","")</f>
        <v/>
      </c>
    </row>
    <row r="450" spans="1:14">
      <c r="A450" s="3">
        <v>3</v>
      </c>
      <c r="B450" s="3">
        <v>2</v>
      </c>
      <c r="C450" s="3">
        <v>34</v>
      </c>
      <c r="D450" s="3">
        <v>24</v>
      </c>
      <c r="E450" s="3">
        <f>((1/(INDEX(E0!J$4:J$52,C450,1)-INDEX(E0!J$4:J$52,D450,1))))*100000000</f>
        <v>0</v>
      </c>
      <c r="F450" s="4" t="str">
        <f>HYPERLINK("http://141.218.60.56/~jnz1568/getInfo.php?workbook=03_02.xlsx&amp;sheet=A0&amp;row=450&amp;col=6&amp;number=&amp;sourceID=27","")</f>
        <v/>
      </c>
      <c r="G450" s="4" t="str">
        <f>HYPERLINK("http://141.218.60.56/~jnz1568/getInfo.php?workbook=03_02.xlsx&amp;sheet=A0&amp;row=450&amp;col=7&amp;number=&amp;sourceID=15","")</f>
        <v/>
      </c>
      <c r="H450" s="4" t="str">
        <f>HYPERLINK("http://141.218.60.56/~jnz1568/getInfo.php?workbook=03_02.xlsx&amp;sheet=A0&amp;row=450&amp;col=8&amp;number=&amp;sourceID=15","")</f>
        <v/>
      </c>
      <c r="I450" s="4" t="str">
        <f>HYPERLINK("http://141.218.60.56/~jnz1568/getInfo.php?workbook=03_02.xlsx&amp;sheet=A0&amp;row=450&amp;col=9&amp;number=&amp;sourceID=15","")</f>
        <v/>
      </c>
      <c r="J450" s="4" t="str">
        <f>HYPERLINK("http://141.218.60.56/~jnz1568/getInfo.php?workbook=03_02.xlsx&amp;sheet=A0&amp;row=450&amp;col=10&amp;number=&amp;sourceID=15","")</f>
        <v/>
      </c>
      <c r="K450" s="4" t="str">
        <f>HYPERLINK("http://141.218.60.56/~jnz1568/getInfo.php?workbook=03_02.xlsx&amp;sheet=A0&amp;row=450&amp;col=11&amp;number=&amp;sourceID=30","")</f>
        <v/>
      </c>
      <c r="L450" s="4" t="str">
        <f>HYPERLINK("http://141.218.60.56/~jnz1568/getInfo.php?workbook=03_02.xlsx&amp;sheet=A0&amp;row=450&amp;col=12&amp;number=&amp;sourceID=30","")</f>
        <v/>
      </c>
      <c r="M450" s="4" t="str">
        <f>HYPERLINK("http://141.218.60.56/~jnz1568/getInfo.php?workbook=03_02.xlsx&amp;sheet=A0&amp;row=450&amp;col=13&amp;number=&amp;sourceID=30","")</f>
        <v/>
      </c>
      <c r="N450" s="4" t="str">
        <f>HYPERLINK("http://141.218.60.56/~jnz1568/getInfo.php?workbook=03_02.xlsx&amp;sheet=A0&amp;row=450&amp;col=14&amp;number=2.841e-07&amp;sourceID=30","2.841e-07")</f>
        <v>2.841e-07</v>
      </c>
    </row>
    <row r="451" spans="1:14">
      <c r="A451" s="3">
        <v>3</v>
      </c>
      <c r="B451" s="3">
        <v>2</v>
      </c>
      <c r="C451" s="3">
        <v>34</v>
      </c>
      <c r="D451" s="3">
        <v>26</v>
      </c>
      <c r="E451" s="3">
        <f>((1/(INDEX(E0!J$4:J$52,C451,1)-INDEX(E0!J$4:J$52,D451,1))))*100000000</f>
        <v>0</v>
      </c>
      <c r="F451" s="4" t="str">
        <f>HYPERLINK("http://141.218.60.56/~jnz1568/getInfo.php?workbook=03_02.xlsx&amp;sheet=A0&amp;row=451&amp;col=6&amp;number=&amp;sourceID=27","")</f>
        <v/>
      </c>
      <c r="G451" s="4" t="str">
        <f>HYPERLINK("http://141.218.60.56/~jnz1568/getInfo.php?workbook=03_02.xlsx&amp;sheet=A0&amp;row=451&amp;col=7&amp;number=&amp;sourceID=15","")</f>
        <v/>
      </c>
      <c r="H451" s="4" t="str">
        <f>HYPERLINK("http://141.218.60.56/~jnz1568/getInfo.php?workbook=03_02.xlsx&amp;sheet=A0&amp;row=451&amp;col=8&amp;number=&amp;sourceID=15","")</f>
        <v/>
      </c>
      <c r="I451" s="4" t="str">
        <f>HYPERLINK("http://141.218.60.56/~jnz1568/getInfo.php?workbook=03_02.xlsx&amp;sheet=A0&amp;row=451&amp;col=9&amp;number=&amp;sourceID=15","")</f>
        <v/>
      </c>
      <c r="J451" s="4" t="str">
        <f>HYPERLINK("http://141.218.60.56/~jnz1568/getInfo.php?workbook=03_02.xlsx&amp;sheet=A0&amp;row=451&amp;col=10&amp;number=&amp;sourceID=15","")</f>
        <v/>
      </c>
      <c r="K451" s="4" t="str">
        <f>HYPERLINK("http://141.218.60.56/~jnz1568/getInfo.php?workbook=03_02.xlsx&amp;sheet=A0&amp;row=451&amp;col=11&amp;number=&amp;sourceID=30","")</f>
        <v/>
      </c>
      <c r="L451" s="4" t="str">
        <f>HYPERLINK("http://141.218.60.56/~jnz1568/getInfo.php?workbook=03_02.xlsx&amp;sheet=A0&amp;row=451&amp;col=12&amp;number=&amp;sourceID=30","")</f>
        <v/>
      </c>
      <c r="M451" s="4" t="str">
        <f>HYPERLINK("http://141.218.60.56/~jnz1568/getInfo.php?workbook=03_02.xlsx&amp;sheet=A0&amp;row=451&amp;col=13&amp;number=&amp;sourceID=30","")</f>
        <v/>
      </c>
      <c r="N451" s="4" t="str">
        <f>HYPERLINK("http://141.218.60.56/~jnz1568/getInfo.php?workbook=03_02.xlsx&amp;sheet=A0&amp;row=451&amp;col=14&amp;number=1.842e-06&amp;sourceID=30","1.842e-06")</f>
        <v>1.842e-06</v>
      </c>
    </row>
    <row r="452" spans="1:14">
      <c r="A452" s="3">
        <v>3</v>
      </c>
      <c r="B452" s="3">
        <v>2</v>
      </c>
      <c r="C452" s="3">
        <v>34</v>
      </c>
      <c r="D452" s="3">
        <v>27</v>
      </c>
      <c r="E452" s="3">
        <f>((1/(INDEX(E0!J$4:J$52,C452,1)-INDEX(E0!J$4:J$52,D452,1))))*100000000</f>
        <v>0</v>
      </c>
      <c r="F452" s="4" t="str">
        <f>HYPERLINK("http://141.218.60.56/~jnz1568/getInfo.php?workbook=03_02.xlsx&amp;sheet=A0&amp;row=452&amp;col=6&amp;number=&amp;sourceID=27","")</f>
        <v/>
      </c>
      <c r="G452" s="4" t="str">
        <f>HYPERLINK("http://141.218.60.56/~jnz1568/getInfo.php?workbook=03_02.xlsx&amp;sheet=A0&amp;row=452&amp;col=7&amp;number=&amp;sourceID=15","")</f>
        <v/>
      </c>
      <c r="H452" s="4" t="str">
        <f>HYPERLINK("http://141.218.60.56/~jnz1568/getInfo.php?workbook=03_02.xlsx&amp;sheet=A0&amp;row=452&amp;col=8&amp;number=&amp;sourceID=15","")</f>
        <v/>
      </c>
      <c r="I452" s="4" t="str">
        <f>HYPERLINK("http://141.218.60.56/~jnz1568/getInfo.php?workbook=03_02.xlsx&amp;sheet=A0&amp;row=452&amp;col=9&amp;number=&amp;sourceID=15","")</f>
        <v/>
      </c>
      <c r="J452" s="4" t="str">
        <f>HYPERLINK("http://141.218.60.56/~jnz1568/getInfo.php?workbook=03_02.xlsx&amp;sheet=A0&amp;row=452&amp;col=10&amp;number=&amp;sourceID=15","")</f>
        <v/>
      </c>
      <c r="K452" s="4" t="str">
        <f>HYPERLINK("http://141.218.60.56/~jnz1568/getInfo.php?workbook=03_02.xlsx&amp;sheet=A0&amp;row=452&amp;col=11&amp;number=&amp;sourceID=30","")</f>
        <v/>
      </c>
      <c r="L452" s="4" t="str">
        <f>HYPERLINK("http://141.218.60.56/~jnz1568/getInfo.php?workbook=03_02.xlsx&amp;sheet=A0&amp;row=452&amp;col=12&amp;number=3.424&amp;sourceID=30","3.424")</f>
        <v>3.424</v>
      </c>
      <c r="M452" s="4" t="str">
        <f>HYPERLINK("http://141.218.60.56/~jnz1568/getInfo.php?workbook=03_02.xlsx&amp;sheet=A0&amp;row=452&amp;col=13&amp;number=&amp;sourceID=30","")</f>
        <v/>
      </c>
      <c r="N452" s="4" t="str">
        <f>HYPERLINK("http://141.218.60.56/~jnz1568/getInfo.php?workbook=03_02.xlsx&amp;sheet=A0&amp;row=452&amp;col=14&amp;number=&amp;sourceID=30","")</f>
        <v/>
      </c>
    </row>
    <row r="453" spans="1:14">
      <c r="A453" s="3">
        <v>3</v>
      </c>
      <c r="B453" s="3">
        <v>2</v>
      </c>
      <c r="C453" s="3">
        <v>34</v>
      </c>
      <c r="D453" s="3">
        <v>31</v>
      </c>
      <c r="E453" s="3">
        <f>((1/(INDEX(E0!J$4:J$52,C453,1)-INDEX(E0!J$4:J$52,D453,1))))*100000000</f>
        <v>0</v>
      </c>
      <c r="F453" s="4" t="str">
        <f>HYPERLINK("http://141.218.60.56/~jnz1568/getInfo.php?workbook=03_02.xlsx&amp;sheet=A0&amp;row=453&amp;col=6&amp;number=&amp;sourceID=27","")</f>
        <v/>
      </c>
      <c r="G453" s="4" t="str">
        <f>HYPERLINK("http://141.218.60.56/~jnz1568/getInfo.php?workbook=03_02.xlsx&amp;sheet=A0&amp;row=453&amp;col=7&amp;number=&amp;sourceID=15","")</f>
        <v/>
      </c>
      <c r="H453" s="4" t="str">
        <f>HYPERLINK("http://141.218.60.56/~jnz1568/getInfo.php?workbook=03_02.xlsx&amp;sheet=A0&amp;row=453&amp;col=8&amp;number=&amp;sourceID=15","")</f>
        <v/>
      </c>
      <c r="I453" s="4" t="str">
        <f>HYPERLINK("http://141.218.60.56/~jnz1568/getInfo.php?workbook=03_02.xlsx&amp;sheet=A0&amp;row=453&amp;col=9&amp;number=&amp;sourceID=15","")</f>
        <v/>
      </c>
      <c r="J453" s="4" t="str">
        <f>HYPERLINK("http://141.218.60.56/~jnz1568/getInfo.php?workbook=03_02.xlsx&amp;sheet=A0&amp;row=453&amp;col=10&amp;number=&amp;sourceID=15","")</f>
        <v/>
      </c>
      <c r="K453" s="4" t="str">
        <f>HYPERLINK("http://141.218.60.56/~jnz1568/getInfo.php?workbook=03_02.xlsx&amp;sheet=A0&amp;row=453&amp;col=11&amp;number=&amp;sourceID=30","")</f>
        <v/>
      </c>
      <c r="L453" s="4" t="str">
        <f>HYPERLINK("http://141.218.60.56/~jnz1568/getInfo.php?workbook=03_02.xlsx&amp;sheet=A0&amp;row=453&amp;col=12&amp;number=&amp;sourceID=30","")</f>
        <v/>
      </c>
      <c r="M453" s="4" t="str">
        <f>HYPERLINK("http://141.218.60.56/~jnz1568/getInfo.php?workbook=03_02.xlsx&amp;sheet=A0&amp;row=453&amp;col=13&amp;number=1.692e-07&amp;sourceID=30","1.692e-07")</f>
        <v>1.692e-07</v>
      </c>
      <c r="N453" s="4" t="str">
        <f>HYPERLINK("http://141.218.60.56/~jnz1568/getInfo.php?workbook=03_02.xlsx&amp;sheet=A0&amp;row=453&amp;col=14&amp;number=&amp;sourceID=30","")</f>
        <v/>
      </c>
    </row>
    <row r="454" spans="1:14">
      <c r="A454" s="3">
        <v>3</v>
      </c>
      <c r="B454" s="3">
        <v>2</v>
      </c>
      <c r="C454" s="3">
        <v>34</v>
      </c>
      <c r="D454" s="3">
        <v>32</v>
      </c>
      <c r="E454" s="3">
        <f>((1/(INDEX(E0!J$4:J$52,C454,1)-INDEX(E0!J$4:J$52,D454,1))))*100000000</f>
        <v>0</v>
      </c>
      <c r="F454" s="4" t="str">
        <f>HYPERLINK("http://141.218.60.56/~jnz1568/getInfo.php?workbook=03_02.xlsx&amp;sheet=A0&amp;row=454&amp;col=6&amp;number=&amp;sourceID=27","")</f>
        <v/>
      </c>
      <c r="G454" s="4" t="str">
        <f>HYPERLINK("http://141.218.60.56/~jnz1568/getInfo.php?workbook=03_02.xlsx&amp;sheet=A0&amp;row=454&amp;col=7&amp;number=178170&amp;sourceID=15","178170")</f>
        <v>178170</v>
      </c>
      <c r="H454" s="4" t="str">
        <f>HYPERLINK("http://141.218.60.56/~jnz1568/getInfo.php?workbook=03_02.xlsx&amp;sheet=A0&amp;row=454&amp;col=8&amp;number=&amp;sourceID=15","")</f>
        <v/>
      </c>
      <c r="I454" s="4" t="str">
        <f>HYPERLINK("http://141.218.60.56/~jnz1568/getInfo.php?workbook=03_02.xlsx&amp;sheet=A0&amp;row=454&amp;col=9&amp;number=&amp;sourceID=15","")</f>
        <v/>
      </c>
      <c r="J454" s="4" t="str">
        <f>HYPERLINK("http://141.218.60.56/~jnz1568/getInfo.php?workbook=03_02.xlsx&amp;sheet=A0&amp;row=454&amp;col=10&amp;number=&amp;sourceID=15","")</f>
        <v/>
      </c>
      <c r="K454" s="4" t="str">
        <f>HYPERLINK("http://141.218.60.56/~jnz1568/getInfo.php?workbook=03_02.xlsx&amp;sheet=A0&amp;row=454&amp;col=11&amp;number=195200&amp;sourceID=30","195200")</f>
        <v>195200</v>
      </c>
      <c r="L454" s="4" t="str">
        <f>HYPERLINK("http://141.218.60.56/~jnz1568/getInfo.php?workbook=03_02.xlsx&amp;sheet=A0&amp;row=454&amp;col=12&amp;number=&amp;sourceID=30","")</f>
        <v/>
      </c>
      <c r="M454" s="4" t="str">
        <f>HYPERLINK("http://141.218.60.56/~jnz1568/getInfo.php?workbook=03_02.xlsx&amp;sheet=A0&amp;row=454&amp;col=13&amp;number=&amp;sourceID=30","")</f>
        <v/>
      </c>
      <c r="N454" s="4" t="str">
        <f>HYPERLINK("http://141.218.60.56/~jnz1568/getInfo.php?workbook=03_02.xlsx&amp;sheet=A0&amp;row=454&amp;col=14&amp;number=&amp;sourceID=30","")</f>
        <v/>
      </c>
    </row>
    <row r="455" spans="1:14">
      <c r="A455" s="3">
        <v>3</v>
      </c>
      <c r="B455" s="3">
        <v>2</v>
      </c>
      <c r="C455" s="3">
        <v>35</v>
      </c>
      <c r="D455" s="3">
        <v>1</v>
      </c>
      <c r="E455" s="3">
        <f>((1/(INDEX(E0!J$4:J$52,C455,1)-INDEX(E0!J$4:J$52,D455,1))))*100000000</f>
        <v>0</v>
      </c>
      <c r="F455" s="4" t="str">
        <f>HYPERLINK("http://141.218.60.56/~jnz1568/getInfo.php?workbook=03_02.xlsx&amp;sheet=A0&amp;row=455&amp;col=6&amp;number=&amp;sourceID=27","")</f>
        <v/>
      </c>
      <c r="G455" s="4" t="str">
        <f>HYPERLINK("http://141.218.60.56/~jnz1568/getInfo.php?workbook=03_02.xlsx&amp;sheet=A0&amp;row=455&amp;col=7&amp;number=&amp;sourceID=15","")</f>
        <v/>
      </c>
      <c r="H455" s="4" t="str">
        <f>HYPERLINK("http://141.218.60.56/~jnz1568/getInfo.php?workbook=03_02.xlsx&amp;sheet=A0&amp;row=455&amp;col=8&amp;number=&amp;sourceID=15","")</f>
        <v/>
      </c>
      <c r="I455" s="4" t="str">
        <f>HYPERLINK("http://141.218.60.56/~jnz1568/getInfo.php?workbook=03_02.xlsx&amp;sheet=A0&amp;row=455&amp;col=9&amp;number=&amp;sourceID=15","")</f>
        <v/>
      </c>
      <c r="J455" s="4" t="str">
        <f>HYPERLINK("http://141.218.60.56/~jnz1568/getInfo.php?workbook=03_02.xlsx&amp;sheet=A0&amp;row=455&amp;col=10&amp;number=&amp;sourceID=15","")</f>
        <v/>
      </c>
      <c r="K455" s="4" t="str">
        <f>HYPERLINK("http://141.218.60.56/~jnz1568/getInfo.php?workbook=03_02.xlsx&amp;sheet=A0&amp;row=455&amp;col=11&amp;number=5514&amp;sourceID=30","5514")</f>
        <v>5514</v>
      </c>
      <c r="L455" s="4" t="str">
        <f>HYPERLINK("http://141.218.60.56/~jnz1568/getInfo.php?workbook=03_02.xlsx&amp;sheet=A0&amp;row=455&amp;col=12&amp;number=&amp;sourceID=30","")</f>
        <v/>
      </c>
      <c r="M455" s="4" t="str">
        <f>HYPERLINK("http://141.218.60.56/~jnz1568/getInfo.php?workbook=03_02.xlsx&amp;sheet=A0&amp;row=455&amp;col=13&amp;number=&amp;sourceID=30","")</f>
        <v/>
      </c>
      <c r="N455" s="4" t="str">
        <f>HYPERLINK("http://141.218.60.56/~jnz1568/getInfo.php?workbook=03_02.xlsx&amp;sheet=A0&amp;row=455&amp;col=14&amp;number=&amp;sourceID=30","")</f>
        <v/>
      </c>
    </row>
    <row r="456" spans="1:14">
      <c r="A456" s="3">
        <v>3</v>
      </c>
      <c r="B456" s="3">
        <v>2</v>
      </c>
      <c r="C456" s="3">
        <v>35</v>
      </c>
      <c r="D456" s="3">
        <v>2</v>
      </c>
      <c r="E456" s="3">
        <f>((1/(INDEX(E0!J$4:J$52,C456,1)-INDEX(E0!J$4:J$52,D456,1))))*100000000</f>
        <v>0</v>
      </c>
      <c r="F456" s="4" t="str">
        <f>HYPERLINK("http://141.218.60.56/~jnz1568/getInfo.php?workbook=03_02.xlsx&amp;sheet=A0&amp;row=456&amp;col=6&amp;number=&amp;sourceID=27","")</f>
        <v/>
      </c>
      <c r="G456" s="4" t="str">
        <f>HYPERLINK("http://141.218.60.56/~jnz1568/getInfo.php?workbook=03_02.xlsx&amp;sheet=A0&amp;row=456&amp;col=7&amp;number=76688000&amp;sourceID=15","76688000")</f>
        <v>76688000</v>
      </c>
      <c r="H456" s="4" t="str">
        <f>HYPERLINK("http://141.218.60.56/~jnz1568/getInfo.php?workbook=03_02.xlsx&amp;sheet=A0&amp;row=456&amp;col=8&amp;number=&amp;sourceID=15","")</f>
        <v/>
      </c>
      <c r="I456" s="4" t="str">
        <f>HYPERLINK("http://141.218.60.56/~jnz1568/getInfo.php?workbook=03_02.xlsx&amp;sheet=A0&amp;row=456&amp;col=9&amp;number=&amp;sourceID=15","")</f>
        <v/>
      </c>
      <c r="J456" s="4" t="str">
        <f>HYPERLINK("http://141.218.60.56/~jnz1568/getInfo.php?workbook=03_02.xlsx&amp;sheet=A0&amp;row=456&amp;col=10&amp;number=&amp;sourceID=15","")</f>
        <v/>
      </c>
      <c r="K456" s="4" t="str">
        <f>HYPERLINK("http://141.218.60.56/~jnz1568/getInfo.php?workbook=03_02.xlsx&amp;sheet=A0&amp;row=456&amp;col=11&amp;number=39160000&amp;sourceID=30","39160000")</f>
        <v>39160000</v>
      </c>
      <c r="L456" s="4" t="str">
        <f>HYPERLINK("http://141.218.60.56/~jnz1568/getInfo.php?workbook=03_02.xlsx&amp;sheet=A0&amp;row=456&amp;col=12&amp;number=&amp;sourceID=30","")</f>
        <v/>
      </c>
      <c r="M456" s="4" t="str">
        <f>HYPERLINK("http://141.218.60.56/~jnz1568/getInfo.php?workbook=03_02.xlsx&amp;sheet=A0&amp;row=456&amp;col=13&amp;number=&amp;sourceID=30","")</f>
        <v/>
      </c>
      <c r="N456" s="4" t="str">
        <f>HYPERLINK("http://141.218.60.56/~jnz1568/getInfo.php?workbook=03_02.xlsx&amp;sheet=A0&amp;row=456&amp;col=14&amp;number=0.001923&amp;sourceID=30","0.001923")</f>
        <v>0.001923</v>
      </c>
    </row>
    <row r="457" spans="1:14">
      <c r="A457" s="3">
        <v>3</v>
      </c>
      <c r="B457" s="3">
        <v>2</v>
      </c>
      <c r="C457" s="3">
        <v>35</v>
      </c>
      <c r="D457" s="3">
        <v>3</v>
      </c>
      <c r="E457" s="3">
        <f>((1/(INDEX(E0!J$4:J$52,C457,1)-INDEX(E0!J$4:J$52,D457,1))))*100000000</f>
        <v>0</v>
      </c>
      <c r="F457" s="4" t="str">
        <f>HYPERLINK("http://141.218.60.56/~jnz1568/getInfo.php?workbook=03_02.xlsx&amp;sheet=A0&amp;row=457&amp;col=6&amp;number=&amp;sourceID=27","")</f>
        <v/>
      </c>
      <c r="G457" s="4" t="str">
        <f>HYPERLINK("http://141.218.60.56/~jnz1568/getInfo.php?workbook=03_02.xlsx&amp;sheet=A0&amp;row=457&amp;col=7&amp;number=&amp;sourceID=15","")</f>
        <v/>
      </c>
      <c r="H457" s="4" t="str">
        <f>HYPERLINK("http://141.218.60.56/~jnz1568/getInfo.php?workbook=03_02.xlsx&amp;sheet=A0&amp;row=457&amp;col=8&amp;number=&amp;sourceID=15","")</f>
        <v/>
      </c>
      <c r="I457" s="4" t="str">
        <f>HYPERLINK("http://141.218.60.56/~jnz1568/getInfo.php?workbook=03_02.xlsx&amp;sheet=A0&amp;row=457&amp;col=9&amp;number=&amp;sourceID=15","")</f>
        <v/>
      </c>
      <c r="J457" s="4" t="str">
        <f>HYPERLINK("http://141.218.60.56/~jnz1568/getInfo.php?workbook=03_02.xlsx&amp;sheet=A0&amp;row=457&amp;col=10&amp;number=&amp;sourceID=15","")</f>
        <v/>
      </c>
      <c r="K457" s="4" t="str">
        <f>HYPERLINK("http://141.218.60.56/~jnz1568/getInfo.php?workbook=03_02.xlsx&amp;sheet=A0&amp;row=457&amp;col=11&amp;number=115.6&amp;sourceID=30","115.6")</f>
        <v>115.6</v>
      </c>
      <c r="L457" s="4" t="str">
        <f>HYPERLINK("http://141.218.60.56/~jnz1568/getInfo.php?workbook=03_02.xlsx&amp;sheet=A0&amp;row=457&amp;col=12&amp;number=&amp;sourceID=30","")</f>
        <v/>
      </c>
      <c r="M457" s="4" t="str">
        <f>HYPERLINK("http://141.218.60.56/~jnz1568/getInfo.php?workbook=03_02.xlsx&amp;sheet=A0&amp;row=457&amp;col=13&amp;number=&amp;sourceID=30","")</f>
        <v/>
      </c>
      <c r="N457" s="4" t="str">
        <f>HYPERLINK("http://141.218.60.56/~jnz1568/getInfo.php?workbook=03_02.xlsx&amp;sheet=A0&amp;row=457&amp;col=14&amp;number=&amp;sourceID=30","")</f>
        <v/>
      </c>
    </row>
    <row r="458" spans="1:14">
      <c r="A458" s="3">
        <v>3</v>
      </c>
      <c r="B458" s="3">
        <v>2</v>
      </c>
      <c r="C458" s="3">
        <v>35</v>
      </c>
      <c r="D458" s="3">
        <v>4</v>
      </c>
      <c r="E458" s="3">
        <f>((1/(INDEX(E0!J$4:J$52,C458,1)-INDEX(E0!J$4:J$52,D458,1))))*100000000</f>
        <v>0</v>
      </c>
      <c r="F458" s="4" t="str">
        <f>HYPERLINK("http://141.218.60.56/~jnz1568/getInfo.php?workbook=03_02.xlsx&amp;sheet=A0&amp;row=458&amp;col=6&amp;number=&amp;sourceID=27","")</f>
        <v/>
      </c>
      <c r="G458" s="4" t="str">
        <f>HYPERLINK("http://141.218.60.56/~jnz1568/getInfo.php?workbook=03_02.xlsx&amp;sheet=A0&amp;row=458&amp;col=7&amp;number=&amp;sourceID=15","")</f>
        <v/>
      </c>
      <c r="H458" s="4" t="str">
        <f>HYPERLINK("http://141.218.60.56/~jnz1568/getInfo.php?workbook=03_02.xlsx&amp;sheet=A0&amp;row=458&amp;col=8&amp;number=&amp;sourceID=15","")</f>
        <v/>
      </c>
      <c r="I458" s="4" t="str">
        <f>HYPERLINK("http://141.218.60.56/~jnz1568/getInfo.php?workbook=03_02.xlsx&amp;sheet=A0&amp;row=458&amp;col=9&amp;number=&amp;sourceID=15","")</f>
        <v/>
      </c>
      <c r="J458" s="4" t="str">
        <f>HYPERLINK("http://141.218.60.56/~jnz1568/getInfo.php?workbook=03_02.xlsx&amp;sheet=A0&amp;row=458&amp;col=10&amp;number=&amp;sourceID=15","")</f>
        <v/>
      </c>
      <c r="K458" s="4" t="str">
        <f>HYPERLINK("http://141.218.60.56/~jnz1568/getInfo.php?workbook=03_02.xlsx&amp;sheet=A0&amp;row=458&amp;col=11&amp;number=&amp;sourceID=30","")</f>
        <v/>
      </c>
      <c r="L458" s="4" t="str">
        <f>HYPERLINK("http://141.218.60.56/~jnz1568/getInfo.php?workbook=03_02.xlsx&amp;sheet=A0&amp;row=458&amp;col=12&amp;number=3.436&amp;sourceID=30","3.436")</f>
        <v>3.436</v>
      </c>
      <c r="M458" s="4" t="str">
        <f>HYPERLINK("http://141.218.60.56/~jnz1568/getInfo.php?workbook=03_02.xlsx&amp;sheet=A0&amp;row=458&amp;col=13&amp;number=1.436e-06&amp;sourceID=30","1.436e-06")</f>
        <v>1.436e-06</v>
      </c>
      <c r="N458" s="4" t="str">
        <f>HYPERLINK("http://141.218.60.56/~jnz1568/getInfo.php?workbook=03_02.xlsx&amp;sheet=A0&amp;row=458&amp;col=14&amp;number=&amp;sourceID=30","")</f>
        <v/>
      </c>
    </row>
    <row r="459" spans="1:14">
      <c r="A459" s="3">
        <v>3</v>
      </c>
      <c r="B459" s="3">
        <v>2</v>
      </c>
      <c r="C459" s="3">
        <v>35</v>
      </c>
      <c r="D459" s="3">
        <v>5</v>
      </c>
      <c r="E459" s="3">
        <f>((1/(INDEX(E0!J$4:J$52,C459,1)-INDEX(E0!J$4:J$52,D459,1))))*100000000</f>
        <v>0</v>
      </c>
      <c r="F459" s="4" t="str">
        <f>HYPERLINK("http://141.218.60.56/~jnz1568/getInfo.php?workbook=03_02.xlsx&amp;sheet=A0&amp;row=459&amp;col=6&amp;number=&amp;sourceID=27","")</f>
        <v/>
      </c>
      <c r="G459" s="4" t="str">
        <f>HYPERLINK("http://141.218.60.56/~jnz1568/getInfo.php?workbook=03_02.xlsx&amp;sheet=A0&amp;row=459&amp;col=7&amp;number=&amp;sourceID=15","")</f>
        <v/>
      </c>
      <c r="H459" s="4" t="str">
        <f>HYPERLINK("http://141.218.60.56/~jnz1568/getInfo.php?workbook=03_02.xlsx&amp;sheet=A0&amp;row=459&amp;col=8&amp;number=&amp;sourceID=15","")</f>
        <v/>
      </c>
      <c r="I459" s="4" t="str">
        <f>HYPERLINK("http://141.218.60.56/~jnz1568/getInfo.php?workbook=03_02.xlsx&amp;sheet=A0&amp;row=459&amp;col=9&amp;number=&amp;sourceID=15","")</f>
        <v/>
      </c>
      <c r="J459" s="4" t="str">
        <f>HYPERLINK("http://141.218.60.56/~jnz1568/getInfo.php?workbook=03_02.xlsx&amp;sheet=A0&amp;row=459&amp;col=10&amp;number=&amp;sourceID=15","")</f>
        <v/>
      </c>
      <c r="K459" s="4" t="str">
        <f>HYPERLINK("http://141.218.60.56/~jnz1568/getInfo.php?workbook=03_02.xlsx&amp;sheet=A0&amp;row=459&amp;col=11&amp;number=&amp;sourceID=30","")</f>
        <v/>
      </c>
      <c r="L459" s="4" t="str">
        <f>HYPERLINK("http://141.218.60.56/~jnz1568/getInfo.php?workbook=03_02.xlsx&amp;sheet=A0&amp;row=459&amp;col=12&amp;number=10.5&amp;sourceID=30","10.5")</f>
        <v>10.5</v>
      </c>
      <c r="M459" s="4" t="str">
        <f>HYPERLINK("http://141.218.60.56/~jnz1568/getInfo.php?workbook=03_02.xlsx&amp;sheet=A0&amp;row=459&amp;col=13&amp;number=5.131e-07&amp;sourceID=30","5.131e-07")</f>
        <v>5.131e-07</v>
      </c>
      <c r="N459" s="4" t="str">
        <f>HYPERLINK("http://141.218.60.56/~jnz1568/getInfo.php?workbook=03_02.xlsx&amp;sheet=A0&amp;row=459&amp;col=14&amp;number=&amp;sourceID=30","")</f>
        <v/>
      </c>
    </row>
    <row r="460" spans="1:14">
      <c r="A460" s="3">
        <v>3</v>
      </c>
      <c r="B460" s="3">
        <v>2</v>
      </c>
      <c r="C460" s="3">
        <v>35</v>
      </c>
      <c r="D460" s="3">
        <v>6</v>
      </c>
      <c r="E460" s="3">
        <f>((1/(INDEX(E0!J$4:J$52,C460,1)-INDEX(E0!J$4:J$52,D460,1))))*100000000</f>
        <v>0</v>
      </c>
      <c r="F460" s="4" t="str">
        <f>HYPERLINK("http://141.218.60.56/~jnz1568/getInfo.php?workbook=03_02.xlsx&amp;sheet=A0&amp;row=460&amp;col=6&amp;number=&amp;sourceID=27","")</f>
        <v/>
      </c>
      <c r="G460" s="4" t="str">
        <f>HYPERLINK("http://141.218.60.56/~jnz1568/getInfo.php?workbook=03_02.xlsx&amp;sheet=A0&amp;row=460&amp;col=7&amp;number=&amp;sourceID=15","")</f>
        <v/>
      </c>
      <c r="H460" s="4" t="str">
        <f>HYPERLINK("http://141.218.60.56/~jnz1568/getInfo.php?workbook=03_02.xlsx&amp;sheet=A0&amp;row=460&amp;col=8&amp;number=&amp;sourceID=15","")</f>
        <v/>
      </c>
      <c r="I460" s="4" t="str">
        <f>HYPERLINK("http://141.218.60.56/~jnz1568/getInfo.php?workbook=03_02.xlsx&amp;sheet=A0&amp;row=460&amp;col=9&amp;number=&amp;sourceID=15","")</f>
        <v/>
      </c>
      <c r="J460" s="4" t="str">
        <f>HYPERLINK("http://141.218.60.56/~jnz1568/getInfo.php?workbook=03_02.xlsx&amp;sheet=A0&amp;row=460&amp;col=10&amp;number=&amp;sourceID=15","")</f>
        <v/>
      </c>
      <c r="K460" s="4" t="str">
        <f>HYPERLINK("http://141.218.60.56/~jnz1568/getInfo.php?workbook=03_02.xlsx&amp;sheet=A0&amp;row=460&amp;col=11&amp;number=&amp;sourceID=30","")</f>
        <v/>
      </c>
      <c r="L460" s="4" t="str">
        <f>HYPERLINK("http://141.218.60.56/~jnz1568/getInfo.php?workbook=03_02.xlsx&amp;sheet=A0&amp;row=460&amp;col=12&amp;number=&amp;sourceID=30","")</f>
        <v/>
      </c>
      <c r="M460" s="4" t="str">
        <f>HYPERLINK("http://141.218.60.56/~jnz1568/getInfo.php?workbook=03_02.xlsx&amp;sheet=A0&amp;row=460&amp;col=13&amp;number=1.8e-06&amp;sourceID=30","1.8e-06")</f>
        <v>1.8e-06</v>
      </c>
      <c r="N460" s="4" t="str">
        <f>HYPERLINK("http://141.218.60.56/~jnz1568/getInfo.php?workbook=03_02.xlsx&amp;sheet=A0&amp;row=460&amp;col=14&amp;number=&amp;sourceID=30","")</f>
        <v/>
      </c>
    </row>
    <row r="461" spans="1:14">
      <c r="A461" s="3">
        <v>3</v>
      </c>
      <c r="B461" s="3">
        <v>2</v>
      </c>
      <c r="C461" s="3">
        <v>35</v>
      </c>
      <c r="D461" s="3">
        <v>7</v>
      </c>
      <c r="E461" s="3">
        <f>((1/(INDEX(E0!J$4:J$52,C461,1)-INDEX(E0!J$4:J$52,D461,1))))*100000000</f>
        <v>0</v>
      </c>
      <c r="F461" s="4" t="str">
        <f>HYPERLINK("http://141.218.60.56/~jnz1568/getInfo.php?workbook=03_02.xlsx&amp;sheet=A0&amp;row=461&amp;col=6&amp;number=&amp;sourceID=27","")</f>
        <v/>
      </c>
      <c r="G461" s="4" t="str">
        <f>HYPERLINK("http://141.218.60.56/~jnz1568/getInfo.php?workbook=03_02.xlsx&amp;sheet=A0&amp;row=461&amp;col=7&amp;number=&amp;sourceID=15","")</f>
        <v/>
      </c>
      <c r="H461" s="4" t="str">
        <f>HYPERLINK("http://141.218.60.56/~jnz1568/getInfo.php?workbook=03_02.xlsx&amp;sheet=A0&amp;row=461&amp;col=8&amp;number=&amp;sourceID=15","")</f>
        <v/>
      </c>
      <c r="I461" s="4" t="str">
        <f>HYPERLINK("http://141.218.60.56/~jnz1568/getInfo.php?workbook=03_02.xlsx&amp;sheet=A0&amp;row=461&amp;col=9&amp;number=&amp;sourceID=15","")</f>
        <v/>
      </c>
      <c r="J461" s="4" t="str">
        <f>HYPERLINK("http://141.218.60.56/~jnz1568/getInfo.php?workbook=03_02.xlsx&amp;sheet=A0&amp;row=461&amp;col=10&amp;number=&amp;sourceID=15","")</f>
        <v/>
      </c>
      <c r="K461" s="4" t="str">
        <f>HYPERLINK("http://141.218.60.56/~jnz1568/getInfo.php?workbook=03_02.xlsx&amp;sheet=A0&amp;row=461&amp;col=11&amp;number=&amp;sourceID=30","")</f>
        <v/>
      </c>
      <c r="L461" s="4" t="str">
        <f>HYPERLINK("http://141.218.60.56/~jnz1568/getInfo.php?workbook=03_02.xlsx&amp;sheet=A0&amp;row=461&amp;col=12&amp;number=0.002536&amp;sourceID=30","0.002536")</f>
        <v>0.002536</v>
      </c>
      <c r="M461" s="4" t="str">
        <f>HYPERLINK("http://141.218.60.56/~jnz1568/getInfo.php?workbook=03_02.xlsx&amp;sheet=A0&amp;row=461&amp;col=13&amp;number=1.403e-06&amp;sourceID=30","1.403e-06")</f>
        <v>1.403e-06</v>
      </c>
      <c r="N461" s="4" t="str">
        <f>HYPERLINK("http://141.218.60.56/~jnz1568/getInfo.php?workbook=03_02.xlsx&amp;sheet=A0&amp;row=461&amp;col=14&amp;number=&amp;sourceID=30","")</f>
        <v/>
      </c>
    </row>
    <row r="462" spans="1:14">
      <c r="A462" s="3">
        <v>3</v>
      </c>
      <c r="B462" s="3">
        <v>2</v>
      </c>
      <c r="C462" s="3">
        <v>35</v>
      </c>
      <c r="D462" s="3">
        <v>8</v>
      </c>
      <c r="E462" s="3">
        <f>((1/(INDEX(E0!J$4:J$52,C462,1)-INDEX(E0!J$4:J$52,D462,1))))*100000000</f>
        <v>0</v>
      </c>
      <c r="F462" s="4" t="str">
        <f>HYPERLINK("http://141.218.60.56/~jnz1568/getInfo.php?workbook=03_02.xlsx&amp;sheet=A0&amp;row=462&amp;col=6&amp;number=&amp;sourceID=27","")</f>
        <v/>
      </c>
      <c r="G462" s="4" t="str">
        <f>HYPERLINK("http://141.218.60.56/~jnz1568/getInfo.php?workbook=03_02.xlsx&amp;sheet=A0&amp;row=462&amp;col=7&amp;number=19081000&amp;sourceID=15","19081000")</f>
        <v>19081000</v>
      </c>
      <c r="H462" s="4" t="str">
        <f>HYPERLINK("http://141.218.60.56/~jnz1568/getInfo.php?workbook=03_02.xlsx&amp;sheet=A0&amp;row=462&amp;col=8&amp;number=&amp;sourceID=15","")</f>
        <v/>
      </c>
      <c r="I462" s="4" t="str">
        <f>HYPERLINK("http://141.218.60.56/~jnz1568/getInfo.php?workbook=03_02.xlsx&amp;sheet=A0&amp;row=462&amp;col=9&amp;number=&amp;sourceID=15","")</f>
        <v/>
      </c>
      <c r="J462" s="4" t="str">
        <f>HYPERLINK("http://141.218.60.56/~jnz1568/getInfo.php?workbook=03_02.xlsx&amp;sheet=A0&amp;row=462&amp;col=10&amp;number=&amp;sourceID=15","")</f>
        <v/>
      </c>
      <c r="K462" s="4" t="str">
        <f>HYPERLINK("http://141.218.60.56/~jnz1568/getInfo.php?workbook=03_02.xlsx&amp;sheet=A0&amp;row=462&amp;col=11&amp;number=13760000&amp;sourceID=30","13760000")</f>
        <v>13760000</v>
      </c>
      <c r="L462" s="4" t="str">
        <f>HYPERLINK("http://141.218.60.56/~jnz1568/getInfo.php?workbook=03_02.xlsx&amp;sheet=A0&amp;row=462&amp;col=12&amp;number=&amp;sourceID=30","")</f>
        <v/>
      </c>
      <c r="M462" s="4" t="str">
        <f>HYPERLINK("http://141.218.60.56/~jnz1568/getInfo.php?workbook=03_02.xlsx&amp;sheet=A0&amp;row=462&amp;col=13&amp;number=&amp;sourceID=30","")</f>
        <v/>
      </c>
      <c r="N462" s="4" t="str">
        <f>HYPERLINK("http://141.218.60.56/~jnz1568/getInfo.php?workbook=03_02.xlsx&amp;sheet=A0&amp;row=462&amp;col=14&amp;number=7.027e-05&amp;sourceID=30","7.027e-05")</f>
        <v>7.027e-05</v>
      </c>
    </row>
    <row r="463" spans="1:14">
      <c r="A463" s="3">
        <v>3</v>
      </c>
      <c r="B463" s="3">
        <v>2</v>
      </c>
      <c r="C463" s="3">
        <v>35</v>
      </c>
      <c r="D463" s="3">
        <v>9</v>
      </c>
      <c r="E463" s="3">
        <f>((1/(INDEX(E0!J$4:J$52,C463,1)-INDEX(E0!J$4:J$52,D463,1))))*100000000</f>
        <v>0</v>
      </c>
      <c r="F463" s="4" t="str">
        <f>HYPERLINK("http://141.218.60.56/~jnz1568/getInfo.php?workbook=03_02.xlsx&amp;sheet=A0&amp;row=463&amp;col=6&amp;number=&amp;sourceID=27","")</f>
        <v/>
      </c>
      <c r="G463" s="4" t="str">
        <f>HYPERLINK("http://141.218.60.56/~jnz1568/getInfo.php?workbook=03_02.xlsx&amp;sheet=A0&amp;row=463&amp;col=7&amp;number=&amp;sourceID=15","")</f>
        <v/>
      </c>
      <c r="H463" s="4" t="str">
        <f>HYPERLINK("http://141.218.60.56/~jnz1568/getInfo.php?workbook=03_02.xlsx&amp;sheet=A0&amp;row=463&amp;col=8&amp;number=&amp;sourceID=15","")</f>
        <v/>
      </c>
      <c r="I463" s="4" t="str">
        <f>HYPERLINK("http://141.218.60.56/~jnz1568/getInfo.php?workbook=03_02.xlsx&amp;sheet=A0&amp;row=463&amp;col=9&amp;number=&amp;sourceID=15","")</f>
        <v/>
      </c>
      <c r="J463" s="4" t="str">
        <f>HYPERLINK("http://141.218.60.56/~jnz1568/getInfo.php?workbook=03_02.xlsx&amp;sheet=A0&amp;row=463&amp;col=10&amp;number=&amp;sourceID=15","")</f>
        <v/>
      </c>
      <c r="K463" s="4" t="str">
        <f>HYPERLINK("http://141.218.60.56/~jnz1568/getInfo.php?workbook=03_02.xlsx&amp;sheet=A0&amp;row=463&amp;col=11&amp;number=22.77&amp;sourceID=30","22.77")</f>
        <v>22.77</v>
      </c>
      <c r="L463" s="4" t="str">
        <f>HYPERLINK("http://141.218.60.56/~jnz1568/getInfo.php?workbook=03_02.xlsx&amp;sheet=A0&amp;row=463&amp;col=12&amp;number=&amp;sourceID=30","")</f>
        <v/>
      </c>
      <c r="M463" s="4" t="str">
        <f>HYPERLINK("http://141.218.60.56/~jnz1568/getInfo.php?workbook=03_02.xlsx&amp;sheet=A0&amp;row=463&amp;col=13&amp;number=&amp;sourceID=30","")</f>
        <v/>
      </c>
      <c r="N463" s="4" t="str">
        <f>HYPERLINK("http://141.218.60.56/~jnz1568/getInfo.php?workbook=03_02.xlsx&amp;sheet=A0&amp;row=463&amp;col=14&amp;number=&amp;sourceID=30","")</f>
        <v/>
      </c>
    </row>
    <row r="464" spans="1:14">
      <c r="A464" s="3">
        <v>3</v>
      </c>
      <c r="B464" s="3">
        <v>2</v>
      </c>
      <c r="C464" s="3">
        <v>35</v>
      </c>
      <c r="D464" s="3">
        <v>10</v>
      </c>
      <c r="E464" s="3">
        <f>((1/(INDEX(E0!J$4:J$52,C464,1)-INDEX(E0!J$4:J$52,D464,1))))*100000000</f>
        <v>0</v>
      </c>
      <c r="F464" s="4" t="str">
        <f>HYPERLINK("http://141.218.60.56/~jnz1568/getInfo.php?workbook=03_02.xlsx&amp;sheet=A0&amp;row=464&amp;col=6&amp;number=&amp;sourceID=27","")</f>
        <v/>
      </c>
      <c r="G464" s="4" t="str">
        <f>HYPERLINK("http://141.218.60.56/~jnz1568/getInfo.php?workbook=03_02.xlsx&amp;sheet=A0&amp;row=464&amp;col=7&amp;number=&amp;sourceID=15","")</f>
        <v/>
      </c>
      <c r="H464" s="4" t="str">
        <f>HYPERLINK("http://141.218.60.56/~jnz1568/getInfo.php?workbook=03_02.xlsx&amp;sheet=A0&amp;row=464&amp;col=8&amp;number=&amp;sourceID=15","")</f>
        <v/>
      </c>
      <c r="I464" s="4" t="str">
        <f>HYPERLINK("http://141.218.60.56/~jnz1568/getInfo.php?workbook=03_02.xlsx&amp;sheet=A0&amp;row=464&amp;col=9&amp;number=&amp;sourceID=15","")</f>
        <v/>
      </c>
      <c r="J464" s="4" t="str">
        <f>HYPERLINK("http://141.218.60.56/~jnz1568/getInfo.php?workbook=03_02.xlsx&amp;sheet=A0&amp;row=464&amp;col=10&amp;number=&amp;sourceID=15","")</f>
        <v/>
      </c>
      <c r="K464" s="4" t="str">
        <f>HYPERLINK("http://141.218.60.56/~jnz1568/getInfo.php?workbook=03_02.xlsx&amp;sheet=A0&amp;row=464&amp;col=11&amp;number=&amp;sourceID=30","")</f>
        <v/>
      </c>
      <c r="L464" s="4" t="str">
        <f>HYPERLINK("http://141.218.60.56/~jnz1568/getInfo.php?workbook=03_02.xlsx&amp;sheet=A0&amp;row=464&amp;col=12&amp;number=15.21&amp;sourceID=30","15.21")</f>
        <v>15.21</v>
      </c>
      <c r="M464" s="4" t="str">
        <f>HYPERLINK("http://141.218.60.56/~jnz1568/getInfo.php?workbook=03_02.xlsx&amp;sheet=A0&amp;row=464&amp;col=13&amp;number=2.596e-08&amp;sourceID=30","2.596e-08")</f>
        <v>2.596e-08</v>
      </c>
      <c r="N464" s="4" t="str">
        <f>HYPERLINK("http://141.218.60.56/~jnz1568/getInfo.php?workbook=03_02.xlsx&amp;sheet=A0&amp;row=464&amp;col=14&amp;number=&amp;sourceID=30","")</f>
        <v/>
      </c>
    </row>
    <row r="465" spans="1:14">
      <c r="A465" s="3">
        <v>3</v>
      </c>
      <c r="B465" s="3">
        <v>2</v>
      </c>
      <c r="C465" s="3">
        <v>35</v>
      </c>
      <c r="D465" s="3">
        <v>11</v>
      </c>
      <c r="E465" s="3">
        <f>((1/(INDEX(E0!J$4:J$52,C465,1)-INDEX(E0!J$4:J$52,D465,1))))*100000000</f>
        <v>0</v>
      </c>
      <c r="F465" s="4" t="str">
        <f>HYPERLINK("http://141.218.60.56/~jnz1568/getInfo.php?workbook=03_02.xlsx&amp;sheet=A0&amp;row=465&amp;col=6&amp;number=&amp;sourceID=27","")</f>
        <v/>
      </c>
      <c r="G465" s="4" t="str">
        <f>HYPERLINK("http://141.218.60.56/~jnz1568/getInfo.php?workbook=03_02.xlsx&amp;sheet=A0&amp;row=465&amp;col=7&amp;number=&amp;sourceID=15","")</f>
        <v/>
      </c>
      <c r="H465" s="4" t="str">
        <f>HYPERLINK("http://141.218.60.56/~jnz1568/getInfo.php?workbook=03_02.xlsx&amp;sheet=A0&amp;row=465&amp;col=8&amp;number=&amp;sourceID=15","")</f>
        <v/>
      </c>
      <c r="I465" s="4" t="str">
        <f>HYPERLINK("http://141.218.60.56/~jnz1568/getInfo.php?workbook=03_02.xlsx&amp;sheet=A0&amp;row=465&amp;col=9&amp;number=&amp;sourceID=15","")</f>
        <v/>
      </c>
      <c r="J465" s="4" t="str">
        <f>HYPERLINK("http://141.218.60.56/~jnz1568/getInfo.php?workbook=03_02.xlsx&amp;sheet=A0&amp;row=465&amp;col=10&amp;number=&amp;sourceID=15","")</f>
        <v/>
      </c>
      <c r="K465" s="4" t="str">
        <f>HYPERLINK("http://141.218.60.56/~jnz1568/getInfo.php?workbook=03_02.xlsx&amp;sheet=A0&amp;row=465&amp;col=11&amp;number=&amp;sourceID=30","")</f>
        <v/>
      </c>
      <c r="L465" s="4" t="str">
        <f>HYPERLINK("http://141.218.60.56/~jnz1568/getInfo.php?workbook=03_02.xlsx&amp;sheet=A0&amp;row=465&amp;col=12&amp;number=45.59&amp;sourceID=30","45.59")</f>
        <v>45.59</v>
      </c>
      <c r="M465" s="4" t="str">
        <f>HYPERLINK("http://141.218.60.56/~jnz1568/getInfo.php?workbook=03_02.xlsx&amp;sheet=A0&amp;row=465&amp;col=13&amp;number=5.56e-08&amp;sourceID=30","5.56e-08")</f>
        <v>5.56e-08</v>
      </c>
      <c r="N465" s="4" t="str">
        <f>HYPERLINK("http://141.218.60.56/~jnz1568/getInfo.php?workbook=03_02.xlsx&amp;sheet=A0&amp;row=465&amp;col=14&amp;number=&amp;sourceID=30","")</f>
        <v/>
      </c>
    </row>
    <row r="466" spans="1:14">
      <c r="A466" s="3">
        <v>3</v>
      </c>
      <c r="B466" s="3">
        <v>2</v>
      </c>
      <c r="C466" s="3">
        <v>35</v>
      </c>
      <c r="D466" s="3">
        <v>12</v>
      </c>
      <c r="E466" s="3">
        <f>((1/(INDEX(E0!J$4:J$52,C466,1)-INDEX(E0!J$4:J$52,D466,1))))*100000000</f>
        <v>0</v>
      </c>
      <c r="F466" s="4" t="str">
        <f>HYPERLINK("http://141.218.60.56/~jnz1568/getInfo.php?workbook=03_02.xlsx&amp;sheet=A0&amp;row=466&amp;col=6&amp;number=&amp;sourceID=27","")</f>
        <v/>
      </c>
      <c r="G466" s="4" t="str">
        <f>HYPERLINK("http://141.218.60.56/~jnz1568/getInfo.php?workbook=03_02.xlsx&amp;sheet=A0&amp;row=466&amp;col=7&amp;number=&amp;sourceID=15","")</f>
        <v/>
      </c>
      <c r="H466" s="4" t="str">
        <f>HYPERLINK("http://141.218.60.56/~jnz1568/getInfo.php?workbook=03_02.xlsx&amp;sheet=A0&amp;row=466&amp;col=8&amp;number=&amp;sourceID=15","")</f>
        <v/>
      </c>
      <c r="I466" s="4" t="str">
        <f>HYPERLINK("http://141.218.60.56/~jnz1568/getInfo.php?workbook=03_02.xlsx&amp;sheet=A0&amp;row=466&amp;col=9&amp;number=&amp;sourceID=15","")</f>
        <v/>
      </c>
      <c r="J466" s="4" t="str">
        <f>HYPERLINK("http://141.218.60.56/~jnz1568/getInfo.php?workbook=03_02.xlsx&amp;sheet=A0&amp;row=466&amp;col=10&amp;number=&amp;sourceID=15","")</f>
        <v/>
      </c>
      <c r="K466" s="4" t="str">
        <f>HYPERLINK("http://141.218.60.56/~jnz1568/getInfo.php?workbook=03_02.xlsx&amp;sheet=A0&amp;row=466&amp;col=11&amp;number=&amp;sourceID=30","")</f>
        <v/>
      </c>
      <c r="L466" s="4" t="str">
        <f>HYPERLINK("http://141.218.60.56/~jnz1568/getInfo.php?workbook=03_02.xlsx&amp;sheet=A0&amp;row=466&amp;col=12&amp;number=&amp;sourceID=30","")</f>
        <v/>
      </c>
      <c r="M466" s="4" t="str">
        <f>HYPERLINK("http://141.218.60.56/~jnz1568/getInfo.php?workbook=03_02.xlsx&amp;sheet=A0&amp;row=466&amp;col=13&amp;number=1.528e-07&amp;sourceID=30","1.528e-07")</f>
        <v>1.528e-07</v>
      </c>
      <c r="N466" s="4" t="str">
        <f>HYPERLINK("http://141.218.60.56/~jnz1568/getInfo.php?workbook=03_02.xlsx&amp;sheet=A0&amp;row=466&amp;col=14&amp;number=&amp;sourceID=30","")</f>
        <v/>
      </c>
    </row>
    <row r="467" spans="1:14">
      <c r="A467" s="3">
        <v>3</v>
      </c>
      <c r="B467" s="3">
        <v>2</v>
      </c>
      <c r="C467" s="3">
        <v>35</v>
      </c>
      <c r="D467" s="3">
        <v>13</v>
      </c>
      <c r="E467" s="3">
        <f>((1/(INDEX(E0!J$4:J$52,C467,1)-INDEX(E0!J$4:J$52,D467,1))))*100000000</f>
        <v>0</v>
      </c>
      <c r="F467" s="4" t="str">
        <f>HYPERLINK("http://141.218.60.56/~jnz1568/getInfo.php?workbook=03_02.xlsx&amp;sheet=A0&amp;row=467&amp;col=6&amp;number=&amp;sourceID=27","")</f>
        <v/>
      </c>
      <c r="G467" s="4" t="str">
        <f>HYPERLINK("http://141.218.60.56/~jnz1568/getInfo.php?workbook=03_02.xlsx&amp;sheet=A0&amp;row=467&amp;col=7&amp;number=2959100&amp;sourceID=15","2959100")</f>
        <v>2959100</v>
      </c>
      <c r="H467" s="4" t="str">
        <f>HYPERLINK("http://141.218.60.56/~jnz1568/getInfo.php?workbook=03_02.xlsx&amp;sheet=A0&amp;row=467&amp;col=8&amp;number=&amp;sourceID=15","")</f>
        <v/>
      </c>
      <c r="I467" s="4" t="str">
        <f>HYPERLINK("http://141.218.60.56/~jnz1568/getInfo.php?workbook=03_02.xlsx&amp;sheet=A0&amp;row=467&amp;col=9&amp;number=&amp;sourceID=15","")</f>
        <v/>
      </c>
      <c r="J467" s="4" t="str">
        <f>HYPERLINK("http://141.218.60.56/~jnz1568/getInfo.php?workbook=03_02.xlsx&amp;sheet=A0&amp;row=467&amp;col=10&amp;number=&amp;sourceID=15","")</f>
        <v/>
      </c>
      <c r="K467" s="4" t="str">
        <f>HYPERLINK("http://141.218.60.56/~jnz1568/getInfo.php?workbook=03_02.xlsx&amp;sheet=A0&amp;row=467&amp;col=11&amp;number=2655000&amp;sourceID=30","2655000")</f>
        <v>2655000</v>
      </c>
      <c r="L467" s="4" t="str">
        <f>HYPERLINK("http://141.218.60.56/~jnz1568/getInfo.php?workbook=03_02.xlsx&amp;sheet=A0&amp;row=467&amp;col=12&amp;number=&amp;sourceID=30","")</f>
        <v/>
      </c>
      <c r="M467" s="4" t="str">
        <f>HYPERLINK("http://141.218.60.56/~jnz1568/getInfo.php?workbook=03_02.xlsx&amp;sheet=A0&amp;row=467&amp;col=13&amp;number=&amp;sourceID=30","")</f>
        <v/>
      </c>
      <c r="N467" s="4" t="str">
        <f>HYPERLINK("http://141.218.60.56/~jnz1568/getInfo.php?workbook=03_02.xlsx&amp;sheet=A0&amp;row=467&amp;col=14&amp;number=1.294e-05&amp;sourceID=30","1.294e-05")</f>
        <v>1.294e-05</v>
      </c>
    </row>
    <row r="468" spans="1:14">
      <c r="A468" s="3">
        <v>3</v>
      </c>
      <c r="B468" s="3">
        <v>2</v>
      </c>
      <c r="C468" s="3">
        <v>35</v>
      </c>
      <c r="D468" s="3">
        <v>14</v>
      </c>
      <c r="E468" s="3">
        <f>((1/(INDEX(E0!J$4:J$52,C468,1)-INDEX(E0!J$4:J$52,D468,1))))*100000000</f>
        <v>0</v>
      </c>
      <c r="F468" s="4" t="str">
        <f>HYPERLINK("http://141.218.60.56/~jnz1568/getInfo.php?workbook=03_02.xlsx&amp;sheet=A0&amp;row=468&amp;col=6&amp;number=&amp;sourceID=27","")</f>
        <v/>
      </c>
      <c r="G468" s="4" t="str">
        <f>HYPERLINK("http://141.218.60.56/~jnz1568/getInfo.php?workbook=03_02.xlsx&amp;sheet=A0&amp;row=468&amp;col=7&amp;number=&amp;sourceID=15","")</f>
        <v/>
      </c>
      <c r="H468" s="4" t="str">
        <f>HYPERLINK("http://141.218.60.56/~jnz1568/getInfo.php?workbook=03_02.xlsx&amp;sheet=A0&amp;row=468&amp;col=8&amp;number=&amp;sourceID=15","")</f>
        <v/>
      </c>
      <c r="I468" s="4" t="str">
        <f>HYPERLINK("http://141.218.60.56/~jnz1568/getInfo.php?workbook=03_02.xlsx&amp;sheet=A0&amp;row=468&amp;col=9&amp;number=&amp;sourceID=15","")</f>
        <v/>
      </c>
      <c r="J468" s="4" t="str">
        <f>HYPERLINK("http://141.218.60.56/~jnz1568/getInfo.php?workbook=03_02.xlsx&amp;sheet=A0&amp;row=468&amp;col=10&amp;number=&amp;sourceID=15","")</f>
        <v/>
      </c>
      <c r="K468" s="4" t="str">
        <f>HYPERLINK("http://141.218.60.56/~jnz1568/getInfo.php?workbook=03_02.xlsx&amp;sheet=A0&amp;row=468&amp;col=11&amp;number=&amp;sourceID=30","")</f>
        <v/>
      </c>
      <c r="L468" s="4" t="str">
        <f>HYPERLINK("http://141.218.60.56/~jnz1568/getInfo.php?workbook=03_02.xlsx&amp;sheet=A0&amp;row=468&amp;col=12&amp;number=&amp;sourceID=30","")</f>
        <v/>
      </c>
      <c r="M468" s="4" t="str">
        <f>HYPERLINK("http://141.218.60.56/~jnz1568/getInfo.php?workbook=03_02.xlsx&amp;sheet=A0&amp;row=468&amp;col=13&amp;number=&amp;sourceID=30","")</f>
        <v/>
      </c>
      <c r="N468" s="4" t="str">
        <f>HYPERLINK("http://141.218.60.56/~jnz1568/getInfo.php?workbook=03_02.xlsx&amp;sheet=A0&amp;row=468&amp;col=14&amp;number=1.168e-06&amp;sourceID=30","1.168e-06")</f>
        <v>1.168e-06</v>
      </c>
    </row>
    <row r="469" spans="1:14">
      <c r="A469" s="3">
        <v>3</v>
      </c>
      <c r="B469" s="3">
        <v>2</v>
      </c>
      <c r="C469" s="3">
        <v>35</v>
      </c>
      <c r="D469" s="3">
        <v>15</v>
      </c>
      <c r="E469" s="3">
        <f>((1/(INDEX(E0!J$4:J$52,C469,1)-INDEX(E0!J$4:J$52,D469,1))))*100000000</f>
        <v>0</v>
      </c>
      <c r="F469" s="4" t="str">
        <f>HYPERLINK("http://141.218.60.56/~jnz1568/getInfo.php?workbook=03_02.xlsx&amp;sheet=A0&amp;row=469&amp;col=6&amp;number=&amp;sourceID=27","")</f>
        <v/>
      </c>
      <c r="G469" s="4" t="str">
        <f>HYPERLINK("http://141.218.60.56/~jnz1568/getInfo.php?workbook=03_02.xlsx&amp;sheet=A0&amp;row=469&amp;col=7&amp;number=986680&amp;sourceID=15","986680")</f>
        <v>986680</v>
      </c>
      <c r="H469" s="4" t="str">
        <f>HYPERLINK("http://141.218.60.56/~jnz1568/getInfo.php?workbook=03_02.xlsx&amp;sheet=A0&amp;row=469&amp;col=8&amp;number=&amp;sourceID=15","")</f>
        <v/>
      </c>
      <c r="I469" s="4" t="str">
        <f>HYPERLINK("http://141.218.60.56/~jnz1568/getInfo.php?workbook=03_02.xlsx&amp;sheet=A0&amp;row=469&amp;col=9&amp;number=&amp;sourceID=15","")</f>
        <v/>
      </c>
      <c r="J469" s="4" t="str">
        <f>HYPERLINK("http://141.218.60.56/~jnz1568/getInfo.php?workbook=03_02.xlsx&amp;sheet=A0&amp;row=469&amp;col=10&amp;number=&amp;sourceID=15","")</f>
        <v/>
      </c>
      <c r="K469" s="4" t="str">
        <f>HYPERLINK("http://141.218.60.56/~jnz1568/getInfo.php?workbook=03_02.xlsx&amp;sheet=A0&amp;row=469&amp;col=11&amp;number=885700&amp;sourceID=30","885700")</f>
        <v>885700</v>
      </c>
      <c r="L469" s="4" t="str">
        <f>HYPERLINK("http://141.218.60.56/~jnz1568/getInfo.php?workbook=03_02.xlsx&amp;sheet=A0&amp;row=469&amp;col=12&amp;number=&amp;sourceID=30","")</f>
        <v/>
      </c>
      <c r="M469" s="4" t="str">
        <f>HYPERLINK("http://141.218.60.56/~jnz1568/getInfo.php?workbook=03_02.xlsx&amp;sheet=A0&amp;row=469&amp;col=13&amp;number=&amp;sourceID=30","")</f>
        <v/>
      </c>
      <c r="N469" s="4" t="str">
        <f>HYPERLINK("http://141.218.60.56/~jnz1568/getInfo.php?workbook=03_02.xlsx&amp;sheet=A0&amp;row=469&amp;col=14&amp;number=4.986e-07&amp;sourceID=30","4.986e-07")</f>
        <v>4.986e-07</v>
      </c>
    </row>
    <row r="470" spans="1:14">
      <c r="A470" s="3">
        <v>3</v>
      </c>
      <c r="B470" s="3">
        <v>2</v>
      </c>
      <c r="C470" s="3">
        <v>35</v>
      </c>
      <c r="D470" s="3">
        <v>16</v>
      </c>
      <c r="E470" s="3">
        <f>((1/(INDEX(E0!J$4:J$52,C470,1)-INDEX(E0!J$4:J$52,D470,1))))*100000000</f>
        <v>0</v>
      </c>
      <c r="F470" s="4" t="str">
        <f>HYPERLINK("http://141.218.60.56/~jnz1568/getInfo.php?workbook=03_02.xlsx&amp;sheet=A0&amp;row=470&amp;col=6&amp;number=&amp;sourceID=27","")</f>
        <v/>
      </c>
      <c r="G470" s="4" t="str">
        <f>HYPERLINK("http://141.218.60.56/~jnz1568/getInfo.php?workbook=03_02.xlsx&amp;sheet=A0&amp;row=470&amp;col=7&amp;number=&amp;sourceID=15","")</f>
        <v/>
      </c>
      <c r="H470" s="4" t="str">
        <f>HYPERLINK("http://141.218.60.56/~jnz1568/getInfo.php?workbook=03_02.xlsx&amp;sheet=A0&amp;row=470&amp;col=8&amp;number=&amp;sourceID=15","")</f>
        <v/>
      </c>
      <c r="I470" s="4" t="str">
        <f>HYPERLINK("http://141.218.60.56/~jnz1568/getInfo.php?workbook=03_02.xlsx&amp;sheet=A0&amp;row=470&amp;col=9&amp;number=&amp;sourceID=15","")</f>
        <v/>
      </c>
      <c r="J470" s="4" t="str">
        <f>HYPERLINK("http://141.218.60.56/~jnz1568/getInfo.php?workbook=03_02.xlsx&amp;sheet=A0&amp;row=470&amp;col=10&amp;number=&amp;sourceID=15","")</f>
        <v/>
      </c>
      <c r="K470" s="4" t="str">
        <f>HYPERLINK("http://141.218.60.56/~jnz1568/getInfo.php?workbook=03_02.xlsx&amp;sheet=A0&amp;row=470&amp;col=11&amp;number=417&amp;sourceID=30","417")</f>
        <v>417</v>
      </c>
      <c r="L470" s="4" t="str">
        <f>HYPERLINK("http://141.218.60.56/~jnz1568/getInfo.php?workbook=03_02.xlsx&amp;sheet=A0&amp;row=470&amp;col=12&amp;number=&amp;sourceID=30","")</f>
        <v/>
      </c>
      <c r="M470" s="4" t="str">
        <f>HYPERLINK("http://141.218.60.56/~jnz1568/getInfo.php?workbook=03_02.xlsx&amp;sheet=A0&amp;row=470&amp;col=13&amp;number=&amp;sourceID=30","")</f>
        <v/>
      </c>
      <c r="N470" s="4" t="str">
        <f>HYPERLINK("http://141.218.60.56/~jnz1568/getInfo.php?workbook=03_02.xlsx&amp;sheet=A0&amp;row=470&amp;col=14&amp;number=1.225e-05&amp;sourceID=30","1.225e-05")</f>
        <v>1.225e-05</v>
      </c>
    </row>
    <row r="471" spans="1:14">
      <c r="A471" s="3">
        <v>3</v>
      </c>
      <c r="B471" s="3">
        <v>2</v>
      </c>
      <c r="C471" s="3">
        <v>35</v>
      </c>
      <c r="D471" s="3">
        <v>17</v>
      </c>
      <c r="E471" s="3">
        <f>((1/(INDEX(E0!J$4:J$52,C471,1)-INDEX(E0!J$4:J$52,D471,1))))*100000000</f>
        <v>0</v>
      </c>
      <c r="F471" s="4" t="str">
        <f>HYPERLINK("http://141.218.60.56/~jnz1568/getInfo.php?workbook=03_02.xlsx&amp;sheet=A0&amp;row=471&amp;col=6&amp;number=&amp;sourceID=27","")</f>
        <v/>
      </c>
      <c r="G471" s="4" t="str">
        <f>HYPERLINK("http://141.218.60.56/~jnz1568/getInfo.php?workbook=03_02.xlsx&amp;sheet=A0&amp;row=471&amp;col=7&amp;number=&amp;sourceID=15","")</f>
        <v/>
      </c>
      <c r="H471" s="4" t="str">
        <f>HYPERLINK("http://141.218.60.56/~jnz1568/getInfo.php?workbook=03_02.xlsx&amp;sheet=A0&amp;row=471&amp;col=8&amp;number=&amp;sourceID=15","")</f>
        <v/>
      </c>
      <c r="I471" s="4" t="str">
        <f>HYPERLINK("http://141.218.60.56/~jnz1568/getInfo.php?workbook=03_02.xlsx&amp;sheet=A0&amp;row=471&amp;col=9&amp;number=&amp;sourceID=15","")</f>
        <v/>
      </c>
      <c r="J471" s="4" t="str">
        <f>HYPERLINK("http://141.218.60.56/~jnz1568/getInfo.php?workbook=03_02.xlsx&amp;sheet=A0&amp;row=471&amp;col=10&amp;number=&amp;sourceID=15","")</f>
        <v/>
      </c>
      <c r="K471" s="4" t="str">
        <f>HYPERLINK("http://141.218.60.56/~jnz1568/getInfo.php?workbook=03_02.xlsx&amp;sheet=A0&amp;row=471&amp;col=11&amp;number=&amp;sourceID=30","")</f>
        <v/>
      </c>
      <c r="L471" s="4" t="str">
        <f>HYPERLINK("http://141.218.60.56/~jnz1568/getInfo.php?workbook=03_02.xlsx&amp;sheet=A0&amp;row=471&amp;col=12&amp;number=0.000145&amp;sourceID=30","0.000145")</f>
        <v>0.000145</v>
      </c>
      <c r="M471" s="4" t="str">
        <f>HYPERLINK("http://141.218.60.56/~jnz1568/getInfo.php?workbook=03_02.xlsx&amp;sheet=A0&amp;row=471&amp;col=13&amp;number=3.966e-07&amp;sourceID=30","3.966e-07")</f>
        <v>3.966e-07</v>
      </c>
      <c r="N471" s="4" t="str">
        <f>HYPERLINK("http://141.218.60.56/~jnz1568/getInfo.php?workbook=03_02.xlsx&amp;sheet=A0&amp;row=471&amp;col=14&amp;number=&amp;sourceID=30","")</f>
        <v/>
      </c>
    </row>
    <row r="472" spans="1:14">
      <c r="A472" s="3">
        <v>3</v>
      </c>
      <c r="B472" s="3">
        <v>2</v>
      </c>
      <c r="C472" s="3">
        <v>35</v>
      </c>
      <c r="D472" s="3">
        <v>18</v>
      </c>
      <c r="E472" s="3">
        <f>((1/(INDEX(E0!J$4:J$52,C472,1)-INDEX(E0!J$4:J$52,D472,1))))*100000000</f>
        <v>0</v>
      </c>
      <c r="F472" s="4" t="str">
        <f>HYPERLINK("http://141.218.60.56/~jnz1568/getInfo.php?workbook=03_02.xlsx&amp;sheet=A0&amp;row=472&amp;col=6&amp;number=&amp;sourceID=27","")</f>
        <v/>
      </c>
      <c r="G472" s="4" t="str">
        <f>HYPERLINK("http://141.218.60.56/~jnz1568/getInfo.php?workbook=03_02.xlsx&amp;sheet=A0&amp;row=472&amp;col=7&amp;number=6440900&amp;sourceID=15","6440900")</f>
        <v>6440900</v>
      </c>
      <c r="H472" s="4" t="str">
        <f>HYPERLINK("http://141.218.60.56/~jnz1568/getInfo.php?workbook=03_02.xlsx&amp;sheet=A0&amp;row=472&amp;col=8&amp;number=&amp;sourceID=15","")</f>
        <v/>
      </c>
      <c r="I472" s="4" t="str">
        <f>HYPERLINK("http://141.218.60.56/~jnz1568/getInfo.php?workbook=03_02.xlsx&amp;sheet=A0&amp;row=472&amp;col=9&amp;number=&amp;sourceID=15","")</f>
        <v/>
      </c>
      <c r="J472" s="4" t="str">
        <f>HYPERLINK("http://141.218.60.56/~jnz1568/getInfo.php?workbook=03_02.xlsx&amp;sheet=A0&amp;row=472&amp;col=10&amp;number=&amp;sourceID=15","")</f>
        <v/>
      </c>
      <c r="K472" s="4" t="str">
        <f>HYPERLINK("http://141.218.60.56/~jnz1568/getInfo.php?workbook=03_02.xlsx&amp;sheet=A0&amp;row=472&amp;col=11&amp;number=5449000&amp;sourceID=30","5449000")</f>
        <v>5449000</v>
      </c>
      <c r="L472" s="4" t="str">
        <f>HYPERLINK("http://141.218.60.56/~jnz1568/getInfo.php?workbook=03_02.xlsx&amp;sheet=A0&amp;row=472&amp;col=12&amp;number=&amp;sourceID=30","")</f>
        <v/>
      </c>
      <c r="M472" s="4" t="str">
        <f>HYPERLINK("http://141.218.60.56/~jnz1568/getInfo.php?workbook=03_02.xlsx&amp;sheet=A0&amp;row=472&amp;col=13&amp;number=&amp;sourceID=30","")</f>
        <v/>
      </c>
      <c r="N472" s="4" t="str">
        <f>HYPERLINK("http://141.218.60.56/~jnz1568/getInfo.php?workbook=03_02.xlsx&amp;sheet=A0&amp;row=472&amp;col=14&amp;number=2.952e-06&amp;sourceID=30","2.952e-06")</f>
        <v>2.952e-06</v>
      </c>
    </row>
    <row r="473" spans="1:14">
      <c r="A473" s="3">
        <v>3</v>
      </c>
      <c r="B473" s="3">
        <v>2</v>
      </c>
      <c r="C473" s="3">
        <v>35</v>
      </c>
      <c r="D473" s="3">
        <v>19</v>
      </c>
      <c r="E473" s="3">
        <f>((1/(INDEX(E0!J$4:J$52,C473,1)-INDEX(E0!J$4:J$52,D473,1))))*100000000</f>
        <v>0</v>
      </c>
      <c r="F473" s="4" t="str">
        <f>HYPERLINK("http://141.218.60.56/~jnz1568/getInfo.php?workbook=03_02.xlsx&amp;sheet=A0&amp;row=473&amp;col=6&amp;number=&amp;sourceID=27","")</f>
        <v/>
      </c>
      <c r="G473" s="4" t="str">
        <f>HYPERLINK("http://141.218.60.56/~jnz1568/getInfo.php?workbook=03_02.xlsx&amp;sheet=A0&amp;row=473&amp;col=7&amp;number=&amp;sourceID=15","")</f>
        <v/>
      </c>
      <c r="H473" s="4" t="str">
        <f>HYPERLINK("http://141.218.60.56/~jnz1568/getInfo.php?workbook=03_02.xlsx&amp;sheet=A0&amp;row=473&amp;col=8&amp;number=&amp;sourceID=15","")</f>
        <v/>
      </c>
      <c r="I473" s="4" t="str">
        <f>HYPERLINK("http://141.218.60.56/~jnz1568/getInfo.php?workbook=03_02.xlsx&amp;sheet=A0&amp;row=473&amp;col=9&amp;number=&amp;sourceID=15","")</f>
        <v/>
      </c>
      <c r="J473" s="4" t="str">
        <f>HYPERLINK("http://141.218.60.56/~jnz1568/getInfo.php?workbook=03_02.xlsx&amp;sheet=A0&amp;row=473&amp;col=10&amp;number=&amp;sourceID=15","")</f>
        <v/>
      </c>
      <c r="K473" s="4" t="str">
        <f>HYPERLINK("http://141.218.60.56/~jnz1568/getInfo.php?workbook=03_02.xlsx&amp;sheet=A0&amp;row=473&amp;col=11&amp;number=7.557&amp;sourceID=30","7.557")</f>
        <v>7.557</v>
      </c>
      <c r="L473" s="4" t="str">
        <f>HYPERLINK("http://141.218.60.56/~jnz1568/getInfo.php?workbook=03_02.xlsx&amp;sheet=A0&amp;row=473&amp;col=12&amp;number=&amp;sourceID=30","")</f>
        <v/>
      </c>
      <c r="M473" s="4" t="str">
        <f>HYPERLINK("http://141.218.60.56/~jnz1568/getInfo.php?workbook=03_02.xlsx&amp;sheet=A0&amp;row=473&amp;col=13&amp;number=&amp;sourceID=30","")</f>
        <v/>
      </c>
      <c r="N473" s="4" t="str">
        <f>HYPERLINK("http://141.218.60.56/~jnz1568/getInfo.php?workbook=03_02.xlsx&amp;sheet=A0&amp;row=473&amp;col=14&amp;number=&amp;sourceID=30","")</f>
        <v/>
      </c>
    </row>
    <row r="474" spans="1:14">
      <c r="A474" s="3">
        <v>3</v>
      </c>
      <c r="B474" s="3">
        <v>2</v>
      </c>
      <c r="C474" s="3">
        <v>35</v>
      </c>
      <c r="D474" s="3">
        <v>20</v>
      </c>
      <c r="E474" s="3">
        <f>((1/(INDEX(E0!J$4:J$52,C474,1)-INDEX(E0!J$4:J$52,D474,1))))*100000000</f>
        <v>0</v>
      </c>
      <c r="F474" s="4" t="str">
        <f>HYPERLINK("http://141.218.60.56/~jnz1568/getInfo.php?workbook=03_02.xlsx&amp;sheet=A0&amp;row=474&amp;col=6&amp;number=&amp;sourceID=27","")</f>
        <v/>
      </c>
      <c r="G474" s="4" t="str">
        <f>HYPERLINK("http://141.218.60.56/~jnz1568/getInfo.php?workbook=03_02.xlsx&amp;sheet=A0&amp;row=474&amp;col=7&amp;number=&amp;sourceID=15","")</f>
        <v/>
      </c>
      <c r="H474" s="4" t="str">
        <f>HYPERLINK("http://141.218.60.56/~jnz1568/getInfo.php?workbook=03_02.xlsx&amp;sheet=A0&amp;row=474&amp;col=8&amp;number=&amp;sourceID=15","")</f>
        <v/>
      </c>
      <c r="I474" s="4" t="str">
        <f>HYPERLINK("http://141.218.60.56/~jnz1568/getInfo.php?workbook=03_02.xlsx&amp;sheet=A0&amp;row=474&amp;col=9&amp;number=&amp;sourceID=15","")</f>
        <v/>
      </c>
      <c r="J474" s="4" t="str">
        <f>HYPERLINK("http://141.218.60.56/~jnz1568/getInfo.php?workbook=03_02.xlsx&amp;sheet=A0&amp;row=474&amp;col=10&amp;number=&amp;sourceID=15","")</f>
        <v/>
      </c>
      <c r="K474" s="4" t="str">
        <f>HYPERLINK("http://141.218.60.56/~jnz1568/getInfo.php?workbook=03_02.xlsx&amp;sheet=A0&amp;row=474&amp;col=11&amp;number=&amp;sourceID=30","")</f>
        <v/>
      </c>
      <c r="L474" s="4" t="str">
        <f>HYPERLINK("http://141.218.60.56/~jnz1568/getInfo.php?workbook=03_02.xlsx&amp;sheet=A0&amp;row=474&amp;col=12&amp;number=&amp;sourceID=30","")</f>
        <v/>
      </c>
      <c r="M474" s="4" t="str">
        <f>HYPERLINK("http://141.218.60.56/~jnz1568/getInfo.php?workbook=03_02.xlsx&amp;sheet=A0&amp;row=474&amp;col=13&amp;number=1.98e-08&amp;sourceID=30","1.98e-08")</f>
        <v>1.98e-08</v>
      </c>
      <c r="N474" s="4" t="str">
        <f>HYPERLINK("http://141.218.60.56/~jnz1568/getInfo.php?workbook=03_02.xlsx&amp;sheet=A0&amp;row=474&amp;col=14&amp;number=&amp;sourceID=30","")</f>
        <v/>
      </c>
    </row>
    <row r="475" spans="1:14">
      <c r="A475" s="3">
        <v>3</v>
      </c>
      <c r="B475" s="3">
        <v>2</v>
      </c>
      <c r="C475" s="3">
        <v>35</v>
      </c>
      <c r="D475" s="3">
        <v>21</v>
      </c>
      <c r="E475" s="3">
        <f>((1/(INDEX(E0!J$4:J$52,C475,1)-INDEX(E0!J$4:J$52,D475,1))))*100000000</f>
        <v>0</v>
      </c>
      <c r="F475" s="4" t="str">
        <f>HYPERLINK("http://141.218.60.56/~jnz1568/getInfo.php?workbook=03_02.xlsx&amp;sheet=A0&amp;row=475&amp;col=6&amp;number=&amp;sourceID=27","")</f>
        <v/>
      </c>
      <c r="G475" s="4" t="str">
        <f>HYPERLINK("http://141.218.60.56/~jnz1568/getInfo.php?workbook=03_02.xlsx&amp;sheet=A0&amp;row=475&amp;col=7&amp;number=&amp;sourceID=15","")</f>
        <v/>
      </c>
      <c r="H475" s="4" t="str">
        <f>HYPERLINK("http://141.218.60.56/~jnz1568/getInfo.php?workbook=03_02.xlsx&amp;sheet=A0&amp;row=475&amp;col=8&amp;number=&amp;sourceID=15","")</f>
        <v/>
      </c>
      <c r="I475" s="4" t="str">
        <f>HYPERLINK("http://141.218.60.56/~jnz1568/getInfo.php?workbook=03_02.xlsx&amp;sheet=A0&amp;row=475&amp;col=9&amp;number=&amp;sourceID=15","")</f>
        <v/>
      </c>
      <c r="J475" s="4" t="str">
        <f>HYPERLINK("http://141.218.60.56/~jnz1568/getInfo.php?workbook=03_02.xlsx&amp;sheet=A0&amp;row=475&amp;col=10&amp;number=&amp;sourceID=15","")</f>
        <v/>
      </c>
      <c r="K475" s="4" t="str">
        <f>HYPERLINK("http://141.218.60.56/~jnz1568/getInfo.php?workbook=03_02.xlsx&amp;sheet=A0&amp;row=475&amp;col=11&amp;number=&amp;sourceID=30","")</f>
        <v/>
      </c>
      <c r="L475" s="4" t="str">
        <f>HYPERLINK("http://141.218.60.56/~jnz1568/getInfo.php?workbook=03_02.xlsx&amp;sheet=A0&amp;row=475&amp;col=12&amp;number=7.275&amp;sourceID=30","7.275")</f>
        <v>7.275</v>
      </c>
      <c r="M475" s="4" t="str">
        <f>HYPERLINK("http://141.218.60.56/~jnz1568/getInfo.php?workbook=03_02.xlsx&amp;sheet=A0&amp;row=475&amp;col=13&amp;number=7.127e-10&amp;sourceID=30","7.127e-10")</f>
        <v>7.127e-10</v>
      </c>
      <c r="N475" s="4" t="str">
        <f>HYPERLINK("http://141.218.60.56/~jnz1568/getInfo.php?workbook=03_02.xlsx&amp;sheet=A0&amp;row=475&amp;col=14&amp;number=&amp;sourceID=30","")</f>
        <v/>
      </c>
    </row>
    <row r="476" spans="1:14">
      <c r="A476" s="3">
        <v>3</v>
      </c>
      <c r="B476" s="3">
        <v>2</v>
      </c>
      <c r="C476" s="3">
        <v>35</v>
      </c>
      <c r="D476" s="3">
        <v>22</v>
      </c>
      <c r="E476" s="3">
        <f>((1/(INDEX(E0!J$4:J$52,C476,1)-INDEX(E0!J$4:J$52,D476,1))))*100000000</f>
        <v>0</v>
      </c>
      <c r="F476" s="4" t="str">
        <f>HYPERLINK("http://141.218.60.56/~jnz1568/getInfo.php?workbook=03_02.xlsx&amp;sheet=A0&amp;row=476&amp;col=6&amp;number=&amp;sourceID=27","")</f>
        <v/>
      </c>
      <c r="G476" s="4" t="str">
        <f>HYPERLINK("http://141.218.60.56/~jnz1568/getInfo.php?workbook=03_02.xlsx&amp;sheet=A0&amp;row=476&amp;col=7&amp;number=&amp;sourceID=15","")</f>
        <v/>
      </c>
      <c r="H476" s="4" t="str">
        <f>HYPERLINK("http://141.218.60.56/~jnz1568/getInfo.php?workbook=03_02.xlsx&amp;sheet=A0&amp;row=476&amp;col=8&amp;number=&amp;sourceID=15","")</f>
        <v/>
      </c>
      <c r="I476" s="4" t="str">
        <f>HYPERLINK("http://141.218.60.56/~jnz1568/getInfo.php?workbook=03_02.xlsx&amp;sheet=A0&amp;row=476&amp;col=9&amp;number=&amp;sourceID=15","")</f>
        <v/>
      </c>
      <c r="J476" s="4" t="str">
        <f>HYPERLINK("http://141.218.60.56/~jnz1568/getInfo.php?workbook=03_02.xlsx&amp;sheet=A0&amp;row=476&amp;col=10&amp;number=&amp;sourceID=15","")</f>
        <v/>
      </c>
      <c r="K476" s="4" t="str">
        <f>HYPERLINK("http://141.218.60.56/~jnz1568/getInfo.php?workbook=03_02.xlsx&amp;sheet=A0&amp;row=476&amp;col=11&amp;number=&amp;sourceID=30","")</f>
        <v/>
      </c>
      <c r="L476" s="4" t="str">
        <f>HYPERLINK("http://141.218.60.56/~jnz1568/getInfo.php?workbook=03_02.xlsx&amp;sheet=A0&amp;row=476&amp;col=12&amp;number=21.82&amp;sourceID=30","21.82")</f>
        <v>21.82</v>
      </c>
      <c r="M476" s="4" t="str">
        <f>HYPERLINK("http://141.218.60.56/~jnz1568/getInfo.php?workbook=03_02.xlsx&amp;sheet=A0&amp;row=476&amp;col=13&amp;number=8.206e-09&amp;sourceID=30","8.206e-09")</f>
        <v>8.206e-09</v>
      </c>
      <c r="N476" s="4" t="str">
        <f>HYPERLINK("http://141.218.60.56/~jnz1568/getInfo.php?workbook=03_02.xlsx&amp;sheet=A0&amp;row=476&amp;col=14&amp;number=&amp;sourceID=30","")</f>
        <v/>
      </c>
    </row>
    <row r="477" spans="1:14">
      <c r="A477" s="3">
        <v>3</v>
      </c>
      <c r="B477" s="3">
        <v>2</v>
      </c>
      <c r="C477" s="3">
        <v>35</v>
      </c>
      <c r="D477" s="3">
        <v>23</v>
      </c>
      <c r="E477" s="3">
        <f>((1/(INDEX(E0!J$4:J$52,C477,1)-INDEX(E0!J$4:J$52,D477,1))))*100000000</f>
        <v>0</v>
      </c>
      <c r="F477" s="4" t="str">
        <f>HYPERLINK("http://141.218.60.56/~jnz1568/getInfo.php?workbook=03_02.xlsx&amp;sheet=A0&amp;row=477&amp;col=6&amp;number=&amp;sourceID=27","")</f>
        <v/>
      </c>
      <c r="G477" s="4" t="str">
        <f>HYPERLINK("http://141.218.60.56/~jnz1568/getInfo.php?workbook=03_02.xlsx&amp;sheet=A0&amp;row=477&amp;col=7&amp;number=1190000&amp;sourceID=15","1190000")</f>
        <v>1190000</v>
      </c>
      <c r="H477" s="4" t="str">
        <f>HYPERLINK("http://141.218.60.56/~jnz1568/getInfo.php?workbook=03_02.xlsx&amp;sheet=A0&amp;row=477&amp;col=8&amp;number=&amp;sourceID=15","")</f>
        <v/>
      </c>
      <c r="I477" s="4" t="str">
        <f>HYPERLINK("http://141.218.60.56/~jnz1568/getInfo.php?workbook=03_02.xlsx&amp;sheet=A0&amp;row=477&amp;col=9&amp;number=&amp;sourceID=15","")</f>
        <v/>
      </c>
      <c r="J477" s="4" t="str">
        <f>HYPERLINK("http://141.218.60.56/~jnz1568/getInfo.php?workbook=03_02.xlsx&amp;sheet=A0&amp;row=477&amp;col=10&amp;number=&amp;sourceID=15","")</f>
        <v/>
      </c>
      <c r="K477" s="4" t="str">
        <f>HYPERLINK("http://141.218.60.56/~jnz1568/getInfo.php?workbook=03_02.xlsx&amp;sheet=A0&amp;row=477&amp;col=11&amp;number=1111000&amp;sourceID=30","1111000")</f>
        <v>1111000</v>
      </c>
      <c r="L477" s="4" t="str">
        <f>HYPERLINK("http://141.218.60.56/~jnz1568/getInfo.php?workbook=03_02.xlsx&amp;sheet=A0&amp;row=477&amp;col=12&amp;number=&amp;sourceID=30","")</f>
        <v/>
      </c>
      <c r="M477" s="4" t="str">
        <f>HYPERLINK("http://141.218.60.56/~jnz1568/getInfo.php?workbook=03_02.xlsx&amp;sheet=A0&amp;row=477&amp;col=13&amp;number=&amp;sourceID=30","")</f>
        <v/>
      </c>
      <c r="N477" s="4" t="str">
        <f>HYPERLINK("http://141.218.60.56/~jnz1568/getInfo.php?workbook=03_02.xlsx&amp;sheet=A0&amp;row=477&amp;col=14&amp;number=5.975e-08&amp;sourceID=30","5.975e-08")</f>
        <v>5.975e-08</v>
      </c>
    </row>
    <row r="478" spans="1:14">
      <c r="A478" s="3">
        <v>3</v>
      </c>
      <c r="B478" s="3">
        <v>2</v>
      </c>
      <c r="C478" s="3">
        <v>35</v>
      </c>
      <c r="D478" s="3">
        <v>24</v>
      </c>
      <c r="E478" s="3">
        <f>((1/(INDEX(E0!J$4:J$52,C478,1)-INDEX(E0!J$4:J$52,D478,1))))*100000000</f>
        <v>0</v>
      </c>
      <c r="F478" s="4" t="str">
        <f>HYPERLINK("http://141.218.60.56/~jnz1568/getInfo.php?workbook=03_02.xlsx&amp;sheet=A0&amp;row=478&amp;col=6&amp;number=&amp;sourceID=27","")</f>
        <v/>
      </c>
      <c r="G478" s="4" t="str">
        <f>HYPERLINK("http://141.218.60.56/~jnz1568/getInfo.php?workbook=03_02.xlsx&amp;sheet=A0&amp;row=478&amp;col=7&amp;number=3569400&amp;sourceID=15","3569400")</f>
        <v>3569400</v>
      </c>
      <c r="H478" s="4" t="str">
        <f>HYPERLINK("http://141.218.60.56/~jnz1568/getInfo.php?workbook=03_02.xlsx&amp;sheet=A0&amp;row=478&amp;col=8&amp;number=&amp;sourceID=15","")</f>
        <v/>
      </c>
      <c r="I478" s="4" t="str">
        <f>HYPERLINK("http://141.218.60.56/~jnz1568/getInfo.php?workbook=03_02.xlsx&amp;sheet=A0&amp;row=478&amp;col=9&amp;number=&amp;sourceID=15","")</f>
        <v/>
      </c>
      <c r="J478" s="4" t="str">
        <f>HYPERLINK("http://141.218.60.56/~jnz1568/getInfo.php?workbook=03_02.xlsx&amp;sheet=A0&amp;row=478&amp;col=10&amp;number=&amp;sourceID=15","")</f>
        <v/>
      </c>
      <c r="K478" s="4" t="str">
        <f>HYPERLINK("http://141.218.60.56/~jnz1568/getInfo.php?workbook=03_02.xlsx&amp;sheet=A0&amp;row=478&amp;col=11&amp;number=3330000&amp;sourceID=30","3330000")</f>
        <v>3330000</v>
      </c>
      <c r="L478" s="4" t="str">
        <f>HYPERLINK("http://141.218.60.56/~jnz1568/getInfo.php?workbook=03_02.xlsx&amp;sheet=A0&amp;row=478&amp;col=12&amp;number=&amp;sourceID=30","")</f>
        <v/>
      </c>
      <c r="M478" s="4" t="str">
        <f>HYPERLINK("http://141.218.60.56/~jnz1568/getInfo.php?workbook=03_02.xlsx&amp;sheet=A0&amp;row=478&amp;col=13&amp;number=&amp;sourceID=30","")</f>
        <v/>
      </c>
      <c r="N478" s="4" t="str">
        <f>HYPERLINK("http://141.218.60.56/~jnz1568/getInfo.php?workbook=03_02.xlsx&amp;sheet=A0&amp;row=478&amp;col=14&amp;number=1.561e-06&amp;sourceID=30","1.561e-06")</f>
        <v>1.561e-06</v>
      </c>
    </row>
    <row r="479" spans="1:14">
      <c r="A479" s="3">
        <v>3</v>
      </c>
      <c r="B479" s="3">
        <v>2</v>
      </c>
      <c r="C479" s="3">
        <v>35</v>
      </c>
      <c r="D479" s="3">
        <v>25</v>
      </c>
      <c r="E479" s="3">
        <f>((1/(INDEX(E0!J$4:J$52,C479,1)-INDEX(E0!J$4:J$52,D479,1))))*100000000</f>
        <v>0</v>
      </c>
      <c r="F479" s="4" t="str">
        <f>HYPERLINK("http://141.218.60.56/~jnz1568/getInfo.php?workbook=03_02.xlsx&amp;sheet=A0&amp;row=479&amp;col=6&amp;number=&amp;sourceID=27","")</f>
        <v/>
      </c>
      <c r="G479" s="4" t="str">
        <f>HYPERLINK("http://141.218.60.56/~jnz1568/getInfo.php?workbook=03_02.xlsx&amp;sheet=A0&amp;row=479&amp;col=7&amp;number=&amp;sourceID=15","")</f>
        <v/>
      </c>
      <c r="H479" s="4" t="str">
        <f>HYPERLINK("http://141.218.60.56/~jnz1568/getInfo.php?workbook=03_02.xlsx&amp;sheet=A0&amp;row=479&amp;col=8&amp;number=&amp;sourceID=15","")</f>
        <v/>
      </c>
      <c r="I479" s="4" t="str">
        <f>HYPERLINK("http://141.218.60.56/~jnz1568/getInfo.php?workbook=03_02.xlsx&amp;sheet=A0&amp;row=479&amp;col=9&amp;number=&amp;sourceID=15","")</f>
        <v/>
      </c>
      <c r="J479" s="4" t="str">
        <f>HYPERLINK("http://141.218.60.56/~jnz1568/getInfo.php?workbook=03_02.xlsx&amp;sheet=A0&amp;row=479&amp;col=10&amp;number=&amp;sourceID=15","")</f>
        <v/>
      </c>
      <c r="K479" s="4" t="str">
        <f>HYPERLINK("http://141.218.60.56/~jnz1568/getInfo.php?workbook=03_02.xlsx&amp;sheet=A0&amp;row=479&amp;col=11&amp;number=&amp;sourceID=30","")</f>
        <v/>
      </c>
      <c r="L479" s="4" t="str">
        <f>HYPERLINK("http://141.218.60.56/~jnz1568/getInfo.php?workbook=03_02.xlsx&amp;sheet=A0&amp;row=479&amp;col=12&amp;number=&amp;sourceID=30","")</f>
        <v/>
      </c>
      <c r="M479" s="4" t="str">
        <f>HYPERLINK("http://141.218.60.56/~jnz1568/getInfo.php?workbook=03_02.xlsx&amp;sheet=A0&amp;row=479&amp;col=13&amp;number=&amp;sourceID=30","")</f>
        <v/>
      </c>
      <c r="N479" s="4" t="str">
        <f>HYPERLINK("http://141.218.60.56/~jnz1568/getInfo.php?workbook=03_02.xlsx&amp;sheet=A0&amp;row=479&amp;col=14&amp;number=1.4e-07&amp;sourceID=30","1.4e-07")</f>
        <v>1.4e-07</v>
      </c>
    </row>
    <row r="480" spans="1:14">
      <c r="A480" s="3">
        <v>3</v>
      </c>
      <c r="B480" s="3">
        <v>2</v>
      </c>
      <c r="C480" s="3">
        <v>35</v>
      </c>
      <c r="D480" s="3">
        <v>26</v>
      </c>
      <c r="E480" s="3">
        <f>((1/(INDEX(E0!J$4:J$52,C480,1)-INDEX(E0!J$4:J$52,D480,1))))*100000000</f>
        <v>0</v>
      </c>
      <c r="F480" s="4" t="str">
        <f>HYPERLINK("http://141.218.60.56/~jnz1568/getInfo.php?workbook=03_02.xlsx&amp;sheet=A0&amp;row=480&amp;col=6&amp;number=&amp;sourceID=27","")</f>
        <v/>
      </c>
      <c r="G480" s="4" t="str">
        <f>HYPERLINK("http://141.218.60.56/~jnz1568/getInfo.php?workbook=03_02.xlsx&amp;sheet=A0&amp;row=480&amp;col=7&amp;number=657.8&amp;sourceID=15","657.8")</f>
        <v>657.8</v>
      </c>
      <c r="H480" s="4" t="str">
        <f>HYPERLINK("http://141.218.60.56/~jnz1568/getInfo.php?workbook=03_02.xlsx&amp;sheet=A0&amp;row=480&amp;col=8&amp;number=&amp;sourceID=15","")</f>
        <v/>
      </c>
      <c r="I480" s="4" t="str">
        <f>HYPERLINK("http://141.218.60.56/~jnz1568/getInfo.php?workbook=03_02.xlsx&amp;sheet=A0&amp;row=480&amp;col=9&amp;number=&amp;sourceID=15","")</f>
        <v/>
      </c>
      <c r="J480" s="4" t="str">
        <f>HYPERLINK("http://141.218.60.56/~jnz1568/getInfo.php?workbook=03_02.xlsx&amp;sheet=A0&amp;row=480&amp;col=10&amp;number=&amp;sourceID=15","")</f>
        <v/>
      </c>
      <c r="K480" s="4" t="str">
        <f>HYPERLINK("http://141.218.60.56/~jnz1568/getInfo.php?workbook=03_02.xlsx&amp;sheet=A0&amp;row=480&amp;col=11&amp;number=276.5&amp;sourceID=30","276.5")</f>
        <v>276.5</v>
      </c>
      <c r="L480" s="4" t="str">
        <f>HYPERLINK("http://141.218.60.56/~jnz1568/getInfo.php?workbook=03_02.xlsx&amp;sheet=A0&amp;row=480&amp;col=12&amp;number=&amp;sourceID=30","")</f>
        <v/>
      </c>
      <c r="M480" s="4" t="str">
        <f>HYPERLINK("http://141.218.60.56/~jnz1568/getInfo.php?workbook=03_02.xlsx&amp;sheet=A0&amp;row=480&amp;col=13&amp;number=&amp;sourceID=30","")</f>
        <v/>
      </c>
      <c r="N480" s="4" t="str">
        <f>HYPERLINK("http://141.218.60.56/~jnz1568/getInfo.php?workbook=03_02.xlsx&amp;sheet=A0&amp;row=480&amp;col=14&amp;number=1.398e-06&amp;sourceID=30","1.398e-06")</f>
        <v>1.398e-06</v>
      </c>
    </row>
    <row r="481" spans="1:14">
      <c r="A481" s="3">
        <v>3</v>
      </c>
      <c r="B481" s="3">
        <v>2</v>
      </c>
      <c r="C481" s="3">
        <v>35</v>
      </c>
      <c r="D481" s="3">
        <v>27</v>
      </c>
      <c r="E481" s="3">
        <f>((1/(INDEX(E0!J$4:J$52,C481,1)-INDEX(E0!J$4:J$52,D481,1))))*100000000</f>
        <v>0</v>
      </c>
      <c r="F481" s="4" t="str">
        <f>HYPERLINK("http://141.218.60.56/~jnz1568/getInfo.php?workbook=03_02.xlsx&amp;sheet=A0&amp;row=481&amp;col=6&amp;number=&amp;sourceID=27","")</f>
        <v/>
      </c>
      <c r="G481" s="4" t="str">
        <f>HYPERLINK("http://141.218.60.56/~jnz1568/getInfo.php?workbook=03_02.xlsx&amp;sheet=A0&amp;row=481&amp;col=7&amp;number=&amp;sourceID=15","")</f>
        <v/>
      </c>
      <c r="H481" s="4" t="str">
        <f>HYPERLINK("http://141.218.60.56/~jnz1568/getInfo.php?workbook=03_02.xlsx&amp;sheet=A0&amp;row=481&amp;col=8&amp;number=&amp;sourceID=15","")</f>
        <v/>
      </c>
      <c r="I481" s="4" t="str">
        <f>HYPERLINK("http://141.218.60.56/~jnz1568/getInfo.php?workbook=03_02.xlsx&amp;sheet=A0&amp;row=481&amp;col=9&amp;number=&amp;sourceID=15","")</f>
        <v/>
      </c>
      <c r="J481" s="4" t="str">
        <f>HYPERLINK("http://141.218.60.56/~jnz1568/getInfo.php?workbook=03_02.xlsx&amp;sheet=A0&amp;row=481&amp;col=10&amp;number=&amp;sourceID=15","")</f>
        <v/>
      </c>
      <c r="K481" s="4" t="str">
        <f>HYPERLINK("http://141.218.60.56/~jnz1568/getInfo.php?workbook=03_02.xlsx&amp;sheet=A0&amp;row=481&amp;col=11&amp;number=&amp;sourceID=30","")</f>
        <v/>
      </c>
      <c r="L481" s="4" t="str">
        <f>HYPERLINK("http://141.218.60.56/~jnz1568/getInfo.php?workbook=03_02.xlsx&amp;sheet=A0&amp;row=481&amp;col=12&amp;number=1.141&amp;sourceID=30","1.141")</f>
        <v>1.141</v>
      </c>
      <c r="M481" s="4" t="str">
        <f>HYPERLINK("http://141.218.60.56/~jnz1568/getInfo.php?workbook=03_02.xlsx&amp;sheet=A0&amp;row=481&amp;col=13&amp;number=4.66e-13&amp;sourceID=30","4.66e-13")</f>
        <v>4.66e-13</v>
      </c>
      <c r="N481" s="4" t="str">
        <f>HYPERLINK("http://141.218.60.56/~jnz1568/getInfo.php?workbook=03_02.xlsx&amp;sheet=A0&amp;row=481&amp;col=14&amp;number=&amp;sourceID=30","")</f>
        <v/>
      </c>
    </row>
    <row r="482" spans="1:14">
      <c r="A482" s="3">
        <v>3</v>
      </c>
      <c r="B482" s="3">
        <v>2</v>
      </c>
      <c r="C482" s="3">
        <v>35</v>
      </c>
      <c r="D482" s="3">
        <v>28</v>
      </c>
      <c r="E482" s="3">
        <f>((1/(INDEX(E0!J$4:J$52,C482,1)-INDEX(E0!J$4:J$52,D482,1))))*100000000</f>
        <v>0</v>
      </c>
      <c r="F482" s="4" t="str">
        <f>HYPERLINK("http://141.218.60.56/~jnz1568/getInfo.php?workbook=03_02.xlsx&amp;sheet=A0&amp;row=482&amp;col=6&amp;number=&amp;sourceID=27","")</f>
        <v/>
      </c>
      <c r="G482" s="4" t="str">
        <f>HYPERLINK("http://141.218.60.56/~jnz1568/getInfo.php?workbook=03_02.xlsx&amp;sheet=A0&amp;row=482&amp;col=7&amp;number=&amp;sourceID=15","")</f>
        <v/>
      </c>
      <c r="H482" s="4" t="str">
        <f>HYPERLINK("http://141.218.60.56/~jnz1568/getInfo.php?workbook=03_02.xlsx&amp;sheet=A0&amp;row=482&amp;col=8&amp;number=&amp;sourceID=15","")</f>
        <v/>
      </c>
      <c r="I482" s="4" t="str">
        <f>HYPERLINK("http://141.218.60.56/~jnz1568/getInfo.php?workbook=03_02.xlsx&amp;sheet=A0&amp;row=482&amp;col=9&amp;number=&amp;sourceID=15","")</f>
        <v/>
      </c>
      <c r="J482" s="4" t="str">
        <f>HYPERLINK("http://141.218.60.56/~jnz1568/getInfo.php?workbook=03_02.xlsx&amp;sheet=A0&amp;row=482&amp;col=10&amp;number=&amp;sourceID=15","")</f>
        <v/>
      </c>
      <c r="K482" s="4" t="str">
        <f>HYPERLINK("http://141.218.60.56/~jnz1568/getInfo.php?workbook=03_02.xlsx&amp;sheet=A0&amp;row=482&amp;col=11&amp;number=&amp;sourceID=30","")</f>
        <v/>
      </c>
      <c r="L482" s="4" t="str">
        <f>HYPERLINK("http://141.218.60.56/~jnz1568/getInfo.php?workbook=03_02.xlsx&amp;sheet=A0&amp;row=482&amp;col=12&amp;number=1.799&amp;sourceID=30","1.799")</f>
        <v>1.799</v>
      </c>
      <c r="M482" s="4" t="str">
        <f>HYPERLINK("http://141.218.60.56/~jnz1568/getInfo.php?workbook=03_02.xlsx&amp;sheet=A0&amp;row=482&amp;col=13&amp;number=&amp;sourceID=30","")</f>
        <v/>
      </c>
      <c r="N482" s="4" t="str">
        <f>HYPERLINK("http://141.218.60.56/~jnz1568/getInfo.php?workbook=03_02.xlsx&amp;sheet=A0&amp;row=482&amp;col=14&amp;number=&amp;sourceID=30","")</f>
        <v/>
      </c>
    </row>
    <row r="483" spans="1:14">
      <c r="A483" s="3">
        <v>3</v>
      </c>
      <c r="B483" s="3">
        <v>2</v>
      </c>
      <c r="C483" s="3">
        <v>35</v>
      </c>
      <c r="D483" s="3">
        <v>30</v>
      </c>
      <c r="E483" s="3">
        <f>((1/(INDEX(E0!J$4:J$52,C483,1)-INDEX(E0!J$4:J$52,D483,1))))*100000000</f>
        <v>0</v>
      </c>
      <c r="F483" s="4" t="str">
        <f>HYPERLINK("http://141.218.60.56/~jnz1568/getInfo.php?workbook=03_02.xlsx&amp;sheet=A0&amp;row=483&amp;col=6&amp;number=&amp;sourceID=27","")</f>
        <v/>
      </c>
      <c r="G483" s="4" t="str">
        <f>HYPERLINK("http://141.218.60.56/~jnz1568/getInfo.php?workbook=03_02.xlsx&amp;sheet=A0&amp;row=483&amp;col=7&amp;number=&amp;sourceID=15","")</f>
        <v/>
      </c>
      <c r="H483" s="4" t="str">
        <f>HYPERLINK("http://141.218.60.56/~jnz1568/getInfo.php?workbook=03_02.xlsx&amp;sheet=A0&amp;row=483&amp;col=8&amp;number=&amp;sourceID=15","")</f>
        <v/>
      </c>
      <c r="I483" s="4" t="str">
        <f>HYPERLINK("http://141.218.60.56/~jnz1568/getInfo.php?workbook=03_02.xlsx&amp;sheet=A0&amp;row=483&amp;col=9&amp;number=&amp;sourceID=15","")</f>
        <v/>
      </c>
      <c r="J483" s="4" t="str">
        <f>HYPERLINK("http://141.218.60.56/~jnz1568/getInfo.php?workbook=03_02.xlsx&amp;sheet=A0&amp;row=483&amp;col=10&amp;number=&amp;sourceID=15","")</f>
        <v/>
      </c>
      <c r="K483" s="4" t="str">
        <f>HYPERLINK("http://141.218.60.56/~jnz1568/getInfo.php?workbook=03_02.xlsx&amp;sheet=A0&amp;row=483&amp;col=11&amp;number=&amp;sourceID=30","")</f>
        <v/>
      </c>
      <c r="L483" s="4" t="str">
        <f>HYPERLINK("http://141.218.60.56/~jnz1568/getInfo.php?workbook=03_02.xlsx&amp;sheet=A0&amp;row=483&amp;col=12&amp;number=0.4835&amp;sourceID=30","0.4835")</f>
        <v>0.4835</v>
      </c>
      <c r="M483" s="4" t="str">
        <f>HYPERLINK("http://141.218.60.56/~jnz1568/getInfo.php?workbook=03_02.xlsx&amp;sheet=A0&amp;row=483&amp;col=13&amp;number=&amp;sourceID=30","")</f>
        <v/>
      </c>
      <c r="N483" s="4" t="str">
        <f>HYPERLINK("http://141.218.60.56/~jnz1568/getInfo.php?workbook=03_02.xlsx&amp;sheet=A0&amp;row=483&amp;col=14&amp;number=&amp;sourceID=30","")</f>
        <v/>
      </c>
    </row>
    <row r="484" spans="1:14">
      <c r="A484" s="3">
        <v>3</v>
      </c>
      <c r="B484" s="3">
        <v>2</v>
      </c>
      <c r="C484" s="3">
        <v>35</v>
      </c>
      <c r="D484" s="3">
        <v>31</v>
      </c>
      <c r="E484" s="3">
        <f>((1/(INDEX(E0!J$4:J$52,C484,1)-INDEX(E0!J$4:J$52,D484,1))))*100000000</f>
        <v>0</v>
      </c>
      <c r="F484" s="4" t="str">
        <f>HYPERLINK("http://141.218.60.56/~jnz1568/getInfo.php?workbook=03_02.xlsx&amp;sheet=A0&amp;row=484&amp;col=6&amp;number=&amp;sourceID=27","")</f>
        <v/>
      </c>
      <c r="G484" s="4" t="str">
        <f>HYPERLINK("http://141.218.60.56/~jnz1568/getInfo.php?workbook=03_02.xlsx&amp;sheet=A0&amp;row=484&amp;col=7&amp;number=&amp;sourceID=15","")</f>
        <v/>
      </c>
      <c r="H484" s="4" t="str">
        <f>HYPERLINK("http://141.218.60.56/~jnz1568/getInfo.php?workbook=03_02.xlsx&amp;sheet=A0&amp;row=484&amp;col=8&amp;number=&amp;sourceID=15","")</f>
        <v/>
      </c>
      <c r="I484" s="4" t="str">
        <f>HYPERLINK("http://141.218.60.56/~jnz1568/getInfo.php?workbook=03_02.xlsx&amp;sheet=A0&amp;row=484&amp;col=9&amp;number=&amp;sourceID=15","")</f>
        <v/>
      </c>
      <c r="J484" s="4" t="str">
        <f>HYPERLINK("http://141.218.60.56/~jnz1568/getInfo.php?workbook=03_02.xlsx&amp;sheet=A0&amp;row=484&amp;col=10&amp;number=&amp;sourceID=15","")</f>
        <v/>
      </c>
      <c r="K484" s="4" t="str">
        <f>HYPERLINK("http://141.218.60.56/~jnz1568/getInfo.php?workbook=03_02.xlsx&amp;sheet=A0&amp;row=484&amp;col=11&amp;number=&amp;sourceID=30","")</f>
        <v/>
      </c>
      <c r="L484" s="4" t="str">
        <f>HYPERLINK("http://141.218.60.56/~jnz1568/getInfo.php?workbook=03_02.xlsx&amp;sheet=A0&amp;row=484&amp;col=12&amp;number=2.874e-05&amp;sourceID=30","2.874e-05")</f>
        <v>2.874e-05</v>
      </c>
      <c r="M484" s="4" t="str">
        <f>HYPERLINK("http://141.218.60.56/~jnz1568/getInfo.php?workbook=03_02.xlsx&amp;sheet=A0&amp;row=484&amp;col=13&amp;number=5.798e-08&amp;sourceID=30","5.798e-08")</f>
        <v>5.798e-08</v>
      </c>
      <c r="N484" s="4" t="str">
        <f>HYPERLINK("http://141.218.60.56/~jnz1568/getInfo.php?workbook=03_02.xlsx&amp;sheet=A0&amp;row=484&amp;col=14&amp;number=&amp;sourceID=30","")</f>
        <v/>
      </c>
    </row>
    <row r="485" spans="1:14">
      <c r="A485" s="3">
        <v>3</v>
      </c>
      <c r="B485" s="3">
        <v>2</v>
      </c>
      <c r="C485" s="3">
        <v>35</v>
      </c>
      <c r="D485" s="3">
        <v>32</v>
      </c>
      <c r="E485" s="3">
        <f>((1/(INDEX(E0!J$4:J$52,C485,1)-INDEX(E0!J$4:J$52,D485,1))))*100000000</f>
        <v>0</v>
      </c>
      <c r="F485" s="4" t="str">
        <f>HYPERLINK("http://141.218.60.56/~jnz1568/getInfo.php?workbook=03_02.xlsx&amp;sheet=A0&amp;row=485&amp;col=6&amp;number=&amp;sourceID=27","")</f>
        <v/>
      </c>
      <c r="G485" s="4" t="str">
        <f>HYPERLINK("http://141.218.60.56/~jnz1568/getInfo.php?workbook=03_02.xlsx&amp;sheet=A0&amp;row=485&amp;col=7&amp;number=178170&amp;sourceID=15","178170")</f>
        <v>178170</v>
      </c>
      <c r="H485" s="4" t="str">
        <f>HYPERLINK("http://141.218.60.56/~jnz1568/getInfo.php?workbook=03_02.xlsx&amp;sheet=A0&amp;row=485&amp;col=8&amp;number=&amp;sourceID=15","")</f>
        <v/>
      </c>
      <c r="I485" s="4" t="str">
        <f>HYPERLINK("http://141.218.60.56/~jnz1568/getInfo.php?workbook=03_02.xlsx&amp;sheet=A0&amp;row=485&amp;col=9&amp;number=&amp;sourceID=15","")</f>
        <v/>
      </c>
      <c r="J485" s="4" t="str">
        <f>HYPERLINK("http://141.218.60.56/~jnz1568/getInfo.php?workbook=03_02.xlsx&amp;sheet=A0&amp;row=485&amp;col=10&amp;number=&amp;sourceID=15","")</f>
        <v/>
      </c>
      <c r="K485" s="4" t="str">
        <f>HYPERLINK("http://141.218.60.56/~jnz1568/getInfo.php?workbook=03_02.xlsx&amp;sheet=A0&amp;row=485&amp;col=11&amp;number=195000&amp;sourceID=30","195000")</f>
        <v>195000</v>
      </c>
      <c r="L485" s="4" t="str">
        <f>HYPERLINK("http://141.218.60.56/~jnz1568/getInfo.php?workbook=03_02.xlsx&amp;sheet=A0&amp;row=485&amp;col=12&amp;number=&amp;sourceID=30","")</f>
        <v/>
      </c>
      <c r="M485" s="4" t="str">
        <f>HYPERLINK("http://141.218.60.56/~jnz1568/getInfo.php?workbook=03_02.xlsx&amp;sheet=A0&amp;row=485&amp;col=13&amp;number=&amp;sourceID=30","")</f>
        <v/>
      </c>
      <c r="N485" s="4" t="str">
        <f>HYPERLINK("http://141.218.60.56/~jnz1568/getInfo.php?workbook=03_02.xlsx&amp;sheet=A0&amp;row=485&amp;col=14&amp;number=6.697e-10&amp;sourceID=30","6.697e-10")</f>
        <v>6.697e-10</v>
      </c>
    </row>
    <row r="486" spans="1:14">
      <c r="A486" s="3">
        <v>3</v>
      </c>
      <c r="B486" s="3">
        <v>2</v>
      </c>
      <c r="C486" s="3">
        <v>35</v>
      </c>
      <c r="D486" s="3">
        <v>34</v>
      </c>
      <c r="E486" s="3">
        <f>((1/(INDEX(E0!J$4:J$52,C486,1)-INDEX(E0!J$4:J$52,D486,1))))*100000000</f>
        <v>0</v>
      </c>
      <c r="F486" s="4" t="str">
        <f>HYPERLINK("http://141.218.60.56/~jnz1568/getInfo.php?workbook=03_02.xlsx&amp;sheet=A0&amp;row=486&amp;col=6&amp;number=&amp;sourceID=27","")</f>
        <v/>
      </c>
      <c r="G486" s="4" t="str">
        <f>HYPERLINK("http://141.218.60.56/~jnz1568/getInfo.php?workbook=03_02.xlsx&amp;sheet=A0&amp;row=486&amp;col=7&amp;number=&amp;sourceID=15","")</f>
        <v/>
      </c>
      <c r="H486" s="4" t="str">
        <f>HYPERLINK("http://141.218.60.56/~jnz1568/getInfo.php?workbook=03_02.xlsx&amp;sheet=A0&amp;row=486&amp;col=8&amp;number=&amp;sourceID=15","")</f>
        <v/>
      </c>
      <c r="I486" s="4" t="str">
        <f>HYPERLINK("http://141.218.60.56/~jnz1568/getInfo.php?workbook=03_02.xlsx&amp;sheet=A0&amp;row=486&amp;col=9&amp;number=&amp;sourceID=15","")</f>
        <v/>
      </c>
      <c r="J486" s="4" t="str">
        <f>HYPERLINK("http://141.218.60.56/~jnz1568/getInfo.php?workbook=03_02.xlsx&amp;sheet=A0&amp;row=486&amp;col=10&amp;number=&amp;sourceID=15","")</f>
        <v/>
      </c>
      <c r="K486" s="4" t="str">
        <f>HYPERLINK("http://141.218.60.56/~jnz1568/getInfo.php?workbook=03_02.xlsx&amp;sheet=A0&amp;row=486&amp;col=11&amp;number=&amp;sourceID=30","")</f>
        <v/>
      </c>
      <c r="L486" s="4" t="str">
        <f>HYPERLINK("http://141.218.60.56/~jnz1568/getInfo.php?workbook=03_02.xlsx&amp;sheet=A0&amp;row=486&amp;col=12&amp;number=&amp;sourceID=30","")</f>
        <v/>
      </c>
      <c r="M486" s="4" t="str">
        <f>HYPERLINK("http://141.218.60.56/~jnz1568/getInfo.php?workbook=03_02.xlsx&amp;sheet=A0&amp;row=486&amp;col=13&amp;number=6.74e-13&amp;sourceID=30","6.74e-13")</f>
        <v>6.74e-13</v>
      </c>
      <c r="N486" s="4" t="str">
        <f>HYPERLINK("http://141.218.60.56/~jnz1568/getInfo.php?workbook=03_02.xlsx&amp;sheet=A0&amp;row=486&amp;col=14&amp;number=&amp;sourceID=30","")</f>
        <v/>
      </c>
    </row>
    <row r="487" spans="1:14">
      <c r="A487" s="3">
        <v>3</v>
      </c>
      <c r="B487" s="3">
        <v>2</v>
      </c>
      <c r="C487" s="3">
        <v>36</v>
      </c>
      <c r="D487" s="3">
        <v>1</v>
      </c>
      <c r="E487" s="3">
        <f>((1/(INDEX(E0!J$4:J$52,C487,1)-INDEX(E0!J$4:J$52,D487,1))))*100000000</f>
        <v>0</v>
      </c>
      <c r="F487" s="4" t="str">
        <f>HYPERLINK("http://141.218.60.56/~jnz1568/getInfo.php?workbook=03_02.xlsx&amp;sheet=A0&amp;row=487&amp;col=6&amp;number=&amp;sourceID=27","")</f>
        <v/>
      </c>
      <c r="G487" s="4" t="str">
        <f>HYPERLINK("http://141.218.60.56/~jnz1568/getInfo.php?workbook=03_02.xlsx&amp;sheet=A0&amp;row=487&amp;col=7&amp;number=&amp;sourceID=15","")</f>
        <v/>
      </c>
      <c r="H487" s="4" t="str">
        <f>HYPERLINK("http://141.218.60.56/~jnz1568/getInfo.php?workbook=03_02.xlsx&amp;sheet=A0&amp;row=487&amp;col=8&amp;number=&amp;sourceID=15","")</f>
        <v/>
      </c>
      <c r="I487" s="4" t="str">
        <f>HYPERLINK("http://141.218.60.56/~jnz1568/getInfo.php?workbook=03_02.xlsx&amp;sheet=A0&amp;row=487&amp;col=9&amp;number=&amp;sourceID=15","")</f>
        <v/>
      </c>
      <c r="J487" s="4" t="str">
        <f>HYPERLINK("http://141.218.60.56/~jnz1568/getInfo.php?workbook=03_02.xlsx&amp;sheet=A0&amp;row=487&amp;col=10&amp;number=2.78&amp;sourceID=15","2.78")</f>
        <v>2.78</v>
      </c>
      <c r="K487" s="4" t="str">
        <f>HYPERLINK("http://141.218.60.56/~jnz1568/getInfo.php?workbook=03_02.xlsx&amp;sheet=A0&amp;row=487&amp;col=11&amp;number=&amp;sourceID=30","")</f>
        <v/>
      </c>
      <c r="L487" s="4" t="str">
        <f>HYPERLINK("http://141.218.60.56/~jnz1568/getInfo.php?workbook=03_02.xlsx&amp;sheet=A0&amp;row=487&amp;col=12&amp;number=&amp;sourceID=30","")</f>
        <v/>
      </c>
      <c r="M487" s="4" t="str">
        <f>HYPERLINK("http://141.218.60.56/~jnz1568/getInfo.php?workbook=03_02.xlsx&amp;sheet=A0&amp;row=487&amp;col=13&amp;number=&amp;sourceID=30","")</f>
        <v/>
      </c>
      <c r="N487" s="4" t="str">
        <f>HYPERLINK("http://141.218.60.56/~jnz1568/getInfo.php?workbook=03_02.xlsx&amp;sheet=A0&amp;row=487&amp;col=14&amp;number=17.24&amp;sourceID=30","17.24")</f>
        <v>17.24</v>
      </c>
    </row>
    <row r="488" spans="1:14">
      <c r="A488" s="3">
        <v>3</v>
      </c>
      <c r="B488" s="3">
        <v>2</v>
      </c>
      <c r="C488" s="3">
        <v>36</v>
      </c>
      <c r="D488" s="3">
        <v>2</v>
      </c>
      <c r="E488" s="3">
        <f>((1/(INDEX(E0!J$4:J$52,C488,1)-INDEX(E0!J$4:J$52,D488,1))))*100000000</f>
        <v>0</v>
      </c>
      <c r="F488" s="4" t="str">
        <f>HYPERLINK("http://141.218.60.56/~jnz1568/getInfo.php?workbook=03_02.xlsx&amp;sheet=A0&amp;row=488&amp;col=6&amp;number=&amp;sourceID=27","")</f>
        <v/>
      </c>
      <c r="G488" s="4" t="str">
        <f>HYPERLINK("http://141.218.60.56/~jnz1568/getInfo.php?workbook=03_02.xlsx&amp;sheet=A0&amp;row=488&amp;col=7&amp;number=76688000&amp;sourceID=15","76688000")</f>
        <v>76688000</v>
      </c>
      <c r="H488" s="4" t="str">
        <f>HYPERLINK("http://141.218.60.56/~jnz1568/getInfo.php?workbook=03_02.xlsx&amp;sheet=A0&amp;row=488&amp;col=8&amp;number=&amp;sourceID=15","")</f>
        <v/>
      </c>
      <c r="I488" s="4" t="str">
        <f>HYPERLINK("http://141.218.60.56/~jnz1568/getInfo.php?workbook=03_02.xlsx&amp;sheet=A0&amp;row=488&amp;col=9&amp;number=&amp;sourceID=15","")</f>
        <v/>
      </c>
      <c r="J488" s="4" t="str">
        <f>HYPERLINK("http://141.218.60.56/~jnz1568/getInfo.php?workbook=03_02.xlsx&amp;sheet=A0&amp;row=488&amp;col=10&amp;number=&amp;sourceID=15","")</f>
        <v/>
      </c>
      <c r="K488" s="4" t="str">
        <f>HYPERLINK("http://141.218.60.56/~jnz1568/getInfo.php?workbook=03_02.xlsx&amp;sheet=A0&amp;row=488&amp;col=11&amp;number=39140000&amp;sourceID=30","39140000")</f>
        <v>39140000</v>
      </c>
      <c r="L488" s="4" t="str">
        <f>HYPERLINK("http://141.218.60.56/~jnz1568/getInfo.php?workbook=03_02.xlsx&amp;sheet=A0&amp;row=488&amp;col=12&amp;number=&amp;sourceID=30","")</f>
        <v/>
      </c>
      <c r="M488" s="4" t="str">
        <f>HYPERLINK("http://141.218.60.56/~jnz1568/getInfo.php?workbook=03_02.xlsx&amp;sheet=A0&amp;row=488&amp;col=13&amp;number=&amp;sourceID=30","")</f>
        <v/>
      </c>
      <c r="N488" s="4" t="str">
        <f>HYPERLINK("http://141.218.60.56/~jnz1568/getInfo.php?workbook=03_02.xlsx&amp;sheet=A0&amp;row=488&amp;col=14&amp;number=0.003468&amp;sourceID=30","0.003468")</f>
        <v>0.003468</v>
      </c>
    </row>
    <row r="489" spans="1:14">
      <c r="A489" s="3">
        <v>3</v>
      </c>
      <c r="B489" s="3">
        <v>2</v>
      </c>
      <c r="C489" s="3">
        <v>36</v>
      </c>
      <c r="D489" s="3">
        <v>3</v>
      </c>
      <c r="E489" s="3">
        <f>((1/(INDEX(E0!J$4:J$52,C489,1)-INDEX(E0!J$4:J$52,D489,1))))*100000000</f>
        <v>0</v>
      </c>
      <c r="F489" s="4" t="str">
        <f>HYPERLINK("http://141.218.60.56/~jnz1568/getInfo.php?workbook=03_02.xlsx&amp;sheet=A0&amp;row=489&amp;col=6&amp;number=&amp;sourceID=27","")</f>
        <v/>
      </c>
      <c r="G489" s="4" t="str">
        <f>HYPERLINK("http://141.218.60.56/~jnz1568/getInfo.php?workbook=03_02.xlsx&amp;sheet=A0&amp;row=489&amp;col=7&amp;number=&amp;sourceID=15","")</f>
        <v/>
      </c>
      <c r="H489" s="4" t="str">
        <f>HYPERLINK("http://141.218.60.56/~jnz1568/getInfo.php?workbook=03_02.xlsx&amp;sheet=A0&amp;row=489&amp;col=8&amp;number=&amp;sourceID=15","")</f>
        <v/>
      </c>
      <c r="I489" s="4" t="str">
        <f>HYPERLINK("http://141.218.60.56/~jnz1568/getInfo.php?workbook=03_02.xlsx&amp;sheet=A0&amp;row=489&amp;col=9&amp;number=&amp;sourceID=15","")</f>
        <v/>
      </c>
      <c r="J489" s="4" t="str">
        <f>HYPERLINK("http://141.218.60.56/~jnz1568/getInfo.php?workbook=03_02.xlsx&amp;sheet=A0&amp;row=489&amp;col=10&amp;number=&amp;sourceID=15","")</f>
        <v/>
      </c>
      <c r="K489" s="4" t="str">
        <f>HYPERLINK("http://141.218.60.56/~jnz1568/getInfo.php?workbook=03_02.xlsx&amp;sheet=A0&amp;row=489&amp;col=11&amp;number=&amp;sourceID=30","")</f>
        <v/>
      </c>
      <c r="L489" s="4" t="str">
        <f>HYPERLINK("http://141.218.60.56/~jnz1568/getInfo.php?workbook=03_02.xlsx&amp;sheet=A0&amp;row=489&amp;col=12&amp;number=&amp;sourceID=30","")</f>
        <v/>
      </c>
      <c r="M489" s="4" t="str">
        <f>HYPERLINK("http://141.218.60.56/~jnz1568/getInfo.php?workbook=03_02.xlsx&amp;sheet=A0&amp;row=489&amp;col=13&amp;number=&amp;sourceID=30","")</f>
        <v/>
      </c>
      <c r="N489" s="4" t="str">
        <f>HYPERLINK("http://141.218.60.56/~jnz1568/getInfo.php?workbook=03_02.xlsx&amp;sheet=A0&amp;row=489&amp;col=14&amp;number=0.01139&amp;sourceID=30","0.01139")</f>
        <v>0.01139</v>
      </c>
    </row>
    <row r="490" spans="1:14">
      <c r="A490" s="3">
        <v>3</v>
      </c>
      <c r="B490" s="3">
        <v>2</v>
      </c>
      <c r="C490" s="3">
        <v>36</v>
      </c>
      <c r="D490" s="3">
        <v>4</v>
      </c>
      <c r="E490" s="3">
        <f>((1/(INDEX(E0!J$4:J$52,C490,1)-INDEX(E0!J$4:J$52,D490,1))))*100000000</f>
        <v>0</v>
      </c>
      <c r="F490" s="4" t="str">
        <f>HYPERLINK("http://141.218.60.56/~jnz1568/getInfo.php?workbook=03_02.xlsx&amp;sheet=A0&amp;row=490&amp;col=6&amp;number=&amp;sourceID=27","")</f>
        <v/>
      </c>
      <c r="G490" s="4" t="str">
        <f>HYPERLINK("http://141.218.60.56/~jnz1568/getInfo.php?workbook=03_02.xlsx&amp;sheet=A0&amp;row=490&amp;col=7&amp;number=&amp;sourceID=15","")</f>
        <v/>
      </c>
      <c r="H490" s="4" t="str">
        <f>HYPERLINK("http://141.218.60.56/~jnz1568/getInfo.php?workbook=03_02.xlsx&amp;sheet=A0&amp;row=490&amp;col=8&amp;number=&amp;sourceID=15","")</f>
        <v/>
      </c>
      <c r="I490" s="4" t="str">
        <f>HYPERLINK("http://141.218.60.56/~jnz1568/getInfo.php?workbook=03_02.xlsx&amp;sheet=A0&amp;row=490&amp;col=9&amp;number=&amp;sourceID=15","")</f>
        <v/>
      </c>
      <c r="J490" s="4" t="str">
        <f>HYPERLINK("http://141.218.60.56/~jnz1568/getInfo.php?workbook=03_02.xlsx&amp;sheet=A0&amp;row=490&amp;col=10&amp;number=&amp;sourceID=15","")</f>
        <v/>
      </c>
      <c r="K490" s="4" t="str">
        <f>HYPERLINK("http://141.218.60.56/~jnz1568/getInfo.php?workbook=03_02.xlsx&amp;sheet=A0&amp;row=490&amp;col=11&amp;number=&amp;sourceID=30","")</f>
        <v/>
      </c>
      <c r="L490" s="4" t="str">
        <f>HYPERLINK("http://141.218.60.56/~jnz1568/getInfo.php?workbook=03_02.xlsx&amp;sheet=A0&amp;row=490&amp;col=12&amp;number=6.191&amp;sourceID=30","6.191")</f>
        <v>6.191</v>
      </c>
      <c r="M490" s="4" t="str">
        <f>HYPERLINK("http://141.218.60.56/~jnz1568/getInfo.php?workbook=03_02.xlsx&amp;sheet=A0&amp;row=490&amp;col=13&amp;number=2.817e-07&amp;sourceID=30","2.817e-07")</f>
        <v>2.817e-07</v>
      </c>
      <c r="N490" s="4" t="str">
        <f>HYPERLINK("http://141.218.60.56/~jnz1568/getInfo.php?workbook=03_02.xlsx&amp;sheet=A0&amp;row=490&amp;col=14&amp;number=&amp;sourceID=30","")</f>
        <v/>
      </c>
    </row>
    <row r="491" spans="1:14">
      <c r="A491" s="3">
        <v>3</v>
      </c>
      <c r="B491" s="3">
        <v>2</v>
      </c>
      <c r="C491" s="3">
        <v>36</v>
      </c>
      <c r="D491" s="3">
        <v>5</v>
      </c>
      <c r="E491" s="3">
        <f>((1/(INDEX(E0!J$4:J$52,C491,1)-INDEX(E0!J$4:J$52,D491,1))))*100000000</f>
        <v>0</v>
      </c>
      <c r="F491" s="4" t="str">
        <f>HYPERLINK("http://141.218.60.56/~jnz1568/getInfo.php?workbook=03_02.xlsx&amp;sheet=A0&amp;row=491&amp;col=6&amp;number=&amp;sourceID=27","")</f>
        <v/>
      </c>
      <c r="G491" s="4" t="str">
        <f>HYPERLINK("http://141.218.60.56/~jnz1568/getInfo.php?workbook=03_02.xlsx&amp;sheet=A0&amp;row=491&amp;col=7&amp;number=&amp;sourceID=15","")</f>
        <v/>
      </c>
      <c r="H491" s="4" t="str">
        <f>HYPERLINK("http://141.218.60.56/~jnz1568/getInfo.php?workbook=03_02.xlsx&amp;sheet=A0&amp;row=491&amp;col=8&amp;number=&amp;sourceID=15","")</f>
        <v/>
      </c>
      <c r="I491" s="4" t="str">
        <f>HYPERLINK("http://141.218.60.56/~jnz1568/getInfo.php?workbook=03_02.xlsx&amp;sheet=A0&amp;row=491&amp;col=9&amp;number=&amp;sourceID=15","")</f>
        <v/>
      </c>
      <c r="J491" s="4" t="str">
        <f>HYPERLINK("http://141.218.60.56/~jnz1568/getInfo.php?workbook=03_02.xlsx&amp;sheet=A0&amp;row=491&amp;col=10&amp;number=&amp;sourceID=15","")</f>
        <v/>
      </c>
      <c r="K491" s="4" t="str">
        <f>HYPERLINK("http://141.218.60.56/~jnz1568/getInfo.php?workbook=03_02.xlsx&amp;sheet=A0&amp;row=491&amp;col=11&amp;number=&amp;sourceID=30","")</f>
        <v/>
      </c>
      <c r="L491" s="4" t="str">
        <f>HYPERLINK("http://141.218.60.56/~jnz1568/getInfo.php?workbook=03_02.xlsx&amp;sheet=A0&amp;row=491&amp;col=12&amp;number=4.9&amp;sourceID=30","4.9")</f>
        <v>4.9</v>
      </c>
      <c r="M491" s="4" t="str">
        <f>HYPERLINK("http://141.218.60.56/~jnz1568/getInfo.php?workbook=03_02.xlsx&amp;sheet=A0&amp;row=491&amp;col=13&amp;number=4.48e-06&amp;sourceID=30","4.48e-06")</f>
        <v>4.48e-06</v>
      </c>
      <c r="N491" s="4" t="str">
        <f>HYPERLINK("http://141.218.60.56/~jnz1568/getInfo.php?workbook=03_02.xlsx&amp;sheet=A0&amp;row=491&amp;col=14&amp;number=&amp;sourceID=30","")</f>
        <v/>
      </c>
    </row>
    <row r="492" spans="1:14">
      <c r="A492" s="3">
        <v>3</v>
      </c>
      <c r="B492" s="3">
        <v>2</v>
      </c>
      <c r="C492" s="3">
        <v>36</v>
      </c>
      <c r="D492" s="3">
        <v>6</v>
      </c>
      <c r="E492" s="3">
        <f>((1/(INDEX(E0!J$4:J$52,C492,1)-INDEX(E0!J$4:J$52,D492,1))))*100000000</f>
        <v>0</v>
      </c>
      <c r="F492" s="4" t="str">
        <f>HYPERLINK("http://141.218.60.56/~jnz1568/getInfo.php?workbook=03_02.xlsx&amp;sheet=A0&amp;row=492&amp;col=6&amp;number=&amp;sourceID=27","")</f>
        <v/>
      </c>
      <c r="G492" s="4" t="str">
        <f>HYPERLINK("http://141.218.60.56/~jnz1568/getInfo.php?workbook=03_02.xlsx&amp;sheet=A0&amp;row=492&amp;col=7&amp;number=&amp;sourceID=15","")</f>
        <v/>
      </c>
      <c r="H492" s="4" t="str">
        <f>HYPERLINK("http://141.218.60.56/~jnz1568/getInfo.php?workbook=03_02.xlsx&amp;sheet=A0&amp;row=492&amp;col=8&amp;number=&amp;sourceID=15","")</f>
        <v/>
      </c>
      <c r="I492" s="4" t="str">
        <f>HYPERLINK("http://141.218.60.56/~jnz1568/getInfo.php?workbook=03_02.xlsx&amp;sheet=A0&amp;row=492&amp;col=9&amp;number=&amp;sourceID=15","")</f>
        <v/>
      </c>
      <c r="J492" s="4" t="str">
        <f>HYPERLINK("http://141.218.60.56/~jnz1568/getInfo.php?workbook=03_02.xlsx&amp;sheet=A0&amp;row=492&amp;col=10&amp;number=&amp;sourceID=15","")</f>
        <v/>
      </c>
      <c r="K492" s="4" t="str">
        <f>HYPERLINK("http://141.218.60.56/~jnz1568/getInfo.php?workbook=03_02.xlsx&amp;sheet=A0&amp;row=492&amp;col=11&amp;number=&amp;sourceID=30","")</f>
        <v/>
      </c>
      <c r="L492" s="4" t="str">
        <f>HYPERLINK("http://141.218.60.56/~jnz1568/getInfo.php?workbook=03_02.xlsx&amp;sheet=A0&amp;row=492&amp;col=12&amp;number=2.646&amp;sourceID=30","2.646")</f>
        <v>2.646</v>
      </c>
      <c r="M492" s="4" t="str">
        <f>HYPERLINK("http://141.218.60.56/~jnz1568/getInfo.php?workbook=03_02.xlsx&amp;sheet=A0&amp;row=492&amp;col=13&amp;number=&amp;sourceID=30","")</f>
        <v/>
      </c>
      <c r="N492" s="4" t="str">
        <f>HYPERLINK("http://141.218.60.56/~jnz1568/getInfo.php?workbook=03_02.xlsx&amp;sheet=A0&amp;row=492&amp;col=14&amp;number=&amp;sourceID=30","")</f>
        <v/>
      </c>
    </row>
    <row r="493" spans="1:14">
      <c r="A493" s="3">
        <v>3</v>
      </c>
      <c r="B493" s="3">
        <v>2</v>
      </c>
      <c r="C493" s="3">
        <v>36</v>
      </c>
      <c r="D493" s="3">
        <v>7</v>
      </c>
      <c r="E493" s="3">
        <f>((1/(INDEX(E0!J$4:J$52,C493,1)-INDEX(E0!J$4:J$52,D493,1))))*100000000</f>
        <v>0</v>
      </c>
      <c r="F493" s="4" t="str">
        <f>HYPERLINK("http://141.218.60.56/~jnz1568/getInfo.php?workbook=03_02.xlsx&amp;sheet=A0&amp;row=493&amp;col=6&amp;number=&amp;sourceID=27","")</f>
        <v/>
      </c>
      <c r="G493" s="4" t="str">
        <f>HYPERLINK("http://141.218.60.56/~jnz1568/getInfo.php?workbook=03_02.xlsx&amp;sheet=A0&amp;row=493&amp;col=7&amp;number=&amp;sourceID=15","")</f>
        <v/>
      </c>
      <c r="H493" s="4" t="str">
        <f>HYPERLINK("http://141.218.60.56/~jnz1568/getInfo.php?workbook=03_02.xlsx&amp;sheet=A0&amp;row=493&amp;col=8&amp;number=&amp;sourceID=15","")</f>
        <v/>
      </c>
      <c r="I493" s="4" t="str">
        <f>HYPERLINK("http://141.218.60.56/~jnz1568/getInfo.php?workbook=03_02.xlsx&amp;sheet=A0&amp;row=493&amp;col=9&amp;number=&amp;sourceID=15","")</f>
        <v/>
      </c>
      <c r="J493" s="4" t="str">
        <f>HYPERLINK("http://141.218.60.56/~jnz1568/getInfo.php?workbook=03_02.xlsx&amp;sheet=A0&amp;row=493&amp;col=10&amp;number=&amp;sourceID=15","")</f>
        <v/>
      </c>
      <c r="K493" s="4" t="str">
        <f>HYPERLINK("http://141.218.60.56/~jnz1568/getInfo.php?workbook=03_02.xlsx&amp;sheet=A0&amp;row=493&amp;col=11&amp;number=&amp;sourceID=30","")</f>
        <v/>
      </c>
      <c r="L493" s="4" t="str">
        <f>HYPERLINK("http://141.218.60.56/~jnz1568/getInfo.php?workbook=03_02.xlsx&amp;sheet=A0&amp;row=493&amp;col=12&amp;number=9.104e-05&amp;sourceID=30","9.104e-05")</f>
        <v>9.104e-05</v>
      </c>
      <c r="M493" s="4" t="str">
        <f>HYPERLINK("http://141.218.60.56/~jnz1568/getInfo.php?workbook=03_02.xlsx&amp;sheet=A0&amp;row=493&amp;col=13&amp;number=8.234e-07&amp;sourceID=30","8.234e-07")</f>
        <v>8.234e-07</v>
      </c>
      <c r="N493" s="4" t="str">
        <f>HYPERLINK("http://141.218.60.56/~jnz1568/getInfo.php?workbook=03_02.xlsx&amp;sheet=A0&amp;row=493&amp;col=14&amp;number=&amp;sourceID=30","")</f>
        <v/>
      </c>
    </row>
    <row r="494" spans="1:14">
      <c r="A494" s="3">
        <v>3</v>
      </c>
      <c r="B494" s="3">
        <v>2</v>
      </c>
      <c r="C494" s="3">
        <v>36</v>
      </c>
      <c r="D494" s="3">
        <v>8</v>
      </c>
      <c r="E494" s="3">
        <f>((1/(INDEX(E0!J$4:J$52,C494,1)-INDEX(E0!J$4:J$52,D494,1))))*100000000</f>
        <v>0</v>
      </c>
      <c r="F494" s="4" t="str">
        <f>HYPERLINK("http://141.218.60.56/~jnz1568/getInfo.php?workbook=03_02.xlsx&amp;sheet=A0&amp;row=494&amp;col=6&amp;number=&amp;sourceID=27","")</f>
        <v/>
      </c>
      <c r="G494" s="4" t="str">
        <f>HYPERLINK("http://141.218.60.56/~jnz1568/getInfo.php?workbook=03_02.xlsx&amp;sheet=A0&amp;row=494&amp;col=7&amp;number=19081000&amp;sourceID=15","19081000")</f>
        <v>19081000</v>
      </c>
      <c r="H494" s="4" t="str">
        <f>HYPERLINK("http://141.218.60.56/~jnz1568/getInfo.php?workbook=03_02.xlsx&amp;sheet=A0&amp;row=494&amp;col=8&amp;number=&amp;sourceID=15","")</f>
        <v/>
      </c>
      <c r="I494" s="4" t="str">
        <f>HYPERLINK("http://141.218.60.56/~jnz1568/getInfo.php?workbook=03_02.xlsx&amp;sheet=A0&amp;row=494&amp;col=9&amp;number=&amp;sourceID=15","")</f>
        <v/>
      </c>
      <c r="J494" s="4" t="str">
        <f>HYPERLINK("http://141.218.60.56/~jnz1568/getInfo.php?workbook=03_02.xlsx&amp;sheet=A0&amp;row=494&amp;col=10&amp;number=&amp;sourceID=15","")</f>
        <v/>
      </c>
      <c r="K494" s="4" t="str">
        <f>HYPERLINK("http://141.218.60.56/~jnz1568/getInfo.php?workbook=03_02.xlsx&amp;sheet=A0&amp;row=494&amp;col=11&amp;number=13750000&amp;sourceID=30","13750000")</f>
        <v>13750000</v>
      </c>
      <c r="L494" s="4" t="str">
        <f>HYPERLINK("http://141.218.60.56/~jnz1568/getInfo.php?workbook=03_02.xlsx&amp;sheet=A0&amp;row=494&amp;col=12&amp;number=&amp;sourceID=30","")</f>
        <v/>
      </c>
      <c r="M494" s="4" t="str">
        <f>HYPERLINK("http://141.218.60.56/~jnz1568/getInfo.php?workbook=03_02.xlsx&amp;sheet=A0&amp;row=494&amp;col=13&amp;number=&amp;sourceID=30","")</f>
        <v/>
      </c>
      <c r="N494" s="4" t="str">
        <f>HYPERLINK("http://141.218.60.56/~jnz1568/getInfo.php?workbook=03_02.xlsx&amp;sheet=A0&amp;row=494&amp;col=14&amp;number=0.0001267&amp;sourceID=30","0.0001267")</f>
        <v>0.0001267</v>
      </c>
    </row>
    <row r="495" spans="1:14">
      <c r="A495" s="3">
        <v>3</v>
      </c>
      <c r="B495" s="3">
        <v>2</v>
      </c>
      <c r="C495" s="3">
        <v>36</v>
      </c>
      <c r="D495" s="3">
        <v>9</v>
      </c>
      <c r="E495" s="3">
        <f>((1/(INDEX(E0!J$4:J$52,C495,1)-INDEX(E0!J$4:J$52,D495,1))))*100000000</f>
        <v>0</v>
      </c>
      <c r="F495" s="4" t="str">
        <f>HYPERLINK("http://141.218.60.56/~jnz1568/getInfo.php?workbook=03_02.xlsx&amp;sheet=A0&amp;row=495&amp;col=6&amp;number=&amp;sourceID=27","")</f>
        <v/>
      </c>
      <c r="G495" s="4" t="str">
        <f>HYPERLINK("http://141.218.60.56/~jnz1568/getInfo.php?workbook=03_02.xlsx&amp;sheet=A0&amp;row=495&amp;col=7&amp;number=&amp;sourceID=15","")</f>
        <v/>
      </c>
      <c r="H495" s="4" t="str">
        <f>HYPERLINK("http://141.218.60.56/~jnz1568/getInfo.php?workbook=03_02.xlsx&amp;sheet=A0&amp;row=495&amp;col=8&amp;number=&amp;sourceID=15","")</f>
        <v/>
      </c>
      <c r="I495" s="4" t="str">
        <f>HYPERLINK("http://141.218.60.56/~jnz1568/getInfo.php?workbook=03_02.xlsx&amp;sheet=A0&amp;row=495&amp;col=9&amp;number=&amp;sourceID=15","")</f>
        <v/>
      </c>
      <c r="J495" s="4" t="str">
        <f>HYPERLINK("http://141.218.60.56/~jnz1568/getInfo.php?workbook=03_02.xlsx&amp;sheet=A0&amp;row=495&amp;col=10&amp;number=&amp;sourceID=15","")</f>
        <v/>
      </c>
      <c r="K495" s="4" t="str">
        <f>HYPERLINK("http://141.218.60.56/~jnz1568/getInfo.php?workbook=03_02.xlsx&amp;sheet=A0&amp;row=495&amp;col=11&amp;number=&amp;sourceID=30","")</f>
        <v/>
      </c>
      <c r="L495" s="4" t="str">
        <f>HYPERLINK("http://141.218.60.56/~jnz1568/getInfo.php?workbook=03_02.xlsx&amp;sheet=A0&amp;row=495&amp;col=12&amp;number=&amp;sourceID=30","")</f>
        <v/>
      </c>
      <c r="M495" s="4" t="str">
        <f>HYPERLINK("http://141.218.60.56/~jnz1568/getInfo.php?workbook=03_02.xlsx&amp;sheet=A0&amp;row=495&amp;col=13&amp;number=&amp;sourceID=30","")</f>
        <v/>
      </c>
      <c r="N495" s="4" t="str">
        <f>HYPERLINK("http://141.218.60.56/~jnz1568/getInfo.php?workbook=03_02.xlsx&amp;sheet=A0&amp;row=495&amp;col=14&amp;number=0.0002433&amp;sourceID=30","0.0002433")</f>
        <v>0.0002433</v>
      </c>
    </row>
    <row r="496" spans="1:14">
      <c r="A496" s="3">
        <v>3</v>
      </c>
      <c r="B496" s="3">
        <v>2</v>
      </c>
      <c r="C496" s="3">
        <v>36</v>
      </c>
      <c r="D496" s="3">
        <v>10</v>
      </c>
      <c r="E496" s="3">
        <f>((1/(INDEX(E0!J$4:J$52,C496,1)-INDEX(E0!J$4:J$52,D496,1))))*100000000</f>
        <v>0</v>
      </c>
      <c r="F496" s="4" t="str">
        <f>HYPERLINK("http://141.218.60.56/~jnz1568/getInfo.php?workbook=03_02.xlsx&amp;sheet=A0&amp;row=496&amp;col=6&amp;number=&amp;sourceID=27","")</f>
        <v/>
      </c>
      <c r="G496" s="4" t="str">
        <f>HYPERLINK("http://141.218.60.56/~jnz1568/getInfo.php?workbook=03_02.xlsx&amp;sheet=A0&amp;row=496&amp;col=7&amp;number=&amp;sourceID=15","")</f>
        <v/>
      </c>
      <c r="H496" s="4" t="str">
        <f>HYPERLINK("http://141.218.60.56/~jnz1568/getInfo.php?workbook=03_02.xlsx&amp;sheet=A0&amp;row=496&amp;col=8&amp;number=&amp;sourceID=15","")</f>
        <v/>
      </c>
      <c r="I496" s="4" t="str">
        <f>HYPERLINK("http://141.218.60.56/~jnz1568/getInfo.php?workbook=03_02.xlsx&amp;sheet=A0&amp;row=496&amp;col=9&amp;number=&amp;sourceID=15","")</f>
        <v/>
      </c>
      <c r="J496" s="4" t="str">
        <f>HYPERLINK("http://141.218.60.56/~jnz1568/getInfo.php?workbook=03_02.xlsx&amp;sheet=A0&amp;row=496&amp;col=10&amp;number=&amp;sourceID=15","")</f>
        <v/>
      </c>
      <c r="K496" s="4" t="str">
        <f>HYPERLINK("http://141.218.60.56/~jnz1568/getInfo.php?workbook=03_02.xlsx&amp;sheet=A0&amp;row=496&amp;col=11&amp;number=&amp;sourceID=30","")</f>
        <v/>
      </c>
      <c r="L496" s="4" t="str">
        <f>HYPERLINK("http://141.218.60.56/~jnz1568/getInfo.php?workbook=03_02.xlsx&amp;sheet=A0&amp;row=496&amp;col=12&amp;number=27.37&amp;sourceID=30","27.37")</f>
        <v>27.37</v>
      </c>
      <c r="M496" s="4" t="str">
        <f>HYPERLINK("http://141.218.60.56/~jnz1568/getInfo.php?workbook=03_02.xlsx&amp;sheet=A0&amp;row=496&amp;col=13&amp;number=3.771e-08&amp;sourceID=30","3.771e-08")</f>
        <v>3.771e-08</v>
      </c>
      <c r="N496" s="4" t="str">
        <f>HYPERLINK("http://141.218.60.56/~jnz1568/getInfo.php?workbook=03_02.xlsx&amp;sheet=A0&amp;row=496&amp;col=14&amp;number=&amp;sourceID=30","")</f>
        <v/>
      </c>
    </row>
    <row r="497" spans="1:14">
      <c r="A497" s="3">
        <v>3</v>
      </c>
      <c r="B497" s="3">
        <v>2</v>
      </c>
      <c r="C497" s="3">
        <v>36</v>
      </c>
      <c r="D497" s="3">
        <v>11</v>
      </c>
      <c r="E497" s="3">
        <f>((1/(INDEX(E0!J$4:J$52,C497,1)-INDEX(E0!J$4:J$52,D497,1))))*100000000</f>
        <v>0</v>
      </c>
      <c r="F497" s="4" t="str">
        <f>HYPERLINK("http://141.218.60.56/~jnz1568/getInfo.php?workbook=03_02.xlsx&amp;sheet=A0&amp;row=497&amp;col=6&amp;number=&amp;sourceID=27","")</f>
        <v/>
      </c>
      <c r="G497" s="4" t="str">
        <f>HYPERLINK("http://141.218.60.56/~jnz1568/getInfo.php?workbook=03_02.xlsx&amp;sheet=A0&amp;row=497&amp;col=7&amp;number=&amp;sourceID=15","")</f>
        <v/>
      </c>
      <c r="H497" s="4" t="str">
        <f>HYPERLINK("http://141.218.60.56/~jnz1568/getInfo.php?workbook=03_02.xlsx&amp;sheet=A0&amp;row=497&amp;col=8&amp;number=&amp;sourceID=15","")</f>
        <v/>
      </c>
      <c r="I497" s="4" t="str">
        <f>HYPERLINK("http://141.218.60.56/~jnz1568/getInfo.php?workbook=03_02.xlsx&amp;sheet=A0&amp;row=497&amp;col=9&amp;number=&amp;sourceID=15","")</f>
        <v/>
      </c>
      <c r="J497" s="4" t="str">
        <f>HYPERLINK("http://141.218.60.56/~jnz1568/getInfo.php?workbook=03_02.xlsx&amp;sheet=A0&amp;row=497&amp;col=10&amp;number=&amp;sourceID=15","")</f>
        <v/>
      </c>
      <c r="K497" s="4" t="str">
        <f>HYPERLINK("http://141.218.60.56/~jnz1568/getInfo.php?workbook=03_02.xlsx&amp;sheet=A0&amp;row=497&amp;col=11&amp;number=&amp;sourceID=30","")</f>
        <v/>
      </c>
      <c r="L497" s="4" t="str">
        <f>HYPERLINK("http://141.218.60.56/~jnz1568/getInfo.php?workbook=03_02.xlsx&amp;sheet=A0&amp;row=497&amp;col=12&amp;number=21.27&amp;sourceID=30","21.27")</f>
        <v>21.27</v>
      </c>
      <c r="M497" s="4" t="str">
        <f>HYPERLINK("http://141.218.60.56/~jnz1568/getInfo.php?workbook=03_02.xlsx&amp;sheet=A0&amp;row=497&amp;col=13&amp;number=6.698e-08&amp;sourceID=30","6.698e-08")</f>
        <v>6.698e-08</v>
      </c>
      <c r="N497" s="4" t="str">
        <f>HYPERLINK("http://141.218.60.56/~jnz1568/getInfo.php?workbook=03_02.xlsx&amp;sheet=A0&amp;row=497&amp;col=14&amp;number=&amp;sourceID=30","")</f>
        <v/>
      </c>
    </row>
    <row r="498" spans="1:14">
      <c r="A498" s="3">
        <v>3</v>
      </c>
      <c r="B498" s="3">
        <v>2</v>
      </c>
      <c r="C498" s="3">
        <v>36</v>
      </c>
      <c r="D498" s="3">
        <v>12</v>
      </c>
      <c r="E498" s="3">
        <f>((1/(INDEX(E0!J$4:J$52,C498,1)-INDEX(E0!J$4:J$52,D498,1))))*100000000</f>
        <v>0</v>
      </c>
      <c r="F498" s="4" t="str">
        <f>HYPERLINK("http://141.218.60.56/~jnz1568/getInfo.php?workbook=03_02.xlsx&amp;sheet=A0&amp;row=498&amp;col=6&amp;number=&amp;sourceID=27","")</f>
        <v/>
      </c>
      <c r="G498" s="4" t="str">
        <f>HYPERLINK("http://141.218.60.56/~jnz1568/getInfo.php?workbook=03_02.xlsx&amp;sheet=A0&amp;row=498&amp;col=7&amp;number=&amp;sourceID=15","")</f>
        <v/>
      </c>
      <c r="H498" s="4" t="str">
        <f>HYPERLINK("http://141.218.60.56/~jnz1568/getInfo.php?workbook=03_02.xlsx&amp;sheet=A0&amp;row=498&amp;col=8&amp;number=&amp;sourceID=15","")</f>
        <v/>
      </c>
      <c r="I498" s="4" t="str">
        <f>HYPERLINK("http://141.218.60.56/~jnz1568/getInfo.php?workbook=03_02.xlsx&amp;sheet=A0&amp;row=498&amp;col=9&amp;number=&amp;sourceID=15","")</f>
        <v/>
      </c>
      <c r="J498" s="4" t="str">
        <f>HYPERLINK("http://141.218.60.56/~jnz1568/getInfo.php?workbook=03_02.xlsx&amp;sheet=A0&amp;row=498&amp;col=10&amp;number=&amp;sourceID=15","")</f>
        <v/>
      </c>
      <c r="K498" s="4" t="str">
        <f>HYPERLINK("http://141.218.60.56/~jnz1568/getInfo.php?workbook=03_02.xlsx&amp;sheet=A0&amp;row=498&amp;col=11&amp;number=&amp;sourceID=30","")</f>
        <v/>
      </c>
      <c r="L498" s="4" t="str">
        <f>HYPERLINK("http://141.218.60.56/~jnz1568/getInfo.php?workbook=03_02.xlsx&amp;sheet=A0&amp;row=498&amp;col=12&amp;number=12.19&amp;sourceID=30","12.19")</f>
        <v>12.19</v>
      </c>
      <c r="M498" s="4" t="str">
        <f>HYPERLINK("http://141.218.60.56/~jnz1568/getInfo.php?workbook=03_02.xlsx&amp;sheet=A0&amp;row=498&amp;col=13&amp;number=&amp;sourceID=30","")</f>
        <v/>
      </c>
      <c r="N498" s="4" t="str">
        <f>HYPERLINK("http://141.218.60.56/~jnz1568/getInfo.php?workbook=03_02.xlsx&amp;sheet=A0&amp;row=498&amp;col=14&amp;number=&amp;sourceID=30","")</f>
        <v/>
      </c>
    </row>
    <row r="499" spans="1:14">
      <c r="A499" s="3">
        <v>3</v>
      </c>
      <c r="B499" s="3">
        <v>2</v>
      </c>
      <c r="C499" s="3">
        <v>36</v>
      </c>
      <c r="D499" s="3">
        <v>13</v>
      </c>
      <c r="E499" s="3">
        <f>((1/(INDEX(E0!J$4:J$52,C499,1)-INDEX(E0!J$4:J$52,D499,1))))*100000000</f>
        <v>0</v>
      </c>
      <c r="F499" s="4" t="str">
        <f>HYPERLINK("http://141.218.60.56/~jnz1568/getInfo.php?workbook=03_02.xlsx&amp;sheet=A0&amp;row=499&amp;col=6&amp;number=&amp;sourceID=27","")</f>
        <v/>
      </c>
      <c r="G499" s="4" t="str">
        <f>HYPERLINK("http://141.218.60.56/~jnz1568/getInfo.php?workbook=03_02.xlsx&amp;sheet=A0&amp;row=499&amp;col=7&amp;number=591800&amp;sourceID=15","591800")</f>
        <v>591800</v>
      </c>
      <c r="H499" s="4" t="str">
        <f>HYPERLINK("http://141.218.60.56/~jnz1568/getInfo.php?workbook=03_02.xlsx&amp;sheet=A0&amp;row=499&amp;col=8&amp;number=&amp;sourceID=15","")</f>
        <v/>
      </c>
      <c r="I499" s="4" t="str">
        <f>HYPERLINK("http://141.218.60.56/~jnz1568/getInfo.php?workbook=03_02.xlsx&amp;sheet=A0&amp;row=499&amp;col=9&amp;number=&amp;sourceID=15","")</f>
        <v/>
      </c>
      <c r="J499" s="4" t="str">
        <f>HYPERLINK("http://141.218.60.56/~jnz1568/getInfo.php?workbook=03_02.xlsx&amp;sheet=A0&amp;row=499&amp;col=10&amp;number=&amp;sourceID=15","")</f>
        <v/>
      </c>
      <c r="K499" s="4" t="str">
        <f>HYPERLINK("http://141.218.60.56/~jnz1568/getInfo.php?workbook=03_02.xlsx&amp;sheet=A0&amp;row=499&amp;col=11&amp;number=530900&amp;sourceID=30","530900")</f>
        <v>530900</v>
      </c>
      <c r="L499" s="4" t="str">
        <f>HYPERLINK("http://141.218.60.56/~jnz1568/getInfo.php?workbook=03_02.xlsx&amp;sheet=A0&amp;row=499&amp;col=12&amp;number=&amp;sourceID=30","")</f>
        <v/>
      </c>
      <c r="M499" s="4" t="str">
        <f>HYPERLINK("http://141.218.60.56/~jnz1568/getInfo.php?workbook=03_02.xlsx&amp;sheet=A0&amp;row=499&amp;col=13&amp;number=&amp;sourceID=30","")</f>
        <v/>
      </c>
      <c r="N499" s="4" t="str">
        <f>HYPERLINK("http://141.218.60.56/~jnz1568/getInfo.php?workbook=03_02.xlsx&amp;sheet=A0&amp;row=499&amp;col=14&amp;number=3.369e-06&amp;sourceID=30","3.369e-06")</f>
        <v>3.369e-06</v>
      </c>
    </row>
    <row r="500" spans="1:14">
      <c r="A500" s="3">
        <v>3</v>
      </c>
      <c r="B500" s="3">
        <v>2</v>
      </c>
      <c r="C500" s="3">
        <v>36</v>
      </c>
      <c r="D500" s="3">
        <v>14</v>
      </c>
      <c r="E500" s="3">
        <f>((1/(INDEX(E0!J$4:J$52,C500,1)-INDEX(E0!J$4:J$52,D500,1))))*100000000</f>
        <v>0</v>
      </c>
      <c r="F500" s="4" t="str">
        <f>HYPERLINK("http://141.218.60.56/~jnz1568/getInfo.php?workbook=03_02.xlsx&amp;sheet=A0&amp;row=500&amp;col=6&amp;number=&amp;sourceID=27","")</f>
        <v/>
      </c>
      <c r="G500" s="4" t="str">
        <f>HYPERLINK("http://141.218.60.56/~jnz1568/getInfo.php?workbook=03_02.xlsx&amp;sheet=A0&amp;row=500&amp;col=7&amp;number=3315300&amp;sourceID=15","3315300")</f>
        <v>3315300</v>
      </c>
      <c r="H500" s="4" t="str">
        <f>HYPERLINK("http://141.218.60.56/~jnz1568/getInfo.php?workbook=03_02.xlsx&amp;sheet=A0&amp;row=500&amp;col=8&amp;number=&amp;sourceID=15","")</f>
        <v/>
      </c>
      <c r="I500" s="4" t="str">
        <f>HYPERLINK("http://141.218.60.56/~jnz1568/getInfo.php?workbook=03_02.xlsx&amp;sheet=A0&amp;row=500&amp;col=9&amp;number=&amp;sourceID=15","")</f>
        <v/>
      </c>
      <c r="J500" s="4" t="str">
        <f>HYPERLINK("http://141.218.60.56/~jnz1568/getInfo.php?workbook=03_02.xlsx&amp;sheet=A0&amp;row=500&amp;col=10&amp;number=&amp;sourceID=15","")</f>
        <v/>
      </c>
      <c r="K500" s="4" t="str">
        <f>HYPERLINK("http://141.218.60.56/~jnz1568/getInfo.php?workbook=03_02.xlsx&amp;sheet=A0&amp;row=500&amp;col=11&amp;number=2973000&amp;sourceID=30","2973000")</f>
        <v>2973000</v>
      </c>
      <c r="L500" s="4" t="str">
        <f>HYPERLINK("http://141.218.60.56/~jnz1568/getInfo.php?workbook=03_02.xlsx&amp;sheet=A0&amp;row=500&amp;col=12&amp;number=&amp;sourceID=30","")</f>
        <v/>
      </c>
      <c r="M500" s="4" t="str">
        <f>HYPERLINK("http://141.218.60.56/~jnz1568/getInfo.php?workbook=03_02.xlsx&amp;sheet=A0&amp;row=500&amp;col=13&amp;number=&amp;sourceID=30","")</f>
        <v/>
      </c>
      <c r="N500" s="4" t="str">
        <f>HYPERLINK("http://141.218.60.56/~jnz1568/getInfo.php?workbook=03_02.xlsx&amp;sheet=A0&amp;row=500&amp;col=14&amp;number=3.483e-05&amp;sourceID=30","3.483e-05")</f>
        <v>3.483e-05</v>
      </c>
    </row>
    <row r="501" spans="1:14">
      <c r="A501" s="3">
        <v>3</v>
      </c>
      <c r="B501" s="3">
        <v>2</v>
      </c>
      <c r="C501" s="3">
        <v>36</v>
      </c>
      <c r="D501" s="3">
        <v>15</v>
      </c>
      <c r="E501" s="3">
        <f>((1/(INDEX(E0!J$4:J$52,C501,1)-INDEX(E0!J$4:J$52,D501,1))))*100000000</f>
        <v>0</v>
      </c>
      <c r="F501" s="4" t="str">
        <f>HYPERLINK("http://141.218.60.56/~jnz1568/getInfo.php?workbook=03_02.xlsx&amp;sheet=A0&amp;row=501&amp;col=6&amp;number=&amp;sourceID=27","")</f>
        <v/>
      </c>
      <c r="G501" s="4" t="str">
        <f>HYPERLINK("http://141.218.60.56/~jnz1568/getInfo.php?workbook=03_02.xlsx&amp;sheet=A0&amp;row=501&amp;col=7&amp;number=39467&amp;sourceID=15","39467")</f>
        <v>39467</v>
      </c>
      <c r="H501" s="4" t="str">
        <f>HYPERLINK("http://141.218.60.56/~jnz1568/getInfo.php?workbook=03_02.xlsx&amp;sheet=A0&amp;row=501&amp;col=8&amp;number=&amp;sourceID=15","")</f>
        <v/>
      </c>
      <c r="I501" s="4" t="str">
        <f>HYPERLINK("http://141.218.60.56/~jnz1568/getInfo.php?workbook=03_02.xlsx&amp;sheet=A0&amp;row=501&amp;col=9&amp;number=&amp;sourceID=15","")</f>
        <v/>
      </c>
      <c r="J501" s="4" t="str">
        <f>HYPERLINK("http://141.218.60.56/~jnz1568/getInfo.php?workbook=03_02.xlsx&amp;sheet=A0&amp;row=501&amp;col=10&amp;number=&amp;sourceID=15","")</f>
        <v/>
      </c>
      <c r="K501" s="4" t="str">
        <f>HYPERLINK("http://141.218.60.56/~jnz1568/getInfo.php?workbook=03_02.xlsx&amp;sheet=A0&amp;row=501&amp;col=11&amp;number=35380&amp;sourceID=30","35380")</f>
        <v>35380</v>
      </c>
      <c r="L501" s="4" t="str">
        <f>HYPERLINK("http://141.218.60.56/~jnz1568/getInfo.php?workbook=03_02.xlsx&amp;sheet=A0&amp;row=501&amp;col=12&amp;number=&amp;sourceID=30","")</f>
        <v/>
      </c>
      <c r="M501" s="4" t="str">
        <f>HYPERLINK("http://141.218.60.56/~jnz1568/getInfo.php?workbook=03_02.xlsx&amp;sheet=A0&amp;row=501&amp;col=13&amp;number=&amp;sourceID=30","")</f>
        <v/>
      </c>
      <c r="N501" s="4" t="str">
        <f>HYPERLINK("http://141.218.60.56/~jnz1568/getInfo.php?workbook=03_02.xlsx&amp;sheet=A0&amp;row=501&amp;col=14&amp;number=4.8e-14&amp;sourceID=30","4.8e-14")</f>
        <v>4.8e-14</v>
      </c>
    </row>
    <row r="502" spans="1:14">
      <c r="A502" s="3">
        <v>3</v>
      </c>
      <c r="B502" s="3">
        <v>2</v>
      </c>
      <c r="C502" s="3">
        <v>36</v>
      </c>
      <c r="D502" s="3">
        <v>16</v>
      </c>
      <c r="E502" s="3">
        <f>((1/(INDEX(E0!J$4:J$52,C502,1)-INDEX(E0!J$4:J$52,D502,1))))*100000000</f>
        <v>0</v>
      </c>
      <c r="F502" s="4" t="str">
        <f>HYPERLINK("http://141.218.60.56/~jnz1568/getInfo.php?workbook=03_02.xlsx&amp;sheet=A0&amp;row=502&amp;col=6&amp;number=&amp;sourceID=27","")</f>
        <v/>
      </c>
      <c r="G502" s="4" t="str">
        <f>HYPERLINK("http://141.218.60.56/~jnz1568/getInfo.php?workbook=03_02.xlsx&amp;sheet=A0&amp;row=502&amp;col=7&amp;number=&amp;sourceID=15","")</f>
        <v/>
      </c>
      <c r="H502" s="4" t="str">
        <f>HYPERLINK("http://141.218.60.56/~jnz1568/getInfo.php?workbook=03_02.xlsx&amp;sheet=A0&amp;row=502&amp;col=8&amp;number=&amp;sourceID=15","")</f>
        <v/>
      </c>
      <c r="I502" s="4" t="str">
        <f>HYPERLINK("http://141.218.60.56/~jnz1568/getInfo.php?workbook=03_02.xlsx&amp;sheet=A0&amp;row=502&amp;col=9&amp;number=&amp;sourceID=15","")</f>
        <v/>
      </c>
      <c r="J502" s="4" t="str">
        <f>HYPERLINK("http://141.218.60.56/~jnz1568/getInfo.php?workbook=03_02.xlsx&amp;sheet=A0&amp;row=502&amp;col=10&amp;number=&amp;sourceID=15","")</f>
        <v/>
      </c>
      <c r="K502" s="4" t="str">
        <f>HYPERLINK("http://141.218.60.56/~jnz1568/getInfo.php?workbook=03_02.xlsx&amp;sheet=A0&amp;row=502&amp;col=11&amp;number=94.35&amp;sourceID=30","94.35")</f>
        <v>94.35</v>
      </c>
      <c r="L502" s="4" t="str">
        <f>HYPERLINK("http://141.218.60.56/~jnz1568/getInfo.php?workbook=03_02.xlsx&amp;sheet=A0&amp;row=502&amp;col=12&amp;number=&amp;sourceID=30","")</f>
        <v/>
      </c>
      <c r="M502" s="4" t="str">
        <f>HYPERLINK("http://141.218.60.56/~jnz1568/getInfo.php?workbook=03_02.xlsx&amp;sheet=A0&amp;row=502&amp;col=13&amp;number=&amp;sourceID=30","")</f>
        <v/>
      </c>
      <c r="N502" s="4" t="str">
        <f>HYPERLINK("http://141.218.60.56/~jnz1568/getInfo.php?workbook=03_02.xlsx&amp;sheet=A0&amp;row=502&amp;col=14&amp;number=5.682e-06&amp;sourceID=30","5.682e-06")</f>
        <v>5.682e-06</v>
      </c>
    </row>
    <row r="503" spans="1:14">
      <c r="A503" s="3">
        <v>3</v>
      </c>
      <c r="B503" s="3">
        <v>2</v>
      </c>
      <c r="C503" s="3">
        <v>36</v>
      </c>
      <c r="D503" s="3">
        <v>17</v>
      </c>
      <c r="E503" s="3">
        <f>((1/(INDEX(E0!J$4:J$52,C503,1)-INDEX(E0!J$4:J$52,D503,1))))*100000000</f>
        <v>0</v>
      </c>
      <c r="F503" s="4" t="str">
        <f>HYPERLINK("http://141.218.60.56/~jnz1568/getInfo.php?workbook=03_02.xlsx&amp;sheet=A0&amp;row=503&amp;col=6&amp;number=&amp;sourceID=27","")</f>
        <v/>
      </c>
      <c r="G503" s="4" t="str">
        <f>HYPERLINK("http://141.218.60.56/~jnz1568/getInfo.php?workbook=03_02.xlsx&amp;sheet=A0&amp;row=503&amp;col=7&amp;number=&amp;sourceID=15","")</f>
        <v/>
      </c>
      <c r="H503" s="4" t="str">
        <f>HYPERLINK("http://141.218.60.56/~jnz1568/getInfo.php?workbook=03_02.xlsx&amp;sheet=A0&amp;row=503&amp;col=8&amp;number=&amp;sourceID=15","")</f>
        <v/>
      </c>
      <c r="I503" s="4" t="str">
        <f>HYPERLINK("http://141.218.60.56/~jnz1568/getInfo.php?workbook=03_02.xlsx&amp;sheet=A0&amp;row=503&amp;col=9&amp;number=&amp;sourceID=15","")</f>
        <v/>
      </c>
      <c r="J503" s="4" t="str">
        <f>HYPERLINK("http://141.218.60.56/~jnz1568/getInfo.php?workbook=03_02.xlsx&amp;sheet=A0&amp;row=503&amp;col=10&amp;number=&amp;sourceID=15","")</f>
        <v/>
      </c>
      <c r="K503" s="4" t="str">
        <f>HYPERLINK("http://141.218.60.56/~jnz1568/getInfo.php?workbook=03_02.xlsx&amp;sheet=A0&amp;row=503&amp;col=11&amp;number=&amp;sourceID=30","")</f>
        <v/>
      </c>
      <c r="L503" s="4" t="str">
        <f>HYPERLINK("http://141.218.60.56/~jnz1568/getInfo.php?workbook=03_02.xlsx&amp;sheet=A0&amp;row=503&amp;col=12&amp;number=1.768e-05&amp;sourceID=30","1.768e-05")</f>
        <v>1.768e-05</v>
      </c>
      <c r="M503" s="4" t="str">
        <f>HYPERLINK("http://141.218.60.56/~jnz1568/getInfo.php?workbook=03_02.xlsx&amp;sheet=A0&amp;row=503&amp;col=13&amp;number=4.208e-08&amp;sourceID=30","4.208e-08")</f>
        <v>4.208e-08</v>
      </c>
      <c r="N503" s="4" t="str">
        <f>HYPERLINK("http://141.218.60.56/~jnz1568/getInfo.php?workbook=03_02.xlsx&amp;sheet=A0&amp;row=503&amp;col=14&amp;number=&amp;sourceID=30","")</f>
        <v/>
      </c>
    </row>
    <row r="504" spans="1:14">
      <c r="A504" s="3">
        <v>3</v>
      </c>
      <c r="B504" s="3">
        <v>2</v>
      </c>
      <c r="C504" s="3">
        <v>36</v>
      </c>
      <c r="D504" s="3">
        <v>18</v>
      </c>
      <c r="E504" s="3">
        <f>((1/(INDEX(E0!J$4:J$52,C504,1)-INDEX(E0!J$4:J$52,D504,1))))*100000000</f>
        <v>0</v>
      </c>
      <c r="F504" s="4" t="str">
        <f>HYPERLINK("http://141.218.60.56/~jnz1568/getInfo.php?workbook=03_02.xlsx&amp;sheet=A0&amp;row=504&amp;col=6&amp;number=&amp;sourceID=27","")</f>
        <v/>
      </c>
      <c r="G504" s="4" t="str">
        <f>HYPERLINK("http://141.218.60.56/~jnz1568/getInfo.php?workbook=03_02.xlsx&amp;sheet=A0&amp;row=504&amp;col=7&amp;number=6440900&amp;sourceID=15","6440900")</f>
        <v>6440900</v>
      </c>
      <c r="H504" s="4" t="str">
        <f>HYPERLINK("http://141.218.60.56/~jnz1568/getInfo.php?workbook=03_02.xlsx&amp;sheet=A0&amp;row=504&amp;col=8&amp;number=&amp;sourceID=15","")</f>
        <v/>
      </c>
      <c r="I504" s="4" t="str">
        <f>HYPERLINK("http://141.218.60.56/~jnz1568/getInfo.php?workbook=03_02.xlsx&amp;sheet=A0&amp;row=504&amp;col=9&amp;number=&amp;sourceID=15","")</f>
        <v/>
      </c>
      <c r="J504" s="4" t="str">
        <f>HYPERLINK("http://141.218.60.56/~jnz1568/getInfo.php?workbook=03_02.xlsx&amp;sheet=A0&amp;row=504&amp;col=10&amp;number=&amp;sourceID=15","")</f>
        <v/>
      </c>
      <c r="K504" s="4" t="str">
        <f>HYPERLINK("http://141.218.60.56/~jnz1568/getInfo.php?workbook=03_02.xlsx&amp;sheet=A0&amp;row=504&amp;col=11&amp;number=5448000&amp;sourceID=30","5448000")</f>
        <v>5448000</v>
      </c>
      <c r="L504" s="4" t="str">
        <f>HYPERLINK("http://141.218.60.56/~jnz1568/getInfo.php?workbook=03_02.xlsx&amp;sheet=A0&amp;row=504&amp;col=12&amp;number=&amp;sourceID=30","")</f>
        <v/>
      </c>
      <c r="M504" s="4" t="str">
        <f>HYPERLINK("http://141.218.60.56/~jnz1568/getInfo.php?workbook=03_02.xlsx&amp;sheet=A0&amp;row=504&amp;col=13&amp;number=&amp;sourceID=30","")</f>
        <v/>
      </c>
      <c r="N504" s="4" t="str">
        <f>HYPERLINK("http://141.218.60.56/~jnz1568/getInfo.php?workbook=03_02.xlsx&amp;sheet=A0&amp;row=504&amp;col=14&amp;number=5.322e-06&amp;sourceID=30","5.322e-06")</f>
        <v>5.322e-06</v>
      </c>
    </row>
    <row r="505" spans="1:14">
      <c r="A505" s="3">
        <v>3</v>
      </c>
      <c r="B505" s="3">
        <v>2</v>
      </c>
      <c r="C505" s="3">
        <v>36</v>
      </c>
      <c r="D505" s="3">
        <v>19</v>
      </c>
      <c r="E505" s="3">
        <f>((1/(INDEX(E0!J$4:J$52,C505,1)-INDEX(E0!J$4:J$52,D505,1))))*100000000</f>
        <v>0</v>
      </c>
      <c r="F505" s="4" t="str">
        <f>HYPERLINK("http://141.218.60.56/~jnz1568/getInfo.php?workbook=03_02.xlsx&amp;sheet=A0&amp;row=505&amp;col=6&amp;number=&amp;sourceID=27","")</f>
        <v/>
      </c>
      <c r="G505" s="4" t="str">
        <f>HYPERLINK("http://141.218.60.56/~jnz1568/getInfo.php?workbook=03_02.xlsx&amp;sheet=A0&amp;row=505&amp;col=7&amp;number=&amp;sourceID=15","")</f>
        <v/>
      </c>
      <c r="H505" s="4" t="str">
        <f>HYPERLINK("http://141.218.60.56/~jnz1568/getInfo.php?workbook=03_02.xlsx&amp;sheet=A0&amp;row=505&amp;col=8&amp;number=&amp;sourceID=15","")</f>
        <v/>
      </c>
      <c r="I505" s="4" t="str">
        <f>HYPERLINK("http://141.218.60.56/~jnz1568/getInfo.php?workbook=03_02.xlsx&amp;sheet=A0&amp;row=505&amp;col=9&amp;number=&amp;sourceID=15","")</f>
        <v/>
      </c>
      <c r="J505" s="4" t="str">
        <f>HYPERLINK("http://141.218.60.56/~jnz1568/getInfo.php?workbook=03_02.xlsx&amp;sheet=A0&amp;row=505&amp;col=10&amp;number=&amp;sourceID=15","")</f>
        <v/>
      </c>
      <c r="K505" s="4" t="str">
        <f>HYPERLINK("http://141.218.60.56/~jnz1568/getInfo.php?workbook=03_02.xlsx&amp;sheet=A0&amp;row=505&amp;col=11&amp;number=&amp;sourceID=30","")</f>
        <v/>
      </c>
      <c r="L505" s="4" t="str">
        <f>HYPERLINK("http://141.218.60.56/~jnz1568/getInfo.php?workbook=03_02.xlsx&amp;sheet=A0&amp;row=505&amp;col=12&amp;number=&amp;sourceID=30","")</f>
        <v/>
      </c>
      <c r="M505" s="4" t="str">
        <f>HYPERLINK("http://141.218.60.56/~jnz1568/getInfo.php?workbook=03_02.xlsx&amp;sheet=A0&amp;row=505&amp;col=13&amp;number=&amp;sourceID=30","")</f>
        <v/>
      </c>
      <c r="N505" s="4" t="str">
        <f>HYPERLINK("http://141.218.60.56/~jnz1568/getInfo.php?workbook=03_02.xlsx&amp;sheet=A0&amp;row=505&amp;col=14&amp;number=7.666e-06&amp;sourceID=30","7.666e-06")</f>
        <v>7.666e-06</v>
      </c>
    </row>
    <row r="506" spans="1:14">
      <c r="A506" s="3">
        <v>3</v>
      </c>
      <c r="B506" s="3">
        <v>2</v>
      </c>
      <c r="C506" s="3">
        <v>36</v>
      </c>
      <c r="D506" s="3">
        <v>20</v>
      </c>
      <c r="E506" s="3">
        <f>((1/(INDEX(E0!J$4:J$52,C506,1)-INDEX(E0!J$4:J$52,D506,1))))*100000000</f>
        <v>0</v>
      </c>
      <c r="F506" s="4" t="str">
        <f>HYPERLINK("http://141.218.60.56/~jnz1568/getInfo.php?workbook=03_02.xlsx&amp;sheet=A0&amp;row=506&amp;col=6&amp;number=&amp;sourceID=27","")</f>
        <v/>
      </c>
      <c r="G506" s="4" t="str">
        <f>HYPERLINK("http://141.218.60.56/~jnz1568/getInfo.php?workbook=03_02.xlsx&amp;sheet=A0&amp;row=506&amp;col=7&amp;number=&amp;sourceID=15","")</f>
        <v/>
      </c>
      <c r="H506" s="4" t="str">
        <f>HYPERLINK("http://141.218.60.56/~jnz1568/getInfo.php?workbook=03_02.xlsx&amp;sheet=A0&amp;row=506&amp;col=8&amp;number=&amp;sourceID=15","")</f>
        <v/>
      </c>
      <c r="I506" s="4" t="str">
        <f>HYPERLINK("http://141.218.60.56/~jnz1568/getInfo.php?workbook=03_02.xlsx&amp;sheet=A0&amp;row=506&amp;col=9&amp;number=&amp;sourceID=15","")</f>
        <v/>
      </c>
      <c r="J506" s="4" t="str">
        <f>HYPERLINK("http://141.218.60.56/~jnz1568/getInfo.php?workbook=03_02.xlsx&amp;sheet=A0&amp;row=506&amp;col=10&amp;number=&amp;sourceID=15","")</f>
        <v/>
      </c>
      <c r="K506" s="4" t="str">
        <f>HYPERLINK("http://141.218.60.56/~jnz1568/getInfo.php?workbook=03_02.xlsx&amp;sheet=A0&amp;row=506&amp;col=11&amp;number=&amp;sourceID=30","")</f>
        <v/>
      </c>
      <c r="L506" s="4" t="str">
        <f>HYPERLINK("http://141.218.60.56/~jnz1568/getInfo.php?workbook=03_02.xlsx&amp;sheet=A0&amp;row=506&amp;col=12&amp;number=5.821&amp;sourceID=30","5.821")</f>
        <v>5.821</v>
      </c>
      <c r="M506" s="4" t="str">
        <f>HYPERLINK("http://141.218.60.56/~jnz1568/getInfo.php?workbook=03_02.xlsx&amp;sheet=A0&amp;row=506&amp;col=13&amp;number=&amp;sourceID=30","")</f>
        <v/>
      </c>
      <c r="N506" s="4" t="str">
        <f>HYPERLINK("http://141.218.60.56/~jnz1568/getInfo.php?workbook=03_02.xlsx&amp;sheet=A0&amp;row=506&amp;col=14&amp;number=&amp;sourceID=30","")</f>
        <v/>
      </c>
    </row>
    <row r="507" spans="1:14">
      <c r="A507" s="3">
        <v>3</v>
      </c>
      <c r="B507" s="3">
        <v>2</v>
      </c>
      <c r="C507" s="3">
        <v>36</v>
      </c>
      <c r="D507" s="3">
        <v>21</v>
      </c>
      <c r="E507" s="3">
        <f>((1/(INDEX(E0!J$4:J$52,C507,1)-INDEX(E0!J$4:J$52,D507,1))))*100000000</f>
        <v>0</v>
      </c>
      <c r="F507" s="4" t="str">
        <f>HYPERLINK("http://141.218.60.56/~jnz1568/getInfo.php?workbook=03_02.xlsx&amp;sheet=A0&amp;row=507&amp;col=6&amp;number=&amp;sourceID=27","")</f>
        <v/>
      </c>
      <c r="G507" s="4" t="str">
        <f>HYPERLINK("http://141.218.60.56/~jnz1568/getInfo.php?workbook=03_02.xlsx&amp;sheet=A0&amp;row=507&amp;col=7&amp;number=&amp;sourceID=15","")</f>
        <v/>
      </c>
      <c r="H507" s="4" t="str">
        <f>HYPERLINK("http://141.218.60.56/~jnz1568/getInfo.php?workbook=03_02.xlsx&amp;sheet=A0&amp;row=507&amp;col=8&amp;number=&amp;sourceID=15","")</f>
        <v/>
      </c>
      <c r="I507" s="4" t="str">
        <f>HYPERLINK("http://141.218.60.56/~jnz1568/getInfo.php?workbook=03_02.xlsx&amp;sheet=A0&amp;row=507&amp;col=9&amp;number=&amp;sourceID=15","")</f>
        <v/>
      </c>
      <c r="J507" s="4" t="str">
        <f>HYPERLINK("http://141.218.60.56/~jnz1568/getInfo.php?workbook=03_02.xlsx&amp;sheet=A0&amp;row=507&amp;col=10&amp;number=&amp;sourceID=15","")</f>
        <v/>
      </c>
      <c r="K507" s="4" t="str">
        <f>HYPERLINK("http://141.218.60.56/~jnz1568/getInfo.php?workbook=03_02.xlsx&amp;sheet=A0&amp;row=507&amp;col=11&amp;number=&amp;sourceID=30","")</f>
        <v/>
      </c>
      <c r="L507" s="4" t="str">
        <f>HYPERLINK("http://141.218.60.56/~jnz1568/getInfo.php?workbook=03_02.xlsx&amp;sheet=A0&amp;row=507&amp;col=12&amp;number=13.09&amp;sourceID=30","13.09")</f>
        <v>13.09</v>
      </c>
      <c r="M507" s="4" t="str">
        <f>HYPERLINK("http://141.218.60.56/~jnz1568/getInfo.php?workbook=03_02.xlsx&amp;sheet=A0&amp;row=507&amp;col=13&amp;number=5.292e-09&amp;sourceID=30","5.292e-09")</f>
        <v>5.292e-09</v>
      </c>
      <c r="N507" s="4" t="str">
        <f>HYPERLINK("http://141.218.60.56/~jnz1568/getInfo.php?workbook=03_02.xlsx&amp;sheet=A0&amp;row=507&amp;col=14&amp;number=&amp;sourceID=30","")</f>
        <v/>
      </c>
    </row>
    <row r="508" spans="1:14">
      <c r="A508" s="3">
        <v>3</v>
      </c>
      <c r="B508" s="3">
        <v>2</v>
      </c>
      <c r="C508" s="3">
        <v>36</v>
      </c>
      <c r="D508" s="3">
        <v>22</v>
      </c>
      <c r="E508" s="3">
        <f>((1/(INDEX(E0!J$4:J$52,C508,1)-INDEX(E0!J$4:J$52,D508,1))))*100000000</f>
        <v>0</v>
      </c>
      <c r="F508" s="4" t="str">
        <f>HYPERLINK("http://141.218.60.56/~jnz1568/getInfo.php?workbook=03_02.xlsx&amp;sheet=A0&amp;row=508&amp;col=6&amp;number=&amp;sourceID=27","")</f>
        <v/>
      </c>
      <c r="G508" s="4" t="str">
        <f>HYPERLINK("http://141.218.60.56/~jnz1568/getInfo.php?workbook=03_02.xlsx&amp;sheet=A0&amp;row=508&amp;col=7&amp;number=&amp;sourceID=15","")</f>
        <v/>
      </c>
      <c r="H508" s="4" t="str">
        <f>HYPERLINK("http://141.218.60.56/~jnz1568/getInfo.php?workbook=03_02.xlsx&amp;sheet=A0&amp;row=508&amp;col=8&amp;number=&amp;sourceID=15","")</f>
        <v/>
      </c>
      <c r="I508" s="4" t="str">
        <f>HYPERLINK("http://141.218.60.56/~jnz1568/getInfo.php?workbook=03_02.xlsx&amp;sheet=A0&amp;row=508&amp;col=9&amp;number=&amp;sourceID=15","")</f>
        <v/>
      </c>
      <c r="J508" s="4" t="str">
        <f>HYPERLINK("http://141.218.60.56/~jnz1568/getInfo.php?workbook=03_02.xlsx&amp;sheet=A0&amp;row=508&amp;col=10&amp;number=&amp;sourceID=15","")</f>
        <v/>
      </c>
      <c r="K508" s="4" t="str">
        <f>HYPERLINK("http://141.218.60.56/~jnz1568/getInfo.php?workbook=03_02.xlsx&amp;sheet=A0&amp;row=508&amp;col=11&amp;number=&amp;sourceID=30","")</f>
        <v/>
      </c>
      <c r="L508" s="4" t="str">
        <f>HYPERLINK("http://141.218.60.56/~jnz1568/getInfo.php?workbook=03_02.xlsx&amp;sheet=A0&amp;row=508&amp;col=12&amp;number=10.18&amp;sourceID=30","10.18")</f>
        <v>10.18</v>
      </c>
      <c r="M508" s="4" t="str">
        <f>HYPERLINK("http://141.218.60.56/~jnz1568/getInfo.php?workbook=03_02.xlsx&amp;sheet=A0&amp;row=508&amp;col=13&amp;number=1.741e-09&amp;sourceID=30","1.741e-09")</f>
        <v>1.741e-09</v>
      </c>
      <c r="N508" s="4" t="str">
        <f>HYPERLINK("http://141.218.60.56/~jnz1568/getInfo.php?workbook=03_02.xlsx&amp;sheet=A0&amp;row=508&amp;col=14&amp;number=&amp;sourceID=30","")</f>
        <v/>
      </c>
    </row>
    <row r="509" spans="1:14">
      <c r="A509" s="3">
        <v>3</v>
      </c>
      <c r="B509" s="3">
        <v>2</v>
      </c>
      <c r="C509" s="3">
        <v>36</v>
      </c>
      <c r="D509" s="3">
        <v>23</v>
      </c>
      <c r="E509" s="3">
        <f>((1/(INDEX(E0!J$4:J$52,C509,1)-INDEX(E0!J$4:J$52,D509,1))))*100000000</f>
        <v>0</v>
      </c>
      <c r="F509" s="4" t="str">
        <f>HYPERLINK("http://141.218.60.56/~jnz1568/getInfo.php?workbook=03_02.xlsx&amp;sheet=A0&amp;row=509&amp;col=6&amp;number=&amp;sourceID=27","")</f>
        <v/>
      </c>
      <c r="G509" s="4" t="str">
        <f>HYPERLINK("http://141.218.60.56/~jnz1568/getInfo.php?workbook=03_02.xlsx&amp;sheet=A0&amp;row=509&amp;col=7&amp;number=47601&amp;sourceID=15","47601")</f>
        <v>47601</v>
      </c>
      <c r="H509" s="4" t="str">
        <f>HYPERLINK("http://141.218.60.56/~jnz1568/getInfo.php?workbook=03_02.xlsx&amp;sheet=A0&amp;row=509&amp;col=8&amp;number=&amp;sourceID=15","")</f>
        <v/>
      </c>
      <c r="I509" s="4" t="str">
        <f>HYPERLINK("http://141.218.60.56/~jnz1568/getInfo.php?workbook=03_02.xlsx&amp;sheet=A0&amp;row=509&amp;col=9&amp;number=&amp;sourceID=15","")</f>
        <v/>
      </c>
      <c r="J509" s="4" t="str">
        <f>HYPERLINK("http://141.218.60.56/~jnz1568/getInfo.php?workbook=03_02.xlsx&amp;sheet=A0&amp;row=509&amp;col=10&amp;number=&amp;sourceID=15","")</f>
        <v/>
      </c>
      <c r="K509" s="4" t="str">
        <f>HYPERLINK("http://141.218.60.56/~jnz1568/getInfo.php?workbook=03_02.xlsx&amp;sheet=A0&amp;row=509&amp;col=11&amp;number=44390&amp;sourceID=30","44390")</f>
        <v>44390</v>
      </c>
      <c r="L509" s="4" t="str">
        <f>HYPERLINK("http://141.218.60.56/~jnz1568/getInfo.php?workbook=03_02.xlsx&amp;sheet=A0&amp;row=509&amp;col=12&amp;number=&amp;sourceID=30","")</f>
        <v/>
      </c>
      <c r="M509" s="4" t="str">
        <f>HYPERLINK("http://141.218.60.56/~jnz1568/getInfo.php?workbook=03_02.xlsx&amp;sheet=A0&amp;row=509&amp;col=13&amp;number=&amp;sourceID=30","")</f>
        <v/>
      </c>
      <c r="N509" s="4" t="str">
        <f>HYPERLINK("http://141.218.60.56/~jnz1568/getInfo.php?workbook=03_02.xlsx&amp;sheet=A0&amp;row=509&amp;col=14&amp;number=2e-15&amp;sourceID=30","2e-15")</f>
        <v>2e-15</v>
      </c>
    </row>
    <row r="510" spans="1:14">
      <c r="A510" s="3">
        <v>3</v>
      </c>
      <c r="B510" s="3">
        <v>2</v>
      </c>
      <c r="C510" s="3">
        <v>36</v>
      </c>
      <c r="D510" s="3">
        <v>24</v>
      </c>
      <c r="E510" s="3">
        <f>((1/(INDEX(E0!J$4:J$52,C510,1)-INDEX(E0!J$4:J$52,D510,1))))*100000000</f>
        <v>0</v>
      </c>
      <c r="F510" s="4" t="str">
        <f>HYPERLINK("http://141.218.60.56/~jnz1568/getInfo.php?workbook=03_02.xlsx&amp;sheet=A0&amp;row=510&amp;col=6&amp;number=&amp;sourceID=27","")</f>
        <v/>
      </c>
      <c r="G510" s="4" t="str">
        <f>HYPERLINK("http://141.218.60.56/~jnz1568/getInfo.php?workbook=03_02.xlsx&amp;sheet=A0&amp;row=510&amp;col=7&amp;number=713870&amp;sourceID=15","713870")</f>
        <v>713870</v>
      </c>
      <c r="H510" s="4" t="str">
        <f>HYPERLINK("http://141.218.60.56/~jnz1568/getInfo.php?workbook=03_02.xlsx&amp;sheet=A0&amp;row=510&amp;col=8&amp;number=&amp;sourceID=15","")</f>
        <v/>
      </c>
      <c r="I510" s="4" t="str">
        <f>HYPERLINK("http://141.218.60.56/~jnz1568/getInfo.php?workbook=03_02.xlsx&amp;sheet=A0&amp;row=510&amp;col=9&amp;number=&amp;sourceID=15","")</f>
        <v/>
      </c>
      <c r="J510" s="4" t="str">
        <f>HYPERLINK("http://141.218.60.56/~jnz1568/getInfo.php?workbook=03_02.xlsx&amp;sheet=A0&amp;row=510&amp;col=10&amp;number=&amp;sourceID=15","")</f>
        <v/>
      </c>
      <c r="K510" s="4" t="str">
        <f>HYPERLINK("http://141.218.60.56/~jnz1568/getInfo.php?workbook=03_02.xlsx&amp;sheet=A0&amp;row=510&amp;col=11&amp;number=666000&amp;sourceID=30","666000")</f>
        <v>666000</v>
      </c>
      <c r="L510" s="4" t="str">
        <f>HYPERLINK("http://141.218.60.56/~jnz1568/getInfo.php?workbook=03_02.xlsx&amp;sheet=A0&amp;row=510&amp;col=12&amp;number=&amp;sourceID=30","")</f>
        <v/>
      </c>
      <c r="M510" s="4" t="str">
        <f>HYPERLINK("http://141.218.60.56/~jnz1568/getInfo.php?workbook=03_02.xlsx&amp;sheet=A0&amp;row=510&amp;col=13&amp;number=&amp;sourceID=30","")</f>
        <v/>
      </c>
      <c r="N510" s="4" t="str">
        <f>HYPERLINK("http://141.218.60.56/~jnz1568/getInfo.php?workbook=03_02.xlsx&amp;sheet=A0&amp;row=510&amp;col=14&amp;number=4.076e-07&amp;sourceID=30","4.076e-07")</f>
        <v>4.076e-07</v>
      </c>
    </row>
    <row r="511" spans="1:14">
      <c r="A511" s="3">
        <v>3</v>
      </c>
      <c r="B511" s="3">
        <v>2</v>
      </c>
      <c r="C511" s="3">
        <v>36</v>
      </c>
      <c r="D511" s="3">
        <v>25</v>
      </c>
      <c r="E511" s="3">
        <f>((1/(INDEX(E0!J$4:J$52,C511,1)-INDEX(E0!J$4:J$52,D511,1))))*100000000</f>
        <v>0</v>
      </c>
      <c r="F511" s="4" t="str">
        <f>HYPERLINK("http://141.218.60.56/~jnz1568/getInfo.php?workbook=03_02.xlsx&amp;sheet=A0&amp;row=511&amp;col=6&amp;number=&amp;sourceID=27","")</f>
        <v/>
      </c>
      <c r="G511" s="4" t="str">
        <f>HYPERLINK("http://141.218.60.56/~jnz1568/getInfo.php?workbook=03_02.xlsx&amp;sheet=A0&amp;row=511&amp;col=7&amp;number=3998500&amp;sourceID=15","3998500")</f>
        <v>3998500</v>
      </c>
      <c r="H511" s="4" t="str">
        <f>HYPERLINK("http://141.218.60.56/~jnz1568/getInfo.php?workbook=03_02.xlsx&amp;sheet=A0&amp;row=511&amp;col=8&amp;number=&amp;sourceID=15","")</f>
        <v/>
      </c>
      <c r="I511" s="4" t="str">
        <f>HYPERLINK("http://141.218.60.56/~jnz1568/getInfo.php?workbook=03_02.xlsx&amp;sheet=A0&amp;row=511&amp;col=9&amp;number=&amp;sourceID=15","")</f>
        <v/>
      </c>
      <c r="J511" s="4" t="str">
        <f>HYPERLINK("http://141.218.60.56/~jnz1568/getInfo.php?workbook=03_02.xlsx&amp;sheet=A0&amp;row=511&amp;col=10&amp;number=&amp;sourceID=15","")</f>
        <v/>
      </c>
      <c r="K511" s="4" t="str">
        <f>HYPERLINK("http://141.218.60.56/~jnz1568/getInfo.php?workbook=03_02.xlsx&amp;sheet=A0&amp;row=511&amp;col=11&amp;number=3730000&amp;sourceID=30","3730000")</f>
        <v>3730000</v>
      </c>
      <c r="L511" s="4" t="str">
        <f>HYPERLINK("http://141.218.60.56/~jnz1568/getInfo.php?workbook=03_02.xlsx&amp;sheet=A0&amp;row=511&amp;col=12&amp;number=&amp;sourceID=30","")</f>
        <v/>
      </c>
      <c r="M511" s="4" t="str">
        <f>HYPERLINK("http://141.218.60.56/~jnz1568/getInfo.php?workbook=03_02.xlsx&amp;sheet=A0&amp;row=511&amp;col=13&amp;number=&amp;sourceID=30","")</f>
        <v/>
      </c>
      <c r="N511" s="4" t="str">
        <f>HYPERLINK("http://141.218.60.56/~jnz1568/getInfo.php?workbook=03_02.xlsx&amp;sheet=A0&amp;row=511&amp;col=14&amp;number=4.176e-06&amp;sourceID=30","4.176e-06")</f>
        <v>4.176e-06</v>
      </c>
    </row>
    <row r="512" spans="1:14">
      <c r="A512" s="3">
        <v>3</v>
      </c>
      <c r="B512" s="3">
        <v>2</v>
      </c>
      <c r="C512" s="3">
        <v>36</v>
      </c>
      <c r="D512" s="3">
        <v>26</v>
      </c>
      <c r="E512" s="3">
        <f>((1/(INDEX(E0!J$4:J$52,C512,1)-INDEX(E0!J$4:J$52,D512,1))))*100000000</f>
        <v>0</v>
      </c>
      <c r="F512" s="4" t="str">
        <f>HYPERLINK("http://141.218.60.56/~jnz1568/getInfo.php?workbook=03_02.xlsx&amp;sheet=A0&amp;row=512&amp;col=6&amp;number=&amp;sourceID=27","")</f>
        <v/>
      </c>
      <c r="G512" s="4" t="str">
        <f>HYPERLINK("http://141.218.60.56/~jnz1568/getInfo.php?workbook=03_02.xlsx&amp;sheet=A0&amp;row=512&amp;col=7&amp;number=143.2&amp;sourceID=15","143.2")</f>
        <v>143.2</v>
      </c>
      <c r="H512" s="4" t="str">
        <f>HYPERLINK("http://141.218.60.56/~jnz1568/getInfo.php?workbook=03_02.xlsx&amp;sheet=A0&amp;row=512&amp;col=8&amp;number=&amp;sourceID=15","")</f>
        <v/>
      </c>
      <c r="I512" s="4" t="str">
        <f>HYPERLINK("http://141.218.60.56/~jnz1568/getInfo.php?workbook=03_02.xlsx&amp;sheet=A0&amp;row=512&amp;col=9&amp;number=&amp;sourceID=15","")</f>
        <v/>
      </c>
      <c r="J512" s="4" t="str">
        <f>HYPERLINK("http://141.218.60.56/~jnz1568/getInfo.php?workbook=03_02.xlsx&amp;sheet=A0&amp;row=512&amp;col=10&amp;number=&amp;sourceID=15","")</f>
        <v/>
      </c>
      <c r="K512" s="4" t="str">
        <f>HYPERLINK("http://141.218.60.56/~jnz1568/getInfo.php?workbook=03_02.xlsx&amp;sheet=A0&amp;row=512&amp;col=11&amp;number=64.88&amp;sourceID=30","64.88")</f>
        <v>64.88</v>
      </c>
      <c r="L512" s="4" t="str">
        <f>HYPERLINK("http://141.218.60.56/~jnz1568/getInfo.php?workbook=03_02.xlsx&amp;sheet=A0&amp;row=512&amp;col=12&amp;number=&amp;sourceID=30","")</f>
        <v/>
      </c>
      <c r="M512" s="4" t="str">
        <f>HYPERLINK("http://141.218.60.56/~jnz1568/getInfo.php?workbook=03_02.xlsx&amp;sheet=A0&amp;row=512&amp;col=13&amp;number=&amp;sourceID=30","")</f>
        <v/>
      </c>
      <c r="N512" s="4" t="str">
        <f>HYPERLINK("http://141.218.60.56/~jnz1568/getInfo.php?workbook=03_02.xlsx&amp;sheet=A0&amp;row=512&amp;col=14&amp;number=6.497e-07&amp;sourceID=30","6.497e-07")</f>
        <v>6.497e-07</v>
      </c>
    </row>
    <row r="513" spans="1:14">
      <c r="A513" s="3">
        <v>3</v>
      </c>
      <c r="B513" s="3">
        <v>2</v>
      </c>
      <c r="C513" s="3">
        <v>36</v>
      </c>
      <c r="D513" s="3">
        <v>27</v>
      </c>
      <c r="E513" s="3">
        <f>((1/(INDEX(E0!J$4:J$52,C513,1)-INDEX(E0!J$4:J$52,D513,1))))*100000000</f>
        <v>0</v>
      </c>
      <c r="F513" s="4" t="str">
        <f>HYPERLINK("http://141.218.60.56/~jnz1568/getInfo.php?workbook=03_02.xlsx&amp;sheet=A0&amp;row=513&amp;col=6&amp;number=&amp;sourceID=27","")</f>
        <v/>
      </c>
      <c r="G513" s="4" t="str">
        <f>HYPERLINK("http://141.218.60.56/~jnz1568/getInfo.php?workbook=03_02.xlsx&amp;sheet=A0&amp;row=513&amp;col=7&amp;number=&amp;sourceID=15","")</f>
        <v/>
      </c>
      <c r="H513" s="4" t="str">
        <f>HYPERLINK("http://141.218.60.56/~jnz1568/getInfo.php?workbook=03_02.xlsx&amp;sheet=A0&amp;row=513&amp;col=8&amp;number=&amp;sourceID=15","")</f>
        <v/>
      </c>
      <c r="I513" s="4" t="str">
        <f>HYPERLINK("http://141.218.60.56/~jnz1568/getInfo.php?workbook=03_02.xlsx&amp;sheet=A0&amp;row=513&amp;col=9&amp;number=&amp;sourceID=15","")</f>
        <v/>
      </c>
      <c r="J513" s="4" t="str">
        <f>HYPERLINK("http://141.218.60.56/~jnz1568/getInfo.php?workbook=03_02.xlsx&amp;sheet=A0&amp;row=513&amp;col=10&amp;number=&amp;sourceID=15","")</f>
        <v/>
      </c>
      <c r="K513" s="4" t="str">
        <f>HYPERLINK("http://141.218.60.56/~jnz1568/getInfo.php?workbook=03_02.xlsx&amp;sheet=A0&amp;row=513&amp;col=11&amp;number=&amp;sourceID=30","")</f>
        <v/>
      </c>
      <c r="L513" s="4" t="str">
        <f>HYPERLINK("http://141.218.60.56/~jnz1568/getInfo.php?workbook=03_02.xlsx&amp;sheet=A0&amp;row=513&amp;col=12&amp;number=0.09782&amp;sourceID=30","0.09782")</f>
        <v>0.09782</v>
      </c>
      <c r="M513" s="4" t="str">
        <f>HYPERLINK("http://141.218.60.56/~jnz1568/getInfo.php?workbook=03_02.xlsx&amp;sheet=A0&amp;row=513&amp;col=13&amp;number=1.57e-12&amp;sourceID=30","1.57e-12")</f>
        <v>1.57e-12</v>
      </c>
      <c r="N513" s="4" t="str">
        <f>HYPERLINK("http://141.218.60.56/~jnz1568/getInfo.php?workbook=03_02.xlsx&amp;sheet=A0&amp;row=513&amp;col=14&amp;number=&amp;sourceID=30","")</f>
        <v/>
      </c>
    </row>
    <row r="514" spans="1:14">
      <c r="A514" s="3">
        <v>3</v>
      </c>
      <c r="B514" s="3">
        <v>2</v>
      </c>
      <c r="C514" s="3">
        <v>36</v>
      </c>
      <c r="D514" s="3">
        <v>28</v>
      </c>
      <c r="E514" s="3">
        <f>((1/(INDEX(E0!J$4:J$52,C514,1)-INDEX(E0!J$4:J$52,D514,1))))*100000000</f>
        <v>0</v>
      </c>
      <c r="F514" s="4" t="str">
        <f>HYPERLINK("http://141.218.60.56/~jnz1568/getInfo.php?workbook=03_02.xlsx&amp;sheet=A0&amp;row=514&amp;col=6&amp;number=&amp;sourceID=27","")</f>
        <v/>
      </c>
      <c r="G514" s="4" t="str">
        <f>HYPERLINK("http://141.218.60.56/~jnz1568/getInfo.php?workbook=03_02.xlsx&amp;sheet=A0&amp;row=514&amp;col=7&amp;number=&amp;sourceID=15","")</f>
        <v/>
      </c>
      <c r="H514" s="4" t="str">
        <f>HYPERLINK("http://141.218.60.56/~jnz1568/getInfo.php?workbook=03_02.xlsx&amp;sheet=A0&amp;row=514&amp;col=8&amp;number=&amp;sourceID=15","")</f>
        <v/>
      </c>
      <c r="I514" s="4" t="str">
        <f>HYPERLINK("http://141.218.60.56/~jnz1568/getInfo.php?workbook=03_02.xlsx&amp;sheet=A0&amp;row=514&amp;col=9&amp;number=&amp;sourceID=15","")</f>
        <v/>
      </c>
      <c r="J514" s="4" t="str">
        <f>HYPERLINK("http://141.218.60.56/~jnz1568/getInfo.php?workbook=03_02.xlsx&amp;sheet=A0&amp;row=514&amp;col=10&amp;number=&amp;sourceID=15","")</f>
        <v/>
      </c>
      <c r="K514" s="4" t="str">
        <f>HYPERLINK("http://141.218.60.56/~jnz1568/getInfo.php?workbook=03_02.xlsx&amp;sheet=A0&amp;row=514&amp;col=11&amp;number=&amp;sourceID=30","")</f>
        <v/>
      </c>
      <c r="L514" s="4" t="str">
        <f>HYPERLINK("http://141.218.60.56/~jnz1568/getInfo.php?workbook=03_02.xlsx&amp;sheet=A0&amp;row=514&amp;col=12&amp;number=0.5392&amp;sourceID=30","0.5392")</f>
        <v>0.5392</v>
      </c>
      <c r="M514" s="4" t="str">
        <f>HYPERLINK("http://141.218.60.56/~jnz1568/getInfo.php?workbook=03_02.xlsx&amp;sheet=A0&amp;row=514&amp;col=13&amp;number=1.2e-13&amp;sourceID=30","1.2e-13")</f>
        <v>1.2e-13</v>
      </c>
      <c r="N514" s="4" t="str">
        <f>HYPERLINK("http://141.218.60.56/~jnz1568/getInfo.php?workbook=03_02.xlsx&amp;sheet=A0&amp;row=514&amp;col=14&amp;number=&amp;sourceID=30","")</f>
        <v/>
      </c>
    </row>
    <row r="515" spans="1:14">
      <c r="A515" s="3">
        <v>3</v>
      </c>
      <c r="B515" s="3">
        <v>2</v>
      </c>
      <c r="C515" s="3">
        <v>36</v>
      </c>
      <c r="D515" s="3">
        <v>29</v>
      </c>
      <c r="E515" s="3">
        <f>((1/(INDEX(E0!J$4:J$52,C515,1)-INDEX(E0!J$4:J$52,D515,1))))*100000000</f>
        <v>0</v>
      </c>
      <c r="F515" s="4" t="str">
        <f>HYPERLINK("http://141.218.60.56/~jnz1568/getInfo.php?workbook=03_02.xlsx&amp;sheet=A0&amp;row=515&amp;col=6&amp;number=&amp;sourceID=27","")</f>
        <v/>
      </c>
      <c r="G515" s="4" t="str">
        <f>HYPERLINK("http://141.218.60.56/~jnz1568/getInfo.php?workbook=03_02.xlsx&amp;sheet=A0&amp;row=515&amp;col=7&amp;number=&amp;sourceID=15","")</f>
        <v/>
      </c>
      <c r="H515" s="4" t="str">
        <f>HYPERLINK("http://141.218.60.56/~jnz1568/getInfo.php?workbook=03_02.xlsx&amp;sheet=A0&amp;row=515&amp;col=8&amp;number=&amp;sourceID=15","")</f>
        <v/>
      </c>
      <c r="I515" s="4" t="str">
        <f>HYPERLINK("http://141.218.60.56/~jnz1568/getInfo.php?workbook=03_02.xlsx&amp;sheet=A0&amp;row=515&amp;col=9&amp;number=&amp;sourceID=15","")</f>
        <v/>
      </c>
      <c r="J515" s="4" t="str">
        <f>HYPERLINK("http://141.218.60.56/~jnz1568/getInfo.php?workbook=03_02.xlsx&amp;sheet=A0&amp;row=515&amp;col=10&amp;number=&amp;sourceID=15","")</f>
        <v/>
      </c>
      <c r="K515" s="4" t="str">
        <f>HYPERLINK("http://141.218.60.56/~jnz1568/getInfo.php?workbook=03_02.xlsx&amp;sheet=A0&amp;row=515&amp;col=11&amp;number=&amp;sourceID=30","")</f>
        <v/>
      </c>
      <c r="L515" s="4" t="str">
        <f>HYPERLINK("http://141.218.60.56/~jnz1568/getInfo.php?workbook=03_02.xlsx&amp;sheet=A0&amp;row=515&amp;col=12&amp;number=2.641&amp;sourceID=30","2.641")</f>
        <v>2.641</v>
      </c>
      <c r="M515" s="4" t="str">
        <f>HYPERLINK("http://141.218.60.56/~jnz1568/getInfo.php?workbook=03_02.xlsx&amp;sheet=A0&amp;row=515&amp;col=13&amp;number=&amp;sourceID=30","")</f>
        <v/>
      </c>
      <c r="N515" s="4" t="str">
        <f>HYPERLINK("http://141.218.60.56/~jnz1568/getInfo.php?workbook=03_02.xlsx&amp;sheet=A0&amp;row=515&amp;col=14&amp;number=&amp;sourceID=30","")</f>
        <v/>
      </c>
    </row>
    <row r="516" spans="1:14">
      <c r="A516" s="3">
        <v>3</v>
      </c>
      <c r="B516" s="3">
        <v>2</v>
      </c>
      <c r="C516" s="3">
        <v>36</v>
      </c>
      <c r="D516" s="3">
        <v>30</v>
      </c>
      <c r="E516" s="3">
        <f>((1/(INDEX(E0!J$4:J$52,C516,1)-INDEX(E0!J$4:J$52,D516,1))))*100000000</f>
        <v>0</v>
      </c>
      <c r="F516" s="4" t="str">
        <f>HYPERLINK("http://141.218.60.56/~jnz1568/getInfo.php?workbook=03_02.xlsx&amp;sheet=A0&amp;row=516&amp;col=6&amp;number=&amp;sourceID=27","")</f>
        <v/>
      </c>
      <c r="G516" s="4" t="str">
        <f>HYPERLINK("http://141.218.60.56/~jnz1568/getInfo.php?workbook=03_02.xlsx&amp;sheet=A0&amp;row=516&amp;col=7&amp;number=&amp;sourceID=15","")</f>
        <v/>
      </c>
      <c r="H516" s="4" t="str">
        <f>HYPERLINK("http://141.218.60.56/~jnz1568/getInfo.php?workbook=03_02.xlsx&amp;sheet=A0&amp;row=516&amp;col=8&amp;number=&amp;sourceID=15","")</f>
        <v/>
      </c>
      <c r="I516" s="4" t="str">
        <f>HYPERLINK("http://141.218.60.56/~jnz1568/getInfo.php?workbook=03_02.xlsx&amp;sheet=A0&amp;row=516&amp;col=9&amp;number=&amp;sourceID=15","")</f>
        <v/>
      </c>
      <c r="J516" s="4" t="str">
        <f>HYPERLINK("http://141.218.60.56/~jnz1568/getInfo.php?workbook=03_02.xlsx&amp;sheet=A0&amp;row=516&amp;col=10&amp;number=&amp;sourceID=15","")</f>
        <v/>
      </c>
      <c r="K516" s="4" t="str">
        <f>HYPERLINK("http://141.218.60.56/~jnz1568/getInfo.php?workbook=03_02.xlsx&amp;sheet=A0&amp;row=516&amp;col=11&amp;number=&amp;sourceID=30","")</f>
        <v/>
      </c>
      <c r="L516" s="4" t="str">
        <f>HYPERLINK("http://141.218.60.56/~jnz1568/getInfo.php?workbook=03_02.xlsx&amp;sheet=A0&amp;row=516&amp;col=12&amp;number=0.1455&amp;sourceID=30","0.1455")</f>
        <v>0.1455</v>
      </c>
      <c r="M516" s="4" t="str">
        <f>HYPERLINK("http://141.218.60.56/~jnz1568/getInfo.php?workbook=03_02.xlsx&amp;sheet=A0&amp;row=516&amp;col=13&amp;number=1.36e-13&amp;sourceID=30","1.36e-13")</f>
        <v>1.36e-13</v>
      </c>
      <c r="N516" s="4" t="str">
        <f>HYPERLINK("http://141.218.60.56/~jnz1568/getInfo.php?workbook=03_02.xlsx&amp;sheet=A0&amp;row=516&amp;col=14&amp;number=&amp;sourceID=30","")</f>
        <v/>
      </c>
    </row>
    <row r="517" spans="1:14">
      <c r="A517" s="3">
        <v>3</v>
      </c>
      <c r="B517" s="3">
        <v>2</v>
      </c>
      <c r="C517" s="3">
        <v>36</v>
      </c>
      <c r="D517" s="3">
        <v>31</v>
      </c>
      <c r="E517" s="3">
        <f>((1/(INDEX(E0!J$4:J$52,C517,1)-INDEX(E0!J$4:J$52,D517,1))))*100000000</f>
        <v>0</v>
      </c>
      <c r="F517" s="4" t="str">
        <f>HYPERLINK("http://141.218.60.56/~jnz1568/getInfo.php?workbook=03_02.xlsx&amp;sheet=A0&amp;row=517&amp;col=6&amp;number=&amp;sourceID=27","")</f>
        <v/>
      </c>
      <c r="G517" s="4" t="str">
        <f>HYPERLINK("http://141.218.60.56/~jnz1568/getInfo.php?workbook=03_02.xlsx&amp;sheet=A0&amp;row=517&amp;col=7&amp;number=&amp;sourceID=15","")</f>
        <v/>
      </c>
      <c r="H517" s="4" t="str">
        <f>HYPERLINK("http://141.218.60.56/~jnz1568/getInfo.php?workbook=03_02.xlsx&amp;sheet=A0&amp;row=517&amp;col=8&amp;number=&amp;sourceID=15","")</f>
        <v/>
      </c>
      <c r="I517" s="4" t="str">
        <f>HYPERLINK("http://141.218.60.56/~jnz1568/getInfo.php?workbook=03_02.xlsx&amp;sheet=A0&amp;row=517&amp;col=9&amp;number=&amp;sourceID=15","")</f>
        <v/>
      </c>
      <c r="J517" s="4" t="str">
        <f>HYPERLINK("http://141.218.60.56/~jnz1568/getInfo.php?workbook=03_02.xlsx&amp;sheet=A0&amp;row=517&amp;col=10&amp;number=&amp;sourceID=15","")</f>
        <v/>
      </c>
      <c r="K517" s="4" t="str">
        <f>HYPERLINK("http://141.218.60.56/~jnz1568/getInfo.php?workbook=03_02.xlsx&amp;sheet=A0&amp;row=517&amp;col=11&amp;number=&amp;sourceID=30","")</f>
        <v/>
      </c>
      <c r="L517" s="4" t="str">
        <f>HYPERLINK("http://141.218.60.56/~jnz1568/getInfo.php?workbook=03_02.xlsx&amp;sheet=A0&amp;row=517&amp;col=12&amp;number=5.439e-06&amp;sourceID=30","5.439e-06")</f>
        <v>5.439e-06</v>
      </c>
      <c r="M517" s="4" t="str">
        <f>HYPERLINK("http://141.218.60.56/~jnz1568/getInfo.php?workbook=03_02.xlsx&amp;sheet=A0&amp;row=517&amp;col=13&amp;number=8.484e-09&amp;sourceID=30","8.484e-09")</f>
        <v>8.484e-09</v>
      </c>
      <c r="N517" s="4" t="str">
        <f>HYPERLINK("http://141.218.60.56/~jnz1568/getInfo.php?workbook=03_02.xlsx&amp;sheet=A0&amp;row=517&amp;col=14&amp;number=&amp;sourceID=30","")</f>
        <v/>
      </c>
    </row>
    <row r="518" spans="1:14">
      <c r="A518" s="3">
        <v>3</v>
      </c>
      <c r="B518" s="3">
        <v>2</v>
      </c>
      <c r="C518" s="3">
        <v>36</v>
      </c>
      <c r="D518" s="3">
        <v>32</v>
      </c>
      <c r="E518" s="3">
        <f>((1/(INDEX(E0!J$4:J$52,C518,1)-INDEX(E0!J$4:J$52,D518,1))))*100000000</f>
        <v>0</v>
      </c>
      <c r="F518" s="4" t="str">
        <f>HYPERLINK("http://141.218.60.56/~jnz1568/getInfo.php?workbook=03_02.xlsx&amp;sheet=A0&amp;row=518&amp;col=6&amp;number=&amp;sourceID=27","")</f>
        <v/>
      </c>
      <c r="G518" s="4" t="str">
        <f>HYPERLINK("http://141.218.60.56/~jnz1568/getInfo.php?workbook=03_02.xlsx&amp;sheet=A0&amp;row=518&amp;col=7&amp;number=178170&amp;sourceID=15","178170")</f>
        <v>178170</v>
      </c>
      <c r="H518" s="4" t="str">
        <f>HYPERLINK("http://141.218.60.56/~jnz1568/getInfo.php?workbook=03_02.xlsx&amp;sheet=A0&amp;row=518&amp;col=8&amp;number=&amp;sourceID=15","")</f>
        <v/>
      </c>
      <c r="I518" s="4" t="str">
        <f>HYPERLINK("http://141.218.60.56/~jnz1568/getInfo.php?workbook=03_02.xlsx&amp;sheet=A0&amp;row=518&amp;col=9&amp;number=&amp;sourceID=15","")</f>
        <v/>
      </c>
      <c r="J518" s="4" t="str">
        <f>HYPERLINK("http://141.218.60.56/~jnz1568/getInfo.php?workbook=03_02.xlsx&amp;sheet=A0&amp;row=518&amp;col=10&amp;number=&amp;sourceID=15","")</f>
        <v/>
      </c>
      <c r="K518" s="4" t="str">
        <f>HYPERLINK("http://141.218.60.56/~jnz1568/getInfo.php?workbook=03_02.xlsx&amp;sheet=A0&amp;row=518&amp;col=11&amp;number=195100&amp;sourceID=30","195100")</f>
        <v>195100</v>
      </c>
      <c r="L518" s="4" t="str">
        <f>HYPERLINK("http://141.218.60.56/~jnz1568/getInfo.php?workbook=03_02.xlsx&amp;sheet=A0&amp;row=518&amp;col=12&amp;number=&amp;sourceID=30","")</f>
        <v/>
      </c>
      <c r="M518" s="4" t="str">
        <f>HYPERLINK("http://141.218.60.56/~jnz1568/getInfo.php?workbook=03_02.xlsx&amp;sheet=A0&amp;row=518&amp;col=13&amp;number=&amp;sourceID=30","")</f>
        <v/>
      </c>
      <c r="N518" s="4" t="str">
        <f>HYPERLINK("http://141.218.60.56/~jnz1568/getInfo.php?workbook=03_02.xlsx&amp;sheet=A0&amp;row=518&amp;col=14&amp;number=1.208e-09&amp;sourceID=30","1.208e-09")</f>
        <v>1.208e-09</v>
      </c>
    </row>
    <row r="519" spans="1:14">
      <c r="A519" s="3">
        <v>3</v>
      </c>
      <c r="B519" s="3">
        <v>2</v>
      </c>
      <c r="C519" s="3">
        <v>36</v>
      </c>
      <c r="D519" s="3">
        <v>34</v>
      </c>
      <c r="E519" s="3">
        <f>((1/(INDEX(E0!J$4:J$52,C519,1)-INDEX(E0!J$4:J$52,D519,1))))*100000000</f>
        <v>0</v>
      </c>
      <c r="F519" s="4" t="str">
        <f>HYPERLINK("http://141.218.60.56/~jnz1568/getInfo.php?workbook=03_02.xlsx&amp;sheet=A0&amp;row=519&amp;col=6&amp;number=&amp;sourceID=27","")</f>
        <v/>
      </c>
      <c r="G519" s="4" t="str">
        <f>HYPERLINK("http://141.218.60.56/~jnz1568/getInfo.php?workbook=03_02.xlsx&amp;sheet=A0&amp;row=519&amp;col=7&amp;number=&amp;sourceID=15","")</f>
        <v/>
      </c>
      <c r="H519" s="4" t="str">
        <f>HYPERLINK("http://141.218.60.56/~jnz1568/getInfo.php?workbook=03_02.xlsx&amp;sheet=A0&amp;row=519&amp;col=8&amp;number=&amp;sourceID=15","")</f>
        <v/>
      </c>
      <c r="I519" s="4" t="str">
        <f>HYPERLINK("http://141.218.60.56/~jnz1568/getInfo.php?workbook=03_02.xlsx&amp;sheet=A0&amp;row=519&amp;col=9&amp;number=&amp;sourceID=15","")</f>
        <v/>
      </c>
      <c r="J519" s="4" t="str">
        <f>HYPERLINK("http://141.218.60.56/~jnz1568/getInfo.php?workbook=03_02.xlsx&amp;sheet=A0&amp;row=519&amp;col=10&amp;number=&amp;sourceID=15","")</f>
        <v/>
      </c>
      <c r="K519" s="4" t="str">
        <f>HYPERLINK("http://141.218.60.56/~jnz1568/getInfo.php?workbook=03_02.xlsx&amp;sheet=A0&amp;row=519&amp;col=11&amp;number=&amp;sourceID=30","")</f>
        <v/>
      </c>
      <c r="L519" s="4" t="str">
        <f>HYPERLINK("http://141.218.60.56/~jnz1568/getInfo.php?workbook=03_02.xlsx&amp;sheet=A0&amp;row=519&amp;col=12&amp;number=0&amp;sourceID=30","0")</f>
        <v>0</v>
      </c>
      <c r="M519" s="4" t="str">
        <f>HYPERLINK("http://141.218.60.56/~jnz1568/getInfo.php?workbook=03_02.xlsx&amp;sheet=A0&amp;row=519&amp;col=13&amp;number=&amp;sourceID=30","")</f>
        <v/>
      </c>
      <c r="N519" s="4" t="str">
        <f>HYPERLINK("http://141.218.60.56/~jnz1568/getInfo.php?workbook=03_02.xlsx&amp;sheet=A0&amp;row=519&amp;col=14&amp;number=&amp;sourceID=30","")</f>
        <v/>
      </c>
    </row>
    <row r="520" spans="1:14">
      <c r="A520" s="3">
        <v>3</v>
      </c>
      <c r="B520" s="3">
        <v>2</v>
      </c>
      <c r="C520" s="3">
        <v>36</v>
      </c>
      <c r="D520" s="3">
        <v>35</v>
      </c>
      <c r="E520" s="3">
        <f>((1/(INDEX(E0!J$4:J$52,C520,1)-INDEX(E0!J$4:J$52,D520,1))))*100000000</f>
        <v>0</v>
      </c>
      <c r="F520" s="4" t="str">
        <f>HYPERLINK("http://141.218.60.56/~jnz1568/getInfo.php?workbook=03_02.xlsx&amp;sheet=A0&amp;row=520&amp;col=6&amp;number=&amp;sourceID=27","")</f>
        <v/>
      </c>
      <c r="G520" s="4" t="str">
        <f>HYPERLINK("http://141.218.60.56/~jnz1568/getInfo.php?workbook=03_02.xlsx&amp;sheet=A0&amp;row=520&amp;col=7&amp;number=&amp;sourceID=15","")</f>
        <v/>
      </c>
      <c r="H520" s="4" t="str">
        <f>HYPERLINK("http://141.218.60.56/~jnz1568/getInfo.php?workbook=03_02.xlsx&amp;sheet=A0&amp;row=520&amp;col=8&amp;number=&amp;sourceID=15","")</f>
        <v/>
      </c>
      <c r="I520" s="4" t="str">
        <f>HYPERLINK("http://141.218.60.56/~jnz1568/getInfo.php?workbook=03_02.xlsx&amp;sheet=A0&amp;row=520&amp;col=9&amp;number=&amp;sourceID=15","")</f>
        <v/>
      </c>
      <c r="J520" s="4" t="str">
        <f>HYPERLINK("http://141.218.60.56/~jnz1568/getInfo.php?workbook=03_02.xlsx&amp;sheet=A0&amp;row=520&amp;col=10&amp;number=&amp;sourceID=15","")</f>
        <v/>
      </c>
      <c r="K520" s="4" t="str">
        <f>HYPERLINK("http://141.218.60.56/~jnz1568/getInfo.php?workbook=03_02.xlsx&amp;sheet=A0&amp;row=520&amp;col=11&amp;number=&amp;sourceID=30","")</f>
        <v/>
      </c>
      <c r="L520" s="4" t="str">
        <f>HYPERLINK("http://141.218.60.56/~jnz1568/getInfo.php?workbook=03_02.xlsx&amp;sheet=A0&amp;row=520&amp;col=12&amp;number=0&amp;sourceID=30","0")</f>
        <v>0</v>
      </c>
      <c r="M520" s="4" t="str">
        <f>HYPERLINK("http://141.218.60.56/~jnz1568/getInfo.php?workbook=03_02.xlsx&amp;sheet=A0&amp;row=520&amp;col=13&amp;number=4e-14&amp;sourceID=30","4e-14")</f>
        <v>4e-14</v>
      </c>
      <c r="N520" s="4" t="str">
        <f>HYPERLINK("http://141.218.60.56/~jnz1568/getInfo.php?workbook=03_02.xlsx&amp;sheet=A0&amp;row=520&amp;col=14&amp;number=&amp;sourceID=30","")</f>
        <v/>
      </c>
    </row>
    <row r="521" spans="1:14">
      <c r="A521" s="3">
        <v>3</v>
      </c>
      <c r="B521" s="3">
        <v>2</v>
      </c>
      <c r="C521" s="3">
        <v>37</v>
      </c>
      <c r="D521" s="3">
        <v>1</v>
      </c>
      <c r="E521" s="3">
        <f>((1/(INDEX(E0!J$4:J$52,C521,1)-INDEX(E0!J$4:J$52,D521,1))))*100000000</f>
        <v>0</v>
      </c>
      <c r="F521" s="4" t="str">
        <f>HYPERLINK("http://141.218.60.56/~jnz1568/getInfo.php?workbook=03_02.xlsx&amp;sheet=A0&amp;row=521&amp;col=6&amp;number=&amp;sourceID=27","")</f>
        <v/>
      </c>
      <c r="G521" s="4" t="str">
        <f>HYPERLINK("http://141.218.60.56/~jnz1568/getInfo.php?workbook=03_02.xlsx&amp;sheet=A0&amp;row=521&amp;col=7&amp;number=&amp;sourceID=15","")</f>
        <v/>
      </c>
      <c r="H521" s="4" t="str">
        <f>HYPERLINK("http://141.218.60.56/~jnz1568/getInfo.php?workbook=03_02.xlsx&amp;sheet=A0&amp;row=521&amp;col=8&amp;number=&amp;sourceID=15","")</f>
        <v/>
      </c>
      <c r="I521" s="4" t="str">
        <f>HYPERLINK("http://141.218.60.56/~jnz1568/getInfo.php?workbook=03_02.xlsx&amp;sheet=A0&amp;row=521&amp;col=9&amp;number=&amp;sourceID=15","")</f>
        <v/>
      </c>
      <c r="J521" s="4" t="str">
        <f>HYPERLINK("http://141.218.60.56/~jnz1568/getInfo.php?workbook=03_02.xlsx&amp;sheet=A0&amp;row=521&amp;col=10&amp;number=&amp;sourceID=15","")</f>
        <v/>
      </c>
      <c r="K521" s="4" t="str">
        <f>HYPERLINK("http://141.218.60.56/~jnz1568/getInfo.php?workbook=03_02.xlsx&amp;sheet=A0&amp;row=521&amp;col=11&amp;number=&amp;sourceID=30","")</f>
        <v/>
      </c>
      <c r="L521" s="4" t="str">
        <f>HYPERLINK("http://141.218.60.56/~jnz1568/getInfo.php?workbook=03_02.xlsx&amp;sheet=A0&amp;row=521&amp;col=12&amp;number=&amp;sourceID=30","")</f>
        <v/>
      </c>
      <c r="M521" s="4" t="str">
        <f>HYPERLINK("http://141.218.60.56/~jnz1568/getInfo.php?workbook=03_02.xlsx&amp;sheet=A0&amp;row=521&amp;col=13&amp;number=0.02207&amp;sourceID=30","0.02207")</f>
        <v>0.02207</v>
      </c>
      <c r="N521" s="4" t="str">
        <f>HYPERLINK("http://141.218.60.56/~jnz1568/getInfo.php?workbook=03_02.xlsx&amp;sheet=A0&amp;row=521&amp;col=14&amp;number=&amp;sourceID=30","")</f>
        <v/>
      </c>
    </row>
    <row r="522" spans="1:14">
      <c r="A522" s="3">
        <v>3</v>
      </c>
      <c r="B522" s="3">
        <v>2</v>
      </c>
      <c r="C522" s="3">
        <v>37</v>
      </c>
      <c r="D522" s="3">
        <v>2</v>
      </c>
      <c r="E522" s="3">
        <f>((1/(INDEX(E0!J$4:J$52,C522,1)-INDEX(E0!J$4:J$52,D522,1))))*100000000</f>
        <v>0</v>
      </c>
      <c r="F522" s="4" t="str">
        <f>HYPERLINK("http://141.218.60.56/~jnz1568/getInfo.php?workbook=03_02.xlsx&amp;sheet=A0&amp;row=522&amp;col=6&amp;number=&amp;sourceID=27","")</f>
        <v/>
      </c>
      <c r="G522" s="4" t="str">
        <f>HYPERLINK("http://141.218.60.56/~jnz1568/getInfo.php?workbook=03_02.xlsx&amp;sheet=A0&amp;row=522&amp;col=7&amp;number=&amp;sourceID=15","")</f>
        <v/>
      </c>
      <c r="H522" s="4" t="str">
        <f>HYPERLINK("http://141.218.60.56/~jnz1568/getInfo.php?workbook=03_02.xlsx&amp;sheet=A0&amp;row=522&amp;col=8&amp;number=&amp;sourceID=15","")</f>
        <v/>
      </c>
      <c r="I522" s="4" t="str">
        <f>HYPERLINK("http://141.218.60.56/~jnz1568/getInfo.php?workbook=03_02.xlsx&amp;sheet=A0&amp;row=522&amp;col=9&amp;number=&amp;sourceID=15","")</f>
        <v/>
      </c>
      <c r="J522" s="4" t="str">
        <f>HYPERLINK("http://141.218.60.56/~jnz1568/getInfo.php?workbook=03_02.xlsx&amp;sheet=A0&amp;row=522&amp;col=10&amp;number=&amp;sourceID=15","")</f>
        <v/>
      </c>
      <c r="K522" s="4" t="str">
        <f>HYPERLINK("http://141.218.60.56/~jnz1568/getInfo.php?workbook=03_02.xlsx&amp;sheet=A0&amp;row=522&amp;col=11&amp;number=&amp;sourceID=30","")</f>
        <v/>
      </c>
      <c r="L522" s="4" t="str">
        <f>HYPERLINK("http://141.218.60.56/~jnz1568/getInfo.php?workbook=03_02.xlsx&amp;sheet=A0&amp;row=522&amp;col=12&amp;number=5.293&amp;sourceID=30","5.293")</f>
        <v>5.293</v>
      </c>
      <c r="M522" s="4" t="str">
        <f>HYPERLINK("http://141.218.60.56/~jnz1568/getInfo.php?workbook=03_02.xlsx&amp;sheet=A0&amp;row=522&amp;col=13&amp;number=9.911e-07&amp;sourceID=30","9.911e-07")</f>
        <v>9.911e-07</v>
      </c>
      <c r="N522" s="4" t="str">
        <f>HYPERLINK("http://141.218.60.56/~jnz1568/getInfo.php?workbook=03_02.xlsx&amp;sheet=A0&amp;row=522&amp;col=14&amp;number=&amp;sourceID=30","")</f>
        <v/>
      </c>
    </row>
    <row r="523" spans="1:14">
      <c r="A523" s="3">
        <v>3</v>
      </c>
      <c r="B523" s="3">
        <v>2</v>
      </c>
      <c r="C523" s="3">
        <v>37</v>
      </c>
      <c r="D523" s="3">
        <v>3</v>
      </c>
      <c r="E523" s="3">
        <f>((1/(INDEX(E0!J$4:J$52,C523,1)-INDEX(E0!J$4:J$52,D523,1))))*100000000</f>
        <v>0</v>
      </c>
      <c r="F523" s="4" t="str">
        <f>HYPERLINK("http://141.218.60.56/~jnz1568/getInfo.php?workbook=03_02.xlsx&amp;sheet=A0&amp;row=523&amp;col=6&amp;number=&amp;sourceID=27","")</f>
        <v/>
      </c>
      <c r="G523" s="4" t="str">
        <f>HYPERLINK("http://141.218.60.56/~jnz1568/getInfo.php?workbook=03_02.xlsx&amp;sheet=A0&amp;row=523&amp;col=7&amp;number=&amp;sourceID=15","")</f>
        <v/>
      </c>
      <c r="H523" s="4" t="str">
        <f>HYPERLINK("http://141.218.60.56/~jnz1568/getInfo.php?workbook=03_02.xlsx&amp;sheet=A0&amp;row=523&amp;col=8&amp;number=&amp;sourceID=15","")</f>
        <v/>
      </c>
      <c r="I523" s="4" t="str">
        <f>HYPERLINK("http://141.218.60.56/~jnz1568/getInfo.php?workbook=03_02.xlsx&amp;sheet=A0&amp;row=523&amp;col=9&amp;number=&amp;sourceID=15","")</f>
        <v/>
      </c>
      <c r="J523" s="4" t="str">
        <f>HYPERLINK("http://141.218.60.56/~jnz1568/getInfo.php?workbook=03_02.xlsx&amp;sheet=A0&amp;row=523&amp;col=10&amp;number=&amp;sourceID=15","")</f>
        <v/>
      </c>
      <c r="K523" s="4" t="str">
        <f>HYPERLINK("http://141.218.60.56/~jnz1568/getInfo.php?workbook=03_02.xlsx&amp;sheet=A0&amp;row=523&amp;col=11&amp;number=&amp;sourceID=30","")</f>
        <v/>
      </c>
      <c r="L523" s="4" t="str">
        <f>HYPERLINK("http://141.218.60.56/~jnz1568/getInfo.php?workbook=03_02.xlsx&amp;sheet=A0&amp;row=523&amp;col=12&amp;number=&amp;sourceID=30","")</f>
        <v/>
      </c>
      <c r="M523" s="4" t="str">
        <f>HYPERLINK("http://141.218.60.56/~jnz1568/getInfo.php?workbook=03_02.xlsx&amp;sheet=A0&amp;row=523&amp;col=13&amp;number=8.598e-08&amp;sourceID=30","8.598e-08")</f>
        <v>8.598e-08</v>
      </c>
      <c r="N523" s="4" t="str">
        <f>HYPERLINK("http://141.218.60.56/~jnz1568/getInfo.php?workbook=03_02.xlsx&amp;sheet=A0&amp;row=523&amp;col=14&amp;number=&amp;sourceID=30","")</f>
        <v/>
      </c>
    </row>
    <row r="524" spans="1:14">
      <c r="A524" s="3">
        <v>3</v>
      </c>
      <c r="B524" s="3">
        <v>2</v>
      </c>
      <c r="C524" s="3">
        <v>37</v>
      </c>
      <c r="D524" s="3">
        <v>4</v>
      </c>
      <c r="E524" s="3">
        <f>((1/(INDEX(E0!J$4:J$52,C524,1)-INDEX(E0!J$4:J$52,D524,1))))*100000000</f>
        <v>0</v>
      </c>
      <c r="F524" s="4" t="str">
        <f>HYPERLINK("http://141.218.60.56/~jnz1568/getInfo.php?workbook=03_02.xlsx&amp;sheet=A0&amp;row=524&amp;col=6&amp;number=&amp;sourceID=27","")</f>
        <v/>
      </c>
      <c r="G524" s="4" t="str">
        <f>HYPERLINK("http://141.218.60.56/~jnz1568/getInfo.php?workbook=03_02.xlsx&amp;sheet=A0&amp;row=524&amp;col=7&amp;number=75321000&amp;sourceID=15","75321000")</f>
        <v>75321000</v>
      </c>
      <c r="H524" s="4" t="str">
        <f>HYPERLINK("http://141.218.60.56/~jnz1568/getInfo.php?workbook=03_02.xlsx&amp;sheet=A0&amp;row=524&amp;col=8&amp;number=&amp;sourceID=15","")</f>
        <v/>
      </c>
      <c r="I524" s="4" t="str">
        <f>HYPERLINK("http://141.218.60.56/~jnz1568/getInfo.php?workbook=03_02.xlsx&amp;sheet=A0&amp;row=524&amp;col=9&amp;number=&amp;sourceID=15","")</f>
        <v/>
      </c>
      <c r="J524" s="4" t="str">
        <f>HYPERLINK("http://141.218.60.56/~jnz1568/getInfo.php?workbook=03_02.xlsx&amp;sheet=A0&amp;row=524&amp;col=10&amp;number=&amp;sourceID=15","")</f>
        <v/>
      </c>
      <c r="K524" s="4" t="str">
        <f>HYPERLINK("http://141.218.60.56/~jnz1568/getInfo.php?workbook=03_02.xlsx&amp;sheet=A0&amp;row=524&amp;col=11&amp;number=66480000&amp;sourceID=30","66480000")</f>
        <v>66480000</v>
      </c>
      <c r="L524" s="4" t="str">
        <f>HYPERLINK("http://141.218.60.56/~jnz1568/getInfo.php?workbook=03_02.xlsx&amp;sheet=A0&amp;row=524&amp;col=12&amp;number=&amp;sourceID=30","")</f>
        <v/>
      </c>
      <c r="M524" s="4" t="str">
        <f>HYPERLINK("http://141.218.60.56/~jnz1568/getInfo.php?workbook=03_02.xlsx&amp;sheet=A0&amp;row=524&amp;col=13&amp;number=&amp;sourceID=30","")</f>
        <v/>
      </c>
      <c r="N524" s="4" t="str">
        <f>HYPERLINK("http://141.218.60.56/~jnz1568/getInfo.php?workbook=03_02.xlsx&amp;sheet=A0&amp;row=524&amp;col=14&amp;number=0.0003717&amp;sourceID=30","0.0003717")</f>
        <v>0.0003717</v>
      </c>
    </row>
    <row r="525" spans="1:14">
      <c r="A525" s="3">
        <v>3</v>
      </c>
      <c r="B525" s="3">
        <v>2</v>
      </c>
      <c r="C525" s="3">
        <v>37</v>
      </c>
      <c r="D525" s="3">
        <v>5</v>
      </c>
      <c r="E525" s="3">
        <f>((1/(INDEX(E0!J$4:J$52,C525,1)-INDEX(E0!J$4:J$52,D525,1))))*100000000</f>
        <v>0</v>
      </c>
      <c r="F525" s="4" t="str">
        <f>HYPERLINK("http://141.218.60.56/~jnz1568/getInfo.php?workbook=03_02.xlsx&amp;sheet=A0&amp;row=525&amp;col=6&amp;number=&amp;sourceID=27","")</f>
        <v/>
      </c>
      <c r="G525" s="4" t="str">
        <f>HYPERLINK("http://141.218.60.56/~jnz1568/getInfo.php?workbook=03_02.xlsx&amp;sheet=A0&amp;row=525&amp;col=7&amp;number=5021400&amp;sourceID=15","5021400")</f>
        <v>5021400</v>
      </c>
      <c r="H525" s="4" t="str">
        <f>HYPERLINK("http://141.218.60.56/~jnz1568/getInfo.php?workbook=03_02.xlsx&amp;sheet=A0&amp;row=525&amp;col=8&amp;number=&amp;sourceID=15","")</f>
        <v/>
      </c>
      <c r="I525" s="4" t="str">
        <f>HYPERLINK("http://141.218.60.56/~jnz1568/getInfo.php?workbook=03_02.xlsx&amp;sheet=A0&amp;row=525&amp;col=9&amp;number=&amp;sourceID=15","")</f>
        <v/>
      </c>
      <c r="J525" s="4" t="str">
        <f>HYPERLINK("http://141.218.60.56/~jnz1568/getInfo.php?workbook=03_02.xlsx&amp;sheet=A0&amp;row=525&amp;col=10&amp;number=&amp;sourceID=15","")</f>
        <v/>
      </c>
      <c r="K525" s="4" t="str">
        <f>HYPERLINK("http://141.218.60.56/~jnz1568/getInfo.php?workbook=03_02.xlsx&amp;sheet=A0&amp;row=525&amp;col=11&amp;number=4432000&amp;sourceID=30","4432000")</f>
        <v>4432000</v>
      </c>
      <c r="L525" s="4" t="str">
        <f>HYPERLINK("http://141.218.60.56/~jnz1568/getInfo.php?workbook=03_02.xlsx&amp;sheet=A0&amp;row=525&amp;col=12&amp;number=&amp;sourceID=30","")</f>
        <v/>
      </c>
      <c r="M525" s="4" t="str">
        <f>HYPERLINK("http://141.218.60.56/~jnz1568/getInfo.php?workbook=03_02.xlsx&amp;sheet=A0&amp;row=525&amp;col=13&amp;number=&amp;sourceID=30","")</f>
        <v/>
      </c>
      <c r="N525" s="4" t="str">
        <f>HYPERLINK("http://141.218.60.56/~jnz1568/getInfo.php?workbook=03_02.xlsx&amp;sheet=A0&amp;row=525&amp;col=14&amp;number=9.73e-13&amp;sourceID=30","9.73e-13")</f>
        <v>9.73e-13</v>
      </c>
    </row>
    <row r="526" spans="1:14">
      <c r="A526" s="3">
        <v>3</v>
      </c>
      <c r="B526" s="3">
        <v>2</v>
      </c>
      <c r="C526" s="3">
        <v>37</v>
      </c>
      <c r="D526" s="3">
        <v>6</v>
      </c>
      <c r="E526" s="3">
        <f>((1/(INDEX(E0!J$4:J$52,C526,1)-INDEX(E0!J$4:J$52,D526,1))))*100000000</f>
        <v>0</v>
      </c>
      <c r="F526" s="4" t="str">
        <f>HYPERLINK("http://141.218.60.56/~jnz1568/getInfo.php?workbook=03_02.xlsx&amp;sheet=A0&amp;row=526&amp;col=6&amp;number=&amp;sourceID=27","")</f>
        <v/>
      </c>
      <c r="G526" s="4" t="str">
        <f>HYPERLINK("http://141.218.60.56/~jnz1568/getInfo.php?workbook=03_02.xlsx&amp;sheet=A0&amp;row=526&amp;col=7&amp;number=100430000&amp;sourceID=15","100430000")</f>
        <v>100430000</v>
      </c>
      <c r="H526" s="4" t="str">
        <f>HYPERLINK("http://141.218.60.56/~jnz1568/getInfo.php?workbook=03_02.xlsx&amp;sheet=A0&amp;row=526&amp;col=8&amp;number=&amp;sourceID=15","")</f>
        <v/>
      </c>
      <c r="I526" s="4" t="str">
        <f>HYPERLINK("http://141.218.60.56/~jnz1568/getInfo.php?workbook=03_02.xlsx&amp;sheet=A0&amp;row=526&amp;col=9&amp;number=&amp;sourceID=15","")</f>
        <v/>
      </c>
      <c r="J526" s="4" t="str">
        <f>HYPERLINK("http://141.218.60.56/~jnz1568/getInfo.php?workbook=03_02.xlsx&amp;sheet=A0&amp;row=526&amp;col=10&amp;number=&amp;sourceID=15","")</f>
        <v/>
      </c>
      <c r="K526" s="4" t="str">
        <f>HYPERLINK("http://141.218.60.56/~jnz1568/getInfo.php?workbook=03_02.xlsx&amp;sheet=A0&amp;row=526&amp;col=11&amp;number=88650000&amp;sourceID=30","88650000")</f>
        <v>88650000</v>
      </c>
      <c r="L526" s="4" t="str">
        <f>HYPERLINK("http://141.218.60.56/~jnz1568/getInfo.php?workbook=03_02.xlsx&amp;sheet=A0&amp;row=526&amp;col=12&amp;number=&amp;sourceID=30","")</f>
        <v/>
      </c>
      <c r="M526" s="4" t="str">
        <f>HYPERLINK("http://141.218.60.56/~jnz1568/getInfo.php?workbook=03_02.xlsx&amp;sheet=A0&amp;row=526&amp;col=13&amp;number=&amp;sourceID=30","")</f>
        <v/>
      </c>
      <c r="N526" s="4" t="str">
        <f>HYPERLINK("http://141.218.60.56/~jnz1568/getInfo.php?workbook=03_02.xlsx&amp;sheet=A0&amp;row=526&amp;col=14&amp;number=&amp;sourceID=30","")</f>
        <v/>
      </c>
    </row>
    <row r="527" spans="1:14">
      <c r="A527" s="3">
        <v>3</v>
      </c>
      <c r="B527" s="3">
        <v>2</v>
      </c>
      <c r="C527" s="3">
        <v>37</v>
      </c>
      <c r="D527" s="3">
        <v>7</v>
      </c>
      <c r="E527" s="3">
        <f>((1/(INDEX(E0!J$4:J$52,C527,1)-INDEX(E0!J$4:J$52,D527,1))))*100000000</f>
        <v>0</v>
      </c>
      <c r="F527" s="4" t="str">
        <f>HYPERLINK("http://141.218.60.56/~jnz1568/getInfo.php?workbook=03_02.xlsx&amp;sheet=A0&amp;row=527&amp;col=6&amp;number=&amp;sourceID=27","")</f>
        <v/>
      </c>
      <c r="G527" s="4" t="str">
        <f>HYPERLINK("http://141.218.60.56/~jnz1568/getInfo.php?workbook=03_02.xlsx&amp;sheet=A0&amp;row=527&amp;col=7&amp;number=&amp;sourceID=15","")</f>
        <v/>
      </c>
      <c r="H527" s="4" t="str">
        <f>HYPERLINK("http://141.218.60.56/~jnz1568/getInfo.php?workbook=03_02.xlsx&amp;sheet=A0&amp;row=527&amp;col=8&amp;number=&amp;sourceID=15","")</f>
        <v/>
      </c>
      <c r="I527" s="4" t="str">
        <f>HYPERLINK("http://141.218.60.56/~jnz1568/getInfo.php?workbook=03_02.xlsx&amp;sheet=A0&amp;row=527&amp;col=9&amp;number=&amp;sourceID=15","")</f>
        <v/>
      </c>
      <c r="J527" s="4" t="str">
        <f>HYPERLINK("http://141.218.60.56/~jnz1568/getInfo.php?workbook=03_02.xlsx&amp;sheet=A0&amp;row=527&amp;col=10&amp;number=&amp;sourceID=15","")</f>
        <v/>
      </c>
      <c r="K527" s="4" t="str">
        <f>HYPERLINK("http://141.218.60.56/~jnz1568/getInfo.php?workbook=03_02.xlsx&amp;sheet=A0&amp;row=527&amp;col=11&amp;number=28.04&amp;sourceID=30","28.04")</f>
        <v>28.04</v>
      </c>
      <c r="L527" s="4" t="str">
        <f>HYPERLINK("http://141.218.60.56/~jnz1568/getInfo.php?workbook=03_02.xlsx&amp;sheet=A0&amp;row=527&amp;col=12&amp;number=&amp;sourceID=30","")</f>
        <v/>
      </c>
      <c r="M527" s="4" t="str">
        <f>HYPERLINK("http://141.218.60.56/~jnz1568/getInfo.php?workbook=03_02.xlsx&amp;sheet=A0&amp;row=527&amp;col=13&amp;number=&amp;sourceID=30","")</f>
        <v/>
      </c>
      <c r="N527" s="4" t="str">
        <f>HYPERLINK("http://141.218.60.56/~jnz1568/getInfo.php?workbook=03_02.xlsx&amp;sheet=A0&amp;row=527&amp;col=14&amp;number=0.0001773&amp;sourceID=30","0.0001773")</f>
        <v>0.0001773</v>
      </c>
    </row>
    <row r="528" spans="1:14">
      <c r="A528" s="3">
        <v>3</v>
      </c>
      <c r="B528" s="3">
        <v>2</v>
      </c>
      <c r="C528" s="3">
        <v>37</v>
      </c>
      <c r="D528" s="3">
        <v>8</v>
      </c>
      <c r="E528" s="3">
        <f>((1/(INDEX(E0!J$4:J$52,C528,1)-INDEX(E0!J$4:J$52,D528,1))))*100000000</f>
        <v>0</v>
      </c>
      <c r="F528" s="4" t="str">
        <f>HYPERLINK("http://141.218.60.56/~jnz1568/getInfo.php?workbook=03_02.xlsx&amp;sheet=A0&amp;row=528&amp;col=6&amp;number=&amp;sourceID=27","")</f>
        <v/>
      </c>
      <c r="G528" s="4" t="str">
        <f>HYPERLINK("http://141.218.60.56/~jnz1568/getInfo.php?workbook=03_02.xlsx&amp;sheet=A0&amp;row=528&amp;col=7&amp;number=&amp;sourceID=15","")</f>
        <v/>
      </c>
      <c r="H528" s="4" t="str">
        <f>HYPERLINK("http://141.218.60.56/~jnz1568/getInfo.php?workbook=03_02.xlsx&amp;sheet=A0&amp;row=528&amp;col=8&amp;number=&amp;sourceID=15","")</f>
        <v/>
      </c>
      <c r="I528" s="4" t="str">
        <f>HYPERLINK("http://141.218.60.56/~jnz1568/getInfo.php?workbook=03_02.xlsx&amp;sheet=A0&amp;row=528&amp;col=9&amp;number=&amp;sourceID=15","")</f>
        <v/>
      </c>
      <c r="J528" s="4" t="str">
        <f>HYPERLINK("http://141.218.60.56/~jnz1568/getInfo.php?workbook=03_02.xlsx&amp;sheet=A0&amp;row=528&amp;col=10&amp;number=&amp;sourceID=15","")</f>
        <v/>
      </c>
      <c r="K528" s="4" t="str">
        <f>HYPERLINK("http://141.218.60.56/~jnz1568/getInfo.php?workbook=03_02.xlsx&amp;sheet=A0&amp;row=528&amp;col=11&amp;number=&amp;sourceID=30","")</f>
        <v/>
      </c>
      <c r="L528" s="4" t="str">
        <f>HYPERLINK("http://141.218.60.56/~jnz1568/getInfo.php?workbook=03_02.xlsx&amp;sheet=A0&amp;row=528&amp;col=12&amp;number=134.9&amp;sourceID=30","134.9")</f>
        <v>134.9</v>
      </c>
      <c r="M528" s="4" t="str">
        <f>HYPERLINK("http://141.218.60.56/~jnz1568/getInfo.php?workbook=03_02.xlsx&amp;sheet=A0&amp;row=528&amp;col=13&amp;number=2.534e-08&amp;sourceID=30","2.534e-08")</f>
        <v>2.534e-08</v>
      </c>
      <c r="N528" s="4" t="str">
        <f>HYPERLINK("http://141.218.60.56/~jnz1568/getInfo.php?workbook=03_02.xlsx&amp;sheet=A0&amp;row=528&amp;col=14&amp;number=&amp;sourceID=30","")</f>
        <v/>
      </c>
    </row>
    <row r="529" spans="1:14">
      <c r="A529" s="3">
        <v>3</v>
      </c>
      <c r="B529" s="3">
        <v>2</v>
      </c>
      <c r="C529" s="3">
        <v>37</v>
      </c>
      <c r="D529" s="3">
        <v>9</v>
      </c>
      <c r="E529" s="3">
        <f>((1/(INDEX(E0!J$4:J$52,C529,1)-INDEX(E0!J$4:J$52,D529,1))))*100000000</f>
        <v>0</v>
      </c>
      <c r="F529" s="4" t="str">
        <f>HYPERLINK("http://141.218.60.56/~jnz1568/getInfo.php?workbook=03_02.xlsx&amp;sheet=A0&amp;row=529&amp;col=6&amp;number=&amp;sourceID=27","")</f>
        <v/>
      </c>
      <c r="G529" s="4" t="str">
        <f>HYPERLINK("http://141.218.60.56/~jnz1568/getInfo.php?workbook=03_02.xlsx&amp;sheet=A0&amp;row=529&amp;col=7&amp;number=&amp;sourceID=15","")</f>
        <v/>
      </c>
      <c r="H529" s="4" t="str">
        <f>HYPERLINK("http://141.218.60.56/~jnz1568/getInfo.php?workbook=03_02.xlsx&amp;sheet=A0&amp;row=529&amp;col=8&amp;number=&amp;sourceID=15","")</f>
        <v/>
      </c>
      <c r="I529" s="4" t="str">
        <f>HYPERLINK("http://141.218.60.56/~jnz1568/getInfo.php?workbook=03_02.xlsx&amp;sheet=A0&amp;row=529&amp;col=9&amp;number=&amp;sourceID=15","")</f>
        <v/>
      </c>
      <c r="J529" s="4" t="str">
        <f>HYPERLINK("http://141.218.60.56/~jnz1568/getInfo.php?workbook=03_02.xlsx&amp;sheet=A0&amp;row=529&amp;col=10&amp;number=&amp;sourceID=15","")</f>
        <v/>
      </c>
      <c r="K529" s="4" t="str">
        <f>HYPERLINK("http://141.218.60.56/~jnz1568/getInfo.php?workbook=03_02.xlsx&amp;sheet=A0&amp;row=529&amp;col=11&amp;number=&amp;sourceID=30","")</f>
        <v/>
      </c>
      <c r="L529" s="4" t="str">
        <f>HYPERLINK("http://141.218.60.56/~jnz1568/getInfo.php?workbook=03_02.xlsx&amp;sheet=A0&amp;row=529&amp;col=12&amp;number=&amp;sourceID=30","")</f>
        <v/>
      </c>
      <c r="M529" s="4" t="str">
        <f>HYPERLINK("http://141.218.60.56/~jnz1568/getInfo.php?workbook=03_02.xlsx&amp;sheet=A0&amp;row=529&amp;col=13&amp;number=7.027e-11&amp;sourceID=30","7.027e-11")</f>
        <v>7.027e-11</v>
      </c>
      <c r="N529" s="4" t="str">
        <f>HYPERLINK("http://141.218.60.56/~jnz1568/getInfo.php?workbook=03_02.xlsx&amp;sheet=A0&amp;row=529&amp;col=14&amp;number=&amp;sourceID=30","")</f>
        <v/>
      </c>
    </row>
    <row r="530" spans="1:14">
      <c r="A530" s="3">
        <v>3</v>
      </c>
      <c r="B530" s="3">
        <v>2</v>
      </c>
      <c r="C530" s="3">
        <v>37</v>
      </c>
      <c r="D530" s="3">
        <v>10</v>
      </c>
      <c r="E530" s="3">
        <f>((1/(INDEX(E0!J$4:J$52,C530,1)-INDEX(E0!J$4:J$52,D530,1))))*100000000</f>
        <v>0</v>
      </c>
      <c r="F530" s="4" t="str">
        <f>HYPERLINK("http://141.218.60.56/~jnz1568/getInfo.php?workbook=03_02.xlsx&amp;sheet=A0&amp;row=530&amp;col=6&amp;number=&amp;sourceID=27","")</f>
        <v/>
      </c>
      <c r="G530" s="4" t="str">
        <f>HYPERLINK("http://141.218.60.56/~jnz1568/getInfo.php?workbook=03_02.xlsx&amp;sheet=A0&amp;row=530&amp;col=7&amp;number=23222000&amp;sourceID=15","23222000")</f>
        <v>23222000</v>
      </c>
      <c r="H530" s="4" t="str">
        <f>HYPERLINK("http://141.218.60.56/~jnz1568/getInfo.php?workbook=03_02.xlsx&amp;sheet=A0&amp;row=530&amp;col=8&amp;number=&amp;sourceID=15","")</f>
        <v/>
      </c>
      <c r="I530" s="4" t="str">
        <f>HYPERLINK("http://141.218.60.56/~jnz1568/getInfo.php?workbook=03_02.xlsx&amp;sheet=A0&amp;row=530&amp;col=9&amp;number=&amp;sourceID=15","")</f>
        <v/>
      </c>
      <c r="J530" s="4" t="str">
        <f>HYPERLINK("http://141.218.60.56/~jnz1568/getInfo.php?workbook=03_02.xlsx&amp;sheet=A0&amp;row=530&amp;col=10&amp;number=&amp;sourceID=15","")</f>
        <v/>
      </c>
      <c r="K530" s="4" t="str">
        <f>HYPERLINK("http://141.218.60.56/~jnz1568/getInfo.php?workbook=03_02.xlsx&amp;sheet=A0&amp;row=530&amp;col=11&amp;number=22040000&amp;sourceID=30","22040000")</f>
        <v>22040000</v>
      </c>
      <c r="L530" s="4" t="str">
        <f>HYPERLINK("http://141.218.60.56/~jnz1568/getInfo.php?workbook=03_02.xlsx&amp;sheet=A0&amp;row=530&amp;col=12&amp;number=&amp;sourceID=30","")</f>
        <v/>
      </c>
      <c r="M530" s="4" t="str">
        <f>HYPERLINK("http://141.218.60.56/~jnz1568/getInfo.php?workbook=03_02.xlsx&amp;sheet=A0&amp;row=530&amp;col=13&amp;number=&amp;sourceID=30","")</f>
        <v/>
      </c>
      <c r="N530" s="4" t="str">
        <f>HYPERLINK("http://141.218.60.56/~jnz1568/getInfo.php?workbook=03_02.xlsx&amp;sheet=A0&amp;row=530&amp;col=14&amp;number=1.396e-05&amp;sourceID=30","1.396e-05")</f>
        <v>1.396e-05</v>
      </c>
    </row>
    <row r="531" spans="1:14">
      <c r="A531" s="3">
        <v>3</v>
      </c>
      <c r="B531" s="3">
        <v>2</v>
      </c>
      <c r="C531" s="3">
        <v>37</v>
      </c>
      <c r="D531" s="3">
        <v>11</v>
      </c>
      <c r="E531" s="3">
        <f>((1/(INDEX(E0!J$4:J$52,C531,1)-INDEX(E0!J$4:J$52,D531,1))))*100000000</f>
        <v>0</v>
      </c>
      <c r="F531" s="4" t="str">
        <f>HYPERLINK("http://141.218.60.56/~jnz1568/getInfo.php?workbook=03_02.xlsx&amp;sheet=A0&amp;row=531&amp;col=6&amp;number=&amp;sourceID=27","")</f>
        <v/>
      </c>
      <c r="G531" s="4" t="str">
        <f>HYPERLINK("http://141.218.60.56/~jnz1568/getInfo.php?workbook=03_02.xlsx&amp;sheet=A0&amp;row=531&amp;col=7&amp;number=1548100&amp;sourceID=15","1548100")</f>
        <v>1548100</v>
      </c>
      <c r="H531" s="4" t="str">
        <f>HYPERLINK("http://141.218.60.56/~jnz1568/getInfo.php?workbook=03_02.xlsx&amp;sheet=A0&amp;row=531&amp;col=8&amp;number=&amp;sourceID=15","")</f>
        <v/>
      </c>
      <c r="I531" s="4" t="str">
        <f>HYPERLINK("http://141.218.60.56/~jnz1568/getInfo.php?workbook=03_02.xlsx&amp;sheet=A0&amp;row=531&amp;col=9&amp;number=&amp;sourceID=15","")</f>
        <v/>
      </c>
      <c r="J531" s="4" t="str">
        <f>HYPERLINK("http://141.218.60.56/~jnz1568/getInfo.php?workbook=03_02.xlsx&amp;sheet=A0&amp;row=531&amp;col=10&amp;number=&amp;sourceID=15","")</f>
        <v/>
      </c>
      <c r="K531" s="4" t="str">
        <f>HYPERLINK("http://141.218.60.56/~jnz1568/getInfo.php?workbook=03_02.xlsx&amp;sheet=A0&amp;row=531&amp;col=11&amp;number=1469000&amp;sourceID=30","1469000")</f>
        <v>1469000</v>
      </c>
      <c r="L531" s="4" t="str">
        <f>HYPERLINK("http://141.218.60.56/~jnz1568/getInfo.php?workbook=03_02.xlsx&amp;sheet=A0&amp;row=531&amp;col=12&amp;number=&amp;sourceID=30","")</f>
        <v/>
      </c>
      <c r="M531" s="4" t="str">
        <f>HYPERLINK("http://141.218.60.56/~jnz1568/getInfo.php?workbook=03_02.xlsx&amp;sheet=A0&amp;row=531&amp;col=13&amp;number=&amp;sourceID=30","")</f>
        <v/>
      </c>
      <c r="N531" s="4" t="str">
        <f>HYPERLINK("http://141.218.60.56/~jnz1568/getInfo.php?workbook=03_02.xlsx&amp;sheet=A0&amp;row=531&amp;col=14&amp;number=1.8e-14&amp;sourceID=30","1.8e-14")</f>
        <v>1.8e-14</v>
      </c>
    </row>
    <row r="532" spans="1:14">
      <c r="A532" s="3">
        <v>3</v>
      </c>
      <c r="B532" s="3">
        <v>2</v>
      </c>
      <c r="C532" s="3">
        <v>37</v>
      </c>
      <c r="D532" s="3">
        <v>12</v>
      </c>
      <c r="E532" s="3">
        <f>((1/(INDEX(E0!J$4:J$52,C532,1)-INDEX(E0!J$4:J$52,D532,1))))*100000000</f>
        <v>0</v>
      </c>
      <c r="F532" s="4" t="str">
        <f>HYPERLINK("http://141.218.60.56/~jnz1568/getInfo.php?workbook=03_02.xlsx&amp;sheet=A0&amp;row=532&amp;col=6&amp;number=&amp;sourceID=27","")</f>
        <v/>
      </c>
      <c r="G532" s="4" t="str">
        <f>HYPERLINK("http://141.218.60.56/~jnz1568/getInfo.php?workbook=03_02.xlsx&amp;sheet=A0&amp;row=532&amp;col=7&amp;number=30962000&amp;sourceID=15","30962000")</f>
        <v>30962000</v>
      </c>
      <c r="H532" s="4" t="str">
        <f>HYPERLINK("http://141.218.60.56/~jnz1568/getInfo.php?workbook=03_02.xlsx&amp;sheet=A0&amp;row=532&amp;col=8&amp;number=&amp;sourceID=15","")</f>
        <v/>
      </c>
      <c r="I532" s="4" t="str">
        <f>HYPERLINK("http://141.218.60.56/~jnz1568/getInfo.php?workbook=03_02.xlsx&amp;sheet=A0&amp;row=532&amp;col=9&amp;number=&amp;sourceID=15","")</f>
        <v/>
      </c>
      <c r="J532" s="4" t="str">
        <f>HYPERLINK("http://141.218.60.56/~jnz1568/getInfo.php?workbook=03_02.xlsx&amp;sheet=A0&amp;row=532&amp;col=10&amp;number=&amp;sourceID=15","")</f>
        <v/>
      </c>
      <c r="K532" s="4" t="str">
        <f>HYPERLINK("http://141.218.60.56/~jnz1568/getInfo.php?workbook=03_02.xlsx&amp;sheet=A0&amp;row=532&amp;col=11&amp;number=29390000&amp;sourceID=30","29390000")</f>
        <v>29390000</v>
      </c>
      <c r="L532" s="4" t="str">
        <f>HYPERLINK("http://141.218.60.56/~jnz1568/getInfo.php?workbook=03_02.xlsx&amp;sheet=A0&amp;row=532&amp;col=12&amp;number=&amp;sourceID=30","")</f>
        <v/>
      </c>
      <c r="M532" s="4" t="str">
        <f>HYPERLINK("http://141.218.60.56/~jnz1568/getInfo.php?workbook=03_02.xlsx&amp;sheet=A0&amp;row=532&amp;col=13&amp;number=&amp;sourceID=30","")</f>
        <v/>
      </c>
      <c r="N532" s="4" t="str">
        <f>HYPERLINK("http://141.218.60.56/~jnz1568/getInfo.php?workbook=03_02.xlsx&amp;sheet=A0&amp;row=532&amp;col=14&amp;number=&amp;sourceID=30","")</f>
        <v/>
      </c>
    </row>
    <row r="533" spans="1:14">
      <c r="A533" s="3">
        <v>3</v>
      </c>
      <c r="B533" s="3">
        <v>2</v>
      </c>
      <c r="C533" s="3">
        <v>37</v>
      </c>
      <c r="D533" s="3">
        <v>13</v>
      </c>
      <c r="E533" s="3">
        <f>((1/(INDEX(E0!J$4:J$52,C533,1)-INDEX(E0!J$4:J$52,D533,1))))*100000000</f>
        <v>0</v>
      </c>
      <c r="F533" s="4" t="str">
        <f>HYPERLINK("http://141.218.60.56/~jnz1568/getInfo.php?workbook=03_02.xlsx&amp;sheet=A0&amp;row=533&amp;col=6&amp;number=&amp;sourceID=27","")</f>
        <v/>
      </c>
      <c r="G533" s="4" t="str">
        <f>HYPERLINK("http://141.218.60.56/~jnz1568/getInfo.php?workbook=03_02.xlsx&amp;sheet=A0&amp;row=533&amp;col=7&amp;number=&amp;sourceID=15","")</f>
        <v/>
      </c>
      <c r="H533" s="4" t="str">
        <f>HYPERLINK("http://141.218.60.56/~jnz1568/getInfo.php?workbook=03_02.xlsx&amp;sheet=A0&amp;row=533&amp;col=8&amp;number=&amp;sourceID=15","")</f>
        <v/>
      </c>
      <c r="I533" s="4" t="str">
        <f>HYPERLINK("http://141.218.60.56/~jnz1568/getInfo.php?workbook=03_02.xlsx&amp;sheet=A0&amp;row=533&amp;col=9&amp;number=&amp;sourceID=15","")</f>
        <v/>
      </c>
      <c r="J533" s="4" t="str">
        <f>HYPERLINK("http://141.218.60.56/~jnz1568/getInfo.php?workbook=03_02.xlsx&amp;sheet=A0&amp;row=533&amp;col=10&amp;number=&amp;sourceID=15","")</f>
        <v/>
      </c>
      <c r="K533" s="4" t="str">
        <f>HYPERLINK("http://141.218.60.56/~jnz1568/getInfo.php?workbook=03_02.xlsx&amp;sheet=A0&amp;row=533&amp;col=11&amp;number=&amp;sourceID=30","")</f>
        <v/>
      </c>
      <c r="L533" s="4" t="str">
        <f>HYPERLINK("http://141.218.60.56/~jnz1568/getInfo.php?workbook=03_02.xlsx&amp;sheet=A0&amp;row=533&amp;col=12&amp;number=21.14&amp;sourceID=30","21.14")</f>
        <v>21.14</v>
      </c>
      <c r="M533" s="4" t="str">
        <f>HYPERLINK("http://141.218.60.56/~jnz1568/getInfo.php?workbook=03_02.xlsx&amp;sheet=A0&amp;row=533&amp;col=13&amp;number=1.494e-08&amp;sourceID=30","1.494e-08")</f>
        <v>1.494e-08</v>
      </c>
      <c r="N533" s="4" t="str">
        <f>HYPERLINK("http://141.218.60.56/~jnz1568/getInfo.php?workbook=03_02.xlsx&amp;sheet=A0&amp;row=533&amp;col=14&amp;number=&amp;sourceID=30","")</f>
        <v/>
      </c>
    </row>
    <row r="534" spans="1:14">
      <c r="A534" s="3">
        <v>3</v>
      </c>
      <c r="B534" s="3">
        <v>2</v>
      </c>
      <c r="C534" s="3">
        <v>37</v>
      </c>
      <c r="D534" s="3">
        <v>14</v>
      </c>
      <c r="E534" s="3">
        <f>((1/(INDEX(E0!J$4:J$52,C534,1)-INDEX(E0!J$4:J$52,D534,1))))*100000000</f>
        <v>0</v>
      </c>
      <c r="F534" s="4" t="str">
        <f>HYPERLINK("http://141.218.60.56/~jnz1568/getInfo.php?workbook=03_02.xlsx&amp;sheet=A0&amp;row=534&amp;col=6&amp;number=&amp;sourceID=27","")</f>
        <v/>
      </c>
      <c r="G534" s="4" t="str">
        <f>HYPERLINK("http://141.218.60.56/~jnz1568/getInfo.php?workbook=03_02.xlsx&amp;sheet=A0&amp;row=534&amp;col=7&amp;number=&amp;sourceID=15","")</f>
        <v/>
      </c>
      <c r="H534" s="4" t="str">
        <f>HYPERLINK("http://141.218.60.56/~jnz1568/getInfo.php?workbook=03_02.xlsx&amp;sheet=A0&amp;row=534&amp;col=8&amp;number=&amp;sourceID=15","")</f>
        <v/>
      </c>
      <c r="I534" s="4" t="str">
        <f>HYPERLINK("http://141.218.60.56/~jnz1568/getInfo.php?workbook=03_02.xlsx&amp;sheet=A0&amp;row=534&amp;col=9&amp;number=&amp;sourceID=15","")</f>
        <v/>
      </c>
      <c r="J534" s="4" t="str">
        <f>HYPERLINK("http://141.218.60.56/~jnz1568/getInfo.php?workbook=03_02.xlsx&amp;sheet=A0&amp;row=534&amp;col=10&amp;number=&amp;sourceID=15","")</f>
        <v/>
      </c>
      <c r="K534" s="4" t="str">
        <f>HYPERLINK("http://141.218.60.56/~jnz1568/getInfo.php?workbook=03_02.xlsx&amp;sheet=A0&amp;row=534&amp;col=11&amp;number=&amp;sourceID=30","")</f>
        <v/>
      </c>
      <c r="L534" s="4" t="str">
        <f>HYPERLINK("http://141.218.60.56/~jnz1568/getInfo.php?workbook=03_02.xlsx&amp;sheet=A0&amp;row=534&amp;col=12&amp;number=2.417&amp;sourceID=30","2.417")</f>
        <v>2.417</v>
      </c>
      <c r="M534" s="4" t="str">
        <f>HYPERLINK("http://141.218.60.56/~jnz1568/getInfo.php?workbook=03_02.xlsx&amp;sheet=A0&amp;row=534&amp;col=13&amp;number=&amp;sourceID=30","")</f>
        <v/>
      </c>
      <c r="N534" s="4" t="str">
        <f>HYPERLINK("http://141.218.60.56/~jnz1568/getInfo.php?workbook=03_02.xlsx&amp;sheet=A0&amp;row=534&amp;col=14&amp;number=&amp;sourceID=30","")</f>
        <v/>
      </c>
    </row>
    <row r="535" spans="1:14">
      <c r="A535" s="3">
        <v>3</v>
      </c>
      <c r="B535" s="3">
        <v>2</v>
      </c>
      <c r="C535" s="3">
        <v>37</v>
      </c>
      <c r="D535" s="3">
        <v>15</v>
      </c>
      <c r="E535" s="3">
        <f>((1/(INDEX(E0!J$4:J$52,C535,1)-INDEX(E0!J$4:J$52,D535,1))))*100000000</f>
        <v>0</v>
      </c>
      <c r="F535" s="4" t="str">
        <f>HYPERLINK("http://141.218.60.56/~jnz1568/getInfo.php?workbook=03_02.xlsx&amp;sheet=A0&amp;row=535&amp;col=6&amp;number=&amp;sourceID=27","")</f>
        <v/>
      </c>
      <c r="G535" s="4" t="str">
        <f>HYPERLINK("http://141.218.60.56/~jnz1568/getInfo.php?workbook=03_02.xlsx&amp;sheet=A0&amp;row=535&amp;col=7&amp;number=&amp;sourceID=15","")</f>
        <v/>
      </c>
      <c r="H535" s="4" t="str">
        <f>HYPERLINK("http://141.218.60.56/~jnz1568/getInfo.php?workbook=03_02.xlsx&amp;sheet=A0&amp;row=535&amp;col=8&amp;number=&amp;sourceID=15","")</f>
        <v/>
      </c>
      <c r="I535" s="4" t="str">
        <f>HYPERLINK("http://141.218.60.56/~jnz1568/getInfo.php?workbook=03_02.xlsx&amp;sheet=A0&amp;row=535&amp;col=9&amp;number=&amp;sourceID=15","")</f>
        <v/>
      </c>
      <c r="J535" s="4" t="str">
        <f>HYPERLINK("http://141.218.60.56/~jnz1568/getInfo.php?workbook=03_02.xlsx&amp;sheet=A0&amp;row=535&amp;col=10&amp;number=&amp;sourceID=15","")</f>
        <v/>
      </c>
      <c r="K535" s="4" t="str">
        <f>HYPERLINK("http://141.218.60.56/~jnz1568/getInfo.php?workbook=03_02.xlsx&amp;sheet=A0&amp;row=535&amp;col=11&amp;number=&amp;sourceID=30","")</f>
        <v/>
      </c>
      <c r="L535" s="4" t="str">
        <f>HYPERLINK("http://141.218.60.56/~jnz1568/getInfo.php?workbook=03_02.xlsx&amp;sheet=A0&amp;row=535&amp;col=12&amp;number=12.69&amp;sourceID=30","12.69")</f>
        <v>12.69</v>
      </c>
      <c r="M535" s="4" t="str">
        <f>HYPERLINK("http://141.218.60.56/~jnz1568/getInfo.php?workbook=03_02.xlsx&amp;sheet=A0&amp;row=535&amp;col=13&amp;number=1.616e-08&amp;sourceID=30","1.616e-08")</f>
        <v>1.616e-08</v>
      </c>
      <c r="N535" s="4" t="str">
        <f>HYPERLINK("http://141.218.60.56/~jnz1568/getInfo.php?workbook=03_02.xlsx&amp;sheet=A0&amp;row=535&amp;col=14&amp;number=&amp;sourceID=30","")</f>
        <v/>
      </c>
    </row>
    <row r="536" spans="1:14">
      <c r="A536" s="3">
        <v>3</v>
      </c>
      <c r="B536" s="3">
        <v>2</v>
      </c>
      <c r="C536" s="3">
        <v>37</v>
      </c>
      <c r="D536" s="3">
        <v>16</v>
      </c>
      <c r="E536" s="3">
        <f>((1/(INDEX(E0!J$4:J$52,C536,1)-INDEX(E0!J$4:J$52,D536,1))))*100000000</f>
        <v>0</v>
      </c>
      <c r="F536" s="4" t="str">
        <f>HYPERLINK("http://141.218.60.56/~jnz1568/getInfo.php?workbook=03_02.xlsx&amp;sheet=A0&amp;row=536&amp;col=6&amp;number=&amp;sourceID=27","")</f>
        <v/>
      </c>
      <c r="G536" s="4" t="str">
        <f>HYPERLINK("http://141.218.60.56/~jnz1568/getInfo.php?workbook=03_02.xlsx&amp;sheet=A0&amp;row=536&amp;col=7&amp;number=&amp;sourceID=15","")</f>
        <v/>
      </c>
      <c r="H536" s="4" t="str">
        <f>HYPERLINK("http://141.218.60.56/~jnz1568/getInfo.php?workbook=03_02.xlsx&amp;sheet=A0&amp;row=536&amp;col=8&amp;number=&amp;sourceID=15","")</f>
        <v/>
      </c>
      <c r="I536" s="4" t="str">
        <f>HYPERLINK("http://141.218.60.56/~jnz1568/getInfo.php?workbook=03_02.xlsx&amp;sheet=A0&amp;row=536&amp;col=9&amp;number=&amp;sourceID=15","")</f>
        <v/>
      </c>
      <c r="J536" s="4" t="str">
        <f>HYPERLINK("http://141.218.60.56/~jnz1568/getInfo.php?workbook=03_02.xlsx&amp;sheet=A0&amp;row=536&amp;col=10&amp;number=&amp;sourceID=15","")</f>
        <v/>
      </c>
      <c r="K536" s="4" t="str">
        <f>HYPERLINK("http://141.218.60.56/~jnz1568/getInfo.php?workbook=03_02.xlsx&amp;sheet=A0&amp;row=536&amp;col=11&amp;number=&amp;sourceID=30","")</f>
        <v/>
      </c>
      <c r="L536" s="4" t="str">
        <f>HYPERLINK("http://141.218.60.56/~jnz1568/getInfo.php?workbook=03_02.xlsx&amp;sheet=A0&amp;row=536&amp;col=12&amp;number=0.003696&amp;sourceID=30","0.003696")</f>
        <v>0.003696</v>
      </c>
      <c r="M536" s="4" t="str">
        <f>HYPERLINK("http://141.218.60.56/~jnz1568/getInfo.php?workbook=03_02.xlsx&amp;sheet=A0&amp;row=536&amp;col=13&amp;number=1.01e-07&amp;sourceID=30","1.01e-07")</f>
        <v>1.01e-07</v>
      </c>
      <c r="N536" s="4" t="str">
        <f>HYPERLINK("http://141.218.60.56/~jnz1568/getInfo.php?workbook=03_02.xlsx&amp;sheet=A0&amp;row=536&amp;col=14&amp;number=&amp;sourceID=30","")</f>
        <v/>
      </c>
    </row>
    <row r="537" spans="1:14">
      <c r="A537" s="3">
        <v>3</v>
      </c>
      <c r="B537" s="3">
        <v>2</v>
      </c>
      <c r="C537" s="3">
        <v>37</v>
      </c>
      <c r="D537" s="3">
        <v>17</v>
      </c>
      <c r="E537" s="3">
        <f>((1/(INDEX(E0!J$4:J$52,C537,1)-INDEX(E0!J$4:J$52,D537,1))))*100000000</f>
        <v>0</v>
      </c>
      <c r="F537" s="4" t="str">
        <f>HYPERLINK("http://141.218.60.56/~jnz1568/getInfo.php?workbook=03_02.xlsx&amp;sheet=A0&amp;row=537&amp;col=6&amp;number=&amp;sourceID=27","")</f>
        <v/>
      </c>
      <c r="G537" s="4" t="str">
        <f>HYPERLINK("http://141.218.60.56/~jnz1568/getInfo.php?workbook=03_02.xlsx&amp;sheet=A0&amp;row=537&amp;col=7&amp;number=&amp;sourceID=15","")</f>
        <v/>
      </c>
      <c r="H537" s="4" t="str">
        <f>HYPERLINK("http://141.218.60.56/~jnz1568/getInfo.php?workbook=03_02.xlsx&amp;sheet=A0&amp;row=537&amp;col=8&amp;number=&amp;sourceID=15","")</f>
        <v/>
      </c>
      <c r="I537" s="4" t="str">
        <f>HYPERLINK("http://141.218.60.56/~jnz1568/getInfo.php?workbook=03_02.xlsx&amp;sheet=A0&amp;row=537&amp;col=9&amp;number=&amp;sourceID=15","")</f>
        <v/>
      </c>
      <c r="J537" s="4" t="str">
        <f>HYPERLINK("http://141.218.60.56/~jnz1568/getInfo.php?workbook=03_02.xlsx&amp;sheet=A0&amp;row=537&amp;col=10&amp;number=&amp;sourceID=15","")</f>
        <v/>
      </c>
      <c r="K537" s="4" t="str">
        <f>HYPERLINK("http://141.218.60.56/~jnz1568/getInfo.php?workbook=03_02.xlsx&amp;sheet=A0&amp;row=537&amp;col=11&amp;number=9.977&amp;sourceID=30","9.977")</f>
        <v>9.977</v>
      </c>
      <c r="L537" s="4" t="str">
        <f>HYPERLINK("http://141.218.60.56/~jnz1568/getInfo.php?workbook=03_02.xlsx&amp;sheet=A0&amp;row=537&amp;col=12&amp;number=&amp;sourceID=30","")</f>
        <v/>
      </c>
      <c r="M537" s="4" t="str">
        <f>HYPERLINK("http://141.218.60.56/~jnz1568/getInfo.php?workbook=03_02.xlsx&amp;sheet=A0&amp;row=537&amp;col=13&amp;number=&amp;sourceID=30","")</f>
        <v/>
      </c>
      <c r="N537" s="4" t="str">
        <f>HYPERLINK("http://141.218.60.56/~jnz1568/getInfo.php?workbook=03_02.xlsx&amp;sheet=A0&amp;row=537&amp;col=14&amp;number=6.807e-06&amp;sourceID=30","6.807e-06")</f>
        <v>6.807e-06</v>
      </c>
    </row>
    <row r="538" spans="1:14">
      <c r="A538" s="3">
        <v>3</v>
      </c>
      <c r="B538" s="3">
        <v>2</v>
      </c>
      <c r="C538" s="3">
        <v>37</v>
      </c>
      <c r="D538" s="3">
        <v>18</v>
      </c>
      <c r="E538" s="3">
        <f>((1/(INDEX(E0!J$4:J$52,C538,1)-INDEX(E0!J$4:J$52,D538,1))))*100000000</f>
        <v>0</v>
      </c>
      <c r="F538" s="4" t="str">
        <f>HYPERLINK("http://141.218.60.56/~jnz1568/getInfo.php?workbook=03_02.xlsx&amp;sheet=A0&amp;row=538&amp;col=6&amp;number=&amp;sourceID=27","")</f>
        <v/>
      </c>
      <c r="G538" s="4" t="str">
        <f>HYPERLINK("http://141.218.60.56/~jnz1568/getInfo.php?workbook=03_02.xlsx&amp;sheet=A0&amp;row=538&amp;col=7&amp;number=&amp;sourceID=15","")</f>
        <v/>
      </c>
      <c r="H538" s="4" t="str">
        <f>HYPERLINK("http://141.218.60.56/~jnz1568/getInfo.php?workbook=03_02.xlsx&amp;sheet=A0&amp;row=538&amp;col=8&amp;number=&amp;sourceID=15","")</f>
        <v/>
      </c>
      <c r="I538" s="4" t="str">
        <f>HYPERLINK("http://141.218.60.56/~jnz1568/getInfo.php?workbook=03_02.xlsx&amp;sheet=A0&amp;row=538&amp;col=9&amp;number=&amp;sourceID=15","")</f>
        <v/>
      </c>
      <c r="J538" s="4" t="str">
        <f>HYPERLINK("http://141.218.60.56/~jnz1568/getInfo.php?workbook=03_02.xlsx&amp;sheet=A0&amp;row=538&amp;col=10&amp;number=&amp;sourceID=15","")</f>
        <v/>
      </c>
      <c r="K538" s="4" t="str">
        <f>HYPERLINK("http://141.218.60.56/~jnz1568/getInfo.php?workbook=03_02.xlsx&amp;sheet=A0&amp;row=538&amp;col=11&amp;number=&amp;sourceID=30","")</f>
        <v/>
      </c>
      <c r="L538" s="4" t="str">
        <f>HYPERLINK("http://141.218.60.56/~jnz1568/getInfo.php?workbook=03_02.xlsx&amp;sheet=A0&amp;row=538&amp;col=12&amp;number=43.79&amp;sourceID=30","43.79")</f>
        <v>43.79</v>
      </c>
      <c r="M538" s="4" t="str">
        <f>HYPERLINK("http://141.218.60.56/~jnz1568/getInfo.php?workbook=03_02.xlsx&amp;sheet=A0&amp;row=538&amp;col=13&amp;number=1.731e-09&amp;sourceID=30","1.731e-09")</f>
        <v>1.731e-09</v>
      </c>
      <c r="N538" s="4" t="str">
        <f>HYPERLINK("http://141.218.60.56/~jnz1568/getInfo.php?workbook=03_02.xlsx&amp;sheet=A0&amp;row=538&amp;col=14&amp;number=&amp;sourceID=30","")</f>
        <v/>
      </c>
    </row>
    <row r="539" spans="1:14">
      <c r="A539" s="3">
        <v>3</v>
      </c>
      <c r="B539" s="3">
        <v>2</v>
      </c>
      <c r="C539" s="3">
        <v>37</v>
      </c>
      <c r="D539" s="3">
        <v>19</v>
      </c>
      <c r="E539" s="3">
        <f>((1/(INDEX(E0!J$4:J$52,C539,1)-INDEX(E0!J$4:J$52,D539,1))))*100000000</f>
        <v>0</v>
      </c>
      <c r="F539" s="4" t="str">
        <f>HYPERLINK("http://141.218.60.56/~jnz1568/getInfo.php?workbook=03_02.xlsx&amp;sheet=A0&amp;row=539&amp;col=6&amp;number=&amp;sourceID=27","")</f>
        <v/>
      </c>
      <c r="G539" s="4" t="str">
        <f>HYPERLINK("http://141.218.60.56/~jnz1568/getInfo.php?workbook=03_02.xlsx&amp;sheet=A0&amp;row=539&amp;col=7&amp;number=&amp;sourceID=15","")</f>
        <v/>
      </c>
      <c r="H539" s="4" t="str">
        <f>HYPERLINK("http://141.218.60.56/~jnz1568/getInfo.php?workbook=03_02.xlsx&amp;sheet=A0&amp;row=539&amp;col=8&amp;number=&amp;sourceID=15","")</f>
        <v/>
      </c>
      <c r="I539" s="4" t="str">
        <f>HYPERLINK("http://141.218.60.56/~jnz1568/getInfo.php?workbook=03_02.xlsx&amp;sheet=A0&amp;row=539&amp;col=9&amp;number=&amp;sourceID=15","")</f>
        <v/>
      </c>
      <c r="J539" s="4" t="str">
        <f>HYPERLINK("http://141.218.60.56/~jnz1568/getInfo.php?workbook=03_02.xlsx&amp;sheet=A0&amp;row=539&amp;col=10&amp;number=&amp;sourceID=15","")</f>
        <v/>
      </c>
      <c r="K539" s="4" t="str">
        <f>HYPERLINK("http://141.218.60.56/~jnz1568/getInfo.php?workbook=03_02.xlsx&amp;sheet=A0&amp;row=539&amp;col=11&amp;number=&amp;sourceID=30","")</f>
        <v/>
      </c>
      <c r="L539" s="4" t="str">
        <f>HYPERLINK("http://141.218.60.56/~jnz1568/getInfo.php?workbook=03_02.xlsx&amp;sheet=A0&amp;row=539&amp;col=12&amp;number=&amp;sourceID=30","")</f>
        <v/>
      </c>
      <c r="M539" s="4" t="str">
        <f>HYPERLINK("http://141.218.60.56/~jnz1568/getInfo.php?workbook=03_02.xlsx&amp;sheet=A0&amp;row=539&amp;col=13&amp;number=5.339e-12&amp;sourceID=30","5.339e-12")</f>
        <v>5.339e-12</v>
      </c>
      <c r="N539" s="4" t="str">
        <f>HYPERLINK("http://141.218.60.56/~jnz1568/getInfo.php?workbook=03_02.xlsx&amp;sheet=A0&amp;row=539&amp;col=14&amp;number=&amp;sourceID=30","")</f>
        <v/>
      </c>
    </row>
    <row r="540" spans="1:14">
      <c r="A540" s="3">
        <v>3</v>
      </c>
      <c r="B540" s="3">
        <v>2</v>
      </c>
      <c r="C540" s="3">
        <v>37</v>
      </c>
      <c r="D540" s="3">
        <v>20</v>
      </c>
      <c r="E540" s="3">
        <f>((1/(INDEX(E0!J$4:J$52,C540,1)-INDEX(E0!J$4:J$52,D540,1))))*100000000</f>
        <v>0</v>
      </c>
      <c r="F540" s="4" t="str">
        <f>HYPERLINK("http://141.218.60.56/~jnz1568/getInfo.php?workbook=03_02.xlsx&amp;sheet=A0&amp;row=540&amp;col=6&amp;number=&amp;sourceID=27","")</f>
        <v/>
      </c>
      <c r="G540" s="4" t="str">
        <f>HYPERLINK("http://141.218.60.56/~jnz1568/getInfo.php?workbook=03_02.xlsx&amp;sheet=A0&amp;row=540&amp;col=7&amp;number=11796000&amp;sourceID=15","11796000")</f>
        <v>11796000</v>
      </c>
      <c r="H540" s="4" t="str">
        <f>HYPERLINK("http://141.218.60.56/~jnz1568/getInfo.php?workbook=03_02.xlsx&amp;sheet=A0&amp;row=540&amp;col=8&amp;number=&amp;sourceID=15","")</f>
        <v/>
      </c>
      <c r="I540" s="4" t="str">
        <f>HYPERLINK("http://141.218.60.56/~jnz1568/getInfo.php?workbook=03_02.xlsx&amp;sheet=A0&amp;row=540&amp;col=9&amp;number=&amp;sourceID=15","")</f>
        <v/>
      </c>
      <c r="J540" s="4" t="str">
        <f>HYPERLINK("http://141.218.60.56/~jnz1568/getInfo.php?workbook=03_02.xlsx&amp;sheet=A0&amp;row=540&amp;col=10&amp;number=&amp;sourceID=15","")</f>
        <v/>
      </c>
      <c r="K540" s="4" t="str">
        <f>HYPERLINK("http://141.218.60.56/~jnz1568/getInfo.php?workbook=03_02.xlsx&amp;sheet=A0&amp;row=540&amp;col=11&amp;number=11710000&amp;sourceID=30","11710000")</f>
        <v>11710000</v>
      </c>
      <c r="L540" s="4" t="str">
        <f>HYPERLINK("http://141.218.60.56/~jnz1568/getInfo.php?workbook=03_02.xlsx&amp;sheet=A0&amp;row=540&amp;col=12&amp;number=&amp;sourceID=30","")</f>
        <v/>
      </c>
      <c r="M540" s="4" t="str">
        <f>HYPERLINK("http://141.218.60.56/~jnz1568/getInfo.php?workbook=03_02.xlsx&amp;sheet=A0&amp;row=540&amp;col=13&amp;number=&amp;sourceID=30","")</f>
        <v/>
      </c>
      <c r="N540" s="4" t="str">
        <f>HYPERLINK("http://141.218.60.56/~jnz1568/getInfo.php?workbook=03_02.xlsx&amp;sheet=A0&amp;row=540&amp;col=14&amp;number=&amp;sourceID=30","")</f>
        <v/>
      </c>
    </row>
    <row r="541" spans="1:14">
      <c r="A541" s="3">
        <v>3</v>
      </c>
      <c r="B541" s="3">
        <v>2</v>
      </c>
      <c r="C541" s="3">
        <v>37</v>
      </c>
      <c r="D541" s="3">
        <v>21</v>
      </c>
      <c r="E541" s="3">
        <f>((1/(INDEX(E0!J$4:J$52,C541,1)-INDEX(E0!J$4:J$52,D541,1))))*100000000</f>
        <v>0</v>
      </c>
      <c r="F541" s="4" t="str">
        <f>HYPERLINK("http://141.218.60.56/~jnz1568/getInfo.php?workbook=03_02.xlsx&amp;sheet=A0&amp;row=541&amp;col=6&amp;number=&amp;sourceID=27","")</f>
        <v/>
      </c>
      <c r="G541" s="4" t="str">
        <f>HYPERLINK("http://141.218.60.56/~jnz1568/getInfo.php?workbook=03_02.xlsx&amp;sheet=A0&amp;row=541&amp;col=7&amp;number=8847200&amp;sourceID=15","8847200")</f>
        <v>8847200</v>
      </c>
      <c r="H541" s="4" t="str">
        <f>HYPERLINK("http://141.218.60.56/~jnz1568/getInfo.php?workbook=03_02.xlsx&amp;sheet=A0&amp;row=541&amp;col=8&amp;number=&amp;sourceID=15","")</f>
        <v/>
      </c>
      <c r="I541" s="4" t="str">
        <f>HYPERLINK("http://141.218.60.56/~jnz1568/getInfo.php?workbook=03_02.xlsx&amp;sheet=A0&amp;row=541&amp;col=9&amp;number=&amp;sourceID=15","")</f>
        <v/>
      </c>
      <c r="J541" s="4" t="str">
        <f>HYPERLINK("http://141.218.60.56/~jnz1568/getInfo.php?workbook=03_02.xlsx&amp;sheet=A0&amp;row=541&amp;col=10&amp;number=&amp;sourceID=15","")</f>
        <v/>
      </c>
      <c r="K541" s="4" t="str">
        <f>HYPERLINK("http://141.218.60.56/~jnz1568/getInfo.php?workbook=03_02.xlsx&amp;sheet=A0&amp;row=541&amp;col=11&amp;number=8782000&amp;sourceID=30","8782000")</f>
        <v>8782000</v>
      </c>
      <c r="L541" s="4" t="str">
        <f>HYPERLINK("http://141.218.60.56/~jnz1568/getInfo.php?workbook=03_02.xlsx&amp;sheet=A0&amp;row=541&amp;col=12&amp;number=&amp;sourceID=30","")</f>
        <v/>
      </c>
      <c r="M541" s="4" t="str">
        <f>HYPERLINK("http://141.218.60.56/~jnz1568/getInfo.php?workbook=03_02.xlsx&amp;sheet=A0&amp;row=541&amp;col=13&amp;number=&amp;sourceID=30","")</f>
        <v/>
      </c>
      <c r="N541" s="4" t="str">
        <f>HYPERLINK("http://141.218.60.56/~jnz1568/getInfo.php?workbook=03_02.xlsx&amp;sheet=A0&amp;row=541&amp;col=14&amp;number=5.741e-07&amp;sourceID=30","5.741e-07")</f>
        <v>5.741e-07</v>
      </c>
    </row>
    <row r="542" spans="1:14">
      <c r="A542" s="3">
        <v>3</v>
      </c>
      <c r="B542" s="3">
        <v>2</v>
      </c>
      <c r="C542" s="3">
        <v>37</v>
      </c>
      <c r="D542" s="3">
        <v>22</v>
      </c>
      <c r="E542" s="3">
        <f>((1/(INDEX(E0!J$4:J$52,C542,1)-INDEX(E0!J$4:J$52,D542,1))))*100000000</f>
        <v>0</v>
      </c>
      <c r="F542" s="4" t="str">
        <f>HYPERLINK("http://141.218.60.56/~jnz1568/getInfo.php?workbook=03_02.xlsx&amp;sheet=A0&amp;row=542&amp;col=6&amp;number=&amp;sourceID=27","")</f>
        <v/>
      </c>
      <c r="G542" s="4" t="str">
        <f>HYPERLINK("http://141.218.60.56/~jnz1568/getInfo.php?workbook=03_02.xlsx&amp;sheet=A0&amp;row=542&amp;col=7&amp;number=589810&amp;sourceID=15","589810")</f>
        <v>589810</v>
      </c>
      <c r="H542" s="4" t="str">
        <f>HYPERLINK("http://141.218.60.56/~jnz1568/getInfo.php?workbook=03_02.xlsx&amp;sheet=A0&amp;row=542&amp;col=8&amp;number=&amp;sourceID=15","")</f>
        <v/>
      </c>
      <c r="I542" s="4" t="str">
        <f>HYPERLINK("http://141.218.60.56/~jnz1568/getInfo.php?workbook=03_02.xlsx&amp;sheet=A0&amp;row=542&amp;col=9&amp;number=&amp;sourceID=15","")</f>
        <v/>
      </c>
      <c r="J542" s="4" t="str">
        <f>HYPERLINK("http://141.218.60.56/~jnz1568/getInfo.php?workbook=03_02.xlsx&amp;sheet=A0&amp;row=542&amp;col=10&amp;number=&amp;sourceID=15","")</f>
        <v/>
      </c>
      <c r="K542" s="4" t="str">
        <f>HYPERLINK("http://141.218.60.56/~jnz1568/getInfo.php?workbook=03_02.xlsx&amp;sheet=A0&amp;row=542&amp;col=11&amp;number=585400&amp;sourceID=30","585400")</f>
        <v>585400</v>
      </c>
      <c r="L542" s="4" t="str">
        <f>HYPERLINK("http://141.218.60.56/~jnz1568/getInfo.php?workbook=03_02.xlsx&amp;sheet=A0&amp;row=542&amp;col=12&amp;number=&amp;sourceID=30","")</f>
        <v/>
      </c>
      <c r="M542" s="4" t="str">
        <f>HYPERLINK("http://141.218.60.56/~jnz1568/getInfo.php?workbook=03_02.xlsx&amp;sheet=A0&amp;row=542&amp;col=13&amp;number=&amp;sourceID=30","")</f>
        <v/>
      </c>
      <c r="N542" s="4" t="str">
        <f>HYPERLINK("http://141.218.60.56/~jnz1568/getInfo.php?workbook=03_02.xlsx&amp;sheet=A0&amp;row=542&amp;col=14&amp;number=1e-15&amp;sourceID=30","1e-15")</f>
        <v>1e-15</v>
      </c>
    </row>
    <row r="543" spans="1:14">
      <c r="A543" s="3">
        <v>3</v>
      </c>
      <c r="B543" s="3">
        <v>2</v>
      </c>
      <c r="C543" s="3">
        <v>37</v>
      </c>
      <c r="D543" s="3">
        <v>23</v>
      </c>
      <c r="E543" s="3">
        <f>((1/(INDEX(E0!J$4:J$52,C543,1)-INDEX(E0!J$4:J$52,D543,1))))*100000000</f>
        <v>0</v>
      </c>
      <c r="F543" s="4" t="str">
        <f>HYPERLINK("http://141.218.60.56/~jnz1568/getInfo.php?workbook=03_02.xlsx&amp;sheet=A0&amp;row=543&amp;col=6&amp;number=&amp;sourceID=27","")</f>
        <v/>
      </c>
      <c r="G543" s="4" t="str">
        <f>HYPERLINK("http://141.218.60.56/~jnz1568/getInfo.php?workbook=03_02.xlsx&amp;sheet=A0&amp;row=543&amp;col=7&amp;number=&amp;sourceID=15","")</f>
        <v/>
      </c>
      <c r="H543" s="4" t="str">
        <f>HYPERLINK("http://141.218.60.56/~jnz1568/getInfo.php?workbook=03_02.xlsx&amp;sheet=A0&amp;row=543&amp;col=8&amp;number=&amp;sourceID=15","")</f>
        <v/>
      </c>
      <c r="I543" s="4" t="str">
        <f>HYPERLINK("http://141.218.60.56/~jnz1568/getInfo.php?workbook=03_02.xlsx&amp;sheet=A0&amp;row=543&amp;col=9&amp;number=&amp;sourceID=15","")</f>
        <v/>
      </c>
      <c r="J543" s="4" t="str">
        <f>HYPERLINK("http://141.218.60.56/~jnz1568/getInfo.php?workbook=03_02.xlsx&amp;sheet=A0&amp;row=543&amp;col=10&amp;number=&amp;sourceID=15","")</f>
        <v/>
      </c>
      <c r="K543" s="4" t="str">
        <f>HYPERLINK("http://141.218.60.56/~jnz1568/getInfo.php?workbook=03_02.xlsx&amp;sheet=A0&amp;row=543&amp;col=11&amp;number=&amp;sourceID=30","")</f>
        <v/>
      </c>
      <c r="L543" s="4" t="str">
        <f>HYPERLINK("http://141.218.60.56/~jnz1568/getInfo.php?workbook=03_02.xlsx&amp;sheet=A0&amp;row=543&amp;col=12&amp;number=5.949&amp;sourceID=30","5.949")</f>
        <v>5.949</v>
      </c>
      <c r="M543" s="4" t="str">
        <f>HYPERLINK("http://141.218.60.56/~jnz1568/getInfo.php?workbook=03_02.xlsx&amp;sheet=A0&amp;row=543&amp;col=13&amp;number=7.479e-10&amp;sourceID=30","7.479e-10")</f>
        <v>7.479e-10</v>
      </c>
      <c r="N543" s="4" t="str">
        <f>HYPERLINK("http://141.218.60.56/~jnz1568/getInfo.php?workbook=03_02.xlsx&amp;sheet=A0&amp;row=543&amp;col=14&amp;number=&amp;sourceID=30","")</f>
        <v/>
      </c>
    </row>
    <row r="544" spans="1:14">
      <c r="A544" s="3">
        <v>3</v>
      </c>
      <c r="B544" s="3">
        <v>2</v>
      </c>
      <c r="C544" s="3">
        <v>37</v>
      </c>
      <c r="D544" s="3">
        <v>24</v>
      </c>
      <c r="E544" s="3">
        <f>((1/(INDEX(E0!J$4:J$52,C544,1)-INDEX(E0!J$4:J$52,D544,1))))*100000000</f>
        <v>0</v>
      </c>
      <c r="F544" s="4" t="str">
        <f>HYPERLINK("http://141.218.60.56/~jnz1568/getInfo.php?workbook=03_02.xlsx&amp;sheet=A0&amp;row=544&amp;col=6&amp;number=&amp;sourceID=27","")</f>
        <v/>
      </c>
      <c r="G544" s="4" t="str">
        <f>HYPERLINK("http://141.218.60.56/~jnz1568/getInfo.php?workbook=03_02.xlsx&amp;sheet=A0&amp;row=544&amp;col=7&amp;number=&amp;sourceID=15","")</f>
        <v/>
      </c>
      <c r="H544" s="4" t="str">
        <f>HYPERLINK("http://141.218.60.56/~jnz1568/getInfo.php?workbook=03_02.xlsx&amp;sheet=A0&amp;row=544&amp;col=8&amp;number=&amp;sourceID=15","")</f>
        <v/>
      </c>
      <c r="I544" s="4" t="str">
        <f>HYPERLINK("http://141.218.60.56/~jnz1568/getInfo.php?workbook=03_02.xlsx&amp;sheet=A0&amp;row=544&amp;col=9&amp;number=&amp;sourceID=15","")</f>
        <v/>
      </c>
      <c r="J544" s="4" t="str">
        <f>HYPERLINK("http://141.218.60.56/~jnz1568/getInfo.php?workbook=03_02.xlsx&amp;sheet=A0&amp;row=544&amp;col=10&amp;number=&amp;sourceID=15","")</f>
        <v/>
      </c>
      <c r="K544" s="4" t="str">
        <f>HYPERLINK("http://141.218.60.56/~jnz1568/getInfo.php?workbook=03_02.xlsx&amp;sheet=A0&amp;row=544&amp;col=11&amp;number=&amp;sourceID=30","")</f>
        <v/>
      </c>
      <c r="L544" s="4" t="str">
        <f>HYPERLINK("http://141.218.60.56/~jnz1568/getInfo.php?workbook=03_02.xlsx&amp;sheet=A0&amp;row=544&amp;col=12&amp;number=9.915&amp;sourceID=30","9.915")</f>
        <v>9.915</v>
      </c>
      <c r="M544" s="4" t="str">
        <f>HYPERLINK("http://141.218.60.56/~jnz1568/getInfo.php?workbook=03_02.xlsx&amp;sheet=A0&amp;row=544&amp;col=13&amp;number=2.224e-09&amp;sourceID=30","2.224e-09")</f>
        <v>2.224e-09</v>
      </c>
      <c r="N544" s="4" t="str">
        <f>HYPERLINK("http://141.218.60.56/~jnz1568/getInfo.php?workbook=03_02.xlsx&amp;sheet=A0&amp;row=544&amp;col=14&amp;number=&amp;sourceID=30","")</f>
        <v/>
      </c>
    </row>
    <row r="545" spans="1:14">
      <c r="A545" s="3">
        <v>3</v>
      </c>
      <c r="B545" s="3">
        <v>2</v>
      </c>
      <c r="C545" s="3">
        <v>37</v>
      </c>
      <c r="D545" s="3">
        <v>25</v>
      </c>
      <c r="E545" s="3">
        <f>((1/(INDEX(E0!J$4:J$52,C545,1)-INDEX(E0!J$4:J$52,D545,1))))*100000000</f>
        <v>0</v>
      </c>
      <c r="F545" s="4" t="str">
        <f>HYPERLINK("http://141.218.60.56/~jnz1568/getInfo.php?workbook=03_02.xlsx&amp;sheet=A0&amp;row=545&amp;col=6&amp;number=&amp;sourceID=27","")</f>
        <v/>
      </c>
      <c r="G545" s="4" t="str">
        <f>HYPERLINK("http://141.218.60.56/~jnz1568/getInfo.php?workbook=03_02.xlsx&amp;sheet=A0&amp;row=545&amp;col=7&amp;number=&amp;sourceID=15","")</f>
        <v/>
      </c>
      <c r="H545" s="4" t="str">
        <f>HYPERLINK("http://141.218.60.56/~jnz1568/getInfo.php?workbook=03_02.xlsx&amp;sheet=A0&amp;row=545&amp;col=8&amp;number=&amp;sourceID=15","")</f>
        <v/>
      </c>
      <c r="I545" s="4" t="str">
        <f>HYPERLINK("http://141.218.60.56/~jnz1568/getInfo.php?workbook=03_02.xlsx&amp;sheet=A0&amp;row=545&amp;col=9&amp;number=&amp;sourceID=15","")</f>
        <v/>
      </c>
      <c r="J545" s="4" t="str">
        <f>HYPERLINK("http://141.218.60.56/~jnz1568/getInfo.php?workbook=03_02.xlsx&amp;sheet=A0&amp;row=545&amp;col=10&amp;number=&amp;sourceID=15","")</f>
        <v/>
      </c>
      <c r="K545" s="4" t="str">
        <f>HYPERLINK("http://141.218.60.56/~jnz1568/getInfo.php?workbook=03_02.xlsx&amp;sheet=A0&amp;row=545&amp;col=11&amp;number=&amp;sourceID=30","")</f>
        <v/>
      </c>
      <c r="L545" s="4" t="str">
        <f>HYPERLINK("http://141.218.60.56/~jnz1568/getInfo.php?workbook=03_02.xlsx&amp;sheet=A0&amp;row=545&amp;col=12&amp;number=1.133&amp;sourceID=30","1.133")</f>
        <v>1.133</v>
      </c>
      <c r="M545" s="4" t="str">
        <f>HYPERLINK("http://141.218.60.56/~jnz1568/getInfo.php?workbook=03_02.xlsx&amp;sheet=A0&amp;row=545&amp;col=13&amp;number=&amp;sourceID=30","")</f>
        <v/>
      </c>
      <c r="N545" s="4" t="str">
        <f>HYPERLINK("http://141.218.60.56/~jnz1568/getInfo.php?workbook=03_02.xlsx&amp;sheet=A0&amp;row=545&amp;col=14&amp;number=&amp;sourceID=30","")</f>
        <v/>
      </c>
    </row>
    <row r="546" spans="1:14">
      <c r="A546" s="3">
        <v>3</v>
      </c>
      <c r="B546" s="3">
        <v>2</v>
      </c>
      <c r="C546" s="3">
        <v>37</v>
      </c>
      <c r="D546" s="3">
        <v>26</v>
      </c>
      <c r="E546" s="3">
        <f>((1/(INDEX(E0!J$4:J$52,C546,1)-INDEX(E0!J$4:J$52,D546,1))))*100000000</f>
        <v>0</v>
      </c>
      <c r="F546" s="4" t="str">
        <f>HYPERLINK("http://141.218.60.56/~jnz1568/getInfo.php?workbook=03_02.xlsx&amp;sheet=A0&amp;row=546&amp;col=6&amp;number=&amp;sourceID=27","")</f>
        <v/>
      </c>
      <c r="G546" s="4" t="str">
        <f>HYPERLINK("http://141.218.60.56/~jnz1568/getInfo.php?workbook=03_02.xlsx&amp;sheet=A0&amp;row=546&amp;col=7&amp;number=&amp;sourceID=15","")</f>
        <v/>
      </c>
      <c r="H546" s="4" t="str">
        <f>HYPERLINK("http://141.218.60.56/~jnz1568/getInfo.php?workbook=03_02.xlsx&amp;sheet=A0&amp;row=546&amp;col=8&amp;number=&amp;sourceID=15","")</f>
        <v/>
      </c>
      <c r="I546" s="4" t="str">
        <f>HYPERLINK("http://141.218.60.56/~jnz1568/getInfo.php?workbook=03_02.xlsx&amp;sheet=A0&amp;row=546&amp;col=9&amp;number=&amp;sourceID=15","")</f>
        <v/>
      </c>
      <c r="J546" s="4" t="str">
        <f>HYPERLINK("http://141.218.60.56/~jnz1568/getInfo.php?workbook=03_02.xlsx&amp;sheet=A0&amp;row=546&amp;col=10&amp;number=&amp;sourceID=15","")</f>
        <v/>
      </c>
      <c r="K546" s="4" t="str">
        <f>HYPERLINK("http://141.218.60.56/~jnz1568/getInfo.php?workbook=03_02.xlsx&amp;sheet=A0&amp;row=546&amp;col=11&amp;number=&amp;sourceID=30","")</f>
        <v/>
      </c>
      <c r="L546" s="4" t="str">
        <f>HYPERLINK("http://141.218.60.56/~jnz1568/getInfo.php?workbook=03_02.xlsx&amp;sheet=A0&amp;row=546&amp;col=12&amp;number=0.0009497&amp;sourceID=30","0.0009497")</f>
        <v>0.0009497</v>
      </c>
      <c r="M546" s="4" t="str">
        <f>HYPERLINK("http://141.218.60.56/~jnz1568/getInfo.php?workbook=03_02.xlsx&amp;sheet=A0&amp;row=546&amp;col=13&amp;number=1.41e-08&amp;sourceID=30","1.41e-08")</f>
        <v>1.41e-08</v>
      </c>
      <c r="N546" s="4" t="str">
        <f>HYPERLINK("http://141.218.60.56/~jnz1568/getInfo.php?workbook=03_02.xlsx&amp;sheet=A0&amp;row=546&amp;col=14&amp;number=&amp;sourceID=30","")</f>
        <v/>
      </c>
    </row>
    <row r="547" spans="1:14">
      <c r="A547" s="3">
        <v>3</v>
      </c>
      <c r="B547" s="3">
        <v>2</v>
      </c>
      <c r="C547" s="3">
        <v>37</v>
      </c>
      <c r="D547" s="3">
        <v>27</v>
      </c>
      <c r="E547" s="3">
        <f>((1/(INDEX(E0!J$4:J$52,C547,1)-INDEX(E0!J$4:J$52,D547,1))))*100000000</f>
        <v>0</v>
      </c>
      <c r="F547" s="4" t="str">
        <f>HYPERLINK("http://141.218.60.56/~jnz1568/getInfo.php?workbook=03_02.xlsx&amp;sheet=A0&amp;row=547&amp;col=6&amp;number=&amp;sourceID=27","")</f>
        <v/>
      </c>
      <c r="G547" s="4" t="str">
        <f>HYPERLINK("http://141.218.60.56/~jnz1568/getInfo.php?workbook=03_02.xlsx&amp;sheet=A0&amp;row=547&amp;col=7&amp;number=831130&amp;sourceID=15","831130")</f>
        <v>831130</v>
      </c>
      <c r="H547" s="4" t="str">
        <f>HYPERLINK("http://141.218.60.56/~jnz1568/getInfo.php?workbook=03_02.xlsx&amp;sheet=A0&amp;row=547&amp;col=8&amp;number=&amp;sourceID=15","")</f>
        <v/>
      </c>
      <c r="I547" s="4" t="str">
        <f>HYPERLINK("http://141.218.60.56/~jnz1568/getInfo.php?workbook=03_02.xlsx&amp;sheet=A0&amp;row=547&amp;col=9&amp;number=&amp;sourceID=15","")</f>
        <v/>
      </c>
      <c r="J547" s="4" t="str">
        <f>HYPERLINK("http://141.218.60.56/~jnz1568/getInfo.php?workbook=03_02.xlsx&amp;sheet=A0&amp;row=547&amp;col=10&amp;number=&amp;sourceID=15","")</f>
        <v/>
      </c>
      <c r="K547" s="4" t="str">
        <f>HYPERLINK("http://141.218.60.56/~jnz1568/getInfo.php?workbook=03_02.xlsx&amp;sheet=A0&amp;row=547&amp;col=11&amp;number=820400&amp;sourceID=30","820400")</f>
        <v>820400</v>
      </c>
      <c r="L547" s="4" t="str">
        <f>HYPERLINK("http://141.218.60.56/~jnz1568/getInfo.php?workbook=03_02.xlsx&amp;sheet=A0&amp;row=547&amp;col=12&amp;number=&amp;sourceID=30","")</f>
        <v/>
      </c>
      <c r="M547" s="4" t="str">
        <f>HYPERLINK("http://141.218.60.56/~jnz1568/getInfo.php?workbook=03_02.xlsx&amp;sheet=A0&amp;row=547&amp;col=13&amp;number=&amp;sourceID=30","")</f>
        <v/>
      </c>
      <c r="N547" s="4" t="str">
        <f>HYPERLINK("http://141.218.60.56/~jnz1568/getInfo.php?workbook=03_02.xlsx&amp;sheet=A0&amp;row=547&amp;col=14&amp;number=1.633e-07&amp;sourceID=30","1.633e-07")</f>
        <v>1.633e-07</v>
      </c>
    </row>
    <row r="548" spans="1:14">
      <c r="A548" s="3">
        <v>3</v>
      </c>
      <c r="B548" s="3">
        <v>2</v>
      </c>
      <c r="C548" s="3">
        <v>37</v>
      </c>
      <c r="D548" s="3">
        <v>28</v>
      </c>
      <c r="E548" s="3">
        <f>((1/(INDEX(E0!J$4:J$52,C548,1)-INDEX(E0!J$4:J$52,D548,1))))*100000000</f>
        <v>0</v>
      </c>
      <c r="F548" s="4" t="str">
        <f>HYPERLINK("http://141.218.60.56/~jnz1568/getInfo.php?workbook=03_02.xlsx&amp;sheet=A0&amp;row=548&amp;col=6&amp;number=&amp;sourceID=27","")</f>
        <v/>
      </c>
      <c r="G548" s="4" t="str">
        <f>HYPERLINK("http://141.218.60.56/~jnz1568/getInfo.php?workbook=03_02.xlsx&amp;sheet=A0&amp;row=548&amp;col=7&amp;number=&amp;sourceID=15","")</f>
        <v/>
      </c>
      <c r="H548" s="4" t="str">
        <f>HYPERLINK("http://141.218.60.56/~jnz1568/getInfo.php?workbook=03_02.xlsx&amp;sheet=A0&amp;row=548&amp;col=8&amp;number=&amp;sourceID=15","")</f>
        <v/>
      </c>
      <c r="I548" s="4" t="str">
        <f>HYPERLINK("http://141.218.60.56/~jnz1568/getInfo.php?workbook=03_02.xlsx&amp;sheet=A0&amp;row=548&amp;col=9&amp;number=&amp;sourceID=15","")</f>
        <v/>
      </c>
      <c r="J548" s="4" t="str">
        <f>HYPERLINK("http://141.218.60.56/~jnz1568/getInfo.php?workbook=03_02.xlsx&amp;sheet=A0&amp;row=548&amp;col=10&amp;number=&amp;sourceID=15","")</f>
        <v/>
      </c>
      <c r="K548" s="4" t="str">
        <f>HYPERLINK("http://141.218.60.56/~jnz1568/getInfo.php?workbook=03_02.xlsx&amp;sheet=A0&amp;row=548&amp;col=11&amp;number=&amp;sourceID=30","")</f>
        <v/>
      </c>
      <c r="L548" s="4" t="str">
        <f>HYPERLINK("http://141.218.60.56/~jnz1568/getInfo.php?workbook=03_02.xlsx&amp;sheet=A0&amp;row=548&amp;col=12&amp;number=&amp;sourceID=30","")</f>
        <v/>
      </c>
      <c r="M548" s="4" t="str">
        <f>HYPERLINK("http://141.218.60.56/~jnz1568/getInfo.php?workbook=03_02.xlsx&amp;sheet=A0&amp;row=548&amp;col=13&amp;number=&amp;sourceID=30","")</f>
        <v/>
      </c>
      <c r="N548" s="4" t="str">
        <f>HYPERLINK("http://141.218.60.56/~jnz1568/getInfo.php?workbook=03_02.xlsx&amp;sheet=A0&amp;row=548&amp;col=14&amp;number=5.03e-09&amp;sourceID=30","5.03e-09")</f>
        <v>5.03e-09</v>
      </c>
    </row>
    <row r="549" spans="1:14">
      <c r="A549" s="3">
        <v>3</v>
      </c>
      <c r="B549" s="3">
        <v>2</v>
      </c>
      <c r="C549" s="3">
        <v>37</v>
      </c>
      <c r="D549" s="3">
        <v>30</v>
      </c>
      <c r="E549" s="3">
        <f>((1/(INDEX(E0!J$4:J$52,C549,1)-INDEX(E0!J$4:J$52,D549,1))))*100000000</f>
        <v>0</v>
      </c>
      <c r="F549" s="4" t="str">
        <f>HYPERLINK("http://141.218.60.56/~jnz1568/getInfo.php?workbook=03_02.xlsx&amp;sheet=A0&amp;row=549&amp;col=6&amp;number=&amp;sourceID=27","")</f>
        <v/>
      </c>
      <c r="G549" s="4" t="str">
        <f>HYPERLINK("http://141.218.60.56/~jnz1568/getInfo.php?workbook=03_02.xlsx&amp;sheet=A0&amp;row=549&amp;col=7&amp;number=&amp;sourceID=15","")</f>
        <v/>
      </c>
      <c r="H549" s="4" t="str">
        <f>HYPERLINK("http://141.218.60.56/~jnz1568/getInfo.php?workbook=03_02.xlsx&amp;sheet=A0&amp;row=549&amp;col=8&amp;number=&amp;sourceID=15","")</f>
        <v/>
      </c>
      <c r="I549" s="4" t="str">
        <f>HYPERLINK("http://141.218.60.56/~jnz1568/getInfo.php?workbook=03_02.xlsx&amp;sheet=A0&amp;row=549&amp;col=9&amp;number=&amp;sourceID=15","")</f>
        <v/>
      </c>
      <c r="J549" s="4" t="str">
        <f>HYPERLINK("http://141.218.60.56/~jnz1568/getInfo.php?workbook=03_02.xlsx&amp;sheet=A0&amp;row=549&amp;col=10&amp;number=&amp;sourceID=15","")</f>
        <v/>
      </c>
      <c r="K549" s="4" t="str">
        <f>HYPERLINK("http://141.218.60.56/~jnz1568/getInfo.php?workbook=03_02.xlsx&amp;sheet=A0&amp;row=549&amp;col=11&amp;number=&amp;sourceID=30","")</f>
        <v/>
      </c>
      <c r="L549" s="4" t="str">
        <f>HYPERLINK("http://141.218.60.56/~jnz1568/getInfo.php?workbook=03_02.xlsx&amp;sheet=A0&amp;row=549&amp;col=12&amp;number=&amp;sourceID=30","")</f>
        <v/>
      </c>
      <c r="M549" s="4" t="str">
        <f>HYPERLINK("http://141.218.60.56/~jnz1568/getInfo.php?workbook=03_02.xlsx&amp;sheet=A0&amp;row=549&amp;col=13&amp;number=&amp;sourceID=30","")</f>
        <v/>
      </c>
      <c r="N549" s="4" t="str">
        <f>HYPERLINK("http://141.218.60.56/~jnz1568/getInfo.php?workbook=03_02.xlsx&amp;sheet=A0&amp;row=549&amp;col=14&amp;number=4e-07&amp;sourceID=30","4e-07")</f>
        <v>4e-07</v>
      </c>
    </row>
    <row r="550" spans="1:14">
      <c r="A550" s="3">
        <v>3</v>
      </c>
      <c r="B550" s="3">
        <v>2</v>
      </c>
      <c r="C550" s="3">
        <v>37</v>
      </c>
      <c r="D550" s="3">
        <v>31</v>
      </c>
      <c r="E550" s="3">
        <f>((1/(INDEX(E0!J$4:J$52,C550,1)-INDEX(E0!J$4:J$52,D550,1))))*100000000</f>
        <v>0</v>
      </c>
      <c r="F550" s="4" t="str">
        <f>HYPERLINK("http://141.218.60.56/~jnz1568/getInfo.php?workbook=03_02.xlsx&amp;sheet=A0&amp;row=550&amp;col=6&amp;number=&amp;sourceID=27","")</f>
        <v/>
      </c>
      <c r="G550" s="4" t="str">
        <f>HYPERLINK("http://141.218.60.56/~jnz1568/getInfo.php?workbook=03_02.xlsx&amp;sheet=A0&amp;row=550&amp;col=7&amp;number=&amp;sourceID=15","")</f>
        <v/>
      </c>
      <c r="H550" s="4" t="str">
        <f>HYPERLINK("http://141.218.60.56/~jnz1568/getInfo.php?workbook=03_02.xlsx&amp;sheet=A0&amp;row=550&amp;col=8&amp;number=&amp;sourceID=15","")</f>
        <v/>
      </c>
      <c r="I550" s="4" t="str">
        <f>HYPERLINK("http://141.218.60.56/~jnz1568/getInfo.php?workbook=03_02.xlsx&amp;sheet=A0&amp;row=550&amp;col=9&amp;number=&amp;sourceID=15","")</f>
        <v/>
      </c>
      <c r="J550" s="4" t="str">
        <f>HYPERLINK("http://141.218.60.56/~jnz1568/getInfo.php?workbook=03_02.xlsx&amp;sheet=A0&amp;row=550&amp;col=10&amp;number=&amp;sourceID=15","")</f>
        <v/>
      </c>
      <c r="K550" s="4" t="str">
        <f>HYPERLINK("http://141.218.60.56/~jnz1568/getInfo.php?workbook=03_02.xlsx&amp;sheet=A0&amp;row=550&amp;col=11&amp;number=4.503&amp;sourceID=30","4.503")</f>
        <v>4.503</v>
      </c>
      <c r="L550" s="4" t="str">
        <f>HYPERLINK("http://141.218.60.56/~jnz1568/getInfo.php?workbook=03_02.xlsx&amp;sheet=A0&amp;row=550&amp;col=12&amp;number=&amp;sourceID=30","")</f>
        <v/>
      </c>
      <c r="M550" s="4" t="str">
        <f>HYPERLINK("http://141.218.60.56/~jnz1568/getInfo.php?workbook=03_02.xlsx&amp;sheet=A0&amp;row=550&amp;col=13&amp;number=&amp;sourceID=30","")</f>
        <v/>
      </c>
      <c r="N550" s="4" t="str">
        <f>HYPERLINK("http://141.218.60.56/~jnz1568/getInfo.php?workbook=03_02.xlsx&amp;sheet=A0&amp;row=550&amp;col=14&amp;number=2.89e-07&amp;sourceID=30","2.89e-07")</f>
        <v>2.89e-07</v>
      </c>
    </row>
    <row r="551" spans="1:14">
      <c r="A551" s="3">
        <v>3</v>
      </c>
      <c r="B551" s="3">
        <v>2</v>
      </c>
      <c r="C551" s="3">
        <v>37</v>
      </c>
      <c r="D551" s="3">
        <v>32</v>
      </c>
      <c r="E551" s="3">
        <f>((1/(INDEX(E0!J$4:J$52,C551,1)-INDEX(E0!J$4:J$52,D551,1))))*100000000</f>
        <v>0</v>
      </c>
      <c r="F551" s="4" t="str">
        <f>HYPERLINK("http://141.218.60.56/~jnz1568/getInfo.php?workbook=03_02.xlsx&amp;sheet=A0&amp;row=551&amp;col=6&amp;number=&amp;sourceID=27","")</f>
        <v/>
      </c>
      <c r="G551" s="4" t="str">
        <f>HYPERLINK("http://141.218.60.56/~jnz1568/getInfo.php?workbook=03_02.xlsx&amp;sheet=A0&amp;row=551&amp;col=7&amp;number=&amp;sourceID=15","")</f>
        <v/>
      </c>
      <c r="H551" s="4" t="str">
        <f>HYPERLINK("http://141.218.60.56/~jnz1568/getInfo.php?workbook=03_02.xlsx&amp;sheet=A0&amp;row=551&amp;col=8&amp;number=&amp;sourceID=15","")</f>
        <v/>
      </c>
      <c r="I551" s="4" t="str">
        <f>HYPERLINK("http://141.218.60.56/~jnz1568/getInfo.php?workbook=03_02.xlsx&amp;sheet=A0&amp;row=551&amp;col=9&amp;number=&amp;sourceID=15","")</f>
        <v/>
      </c>
      <c r="J551" s="4" t="str">
        <f>HYPERLINK("http://141.218.60.56/~jnz1568/getInfo.php?workbook=03_02.xlsx&amp;sheet=A0&amp;row=551&amp;col=10&amp;number=&amp;sourceID=15","")</f>
        <v/>
      </c>
      <c r="K551" s="4" t="str">
        <f>HYPERLINK("http://141.218.60.56/~jnz1568/getInfo.php?workbook=03_02.xlsx&amp;sheet=A0&amp;row=551&amp;col=11&amp;number=&amp;sourceID=30","")</f>
        <v/>
      </c>
      <c r="L551" s="4" t="str">
        <f>HYPERLINK("http://141.218.60.56/~jnz1568/getInfo.php?workbook=03_02.xlsx&amp;sheet=A0&amp;row=551&amp;col=12&amp;number=0.009586&amp;sourceID=30","0.009586")</f>
        <v>0.009586</v>
      </c>
      <c r="M551" s="4" t="str">
        <f>HYPERLINK("http://141.218.60.56/~jnz1568/getInfo.php?workbook=03_02.xlsx&amp;sheet=A0&amp;row=551&amp;col=13&amp;number=5.967e-11&amp;sourceID=30","5.967e-11")</f>
        <v>5.967e-11</v>
      </c>
      <c r="N551" s="4" t="str">
        <f>HYPERLINK("http://141.218.60.56/~jnz1568/getInfo.php?workbook=03_02.xlsx&amp;sheet=A0&amp;row=551&amp;col=14&amp;number=&amp;sourceID=30","")</f>
        <v/>
      </c>
    </row>
    <row r="552" spans="1:14">
      <c r="A552" s="3">
        <v>3</v>
      </c>
      <c r="B552" s="3">
        <v>2</v>
      </c>
      <c r="C552" s="3">
        <v>37</v>
      </c>
      <c r="D552" s="3">
        <v>34</v>
      </c>
      <c r="E552" s="3">
        <f>((1/(INDEX(E0!J$4:J$52,C552,1)-INDEX(E0!J$4:J$52,D552,1))))*100000000</f>
        <v>0</v>
      </c>
      <c r="F552" s="4" t="str">
        <f>HYPERLINK("http://141.218.60.56/~jnz1568/getInfo.php?workbook=03_02.xlsx&amp;sheet=A0&amp;row=552&amp;col=6&amp;number=&amp;sourceID=27","")</f>
        <v/>
      </c>
      <c r="G552" s="4" t="str">
        <f>HYPERLINK("http://141.218.60.56/~jnz1568/getInfo.php?workbook=03_02.xlsx&amp;sheet=A0&amp;row=552&amp;col=7&amp;number=6778.6&amp;sourceID=15","6778.6")</f>
        <v>6778.6</v>
      </c>
      <c r="H552" s="4" t="str">
        <f>HYPERLINK("http://141.218.60.56/~jnz1568/getInfo.php?workbook=03_02.xlsx&amp;sheet=A0&amp;row=552&amp;col=8&amp;number=&amp;sourceID=15","")</f>
        <v/>
      </c>
      <c r="I552" s="4" t="str">
        <f>HYPERLINK("http://141.218.60.56/~jnz1568/getInfo.php?workbook=03_02.xlsx&amp;sheet=A0&amp;row=552&amp;col=9&amp;number=&amp;sourceID=15","")</f>
        <v/>
      </c>
      <c r="J552" s="4" t="str">
        <f>HYPERLINK("http://141.218.60.56/~jnz1568/getInfo.php?workbook=03_02.xlsx&amp;sheet=A0&amp;row=552&amp;col=10&amp;number=&amp;sourceID=15","")</f>
        <v/>
      </c>
      <c r="K552" s="4" t="str">
        <f>HYPERLINK("http://141.218.60.56/~jnz1568/getInfo.php?workbook=03_02.xlsx&amp;sheet=A0&amp;row=552&amp;col=11&amp;number=4791&amp;sourceID=30","4791")</f>
        <v>4791</v>
      </c>
      <c r="L552" s="4" t="str">
        <f>HYPERLINK("http://141.218.60.56/~jnz1568/getInfo.php?workbook=03_02.xlsx&amp;sheet=A0&amp;row=552&amp;col=12&amp;number=&amp;sourceID=30","")</f>
        <v/>
      </c>
      <c r="M552" s="4" t="str">
        <f>HYPERLINK("http://141.218.60.56/~jnz1568/getInfo.php?workbook=03_02.xlsx&amp;sheet=A0&amp;row=552&amp;col=13&amp;number=&amp;sourceID=30","")</f>
        <v/>
      </c>
      <c r="N552" s="4" t="str">
        <f>HYPERLINK("http://141.218.60.56/~jnz1568/getInfo.php?workbook=03_02.xlsx&amp;sheet=A0&amp;row=552&amp;col=14&amp;number=&amp;sourceID=30","")</f>
        <v/>
      </c>
    </row>
    <row r="553" spans="1:14">
      <c r="A553" s="3">
        <v>3</v>
      </c>
      <c r="B553" s="3">
        <v>2</v>
      </c>
      <c r="C553" s="3">
        <v>37</v>
      </c>
      <c r="D553" s="3">
        <v>35</v>
      </c>
      <c r="E553" s="3">
        <f>((1/(INDEX(E0!J$4:J$52,C553,1)-INDEX(E0!J$4:J$52,D553,1))))*100000000</f>
        <v>0</v>
      </c>
      <c r="F553" s="4" t="str">
        <f>HYPERLINK("http://141.218.60.56/~jnz1568/getInfo.php?workbook=03_02.xlsx&amp;sheet=A0&amp;row=553&amp;col=6&amp;number=&amp;sourceID=27","")</f>
        <v/>
      </c>
      <c r="G553" s="4" t="str">
        <f>HYPERLINK("http://141.218.60.56/~jnz1568/getInfo.php?workbook=03_02.xlsx&amp;sheet=A0&amp;row=553&amp;col=7&amp;number=5083.9&amp;sourceID=15","5083.9")</f>
        <v>5083.9</v>
      </c>
      <c r="H553" s="4" t="str">
        <f>HYPERLINK("http://141.218.60.56/~jnz1568/getInfo.php?workbook=03_02.xlsx&amp;sheet=A0&amp;row=553&amp;col=8&amp;number=&amp;sourceID=15","")</f>
        <v/>
      </c>
      <c r="I553" s="4" t="str">
        <f>HYPERLINK("http://141.218.60.56/~jnz1568/getInfo.php?workbook=03_02.xlsx&amp;sheet=A0&amp;row=553&amp;col=9&amp;number=&amp;sourceID=15","")</f>
        <v/>
      </c>
      <c r="J553" s="4" t="str">
        <f>HYPERLINK("http://141.218.60.56/~jnz1568/getInfo.php?workbook=03_02.xlsx&amp;sheet=A0&amp;row=553&amp;col=10&amp;number=&amp;sourceID=15","")</f>
        <v/>
      </c>
      <c r="K553" s="4" t="str">
        <f>HYPERLINK("http://141.218.60.56/~jnz1568/getInfo.php?workbook=03_02.xlsx&amp;sheet=A0&amp;row=553&amp;col=11&amp;number=3601&amp;sourceID=30","3601")</f>
        <v>3601</v>
      </c>
      <c r="L553" s="4" t="str">
        <f>HYPERLINK("http://141.218.60.56/~jnz1568/getInfo.php?workbook=03_02.xlsx&amp;sheet=A0&amp;row=553&amp;col=12&amp;number=&amp;sourceID=30","")</f>
        <v/>
      </c>
      <c r="M553" s="4" t="str">
        <f>HYPERLINK("http://141.218.60.56/~jnz1568/getInfo.php?workbook=03_02.xlsx&amp;sheet=A0&amp;row=553&amp;col=13&amp;number=&amp;sourceID=30","")</f>
        <v/>
      </c>
      <c r="N553" s="4" t="str">
        <f>HYPERLINK("http://141.218.60.56/~jnz1568/getInfo.php?workbook=03_02.xlsx&amp;sheet=A0&amp;row=553&amp;col=14&amp;number=2.29e-13&amp;sourceID=30","2.29e-13")</f>
        <v>2.29e-13</v>
      </c>
    </row>
    <row r="554" spans="1:14">
      <c r="A554" s="3">
        <v>3</v>
      </c>
      <c r="B554" s="3">
        <v>2</v>
      </c>
      <c r="C554" s="3">
        <v>37</v>
      </c>
      <c r="D554" s="3">
        <v>36</v>
      </c>
      <c r="E554" s="3">
        <f>((1/(INDEX(E0!J$4:J$52,C554,1)-INDEX(E0!J$4:J$52,D554,1))))*100000000</f>
        <v>0</v>
      </c>
      <c r="F554" s="4" t="str">
        <f>HYPERLINK("http://141.218.60.56/~jnz1568/getInfo.php?workbook=03_02.xlsx&amp;sheet=A0&amp;row=554&amp;col=6&amp;number=&amp;sourceID=27","")</f>
        <v/>
      </c>
      <c r="G554" s="4" t="str">
        <f>HYPERLINK("http://141.218.60.56/~jnz1568/getInfo.php?workbook=03_02.xlsx&amp;sheet=A0&amp;row=554&amp;col=7&amp;number=338.93&amp;sourceID=15","338.93")</f>
        <v>338.93</v>
      </c>
      <c r="H554" s="4" t="str">
        <f>HYPERLINK("http://141.218.60.56/~jnz1568/getInfo.php?workbook=03_02.xlsx&amp;sheet=A0&amp;row=554&amp;col=8&amp;number=&amp;sourceID=15","")</f>
        <v/>
      </c>
      <c r="I554" s="4" t="str">
        <f>HYPERLINK("http://141.218.60.56/~jnz1568/getInfo.php?workbook=03_02.xlsx&amp;sheet=A0&amp;row=554&amp;col=9&amp;number=&amp;sourceID=15","")</f>
        <v/>
      </c>
      <c r="J554" s="4" t="str">
        <f>HYPERLINK("http://141.218.60.56/~jnz1568/getInfo.php?workbook=03_02.xlsx&amp;sheet=A0&amp;row=554&amp;col=10&amp;number=&amp;sourceID=15","")</f>
        <v/>
      </c>
      <c r="K554" s="4" t="str">
        <f>HYPERLINK("http://141.218.60.56/~jnz1568/getInfo.php?workbook=03_02.xlsx&amp;sheet=A0&amp;row=554&amp;col=11&amp;number=239.7&amp;sourceID=30","239.7")</f>
        <v>239.7</v>
      </c>
      <c r="L554" s="4" t="str">
        <f>HYPERLINK("http://141.218.60.56/~jnz1568/getInfo.php?workbook=03_02.xlsx&amp;sheet=A0&amp;row=554&amp;col=12&amp;number=&amp;sourceID=30","")</f>
        <v/>
      </c>
      <c r="M554" s="4" t="str">
        <f>HYPERLINK("http://141.218.60.56/~jnz1568/getInfo.php?workbook=03_02.xlsx&amp;sheet=A0&amp;row=554&amp;col=13&amp;number=&amp;sourceID=30","")</f>
        <v/>
      </c>
      <c r="N554" s="4" t="str">
        <f>HYPERLINK("http://141.218.60.56/~jnz1568/getInfo.php?workbook=03_02.xlsx&amp;sheet=A0&amp;row=554&amp;col=14&amp;number=0&amp;sourceID=30","0")</f>
        <v>0</v>
      </c>
    </row>
    <row r="555" spans="1:14">
      <c r="A555" s="3">
        <v>3</v>
      </c>
      <c r="B555" s="3">
        <v>2</v>
      </c>
      <c r="C555" s="3">
        <v>38</v>
      </c>
      <c r="D555" s="3">
        <v>1</v>
      </c>
      <c r="E555" s="3">
        <f>((1/(INDEX(E0!J$4:J$52,C555,1)-INDEX(E0!J$4:J$52,D555,1))))*100000000</f>
        <v>0</v>
      </c>
      <c r="F555" s="4" t="str">
        <f>HYPERLINK("http://141.218.60.56/~jnz1568/getInfo.php?workbook=03_02.xlsx&amp;sheet=A0&amp;row=555&amp;col=6&amp;number=&amp;sourceID=27","")</f>
        <v/>
      </c>
      <c r="G555" s="4" t="str">
        <f>HYPERLINK("http://141.218.60.56/~jnz1568/getInfo.php?workbook=03_02.xlsx&amp;sheet=A0&amp;row=555&amp;col=7&amp;number=&amp;sourceID=15","")</f>
        <v/>
      </c>
      <c r="H555" s="4" t="str">
        <f>HYPERLINK("http://141.218.60.56/~jnz1568/getInfo.php?workbook=03_02.xlsx&amp;sheet=A0&amp;row=555&amp;col=8&amp;number=&amp;sourceID=15","")</f>
        <v/>
      </c>
      <c r="I555" s="4" t="str">
        <f>HYPERLINK("http://141.218.60.56/~jnz1568/getInfo.php?workbook=03_02.xlsx&amp;sheet=A0&amp;row=555&amp;col=9&amp;number=&amp;sourceID=15","")</f>
        <v/>
      </c>
      <c r="J555" s="4" t="str">
        <f>HYPERLINK("http://141.218.60.56/~jnz1568/getInfo.php?workbook=03_02.xlsx&amp;sheet=A0&amp;row=555&amp;col=10&amp;number=&amp;sourceID=15","")</f>
        <v/>
      </c>
      <c r="K555" s="4" t="str">
        <f>HYPERLINK("http://141.218.60.56/~jnz1568/getInfo.php?workbook=03_02.xlsx&amp;sheet=A0&amp;row=555&amp;col=11&amp;number=&amp;sourceID=30","")</f>
        <v/>
      </c>
      <c r="L555" s="4" t="str">
        <f>HYPERLINK("http://141.218.60.56/~jnz1568/getInfo.php?workbook=03_02.xlsx&amp;sheet=A0&amp;row=555&amp;col=12&amp;number=1449&amp;sourceID=30","1449")</f>
        <v>1449</v>
      </c>
      <c r="M555" s="4" t="str">
        <f>HYPERLINK("http://141.218.60.56/~jnz1568/getInfo.php?workbook=03_02.xlsx&amp;sheet=A0&amp;row=555&amp;col=13&amp;number=&amp;sourceID=30","")</f>
        <v/>
      </c>
      <c r="N555" s="4" t="str">
        <f>HYPERLINK("http://141.218.60.56/~jnz1568/getInfo.php?workbook=03_02.xlsx&amp;sheet=A0&amp;row=555&amp;col=14&amp;number=&amp;sourceID=30","")</f>
        <v/>
      </c>
    </row>
    <row r="556" spans="1:14">
      <c r="A556" s="3">
        <v>3</v>
      </c>
      <c r="B556" s="3">
        <v>2</v>
      </c>
      <c r="C556" s="3">
        <v>38</v>
      </c>
      <c r="D556" s="3">
        <v>2</v>
      </c>
      <c r="E556" s="3">
        <f>((1/(INDEX(E0!J$4:J$52,C556,1)-INDEX(E0!J$4:J$52,D556,1))))*100000000</f>
        <v>0</v>
      </c>
      <c r="F556" s="4" t="str">
        <f>HYPERLINK("http://141.218.60.56/~jnz1568/getInfo.php?workbook=03_02.xlsx&amp;sheet=A0&amp;row=556&amp;col=6&amp;number=&amp;sourceID=27","")</f>
        <v/>
      </c>
      <c r="G556" s="4" t="str">
        <f>HYPERLINK("http://141.218.60.56/~jnz1568/getInfo.php?workbook=03_02.xlsx&amp;sheet=A0&amp;row=556&amp;col=7&amp;number=&amp;sourceID=15","")</f>
        <v/>
      </c>
      <c r="H556" s="4" t="str">
        <f>HYPERLINK("http://141.218.60.56/~jnz1568/getInfo.php?workbook=03_02.xlsx&amp;sheet=A0&amp;row=556&amp;col=8&amp;number=&amp;sourceID=15","")</f>
        <v/>
      </c>
      <c r="I556" s="4" t="str">
        <f>HYPERLINK("http://141.218.60.56/~jnz1568/getInfo.php?workbook=03_02.xlsx&amp;sheet=A0&amp;row=556&amp;col=9&amp;number=&amp;sourceID=15","")</f>
        <v/>
      </c>
      <c r="J556" s="4" t="str">
        <f>HYPERLINK("http://141.218.60.56/~jnz1568/getInfo.php?workbook=03_02.xlsx&amp;sheet=A0&amp;row=556&amp;col=10&amp;number=&amp;sourceID=15","")</f>
        <v/>
      </c>
      <c r="K556" s="4" t="str">
        <f>HYPERLINK("http://141.218.60.56/~jnz1568/getInfo.php?workbook=03_02.xlsx&amp;sheet=A0&amp;row=556&amp;col=11&amp;number=&amp;sourceID=30","")</f>
        <v/>
      </c>
      <c r="L556" s="4" t="str">
        <f>HYPERLINK("http://141.218.60.56/~jnz1568/getInfo.php?workbook=03_02.xlsx&amp;sheet=A0&amp;row=556&amp;col=12&amp;number=5.333&amp;sourceID=30","5.333")</f>
        <v>5.333</v>
      </c>
      <c r="M556" s="4" t="str">
        <f>HYPERLINK("http://141.218.60.56/~jnz1568/getInfo.php?workbook=03_02.xlsx&amp;sheet=A0&amp;row=556&amp;col=13&amp;number=1.221e-08&amp;sourceID=30","1.221e-08")</f>
        <v>1.221e-08</v>
      </c>
      <c r="N556" s="4" t="str">
        <f>HYPERLINK("http://141.218.60.56/~jnz1568/getInfo.php?workbook=03_02.xlsx&amp;sheet=A0&amp;row=556&amp;col=14&amp;number=&amp;sourceID=30","")</f>
        <v/>
      </c>
    </row>
    <row r="557" spans="1:14">
      <c r="A557" s="3">
        <v>3</v>
      </c>
      <c r="B557" s="3">
        <v>2</v>
      </c>
      <c r="C557" s="3">
        <v>38</v>
      </c>
      <c r="D557" s="3">
        <v>3</v>
      </c>
      <c r="E557" s="3">
        <f>((1/(INDEX(E0!J$4:J$52,C557,1)-INDEX(E0!J$4:J$52,D557,1))))*100000000</f>
        <v>0</v>
      </c>
      <c r="F557" s="4" t="str">
        <f>HYPERLINK("http://141.218.60.56/~jnz1568/getInfo.php?workbook=03_02.xlsx&amp;sheet=A0&amp;row=557&amp;col=6&amp;number=&amp;sourceID=27","")</f>
        <v/>
      </c>
      <c r="G557" s="4" t="str">
        <f>HYPERLINK("http://141.218.60.56/~jnz1568/getInfo.php?workbook=03_02.xlsx&amp;sheet=A0&amp;row=557&amp;col=7&amp;number=&amp;sourceID=15","")</f>
        <v/>
      </c>
      <c r="H557" s="4" t="str">
        <f>HYPERLINK("http://141.218.60.56/~jnz1568/getInfo.php?workbook=03_02.xlsx&amp;sheet=A0&amp;row=557&amp;col=8&amp;number=&amp;sourceID=15","")</f>
        <v/>
      </c>
      <c r="I557" s="4" t="str">
        <f>HYPERLINK("http://141.218.60.56/~jnz1568/getInfo.php?workbook=03_02.xlsx&amp;sheet=A0&amp;row=557&amp;col=9&amp;number=&amp;sourceID=15","")</f>
        <v/>
      </c>
      <c r="J557" s="4" t="str">
        <f>HYPERLINK("http://141.218.60.56/~jnz1568/getInfo.php?workbook=03_02.xlsx&amp;sheet=A0&amp;row=557&amp;col=10&amp;number=&amp;sourceID=15","")</f>
        <v/>
      </c>
      <c r="K557" s="4" t="str">
        <f>HYPERLINK("http://141.218.60.56/~jnz1568/getInfo.php?workbook=03_02.xlsx&amp;sheet=A0&amp;row=557&amp;col=11&amp;number=&amp;sourceID=30","")</f>
        <v/>
      </c>
      <c r="L557" s="4" t="str">
        <f>HYPERLINK("http://141.218.60.56/~jnz1568/getInfo.php?workbook=03_02.xlsx&amp;sheet=A0&amp;row=557&amp;col=12&amp;number=0.7223&amp;sourceID=30","0.7223")</f>
        <v>0.7223</v>
      </c>
      <c r="M557" s="4" t="str">
        <f>HYPERLINK("http://141.218.60.56/~jnz1568/getInfo.php?workbook=03_02.xlsx&amp;sheet=A0&amp;row=557&amp;col=13&amp;number=&amp;sourceID=30","")</f>
        <v/>
      </c>
      <c r="N557" s="4" t="str">
        <f>HYPERLINK("http://141.218.60.56/~jnz1568/getInfo.php?workbook=03_02.xlsx&amp;sheet=A0&amp;row=557&amp;col=14&amp;number=&amp;sourceID=30","")</f>
        <v/>
      </c>
    </row>
    <row r="558" spans="1:14">
      <c r="A558" s="3">
        <v>3</v>
      </c>
      <c r="B558" s="3">
        <v>2</v>
      </c>
      <c r="C558" s="3">
        <v>38</v>
      </c>
      <c r="D558" s="3">
        <v>4</v>
      </c>
      <c r="E558" s="3">
        <f>((1/(INDEX(E0!J$4:J$52,C558,1)-INDEX(E0!J$4:J$52,D558,1))))*100000000</f>
        <v>0</v>
      </c>
      <c r="F558" s="4" t="str">
        <f>HYPERLINK("http://141.218.60.56/~jnz1568/getInfo.php?workbook=03_02.xlsx&amp;sheet=A0&amp;row=558&amp;col=6&amp;number=&amp;sourceID=27","")</f>
        <v/>
      </c>
      <c r="G558" s="4" t="str">
        <f>HYPERLINK("http://141.218.60.56/~jnz1568/getInfo.php?workbook=03_02.xlsx&amp;sheet=A0&amp;row=558&amp;col=7&amp;number=135560000&amp;sourceID=15","135560000")</f>
        <v>135560000</v>
      </c>
      <c r="H558" s="4" t="str">
        <f>HYPERLINK("http://141.218.60.56/~jnz1568/getInfo.php?workbook=03_02.xlsx&amp;sheet=A0&amp;row=558&amp;col=8&amp;number=&amp;sourceID=15","")</f>
        <v/>
      </c>
      <c r="I558" s="4" t="str">
        <f>HYPERLINK("http://141.218.60.56/~jnz1568/getInfo.php?workbook=03_02.xlsx&amp;sheet=A0&amp;row=558&amp;col=9&amp;number=&amp;sourceID=15","")</f>
        <v/>
      </c>
      <c r="J558" s="4" t="str">
        <f>HYPERLINK("http://141.218.60.56/~jnz1568/getInfo.php?workbook=03_02.xlsx&amp;sheet=A0&amp;row=558&amp;col=10&amp;number=&amp;sourceID=15","")</f>
        <v/>
      </c>
      <c r="K558" s="4" t="str">
        <f>HYPERLINK("http://141.218.60.56/~jnz1568/getInfo.php?workbook=03_02.xlsx&amp;sheet=A0&amp;row=558&amp;col=11&amp;number=119600000&amp;sourceID=30","119600000")</f>
        <v>119600000</v>
      </c>
      <c r="L558" s="4" t="str">
        <f>HYPERLINK("http://141.218.60.56/~jnz1568/getInfo.php?workbook=03_02.xlsx&amp;sheet=A0&amp;row=558&amp;col=12&amp;number=&amp;sourceID=30","")</f>
        <v/>
      </c>
      <c r="M558" s="4" t="str">
        <f>HYPERLINK("http://141.218.60.56/~jnz1568/getInfo.php?workbook=03_02.xlsx&amp;sheet=A0&amp;row=558&amp;col=13&amp;number=&amp;sourceID=30","")</f>
        <v/>
      </c>
      <c r="N558" s="4" t="str">
        <f>HYPERLINK("http://141.218.60.56/~jnz1568/getInfo.php?workbook=03_02.xlsx&amp;sheet=A0&amp;row=558&amp;col=14&amp;number=0.00584&amp;sourceID=30","0.00584")</f>
        <v>0.00584</v>
      </c>
    </row>
    <row r="559" spans="1:14">
      <c r="A559" s="3">
        <v>3</v>
      </c>
      <c r="B559" s="3">
        <v>2</v>
      </c>
      <c r="C559" s="3">
        <v>38</v>
      </c>
      <c r="D559" s="3">
        <v>5</v>
      </c>
      <c r="E559" s="3">
        <f>((1/(INDEX(E0!J$4:J$52,C559,1)-INDEX(E0!J$4:J$52,D559,1))))*100000000</f>
        <v>0</v>
      </c>
      <c r="F559" s="4" t="str">
        <f>HYPERLINK("http://141.218.60.56/~jnz1568/getInfo.php?workbook=03_02.xlsx&amp;sheet=A0&amp;row=559&amp;col=6&amp;number=&amp;sourceID=27","")</f>
        <v/>
      </c>
      <c r="G559" s="4" t="str">
        <f>HYPERLINK("http://141.218.60.56/~jnz1568/getInfo.php?workbook=03_02.xlsx&amp;sheet=A0&amp;row=559&amp;col=7&amp;number=45185000&amp;sourceID=15","45185000")</f>
        <v>45185000</v>
      </c>
      <c r="H559" s="4" t="str">
        <f>HYPERLINK("http://141.218.60.56/~jnz1568/getInfo.php?workbook=03_02.xlsx&amp;sheet=A0&amp;row=559&amp;col=8&amp;number=&amp;sourceID=15","")</f>
        <v/>
      </c>
      <c r="I559" s="4" t="str">
        <f>HYPERLINK("http://141.218.60.56/~jnz1568/getInfo.php?workbook=03_02.xlsx&amp;sheet=A0&amp;row=559&amp;col=9&amp;number=&amp;sourceID=15","")</f>
        <v/>
      </c>
      <c r="J559" s="4" t="str">
        <f>HYPERLINK("http://141.218.60.56/~jnz1568/getInfo.php?workbook=03_02.xlsx&amp;sheet=A0&amp;row=559&amp;col=10&amp;number=&amp;sourceID=15","")</f>
        <v/>
      </c>
      <c r="K559" s="4" t="str">
        <f>HYPERLINK("http://141.218.60.56/~jnz1568/getInfo.php?workbook=03_02.xlsx&amp;sheet=A0&amp;row=559&amp;col=11&amp;number=39870000&amp;sourceID=30","39870000")</f>
        <v>39870000</v>
      </c>
      <c r="L559" s="4" t="str">
        <f>HYPERLINK("http://141.218.60.56/~jnz1568/getInfo.php?workbook=03_02.xlsx&amp;sheet=A0&amp;row=559&amp;col=12&amp;number=&amp;sourceID=30","")</f>
        <v/>
      </c>
      <c r="M559" s="4" t="str">
        <f>HYPERLINK("http://141.218.60.56/~jnz1568/getInfo.php?workbook=03_02.xlsx&amp;sheet=A0&amp;row=559&amp;col=13&amp;number=&amp;sourceID=30","")</f>
        <v/>
      </c>
      <c r="N559" s="4" t="str">
        <f>HYPERLINK("http://141.218.60.56/~jnz1568/getInfo.php?workbook=03_02.xlsx&amp;sheet=A0&amp;row=559&amp;col=14&amp;number=0.002543&amp;sourceID=30","0.002543")</f>
        <v>0.002543</v>
      </c>
    </row>
    <row r="560" spans="1:14">
      <c r="A560" s="3">
        <v>3</v>
      </c>
      <c r="B560" s="3">
        <v>2</v>
      </c>
      <c r="C560" s="3">
        <v>38</v>
      </c>
      <c r="D560" s="3">
        <v>6</v>
      </c>
      <c r="E560" s="3">
        <f>((1/(INDEX(E0!J$4:J$52,C560,1)-INDEX(E0!J$4:J$52,D560,1))))*100000000</f>
        <v>0</v>
      </c>
      <c r="F560" s="4" t="str">
        <f>HYPERLINK("http://141.218.60.56/~jnz1568/getInfo.php?workbook=03_02.xlsx&amp;sheet=A0&amp;row=560&amp;col=6&amp;number=&amp;sourceID=27","")</f>
        <v/>
      </c>
      <c r="G560" s="4" t="str">
        <f>HYPERLINK("http://141.218.60.56/~jnz1568/getInfo.php?workbook=03_02.xlsx&amp;sheet=A0&amp;row=560&amp;col=7&amp;number=&amp;sourceID=15","")</f>
        <v/>
      </c>
      <c r="H560" s="4" t="str">
        <f>HYPERLINK("http://141.218.60.56/~jnz1568/getInfo.php?workbook=03_02.xlsx&amp;sheet=A0&amp;row=560&amp;col=8&amp;number=&amp;sourceID=15","")</f>
        <v/>
      </c>
      <c r="I560" s="4" t="str">
        <f>HYPERLINK("http://141.218.60.56/~jnz1568/getInfo.php?workbook=03_02.xlsx&amp;sheet=A0&amp;row=560&amp;col=9&amp;number=&amp;sourceID=15","")</f>
        <v/>
      </c>
      <c r="J560" s="4" t="str">
        <f>HYPERLINK("http://141.218.60.56/~jnz1568/getInfo.php?workbook=03_02.xlsx&amp;sheet=A0&amp;row=560&amp;col=10&amp;number=&amp;sourceID=15","")</f>
        <v/>
      </c>
      <c r="K560" s="4" t="str">
        <f>HYPERLINK("http://141.218.60.56/~jnz1568/getInfo.php?workbook=03_02.xlsx&amp;sheet=A0&amp;row=560&amp;col=11&amp;number=&amp;sourceID=30","")</f>
        <v/>
      </c>
      <c r="L560" s="4" t="str">
        <f>HYPERLINK("http://141.218.60.56/~jnz1568/getInfo.php?workbook=03_02.xlsx&amp;sheet=A0&amp;row=560&amp;col=12&amp;number=&amp;sourceID=30","")</f>
        <v/>
      </c>
      <c r="M560" s="4" t="str">
        <f>HYPERLINK("http://141.218.60.56/~jnz1568/getInfo.php?workbook=03_02.xlsx&amp;sheet=A0&amp;row=560&amp;col=13&amp;number=&amp;sourceID=30","")</f>
        <v/>
      </c>
      <c r="N560" s="4" t="str">
        <f>HYPERLINK("http://141.218.60.56/~jnz1568/getInfo.php?workbook=03_02.xlsx&amp;sheet=A0&amp;row=560&amp;col=14&amp;number=0.0003556&amp;sourceID=30","0.0003556")</f>
        <v>0.0003556</v>
      </c>
    </row>
    <row r="561" spans="1:14">
      <c r="A561" s="3">
        <v>3</v>
      </c>
      <c r="B561" s="3">
        <v>2</v>
      </c>
      <c r="C561" s="3">
        <v>38</v>
      </c>
      <c r="D561" s="3">
        <v>7</v>
      </c>
      <c r="E561" s="3">
        <f>((1/(INDEX(E0!J$4:J$52,C561,1)-INDEX(E0!J$4:J$52,D561,1))))*100000000</f>
        <v>0</v>
      </c>
      <c r="F561" s="4" t="str">
        <f>HYPERLINK("http://141.218.60.56/~jnz1568/getInfo.php?workbook=03_02.xlsx&amp;sheet=A0&amp;row=561&amp;col=6&amp;number=&amp;sourceID=27","")</f>
        <v/>
      </c>
      <c r="G561" s="4" t="str">
        <f>HYPERLINK("http://141.218.60.56/~jnz1568/getInfo.php?workbook=03_02.xlsx&amp;sheet=A0&amp;row=561&amp;col=7&amp;number=&amp;sourceID=15","")</f>
        <v/>
      </c>
      <c r="H561" s="4" t="str">
        <f>HYPERLINK("http://141.218.60.56/~jnz1568/getInfo.php?workbook=03_02.xlsx&amp;sheet=A0&amp;row=561&amp;col=8&amp;number=&amp;sourceID=15","")</f>
        <v/>
      </c>
      <c r="I561" s="4" t="str">
        <f>HYPERLINK("http://141.218.60.56/~jnz1568/getInfo.php?workbook=03_02.xlsx&amp;sheet=A0&amp;row=561&amp;col=9&amp;number=&amp;sourceID=15","")</f>
        <v/>
      </c>
      <c r="J561" s="4" t="str">
        <f>HYPERLINK("http://141.218.60.56/~jnz1568/getInfo.php?workbook=03_02.xlsx&amp;sheet=A0&amp;row=561&amp;col=10&amp;number=&amp;sourceID=15","")</f>
        <v/>
      </c>
      <c r="K561" s="4" t="str">
        <f>HYPERLINK("http://141.218.60.56/~jnz1568/getInfo.php?workbook=03_02.xlsx&amp;sheet=A0&amp;row=561&amp;col=11&amp;number=12300&amp;sourceID=30","12300")</f>
        <v>12300</v>
      </c>
      <c r="L561" s="4" t="str">
        <f>HYPERLINK("http://141.218.60.56/~jnz1568/getInfo.php?workbook=03_02.xlsx&amp;sheet=A0&amp;row=561&amp;col=12&amp;number=&amp;sourceID=30","")</f>
        <v/>
      </c>
      <c r="M561" s="4" t="str">
        <f>HYPERLINK("http://141.218.60.56/~jnz1568/getInfo.php?workbook=03_02.xlsx&amp;sheet=A0&amp;row=561&amp;col=13&amp;number=&amp;sourceID=30","")</f>
        <v/>
      </c>
      <c r="N561" s="4" t="str">
        <f>HYPERLINK("http://141.218.60.56/~jnz1568/getInfo.php?workbook=03_02.xlsx&amp;sheet=A0&amp;row=561&amp;col=14&amp;number=0.001556&amp;sourceID=30","0.001556")</f>
        <v>0.001556</v>
      </c>
    </row>
    <row r="562" spans="1:14">
      <c r="A562" s="3">
        <v>3</v>
      </c>
      <c r="B562" s="3">
        <v>2</v>
      </c>
      <c r="C562" s="3">
        <v>38</v>
      </c>
      <c r="D562" s="3">
        <v>8</v>
      </c>
      <c r="E562" s="3">
        <f>((1/(INDEX(E0!J$4:J$52,C562,1)-INDEX(E0!J$4:J$52,D562,1))))*100000000</f>
        <v>0</v>
      </c>
      <c r="F562" s="4" t="str">
        <f>HYPERLINK("http://141.218.60.56/~jnz1568/getInfo.php?workbook=03_02.xlsx&amp;sheet=A0&amp;row=562&amp;col=6&amp;number=&amp;sourceID=27","")</f>
        <v/>
      </c>
      <c r="G562" s="4" t="str">
        <f>HYPERLINK("http://141.218.60.56/~jnz1568/getInfo.php?workbook=03_02.xlsx&amp;sheet=A0&amp;row=562&amp;col=7&amp;number=&amp;sourceID=15","")</f>
        <v/>
      </c>
      <c r="H562" s="4" t="str">
        <f>HYPERLINK("http://141.218.60.56/~jnz1568/getInfo.php?workbook=03_02.xlsx&amp;sheet=A0&amp;row=562&amp;col=8&amp;number=&amp;sourceID=15","")</f>
        <v/>
      </c>
      <c r="I562" s="4" t="str">
        <f>HYPERLINK("http://141.218.60.56/~jnz1568/getInfo.php?workbook=03_02.xlsx&amp;sheet=A0&amp;row=562&amp;col=9&amp;number=&amp;sourceID=15","")</f>
        <v/>
      </c>
      <c r="J562" s="4" t="str">
        <f>HYPERLINK("http://141.218.60.56/~jnz1568/getInfo.php?workbook=03_02.xlsx&amp;sheet=A0&amp;row=562&amp;col=10&amp;number=&amp;sourceID=15","")</f>
        <v/>
      </c>
      <c r="K562" s="4" t="str">
        <f>HYPERLINK("http://141.218.60.56/~jnz1568/getInfo.php?workbook=03_02.xlsx&amp;sheet=A0&amp;row=562&amp;col=11&amp;number=&amp;sourceID=30","")</f>
        <v/>
      </c>
      <c r="L562" s="4" t="str">
        <f>HYPERLINK("http://141.218.60.56/~jnz1568/getInfo.php?workbook=03_02.xlsx&amp;sheet=A0&amp;row=562&amp;col=12&amp;number=134.9&amp;sourceID=30","134.9")</f>
        <v>134.9</v>
      </c>
      <c r="M562" s="4" t="str">
        <f>HYPERLINK("http://141.218.60.56/~jnz1568/getInfo.php?workbook=03_02.xlsx&amp;sheet=A0&amp;row=562&amp;col=13&amp;number=1.286e-09&amp;sourceID=30","1.286e-09")</f>
        <v>1.286e-09</v>
      </c>
      <c r="N562" s="4" t="str">
        <f>HYPERLINK("http://141.218.60.56/~jnz1568/getInfo.php?workbook=03_02.xlsx&amp;sheet=A0&amp;row=562&amp;col=14&amp;number=&amp;sourceID=30","")</f>
        <v/>
      </c>
    </row>
    <row r="563" spans="1:14">
      <c r="A563" s="3">
        <v>3</v>
      </c>
      <c r="B563" s="3">
        <v>2</v>
      </c>
      <c r="C563" s="3">
        <v>38</v>
      </c>
      <c r="D563" s="3">
        <v>9</v>
      </c>
      <c r="E563" s="3">
        <f>((1/(INDEX(E0!J$4:J$52,C563,1)-INDEX(E0!J$4:J$52,D563,1))))*100000000</f>
        <v>0</v>
      </c>
      <c r="F563" s="4" t="str">
        <f>HYPERLINK("http://141.218.60.56/~jnz1568/getInfo.php?workbook=03_02.xlsx&amp;sheet=A0&amp;row=563&amp;col=6&amp;number=&amp;sourceID=27","")</f>
        <v/>
      </c>
      <c r="G563" s="4" t="str">
        <f>HYPERLINK("http://141.218.60.56/~jnz1568/getInfo.php?workbook=03_02.xlsx&amp;sheet=A0&amp;row=563&amp;col=7&amp;number=&amp;sourceID=15","")</f>
        <v/>
      </c>
      <c r="H563" s="4" t="str">
        <f>HYPERLINK("http://141.218.60.56/~jnz1568/getInfo.php?workbook=03_02.xlsx&amp;sheet=A0&amp;row=563&amp;col=8&amp;number=&amp;sourceID=15","")</f>
        <v/>
      </c>
      <c r="I563" s="4" t="str">
        <f>HYPERLINK("http://141.218.60.56/~jnz1568/getInfo.php?workbook=03_02.xlsx&amp;sheet=A0&amp;row=563&amp;col=9&amp;number=&amp;sourceID=15","")</f>
        <v/>
      </c>
      <c r="J563" s="4" t="str">
        <f>HYPERLINK("http://141.218.60.56/~jnz1568/getInfo.php?workbook=03_02.xlsx&amp;sheet=A0&amp;row=563&amp;col=10&amp;number=&amp;sourceID=15","")</f>
        <v/>
      </c>
      <c r="K563" s="4" t="str">
        <f>HYPERLINK("http://141.218.60.56/~jnz1568/getInfo.php?workbook=03_02.xlsx&amp;sheet=A0&amp;row=563&amp;col=11&amp;number=&amp;sourceID=30","")</f>
        <v/>
      </c>
      <c r="L563" s="4" t="str">
        <f>HYPERLINK("http://141.218.60.56/~jnz1568/getInfo.php?workbook=03_02.xlsx&amp;sheet=A0&amp;row=563&amp;col=12&amp;number=0.02391&amp;sourceID=30","0.02391")</f>
        <v>0.02391</v>
      </c>
      <c r="M563" s="4" t="str">
        <f>HYPERLINK("http://141.218.60.56/~jnz1568/getInfo.php?workbook=03_02.xlsx&amp;sheet=A0&amp;row=563&amp;col=13&amp;number=&amp;sourceID=30","")</f>
        <v/>
      </c>
      <c r="N563" s="4" t="str">
        <f>HYPERLINK("http://141.218.60.56/~jnz1568/getInfo.php?workbook=03_02.xlsx&amp;sheet=A0&amp;row=563&amp;col=14&amp;number=&amp;sourceID=30","")</f>
        <v/>
      </c>
    </row>
    <row r="564" spans="1:14">
      <c r="A564" s="3">
        <v>3</v>
      </c>
      <c r="B564" s="3">
        <v>2</v>
      </c>
      <c r="C564" s="3">
        <v>38</v>
      </c>
      <c r="D564" s="3">
        <v>10</v>
      </c>
      <c r="E564" s="3">
        <f>((1/(INDEX(E0!J$4:J$52,C564,1)-INDEX(E0!J$4:J$52,D564,1))))*100000000</f>
        <v>0</v>
      </c>
      <c r="F564" s="4" t="str">
        <f>HYPERLINK("http://141.218.60.56/~jnz1568/getInfo.php?workbook=03_02.xlsx&amp;sheet=A0&amp;row=564&amp;col=6&amp;number=&amp;sourceID=27","")</f>
        <v/>
      </c>
      <c r="G564" s="4" t="str">
        <f>HYPERLINK("http://141.218.60.56/~jnz1568/getInfo.php?workbook=03_02.xlsx&amp;sheet=A0&amp;row=564&amp;col=7&amp;number=41793000&amp;sourceID=15","41793000")</f>
        <v>41793000</v>
      </c>
      <c r="H564" s="4" t="str">
        <f>HYPERLINK("http://141.218.60.56/~jnz1568/getInfo.php?workbook=03_02.xlsx&amp;sheet=A0&amp;row=564&amp;col=8&amp;number=&amp;sourceID=15","")</f>
        <v/>
      </c>
      <c r="I564" s="4" t="str">
        <f>HYPERLINK("http://141.218.60.56/~jnz1568/getInfo.php?workbook=03_02.xlsx&amp;sheet=A0&amp;row=564&amp;col=9&amp;number=&amp;sourceID=15","")</f>
        <v/>
      </c>
      <c r="J564" s="4" t="str">
        <f>HYPERLINK("http://141.218.60.56/~jnz1568/getInfo.php?workbook=03_02.xlsx&amp;sheet=A0&amp;row=564&amp;col=10&amp;number=&amp;sourceID=15","")</f>
        <v/>
      </c>
      <c r="K564" s="4" t="str">
        <f>HYPERLINK("http://141.218.60.56/~jnz1568/getInfo.php?workbook=03_02.xlsx&amp;sheet=A0&amp;row=564&amp;col=11&amp;number=39660000&amp;sourceID=30","39660000")</f>
        <v>39660000</v>
      </c>
      <c r="L564" s="4" t="str">
        <f>HYPERLINK("http://141.218.60.56/~jnz1568/getInfo.php?workbook=03_02.xlsx&amp;sheet=A0&amp;row=564&amp;col=12&amp;number=&amp;sourceID=30","")</f>
        <v/>
      </c>
      <c r="M564" s="4" t="str">
        <f>HYPERLINK("http://141.218.60.56/~jnz1568/getInfo.php?workbook=03_02.xlsx&amp;sheet=A0&amp;row=564&amp;col=13&amp;number=&amp;sourceID=30","")</f>
        <v/>
      </c>
      <c r="N564" s="4" t="str">
        <f>HYPERLINK("http://141.218.60.56/~jnz1568/getInfo.php?workbook=03_02.xlsx&amp;sheet=A0&amp;row=564&amp;col=14&amp;number=0.0002194&amp;sourceID=30","0.0002194")</f>
        <v>0.0002194</v>
      </c>
    </row>
    <row r="565" spans="1:14">
      <c r="A565" s="3">
        <v>3</v>
      </c>
      <c r="B565" s="3">
        <v>2</v>
      </c>
      <c r="C565" s="3">
        <v>38</v>
      </c>
      <c r="D565" s="3">
        <v>11</v>
      </c>
      <c r="E565" s="3">
        <f>((1/(INDEX(E0!J$4:J$52,C565,1)-INDEX(E0!J$4:J$52,D565,1))))*100000000</f>
        <v>0</v>
      </c>
      <c r="F565" s="4" t="str">
        <f>HYPERLINK("http://141.218.60.56/~jnz1568/getInfo.php?workbook=03_02.xlsx&amp;sheet=A0&amp;row=565&amp;col=6&amp;number=&amp;sourceID=27","")</f>
        <v/>
      </c>
      <c r="G565" s="4" t="str">
        <f>HYPERLINK("http://141.218.60.56/~jnz1568/getInfo.php?workbook=03_02.xlsx&amp;sheet=A0&amp;row=565&amp;col=7&amp;number=13931000&amp;sourceID=15","13931000")</f>
        <v>13931000</v>
      </c>
      <c r="H565" s="4" t="str">
        <f>HYPERLINK("http://141.218.60.56/~jnz1568/getInfo.php?workbook=03_02.xlsx&amp;sheet=A0&amp;row=565&amp;col=8&amp;number=&amp;sourceID=15","")</f>
        <v/>
      </c>
      <c r="I565" s="4" t="str">
        <f>HYPERLINK("http://141.218.60.56/~jnz1568/getInfo.php?workbook=03_02.xlsx&amp;sheet=A0&amp;row=565&amp;col=9&amp;number=&amp;sourceID=15","")</f>
        <v/>
      </c>
      <c r="J565" s="4" t="str">
        <f>HYPERLINK("http://141.218.60.56/~jnz1568/getInfo.php?workbook=03_02.xlsx&amp;sheet=A0&amp;row=565&amp;col=10&amp;number=&amp;sourceID=15","")</f>
        <v/>
      </c>
      <c r="K565" s="4" t="str">
        <f>HYPERLINK("http://141.218.60.56/~jnz1568/getInfo.php?workbook=03_02.xlsx&amp;sheet=A0&amp;row=565&amp;col=11&amp;number=13220000&amp;sourceID=30","13220000")</f>
        <v>13220000</v>
      </c>
      <c r="L565" s="4" t="str">
        <f>HYPERLINK("http://141.218.60.56/~jnz1568/getInfo.php?workbook=03_02.xlsx&amp;sheet=A0&amp;row=565&amp;col=12&amp;number=&amp;sourceID=30","")</f>
        <v/>
      </c>
      <c r="M565" s="4" t="str">
        <f>HYPERLINK("http://141.218.60.56/~jnz1568/getInfo.php?workbook=03_02.xlsx&amp;sheet=A0&amp;row=565&amp;col=13&amp;number=&amp;sourceID=30","")</f>
        <v/>
      </c>
      <c r="N565" s="4" t="str">
        <f>HYPERLINK("http://141.218.60.56/~jnz1568/getInfo.php?workbook=03_02.xlsx&amp;sheet=A0&amp;row=565&amp;col=14&amp;number=9.552e-05&amp;sourceID=30","9.552e-05")</f>
        <v>9.552e-05</v>
      </c>
    </row>
    <row r="566" spans="1:14">
      <c r="A566" s="3">
        <v>3</v>
      </c>
      <c r="B566" s="3">
        <v>2</v>
      </c>
      <c r="C566" s="3">
        <v>38</v>
      </c>
      <c r="D566" s="3">
        <v>12</v>
      </c>
      <c r="E566" s="3">
        <f>((1/(INDEX(E0!J$4:J$52,C566,1)-INDEX(E0!J$4:J$52,D566,1))))*100000000</f>
        <v>0</v>
      </c>
      <c r="F566" s="4" t="str">
        <f>HYPERLINK("http://141.218.60.56/~jnz1568/getInfo.php?workbook=03_02.xlsx&amp;sheet=A0&amp;row=566&amp;col=6&amp;number=&amp;sourceID=27","")</f>
        <v/>
      </c>
      <c r="G566" s="4" t="str">
        <f>HYPERLINK("http://141.218.60.56/~jnz1568/getInfo.php?workbook=03_02.xlsx&amp;sheet=A0&amp;row=566&amp;col=7&amp;number=&amp;sourceID=15","")</f>
        <v/>
      </c>
      <c r="H566" s="4" t="str">
        <f>HYPERLINK("http://141.218.60.56/~jnz1568/getInfo.php?workbook=03_02.xlsx&amp;sheet=A0&amp;row=566&amp;col=8&amp;number=&amp;sourceID=15","")</f>
        <v/>
      </c>
      <c r="I566" s="4" t="str">
        <f>HYPERLINK("http://141.218.60.56/~jnz1568/getInfo.php?workbook=03_02.xlsx&amp;sheet=A0&amp;row=566&amp;col=9&amp;number=&amp;sourceID=15","")</f>
        <v/>
      </c>
      <c r="J566" s="4" t="str">
        <f>HYPERLINK("http://141.218.60.56/~jnz1568/getInfo.php?workbook=03_02.xlsx&amp;sheet=A0&amp;row=566&amp;col=10&amp;number=&amp;sourceID=15","")</f>
        <v/>
      </c>
      <c r="K566" s="4" t="str">
        <f>HYPERLINK("http://141.218.60.56/~jnz1568/getInfo.php?workbook=03_02.xlsx&amp;sheet=A0&amp;row=566&amp;col=11&amp;number=&amp;sourceID=30","")</f>
        <v/>
      </c>
      <c r="L566" s="4" t="str">
        <f>HYPERLINK("http://141.218.60.56/~jnz1568/getInfo.php?workbook=03_02.xlsx&amp;sheet=A0&amp;row=566&amp;col=12&amp;number=&amp;sourceID=30","")</f>
        <v/>
      </c>
      <c r="M566" s="4" t="str">
        <f>HYPERLINK("http://141.218.60.56/~jnz1568/getInfo.php?workbook=03_02.xlsx&amp;sheet=A0&amp;row=566&amp;col=13&amp;number=&amp;sourceID=30","")</f>
        <v/>
      </c>
      <c r="N566" s="4" t="str">
        <f>HYPERLINK("http://141.218.60.56/~jnz1568/getInfo.php?workbook=03_02.xlsx&amp;sheet=A0&amp;row=566&amp;col=14&amp;number=1.335e-05&amp;sourceID=30","1.335e-05")</f>
        <v>1.335e-05</v>
      </c>
    </row>
    <row r="567" spans="1:14">
      <c r="A567" s="3">
        <v>3</v>
      </c>
      <c r="B567" s="3">
        <v>2</v>
      </c>
      <c r="C567" s="3">
        <v>38</v>
      </c>
      <c r="D567" s="3">
        <v>13</v>
      </c>
      <c r="E567" s="3">
        <f>((1/(INDEX(E0!J$4:J$52,C567,1)-INDEX(E0!J$4:J$52,D567,1))))*100000000</f>
        <v>0</v>
      </c>
      <c r="F567" s="4" t="str">
        <f>HYPERLINK("http://141.218.60.56/~jnz1568/getInfo.php?workbook=03_02.xlsx&amp;sheet=A0&amp;row=567&amp;col=6&amp;number=&amp;sourceID=27","")</f>
        <v/>
      </c>
      <c r="G567" s="4" t="str">
        <f>HYPERLINK("http://141.218.60.56/~jnz1568/getInfo.php?workbook=03_02.xlsx&amp;sheet=A0&amp;row=567&amp;col=7&amp;number=&amp;sourceID=15","")</f>
        <v/>
      </c>
      <c r="H567" s="4" t="str">
        <f>HYPERLINK("http://141.218.60.56/~jnz1568/getInfo.php?workbook=03_02.xlsx&amp;sheet=A0&amp;row=567&amp;col=8&amp;number=&amp;sourceID=15","")</f>
        <v/>
      </c>
      <c r="I567" s="4" t="str">
        <f>HYPERLINK("http://141.218.60.56/~jnz1568/getInfo.php?workbook=03_02.xlsx&amp;sheet=A0&amp;row=567&amp;col=9&amp;number=&amp;sourceID=15","")</f>
        <v/>
      </c>
      <c r="J567" s="4" t="str">
        <f>HYPERLINK("http://141.218.60.56/~jnz1568/getInfo.php?workbook=03_02.xlsx&amp;sheet=A0&amp;row=567&amp;col=10&amp;number=&amp;sourceID=15","")</f>
        <v/>
      </c>
      <c r="K567" s="4" t="str">
        <f>HYPERLINK("http://141.218.60.56/~jnz1568/getInfo.php?workbook=03_02.xlsx&amp;sheet=A0&amp;row=567&amp;col=11&amp;number=&amp;sourceID=30","")</f>
        <v/>
      </c>
      <c r="L567" s="4" t="str">
        <f>HYPERLINK("http://141.218.60.56/~jnz1568/getInfo.php?workbook=03_02.xlsx&amp;sheet=A0&amp;row=567&amp;col=12&amp;number=9.065&amp;sourceID=30","9.065")</f>
        <v>9.065</v>
      </c>
      <c r="M567" s="4" t="str">
        <f>HYPERLINK("http://141.218.60.56/~jnz1568/getInfo.php?workbook=03_02.xlsx&amp;sheet=A0&amp;row=567&amp;col=13&amp;number=3.51e-08&amp;sourceID=30","3.51e-08")</f>
        <v>3.51e-08</v>
      </c>
      <c r="N567" s="4" t="str">
        <f>HYPERLINK("http://141.218.60.56/~jnz1568/getInfo.php?workbook=03_02.xlsx&amp;sheet=A0&amp;row=567&amp;col=14&amp;number=&amp;sourceID=30","")</f>
        <v/>
      </c>
    </row>
    <row r="568" spans="1:14">
      <c r="A568" s="3">
        <v>3</v>
      </c>
      <c r="B568" s="3">
        <v>2</v>
      </c>
      <c r="C568" s="3">
        <v>38</v>
      </c>
      <c r="D568" s="3">
        <v>14</v>
      </c>
      <c r="E568" s="3">
        <f>((1/(INDEX(E0!J$4:J$52,C568,1)-INDEX(E0!J$4:J$52,D568,1))))*100000000</f>
        <v>0</v>
      </c>
      <c r="F568" s="4" t="str">
        <f>HYPERLINK("http://141.218.60.56/~jnz1568/getInfo.php?workbook=03_02.xlsx&amp;sheet=A0&amp;row=568&amp;col=6&amp;number=&amp;sourceID=27","")</f>
        <v/>
      </c>
      <c r="G568" s="4" t="str">
        <f>HYPERLINK("http://141.218.60.56/~jnz1568/getInfo.php?workbook=03_02.xlsx&amp;sheet=A0&amp;row=568&amp;col=7&amp;number=&amp;sourceID=15","")</f>
        <v/>
      </c>
      <c r="H568" s="4" t="str">
        <f>HYPERLINK("http://141.218.60.56/~jnz1568/getInfo.php?workbook=03_02.xlsx&amp;sheet=A0&amp;row=568&amp;col=8&amp;number=&amp;sourceID=15","")</f>
        <v/>
      </c>
      <c r="I568" s="4" t="str">
        <f>HYPERLINK("http://141.218.60.56/~jnz1568/getInfo.php?workbook=03_02.xlsx&amp;sheet=A0&amp;row=568&amp;col=9&amp;number=&amp;sourceID=15","")</f>
        <v/>
      </c>
      <c r="J568" s="4" t="str">
        <f>HYPERLINK("http://141.218.60.56/~jnz1568/getInfo.php?workbook=03_02.xlsx&amp;sheet=A0&amp;row=568&amp;col=10&amp;number=&amp;sourceID=15","")</f>
        <v/>
      </c>
      <c r="K568" s="4" t="str">
        <f>HYPERLINK("http://141.218.60.56/~jnz1568/getInfo.php?workbook=03_02.xlsx&amp;sheet=A0&amp;row=568&amp;col=11&amp;number=&amp;sourceID=30","")</f>
        <v/>
      </c>
      <c r="L568" s="4" t="str">
        <f>HYPERLINK("http://141.218.60.56/~jnz1568/getInfo.php?workbook=03_02.xlsx&amp;sheet=A0&amp;row=568&amp;col=12&amp;number=14.5&amp;sourceID=30","14.5")</f>
        <v>14.5</v>
      </c>
      <c r="M568" s="4" t="str">
        <f>HYPERLINK("http://141.218.60.56/~jnz1568/getInfo.php?workbook=03_02.xlsx&amp;sheet=A0&amp;row=568&amp;col=13&amp;number=1.729e-09&amp;sourceID=30","1.729e-09")</f>
        <v>1.729e-09</v>
      </c>
      <c r="N568" s="4" t="str">
        <f>HYPERLINK("http://141.218.60.56/~jnz1568/getInfo.php?workbook=03_02.xlsx&amp;sheet=A0&amp;row=568&amp;col=14&amp;number=&amp;sourceID=30","")</f>
        <v/>
      </c>
    </row>
    <row r="569" spans="1:14">
      <c r="A569" s="3">
        <v>3</v>
      </c>
      <c r="B569" s="3">
        <v>2</v>
      </c>
      <c r="C569" s="3">
        <v>38</v>
      </c>
      <c r="D569" s="3">
        <v>15</v>
      </c>
      <c r="E569" s="3">
        <f>((1/(INDEX(E0!J$4:J$52,C569,1)-INDEX(E0!J$4:J$52,D569,1))))*100000000</f>
        <v>0</v>
      </c>
      <c r="F569" s="4" t="str">
        <f>HYPERLINK("http://141.218.60.56/~jnz1568/getInfo.php?workbook=03_02.xlsx&amp;sheet=A0&amp;row=569&amp;col=6&amp;number=&amp;sourceID=27","")</f>
        <v/>
      </c>
      <c r="G569" s="4" t="str">
        <f>HYPERLINK("http://141.218.60.56/~jnz1568/getInfo.php?workbook=03_02.xlsx&amp;sheet=A0&amp;row=569&amp;col=7&amp;number=&amp;sourceID=15","")</f>
        <v/>
      </c>
      <c r="H569" s="4" t="str">
        <f>HYPERLINK("http://141.218.60.56/~jnz1568/getInfo.php?workbook=03_02.xlsx&amp;sheet=A0&amp;row=569&amp;col=8&amp;number=&amp;sourceID=15","")</f>
        <v/>
      </c>
      <c r="I569" s="4" t="str">
        <f>HYPERLINK("http://141.218.60.56/~jnz1568/getInfo.php?workbook=03_02.xlsx&amp;sheet=A0&amp;row=569&amp;col=9&amp;number=&amp;sourceID=15","")</f>
        <v/>
      </c>
      <c r="J569" s="4" t="str">
        <f>HYPERLINK("http://141.218.60.56/~jnz1568/getInfo.php?workbook=03_02.xlsx&amp;sheet=A0&amp;row=569&amp;col=10&amp;number=&amp;sourceID=15","")</f>
        <v/>
      </c>
      <c r="K569" s="4" t="str">
        <f>HYPERLINK("http://141.218.60.56/~jnz1568/getInfo.php?workbook=03_02.xlsx&amp;sheet=A0&amp;row=569&amp;col=11&amp;number=&amp;sourceID=30","")</f>
        <v/>
      </c>
      <c r="L569" s="4" t="str">
        <f>HYPERLINK("http://141.218.60.56/~jnz1568/getInfo.php?workbook=03_02.xlsx&amp;sheet=A0&amp;row=569&amp;col=12&amp;number=12.69&amp;sourceID=30","12.69")</f>
        <v>12.69</v>
      </c>
      <c r="M569" s="4" t="str">
        <f>HYPERLINK("http://141.218.60.56/~jnz1568/getInfo.php?workbook=03_02.xlsx&amp;sheet=A0&amp;row=569&amp;col=13&amp;number=4.692e-09&amp;sourceID=30","4.692e-09")</f>
        <v>4.692e-09</v>
      </c>
      <c r="N569" s="4" t="str">
        <f>HYPERLINK("http://141.218.60.56/~jnz1568/getInfo.php?workbook=03_02.xlsx&amp;sheet=A0&amp;row=569&amp;col=14&amp;number=&amp;sourceID=30","")</f>
        <v/>
      </c>
    </row>
    <row r="570" spans="1:14">
      <c r="A570" s="3">
        <v>3</v>
      </c>
      <c r="B570" s="3">
        <v>2</v>
      </c>
      <c r="C570" s="3">
        <v>38</v>
      </c>
      <c r="D570" s="3">
        <v>16</v>
      </c>
      <c r="E570" s="3">
        <f>((1/(INDEX(E0!J$4:J$52,C570,1)-INDEX(E0!J$4:J$52,D570,1))))*100000000</f>
        <v>0</v>
      </c>
      <c r="F570" s="4" t="str">
        <f>HYPERLINK("http://141.218.60.56/~jnz1568/getInfo.php?workbook=03_02.xlsx&amp;sheet=A0&amp;row=570&amp;col=6&amp;number=&amp;sourceID=27","")</f>
        <v/>
      </c>
      <c r="G570" s="4" t="str">
        <f>HYPERLINK("http://141.218.60.56/~jnz1568/getInfo.php?workbook=03_02.xlsx&amp;sheet=A0&amp;row=570&amp;col=7&amp;number=&amp;sourceID=15","")</f>
        <v/>
      </c>
      <c r="H570" s="4" t="str">
        <f>HYPERLINK("http://141.218.60.56/~jnz1568/getInfo.php?workbook=03_02.xlsx&amp;sheet=A0&amp;row=570&amp;col=8&amp;number=&amp;sourceID=15","")</f>
        <v/>
      </c>
      <c r="I570" s="4" t="str">
        <f>HYPERLINK("http://141.218.60.56/~jnz1568/getInfo.php?workbook=03_02.xlsx&amp;sheet=A0&amp;row=570&amp;col=9&amp;number=&amp;sourceID=15","")</f>
        <v/>
      </c>
      <c r="J570" s="4" t="str">
        <f>HYPERLINK("http://141.218.60.56/~jnz1568/getInfo.php?workbook=03_02.xlsx&amp;sheet=A0&amp;row=570&amp;col=10&amp;number=&amp;sourceID=15","")</f>
        <v/>
      </c>
      <c r="K570" s="4" t="str">
        <f>HYPERLINK("http://141.218.60.56/~jnz1568/getInfo.php?workbook=03_02.xlsx&amp;sheet=A0&amp;row=570&amp;col=11&amp;number=&amp;sourceID=30","")</f>
        <v/>
      </c>
      <c r="L570" s="4" t="str">
        <f>HYPERLINK("http://141.218.60.56/~jnz1568/getInfo.php?workbook=03_02.xlsx&amp;sheet=A0&amp;row=570&amp;col=12&amp;number=0.0001972&amp;sourceID=30","0.0001972")</f>
        <v>0.0001972</v>
      </c>
      <c r="M570" s="4" t="str">
        <f>HYPERLINK("http://141.218.60.56/~jnz1568/getInfo.php?workbook=03_02.xlsx&amp;sheet=A0&amp;row=570&amp;col=13&amp;number=2.053e-08&amp;sourceID=30","2.053e-08")</f>
        <v>2.053e-08</v>
      </c>
      <c r="N570" s="4" t="str">
        <f>HYPERLINK("http://141.218.60.56/~jnz1568/getInfo.php?workbook=03_02.xlsx&amp;sheet=A0&amp;row=570&amp;col=14&amp;number=&amp;sourceID=30","")</f>
        <v/>
      </c>
    </row>
    <row r="571" spans="1:14">
      <c r="A571" s="3">
        <v>3</v>
      </c>
      <c r="B571" s="3">
        <v>2</v>
      </c>
      <c r="C571" s="3">
        <v>38</v>
      </c>
      <c r="D571" s="3">
        <v>17</v>
      </c>
      <c r="E571" s="3">
        <f>((1/(INDEX(E0!J$4:J$52,C571,1)-INDEX(E0!J$4:J$52,D571,1))))*100000000</f>
        <v>0</v>
      </c>
      <c r="F571" s="4" t="str">
        <f>HYPERLINK("http://141.218.60.56/~jnz1568/getInfo.php?workbook=03_02.xlsx&amp;sheet=A0&amp;row=571&amp;col=6&amp;number=&amp;sourceID=27","")</f>
        <v/>
      </c>
      <c r="G571" s="4" t="str">
        <f>HYPERLINK("http://141.218.60.56/~jnz1568/getInfo.php?workbook=03_02.xlsx&amp;sheet=A0&amp;row=571&amp;col=7&amp;number=&amp;sourceID=15","")</f>
        <v/>
      </c>
      <c r="H571" s="4" t="str">
        <f>HYPERLINK("http://141.218.60.56/~jnz1568/getInfo.php?workbook=03_02.xlsx&amp;sheet=A0&amp;row=571&amp;col=8&amp;number=&amp;sourceID=15","")</f>
        <v/>
      </c>
      <c r="I571" s="4" t="str">
        <f>HYPERLINK("http://141.218.60.56/~jnz1568/getInfo.php?workbook=03_02.xlsx&amp;sheet=A0&amp;row=571&amp;col=9&amp;number=&amp;sourceID=15","")</f>
        <v/>
      </c>
      <c r="J571" s="4" t="str">
        <f>HYPERLINK("http://141.218.60.56/~jnz1568/getInfo.php?workbook=03_02.xlsx&amp;sheet=A0&amp;row=571&amp;col=10&amp;number=&amp;sourceID=15","")</f>
        <v/>
      </c>
      <c r="K571" s="4" t="str">
        <f>HYPERLINK("http://141.218.60.56/~jnz1568/getInfo.php?workbook=03_02.xlsx&amp;sheet=A0&amp;row=571&amp;col=11&amp;number=4104&amp;sourceID=30","4104")</f>
        <v>4104</v>
      </c>
      <c r="L571" s="4" t="str">
        <f>HYPERLINK("http://141.218.60.56/~jnz1568/getInfo.php?workbook=03_02.xlsx&amp;sheet=A0&amp;row=571&amp;col=12&amp;number=&amp;sourceID=30","")</f>
        <v/>
      </c>
      <c r="M571" s="4" t="str">
        <f>HYPERLINK("http://141.218.60.56/~jnz1568/getInfo.php?workbook=03_02.xlsx&amp;sheet=A0&amp;row=571&amp;col=13&amp;number=&amp;sourceID=30","")</f>
        <v/>
      </c>
      <c r="N571" s="4" t="str">
        <f>HYPERLINK("http://141.218.60.56/~jnz1568/getInfo.php?workbook=03_02.xlsx&amp;sheet=A0&amp;row=571&amp;col=14&amp;number=5.977e-05&amp;sourceID=30","5.977e-05")</f>
        <v>5.977e-05</v>
      </c>
    </row>
    <row r="572" spans="1:14">
      <c r="A572" s="3">
        <v>3</v>
      </c>
      <c r="B572" s="3">
        <v>2</v>
      </c>
      <c r="C572" s="3">
        <v>38</v>
      </c>
      <c r="D572" s="3">
        <v>18</v>
      </c>
      <c r="E572" s="3">
        <f>((1/(INDEX(E0!J$4:J$52,C572,1)-INDEX(E0!J$4:J$52,D572,1))))*100000000</f>
        <v>0</v>
      </c>
      <c r="F572" s="4" t="str">
        <f>HYPERLINK("http://141.218.60.56/~jnz1568/getInfo.php?workbook=03_02.xlsx&amp;sheet=A0&amp;row=572&amp;col=6&amp;number=&amp;sourceID=27","")</f>
        <v/>
      </c>
      <c r="G572" s="4" t="str">
        <f>HYPERLINK("http://141.218.60.56/~jnz1568/getInfo.php?workbook=03_02.xlsx&amp;sheet=A0&amp;row=572&amp;col=7&amp;number=&amp;sourceID=15","")</f>
        <v/>
      </c>
      <c r="H572" s="4" t="str">
        <f>HYPERLINK("http://141.218.60.56/~jnz1568/getInfo.php?workbook=03_02.xlsx&amp;sheet=A0&amp;row=572&amp;col=8&amp;number=&amp;sourceID=15","")</f>
        <v/>
      </c>
      <c r="I572" s="4" t="str">
        <f>HYPERLINK("http://141.218.60.56/~jnz1568/getInfo.php?workbook=03_02.xlsx&amp;sheet=A0&amp;row=572&amp;col=9&amp;number=&amp;sourceID=15","")</f>
        <v/>
      </c>
      <c r="J572" s="4" t="str">
        <f>HYPERLINK("http://141.218.60.56/~jnz1568/getInfo.php?workbook=03_02.xlsx&amp;sheet=A0&amp;row=572&amp;col=10&amp;number=&amp;sourceID=15","")</f>
        <v/>
      </c>
      <c r="K572" s="4" t="str">
        <f>HYPERLINK("http://141.218.60.56/~jnz1568/getInfo.php?workbook=03_02.xlsx&amp;sheet=A0&amp;row=572&amp;col=11&amp;number=&amp;sourceID=30","")</f>
        <v/>
      </c>
      <c r="L572" s="4" t="str">
        <f>HYPERLINK("http://141.218.60.56/~jnz1568/getInfo.php?workbook=03_02.xlsx&amp;sheet=A0&amp;row=572&amp;col=12&amp;number=43.78&amp;sourceID=30","43.78")</f>
        <v>43.78</v>
      </c>
      <c r="M572" s="4" t="str">
        <f>HYPERLINK("http://141.218.60.56/~jnz1568/getInfo.php?workbook=03_02.xlsx&amp;sheet=A0&amp;row=572&amp;col=13&amp;number=2.808e-10&amp;sourceID=30","2.808e-10")</f>
        <v>2.808e-10</v>
      </c>
      <c r="N572" s="4" t="str">
        <f>HYPERLINK("http://141.218.60.56/~jnz1568/getInfo.php?workbook=03_02.xlsx&amp;sheet=A0&amp;row=572&amp;col=14&amp;number=&amp;sourceID=30","")</f>
        <v/>
      </c>
    </row>
    <row r="573" spans="1:14">
      <c r="A573" s="3">
        <v>3</v>
      </c>
      <c r="B573" s="3">
        <v>2</v>
      </c>
      <c r="C573" s="3">
        <v>38</v>
      </c>
      <c r="D573" s="3">
        <v>19</v>
      </c>
      <c r="E573" s="3">
        <f>((1/(INDEX(E0!J$4:J$52,C573,1)-INDEX(E0!J$4:J$52,D573,1))))*100000000</f>
        <v>0</v>
      </c>
      <c r="F573" s="4" t="str">
        <f>HYPERLINK("http://141.218.60.56/~jnz1568/getInfo.php?workbook=03_02.xlsx&amp;sheet=A0&amp;row=573&amp;col=6&amp;number=&amp;sourceID=27","")</f>
        <v/>
      </c>
      <c r="G573" s="4" t="str">
        <f>HYPERLINK("http://141.218.60.56/~jnz1568/getInfo.php?workbook=03_02.xlsx&amp;sheet=A0&amp;row=573&amp;col=7&amp;number=&amp;sourceID=15","")</f>
        <v/>
      </c>
      <c r="H573" s="4" t="str">
        <f>HYPERLINK("http://141.218.60.56/~jnz1568/getInfo.php?workbook=03_02.xlsx&amp;sheet=A0&amp;row=573&amp;col=8&amp;number=&amp;sourceID=15","")</f>
        <v/>
      </c>
      <c r="I573" s="4" t="str">
        <f>HYPERLINK("http://141.218.60.56/~jnz1568/getInfo.php?workbook=03_02.xlsx&amp;sheet=A0&amp;row=573&amp;col=9&amp;number=&amp;sourceID=15","")</f>
        <v/>
      </c>
      <c r="J573" s="4" t="str">
        <f>HYPERLINK("http://141.218.60.56/~jnz1568/getInfo.php?workbook=03_02.xlsx&amp;sheet=A0&amp;row=573&amp;col=10&amp;number=&amp;sourceID=15","")</f>
        <v/>
      </c>
      <c r="K573" s="4" t="str">
        <f>HYPERLINK("http://141.218.60.56/~jnz1568/getInfo.php?workbook=03_02.xlsx&amp;sheet=A0&amp;row=573&amp;col=11&amp;number=&amp;sourceID=30","")</f>
        <v/>
      </c>
      <c r="L573" s="4" t="str">
        <f>HYPERLINK("http://141.218.60.56/~jnz1568/getInfo.php?workbook=03_02.xlsx&amp;sheet=A0&amp;row=573&amp;col=12&amp;number=0.003552&amp;sourceID=30","0.003552")</f>
        <v>0.003552</v>
      </c>
      <c r="M573" s="4" t="str">
        <f>HYPERLINK("http://141.218.60.56/~jnz1568/getInfo.php?workbook=03_02.xlsx&amp;sheet=A0&amp;row=573&amp;col=13&amp;number=&amp;sourceID=30","")</f>
        <v/>
      </c>
      <c r="N573" s="4" t="str">
        <f>HYPERLINK("http://141.218.60.56/~jnz1568/getInfo.php?workbook=03_02.xlsx&amp;sheet=A0&amp;row=573&amp;col=14&amp;number=&amp;sourceID=30","")</f>
        <v/>
      </c>
    </row>
    <row r="574" spans="1:14">
      <c r="A574" s="3">
        <v>3</v>
      </c>
      <c r="B574" s="3">
        <v>2</v>
      </c>
      <c r="C574" s="3">
        <v>38</v>
      </c>
      <c r="D574" s="3">
        <v>20</v>
      </c>
      <c r="E574" s="3">
        <f>((1/(INDEX(E0!J$4:J$52,C574,1)-INDEX(E0!J$4:J$52,D574,1))))*100000000</f>
        <v>0</v>
      </c>
      <c r="F574" s="4" t="str">
        <f>HYPERLINK("http://141.218.60.56/~jnz1568/getInfo.php?workbook=03_02.xlsx&amp;sheet=A0&amp;row=574&amp;col=6&amp;number=&amp;sourceID=27","")</f>
        <v/>
      </c>
      <c r="G574" s="4" t="str">
        <f>HYPERLINK("http://141.218.60.56/~jnz1568/getInfo.php?workbook=03_02.xlsx&amp;sheet=A0&amp;row=574&amp;col=7&amp;number=&amp;sourceID=15","")</f>
        <v/>
      </c>
      <c r="H574" s="4" t="str">
        <f>HYPERLINK("http://141.218.60.56/~jnz1568/getInfo.php?workbook=03_02.xlsx&amp;sheet=A0&amp;row=574&amp;col=8&amp;number=&amp;sourceID=15","")</f>
        <v/>
      </c>
      <c r="I574" s="4" t="str">
        <f>HYPERLINK("http://141.218.60.56/~jnz1568/getInfo.php?workbook=03_02.xlsx&amp;sheet=A0&amp;row=574&amp;col=9&amp;number=&amp;sourceID=15","")</f>
        <v/>
      </c>
      <c r="J574" s="4" t="str">
        <f>HYPERLINK("http://141.218.60.56/~jnz1568/getInfo.php?workbook=03_02.xlsx&amp;sheet=A0&amp;row=574&amp;col=10&amp;number=&amp;sourceID=15","")</f>
        <v/>
      </c>
      <c r="K574" s="4" t="str">
        <f>HYPERLINK("http://141.218.60.56/~jnz1568/getInfo.php?workbook=03_02.xlsx&amp;sheet=A0&amp;row=574&amp;col=11&amp;number=&amp;sourceID=30","")</f>
        <v/>
      </c>
      <c r="L574" s="4" t="str">
        <f>HYPERLINK("http://141.218.60.56/~jnz1568/getInfo.php?workbook=03_02.xlsx&amp;sheet=A0&amp;row=574&amp;col=12&amp;number=&amp;sourceID=30","")</f>
        <v/>
      </c>
      <c r="M574" s="4" t="str">
        <f>HYPERLINK("http://141.218.60.56/~jnz1568/getInfo.php?workbook=03_02.xlsx&amp;sheet=A0&amp;row=574&amp;col=13&amp;number=&amp;sourceID=30","")</f>
        <v/>
      </c>
      <c r="N574" s="4" t="str">
        <f>HYPERLINK("http://141.218.60.56/~jnz1568/getInfo.php?workbook=03_02.xlsx&amp;sheet=A0&amp;row=574&amp;col=14&amp;number=5.491e-07&amp;sourceID=30","5.491e-07")</f>
        <v>5.491e-07</v>
      </c>
    </row>
    <row r="575" spans="1:14">
      <c r="A575" s="3">
        <v>3</v>
      </c>
      <c r="B575" s="3">
        <v>2</v>
      </c>
      <c r="C575" s="3">
        <v>38</v>
      </c>
      <c r="D575" s="3">
        <v>21</v>
      </c>
      <c r="E575" s="3">
        <f>((1/(INDEX(E0!J$4:J$52,C575,1)-INDEX(E0!J$4:J$52,D575,1))))*100000000</f>
        <v>0</v>
      </c>
      <c r="F575" s="4" t="str">
        <f>HYPERLINK("http://141.218.60.56/~jnz1568/getInfo.php?workbook=03_02.xlsx&amp;sheet=A0&amp;row=575&amp;col=6&amp;number=&amp;sourceID=27","")</f>
        <v/>
      </c>
      <c r="G575" s="4" t="str">
        <f>HYPERLINK("http://141.218.60.56/~jnz1568/getInfo.php?workbook=03_02.xlsx&amp;sheet=A0&amp;row=575&amp;col=7&amp;number=15923000&amp;sourceID=15","15923000")</f>
        <v>15923000</v>
      </c>
      <c r="H575" s="4" t="str">
        <f>HYPERLINK("http://141.218.60.56/~jnz1568/getInfo.php?workbook=03_02.xlsx&amp;sheet=A0&amp;row=575&amp;col=8&amp;number=&amp;sourceID=15","")</f>
        <v/>
      </c>
      <c r="I575" s="4" t="str">
        <f>HYPERLINK("http://141.218.60.56/~jnz1568/getInfo.php?workbook=03_02.xlsx&amp;sheet=A0&amp;row=575&amp;col=9&amp;number=&amp;sourceID=15","")</f>
        <v/>
      </c>
      <c r="J575" s="4" t="str">
        <f>HYPERLINK("http://141.218.60.56/~jnz1568/getInfo.php?workbook=03_02.xlsx&amp;sheet=A0&amp;row=575&amp;col=10&amp;number=&amp;sourceID=15","")</f>
        <v/>
      </c>
      <c r="K575" s="4" t="str">
        <f>HYPERLINK("http://141.218.60.56/~jnz1568/getInfo.php?workbook=03_02.xlsx&amp;sheet=A0&amp;row=575&amp;col=11&amp;number=15810000&amp;sourceID=30","15810000")</f>
        <v>15810000</v>
      </c>
      <c r="L575" s="4" t="str">
        <f>HYPERLINK("http://141.218.60.56/~jnz1568/getInfo.php?workbook=03_02.xlsx&amp;sheet=A0&amp;row=575&amp;col=12&amp;number=&amp;sourceID=30","")</f>
        <v/>
      </c>
      <c r="M575" s="4" t="str">
        <f>HYPERLINK("http://141.218.60.56/~jnz1568/getInfo.php?workbook=03_02.xlsx&amp;sheet=A0&amp;row=575&amp;col=13&amp;number=&amp;sourceID=30","")</f>
        <v/>
      </c>
      <c r="N575" s="4" t="str">
        <f>HYPERLINK("http://141.218.60.56/~jnz1568/getInfo.php?workbook=03_02.xlsx&amp;sheet=A0&amp;row=575&amp;col=14&amp;number=9.022e-06&amp;sourceID=30","9.022e-06")</f>
        <v>9.022e-06</v>
      </c>
    </row>
    <row r="576" spans="1:14">
      <c r="A576" s="3">
        <v>3</v>
      </c>
      <c r="B576" s="3">
        <v>2</v>
      </c>
      <c r="C576" s="3">
        <v>38</v>
      </c>
      <c r="D576" s="3">
        <v>22</v>
      </c>
      <c r="E576" s="3">
        <f>((1/(INDEX(E0!J$4:J$52,C576,1)-INDEX(E0!J$4:J$52,D576,1))))*100000000</f>
        <v>0</v>
      </c>
      <c r="F576" s="4" t="str">
        <f>HYPERLINK("http://141.218.60.56/~jnz1568/getInfo.php?workbook=03_02.xlsx&amp;sheet=A0&amp;row=576&amp;col=6&amp;number=&amp;sourceID=27","")</f>
        <v/>
      </c>
      <c r="G576" s="4" t="str">
        <f>HYPERLINK("http://141.218.60.56/~jnz1568/getInfo.php?workbook=03_02.xlsx&amp;sheet=A0&amp;row=576&amp;col=7&amp;number=5307500&amp;sourceID=15","5307500")</f>
        <v>5307500</v>
      </c>
      <c r="H576" s="4" t="str">
        <f>HYPERLINK("http://141.218.60.56/~jnz1568/getInfo.php?workbook=03_02.xlsx&amp;sheet=A0&amp;row=576&amp;col=8&amp;number=&amp;sourceID=15","")</f>
        <v/>
      </c>
      <c r="I576" s="4" t="str">
        <f>HYPERLINK("http://141.218.60.56/~jnz1568/getInfo.php?workbook=03_02.xlsx&amp;sheet=A0&amp;row=576&amp;col=9&amp;number=&amp;sourceID=15","")</f>
        <v/>
      </c>
      <c r="J576" s="4" t="str">
        <f>HYPERLINK("http://141.218.60.56/~jnz1568/getInfo.php?workbook=03_02.xlsx&amp;sheet=A0&amp;row=576&amp;col=10&amp;number=&amp;sourceID=15","")</f>
        <v/>
      </c>
      <c r="K576" s="4" t="str">
        <f>HYPERLINK("http://141.218.60.56/~jnz1568/getInfo.php?workbook=03_02.xlsx&amp;sheet=A0&amp;row=576&amp;col=11&amp;number=5269000&amp;sourceID=30","5269000")</f>
        <v>5269000</v>
      </c>
      <c r="L576" s="4" t="str">
        <f>HYPERLINK("http://141.218.60.56/~jnz1568/getInfo.php?workbook=03_02.xlsx&amp;sheet=A0&amp;row=576&amp;col=12&amp;number=&amp;sourceID=30","")</f>
        <v/>
      </c>
      <c r="M576" s="4" t="str">
        <f>HYPERLINK("http://141.218.60.56/~jnz1568/getInfo.php?workbook=03_02.xlsx&amp;sheet=A0&amp;row=576&amp;col=13&amp;number=&amp;sourceID=30","")</f>
        <v/>
      </c>
      <c r="N576" s="4" t="str">
        <f>HYPERLINK("http://141.218.60.56/~jnz1568/getInfo.php?workbook=03_02.xlsx&amp;sheet=A0&amp;row=576&amp;col=14&amp;number=3.928e-06&amp;sourceID=30","3.928e-06")</f>
        <v>3.928e-06</v>
      </c>
    </row>
    <row r="577" spans="1:14">
      <c r="A577" s="3">
        <v>3</v>
      </c>
      <c r="B577" s="3">
        <v>2</v>
      </c>
      <c r="C577" s="3">
        <v>38</v>
      </c>
      <c r="D577" s="3">
        <v>23</v>
      </c>
      <c r="E577" s="3">
        <f>((1/(INDEX(E0!J$4:J$52,C577,1)-INDEX(E0!J$4:J$52,D577,1))))*100000000</f>
        <v>0</v>
      </c>
      <c r="F577" s="4" t="str">
        <f>HYPERLINK("http://141.218.60.56/~jnz1568/getInfo.php?workbook=03_02.xlsx&amp;sheet=A0&amp;row=577&amp;col=6&amp;number=&amp;sourceID=27","")</f>
        <v/>
      </c>
      <c r="G577" s="4" t="str">
        <f>HYPERLINK("http://141.218.60.56/~jnz1568/getInfo.php?workbook=03_02.xlsx&amp;sheet=A0&amp;row=577&amp;col=7&amp;number=&amp;sourceID=15","")</f>
        <v/>
      </c>
      <c r="H577" s="4" t="str">
        <f>HYPERLINK("http://141.218.60.56/~jnz1568/getInfo.php?workbook=03_02.xlsx&amp;sheet=A0&amp;row=577&amp;col=8&amp;number=&amp;sourceID=15","")</f>
        <v/>
      </c>
      <c r="I577" s="4" t="str">
        <f>HYPERLINK("http://141.218.60.56/~jnz1568/getInfo.php?workbook=03_02.xlsx&amp;sheet=A0&amp;row=577&amp;col=9&amp;number=&amp;sourceID=15","")</f>
        <v/>
      </c>
      <c r="J577" s="4" t="str">
        <f>HYPERLINK("http://141.218.60.56/~jnz1568/getInfo.php?workbook=03_02.xlsx&amp;sheet=A0&amp;row=577&amp;col=10&amp;number=&amp;sourceID=15","")</f>
        <v/>
      </c>
      <c r="K577" s="4" t="str">
        <f>HYPERLINK("http://141.218.60.56/~jnz1568/getInfo.php?workbook=03_02.xlsx&amp;sheet=A0&amp;row=577&amp;col=11&amp;number=&amp;sourceID=30","")</f>
        <v/>
      </c>
      <c r="L577" s="4" t="str">
        <f>HYPERLINK("http://141.218.60.56/~jnz1568/getInfo.php?workbook=03_02.xlsx&amp;sheet=A0&amp;row=577&amp;col=12&amp;number=5.95&amp;sourceID=30","5.95")</f>
        <v>5.95</v>
      </c>
      <c r="M577" s="4" t="str">
        <f>HYPERLINK("http://141.218.60.56/~jnz1568/getInfo.php?workbook=03_02.xlsx&amp;sheet=A0&amp;row=577&amp;col=13&amp;number=9.609e-10&amp;sourceID=30","9.609e-10")</f>
        <v>9.609e-10</v>
      </c>
      <c r="N577" s="4" t="str">
        <f>HYPERLINK("http://141.218.60.56/~jnz1568/getInfo.php?workbook=03_02.xlsx&amp;sheet=A0&amp;row=577&amp;col=14&amp;number=&amp;sourceID=30","")</f>
        <v/>
      </c>
    </row>
    <row r="578" spans="1:14">
      <c r="A578" s="3">
        <v>3</v>
      </c>
      <c r="B578" s="3">
        <v>2</v>
      </c>
      <c r="C578" s="3">
        <v>38</v>
      </c>
      <c r="D578" s="3">
        <v>24</v>
      </c>
      <c r="E578" s="3">
        <f>((1/(INDEX(E0!J$4:J$52,C578,1)-INDEX(E0!J$4:J$52,D578,1))))*100000000</f>
        <v>0</v>
      </c>
      <c r="F578" s="4" t="str">
        <f>HYPERLINK("http://141.218.60.56/~jnz1568/getInfo.php?workbook=03_02.xlsx&amp;sheet=A0&amp;row=578&amp;col=6&amp;number=&amp;sourceID=27","")</f>
        <v/>
      </c>
      <c r="G578" s="4" t="str">
        <f>HYPERLINK("http://141.218.60.56/~jnz1568/getInfo.php?workbook=03_02.xlsx&amp;sheet=A0&amp;row=578&amp;col=7&amp;number=&amp;sourceID=15","")</f>
        <v/>
      </c>
      <c r="H578" s="4" t="str">
        <f>HYPERLINK("http://141.218.60.56/~jnz1568/getInfo.php?workbook=03_02.xlsx&amp;sheet=A0&amp;row=578&amp;col=8&amp;number=&amp;sourceID=15","")</f>
        <v/>
      </c>
      <c r="I578" s="4" t="str">
        <f>HYPERLINK("http://141.218.60.56/~jnz1568/getInfo.php?workbook=03_02.xlsx&amp;sheet=A0&amp;row=578&amp;col=9&amp;number=&amp;sourceID=15","")</f>
        <v/>
      </c>
      <c r="J578" s="4" t="str">
        <f>HYPERLINK("http://141.218.60.56/~jnz1568/getInfo.php?workbook=03_02.xlsx&amp;sheet=A0&amp;row=578&amp;col=10&amp;number=&amp;sourceID=15","")</f>
        <v/>
      </c>
      <c r="K578" s="4" t="str">
        <f>HYPERLINK("http://141.218.60.56/~jnz1568/getInfo.php?workbook=03_02.xlsx&amp;sheet=A0&amp;row=578&amp;col=11&amp;number=&amp;sourceID=30","")</f>
        <v/>
      </c>
      <c r="L578" s="4" t="str">
        <f>HYPERLINK("http://141.218.60.56/~jnz1568/getInfo.php?workbook=03_02.xlsx&amp;sheet=A0&amp;row=578&amp;col=12&amp;number=4.25&amp;sourceID=30","4.25")</f>
        <v>4.25</v>
      </c>
      <c r="M578" s="4" t="str">
        <f>HYPERLINK("http://141.218.60.56/~jnz1568/getInfo.php?workbook=03_02.xlsx&amp;sheet=A0&amp;row=578&amp;col=13&amp;number=1.628e-09&amp;sourceID=30","1.628e-09")</f>
        <v>1.628e-09</v>
      </c>
      <c r="N578" s="4" t="str">
        <f>HYPERLINK("http://141.218.60.56/~jnz1568/getInfo.php?workbook=03_02.xlsx&amp;sheet=A0&amp;row=578&amp;col=14&amp;number=&amp;sourceID=30","")</f>
        <v/>
      </c>
    </row>
    <row r="579" spans="1:14">
      <c r="A579" s="3">
        <v>3</v>
      </c>
      <c r="B579" s="3">
        <v>2</v>
      </c>
      <c r="C579" s="3">
        <v>38</v>
      </c>
      <c r="D579" s="3">
        <v>25</v>
      </c>
      <c r="E579" s="3">
        <f>((1/(INDEX(E0!J$4:J$52,C579,1)-INDEX(E0!J$4:J$52,D579,1))))*100000000</f>
        <v>0</v>
      </c>
      <c r="F579" s="4" t="str">
        <f>HYPERLINK("http://141.218.60.56/~jnz1568/getInfo.php?workbook=03_02.xlsx&amp;sheet=A0&amp;row=579&amp;col=6&amp;number=&amp;sourceID=27","")</f>
        <v/>
      </c>
      <c r="G579" s="4" t="str">
        <f>HYPERLINK("http://141.218.60.56/~jnz1568/getInfo.php?workbook=03_02.xlsx&amp;sheet=A0&amp;row=579&amp;col=7&amp;number=&amp;sourceID=15","")</f>
        <v/>
      </c>
      <c r="H579" s="4" t="str">
        <f>HYPERLINK("http://141.218.60.56/~jnz1568/getInfo.php?workbook=03_02.xlsx&amp;sheet=A0&amp;row=579&amp;col=8&amp;number=&amp;sourceID=15","")</f>
        <v/>
      </c>
      <c r="I579" s="4" t="str">
        <f>HYPERLINK("http://141.218.60.56/~jnz1568/getInfo.php?workbook=03_02.xlsx&amp;sheet=A0&amp;row=579&amp;col=9&amp;number=&amp;sourceID=15","")</f>
        <v/>
      </c>
      <c r="J579" s="4" t="str">
        <f>HYPERLINK("http://141.218.60.56/~jnz1568/getInfo.php?workbook=03_02.xlsx&amp;sheet=A0&amp;row=579&amp;col=10&amp;number=&amp;sourceID=15","")</f>
        <v/>
      </c>
      <c r="K579" s="4" t="str">
        <f>HYPERLINK("http://141.218.60.56/~jnz1568/getInfo.php?workbook=03_02.xlsx&amp;sheet=A0&amp;row=579&amp;col=11&amp;number=&amp;sourceID=30","")</f>
        <v/>
      </c>
      <c r="L579" s="4" t="str">
        <f>HYPERLINK("http://141.218.60.56/~jnz1568/getInfo.php?workbook=03_02.xlsx&amp;sheet=A0&amp;row=579&amp;col=12&amp;number=6.799&amp;sourceID=30","6.799")</f>
        <v>6.799</v>
      </c>
      <c r="M579" s="4" t="str">
        <f>HYPERLINK("http://141.218.60.56/~jnz1568/getInfo.php?workbook=03_02.xlsx&amp;sheet=A0&amp;row=579&amp;col=13&amp;number=3.514e-10&amp;sourceID=30","3.514e-10")</f>
        <v>3.514e-10</v>
      </c>
      <c r="N579" s="4" t="str">
        <f>HYPERLINK("http://141.218.60.56/~jnz1568/getInfo.php?workbook=03_02.xlsx&amp;sheet=A0&amp;row=579&amp;col=14&amp;number=&amp;sourceID=30","")</f>
        <v/>
      </c>
    </row>
    <row r="580" spans="1:14">
      <c r="A580" s="3">
        <v>3</v>
      </c>
      <c r="B580" s="3">
        <v>2</v>
      </c>
      <c r="C580" s="3">
        <v>38</v>
      </c>
      <c r="D580" s="3">
        <v>26</v>
      </c>
      <c r="E580" s="3">
        <f>((1/(INDEX(E0!J$4:J$52,C580,1)-INDEX(E0!J$4:J$52,D580,1))))*100000000</f>
        <v>0</v>
      </c>
      <c r="F580" s="4" t="str">
        <f>HYPERLINK("http://141.218.60.56/~jnz1568/getInfo.php?workbook=03_02.xlsx&amp;sheet=A0&amp;row=580&amp;col=6&amp;number=&amp;sourceID=27","")</f>
        <v/>
      </c>
      <c r="G580" s="4" t="str">
        <f>HYPERLINK("http://141.218.60.56/~jnz1568/getInfo.php?workbook=03_02.xlsx&amp;sheet=A0&amp;row=580&amp;col=7&amp;number=&amp;sourceID=15","")</f>
        <v/>
      </c>
      <c r="H580" s="4" t="str">
        <f>HYPERLINK("http://141.218.60.56/~jnz1568/getInfo.php?workbook=03_02.xlsx&amp;sheet=A0&amp;row=580&amp;col=8&amp;number=&amp;sourceID=15","")</f>
        <v/>
      </c>
      <c r="I580" s="4" t="str">
        <f>HYPERLINK("http://141.218.60.56/~jnz1568/getInfo.php?workbook=03_02.xlsx&amp;sheet=A0&amp;row=580&amp;col=9&amp;number=&amp;sourceID=15","")</f>
        <v/>
      </c>
      <c r="J580" s="4" t="str">
        <f>HYPERLINK("http://141.218.60.56/~jnz1568/getInfo.php?workbook=03_02.xlsx&amp;sheet=A0&amp;row=580&amp;col=10&amp;number=&amp;sourceID=15","")</f>
        <v/>
      </c>
      <c r="K580" s="4" t="str">
        <f>HYPERLINK("http://141.218.60.56/~jnz1568/getInfo.php?workbook=03_02.xlsx&amp;sheet=A0&amp;row=580&amp;col=11&amp;number=&amp;sourceID=30","")</f>
        <v/>
      </c>
      <c r="L580" s="4" t="str">
        <f>HYPERLINK("http://141.218.60.56/~jnz1568/getInfo.php?workbook=03_02.xlsx&amp;sheet=A0&amp;row=580&amp;col=12&amp;number=0.0002561&amp;sourceID=30","0.0002561")</f>
        <v>0.0002561</v>
      </c>
      <c r="M580" s="4" t="str">
        <f>HYPERLINK("http://141.218.60.56/~jnz1568/getInfo.php?workbook=03_02.xlsx&amp;sheet=A0&amp;row=580&amp;col=13&amp;number=2.316e-09&amp;sourceID=30","2.316e-09")</f>
        <v>2.316e-09</v>
      </c>
      <c r="N580" s="4" t="str">
        <f>HYPERLINK("http://141.218.60.56/~jnz1568/getInfo.php?workbook=03_02.xlsx&amp;sheet=A0&amp;row=580&amp;col=14&amp;number=&amp;sourceID=30","")</f>
        <v/>
      </c>
    </row>
    <row r="581" spans="1:14">
      <c r="A581" s="3">
        <v>3</v>
      </c>
      <c r="B581" s="3">
        <v>2</v>
      </c>
      <c r="C581" s="3">
        <v>38</v>
      </c>
      <c r="D581" s="3">
        <v>27</v>
      </c>
      <c r="E581" s="3">
        <f>((1/(INDEX(E0!J$4:J$52,C581,1)-INDEX(E0!J$4:J$52,D581,1))))*100000000</f>
        <v>0</v>
      </c>
      <c r="F581" s="4" t="str">
        <f>HYPERLINK("http://141.218.60.56/~jnz1568/getInfo.php?workbook=03_02.xlsx&amp;sheet=A0&amp;row=581&amp;col=6&amp;number=&amp;sourceID=27","")</f>
        <v/>
      </c>
      <c r="G581" s="4" t="str">
        <f>HYPERLINK("http://141.218.60.56/~jnz1568/getInfo.php?workbook=03_02.xlsx&amp;sheet=A0&amp;row=581&amp;col=7&amp;number=92332&amp;sourceID=15","92332")</f>
        <v>92332</v>
      </c>
      <c r="H581" s="4" t="str">
        <f>HYPERLINK("http://141.218.60.56/~jnz1568/getInfo.php?workbook=03_02.xlsx&amp;sheet=A0&amp;row=581&amp;col=8&amp;number=&amp;sourceID=15","")</f>
        <v/>
      </c>
      <c r="I581" s="4" t="str">
        <f>HYPERLINK("http://141.218.60.56/~jnz1568/getInfo.php?workbook=03_02.xlsx&amp;sheet=A0&amp;row=581&amp;col=9&amp;number=&amp;sourceID=15","")</f>
        <v/>
      </c>
      <c r="J581" s="4" t="str">
        <f>HYPERLINK("http://141.218.60.56/~jnz1568/getInfo.php?workbook=03_02.xlsx&amp;sheet=A0&amp;row=581&amp;col=10&amp;number=&amp;sourceID=15","")</f>
        <v/>
      </c>
      <c r="K581" s="4" t="str">
        <f>HYPERLINK("http://141.218.60.56/~jnz1568/getInfo.php?workbook=03_02.xlsx&amp;sheet=A0&amp;row=581&amp;col=11&amp;number=91160&amp;sourceID=30","91160")</f>
        <v>91160</v>
      </c>
      <c r="L581" s="4" t="str">
        <f>HYPERLINK("http://141.218.60.56/~jnz1568/getInfo.php?workbook=03_02.xlsx&amp;sheet=A0&amp;row=581&amp;col=12&amp;number=&amp;sourceID=30","")</f>
        <v/>
      </c>
      <c r="M581" s="4" t="str">
        <f>HYPERLINK("http://141.218.60.56/~jnz1568/getInfo.php?workbook=03_02.xlsx&amp;sheet=A0&amp;row=581&amp;col=13&amp;number=&amp;sourceID=30","")</f>
        <v/>
      </c>
      <c r="N581" s="4" t="str">
        <f>HYPERLINK("http://141.218.60.56/~jnz1568/getInfo.php?workbook=03_02.xlsx&amp;sheet=A0&amp;row=581&amp;col=14&amp;number=2.555e-08&amp;sourceID=30","2.555e-08")</f>
        <v>2.555e-08</v>
      </c>
    </row>
    <row r="582" spans="1:14">
      <c r="A582" s="3">
        <v>3</v>
      </c>
      <c r="B582" s="3">
        <v>2</v>
      </c>
      <c r="C582" s="3">
        <v>38</v>
      </c>
      <c r="D582" s="3">
        <v>28</v>
      </c>
      <c r="E582" s="3">
        <f>((1/(INDEX(E0!J$4:J$52,C582,1)-INDEX(E0!J$4:J$52,D582,1))))*100000000</f>
        <v>0</v>
      </c>
      <c r="F582" s="4" t="str">
        <f>HYPERLINK("http://141.218.60.56/~jnz1568/getInfo.php?workbook=03_02.xlsx&amp;sheet=A0&amp;row=582&amp;col=6&amp;number=&amp;sourceID=27","")</f>
        <v/>
      </c>
      <c r="G582" s="4" t="str">
        <f>HYPERLINK("http://141.218.60.56/~jnz1568/getInfo.php?workbook=03_02.xlsx&amp;sheet=A0&amp;row=582&amp;col=7&amp;number=529510&amp;sourceID=15","529510")</f>
        <v>529510</v>
      </c>
      <c r="H582" s="4" t="str">
        <f>HYPERLINK("http://141.218.60.56/~jnz1568/getInfo.php?workbook=03_02.xlsx&amp;sheet=A0&amp;row=582&amp;col=8&amp;number=&amp;sourceID=15","")</f>
        <v/>
      </c>
      <c r="I582" s="4" t="str">
        <f>HYPERLINK("http://141.218.60.56/~jnz1568/getInfo.php?workbook=03_02.xlsx&amp;sheet=A0&amp;row=582&amp;col=9&amp;number=&amp;sourceID=15","")</f>
        <v/>
      </c>
      <c r="J582" s="4" t="str">
        <f>HYPERLINK("http://141.218.60.56/~jnz1568/getInfo.php?workbook=03_02.xlsx&amp;sheet=A0&amp;row=582&amp;col=10&amp;number=&amp;sourceID=15","")</f>
        <v/>
      </c>
      <c r="K582" s="4" t="str">
        <f>HYPERLINK("http://141.218.60.56/~jnz1568/getInfo.php?workbook=03_02.xlsx&amp;sheet=A0&amp;row=582&amp;col=11&amp;number=579700&amp;sourceID=30","579700")</f>
        <v>579700</v>
      </c>
      <c r="L582" s="4" t="str">
        <f>HYPERLINK("http://141.218.60.56/~jnz1568/getInfo.php?workbook=03_02.xlsx&amp;sheet=A0&amp;row=582&amp;col=12&amp;number=&amp;sourceID=30","")</f>
        <v/>
      </c>
      <c r="M582" s="4" t="str">
        <f>HYPERLINK("http://141.218.60.56/~jnz1568/getInfo.php?workbook=03_02.xlsx&amp;sheet=A0&amp;row=582&amp;col=13&amp;number=&amp;sourceID=30","")</f>
        <v/>
      </c>
      <c r="N582" s="4" t="str">
        <f>HYPERLINK("http://141.218.60.56/~jnz1568/getInfo.php?workbook=03_02.xlsx&amp;sheet=A0&amp;row=582&amp;col=14&amp;number=2.727e-07&amp;sourceID=30","2.727e-07")</f>
        <v>2.727e-07</v>
      </c>
    </row>
    <row r="583" spans="1:14">
      <c r="A583" s="3">
        <v>3</v>
      </c>
      <c r="B583" s="3">
        <v>2</v>
      </c>
      <c r="C583" s="3">
        <v>38</v>
      </c>
      <c r="D583" s="3">
        <v>29</v>
      </c>
      <c r="E583" s="3">
        <f>((1/(INDEX(E0!J$4:J$52,C583,1)-INDEX(E0!J$4:J$52,D583,1))))*100000000</f>
        <v>0</v>
      </c>
      <c r="F583" s="4" t="str">
        <f>HYPERLINK("http://141.218.60.56/~jnz1568/getInfo.php?workbook=03_02.xlsx&amp;sheet=A0&amp;row=583&amp;col=6&amp;number=&amp;sourceID=27","")</f>
        <v/>
      </c>
      <c r="G583" s="4" t="str">
        <f>HYPERLINK("http://141.218.60.56/~jnz1568/getInfo.php?workbook=03_02.xlsx&amp;sheet=A0&amp;row=583&amp;col=7&amp;number=&amp;sourceID=15","")</f>
        <v/>
      </c>
      <c r="H583" s="4" t="str">
        <f>HYPERLINK("http://141.218.60.56/~jnz1568/getInfo.php?workbook=03_02.xlsx&amp;sheet=A0&amp;row=583&amp;col=8&amp;number=&amp;sourceID=15","")</f>
        <v/>
      </c>
      <c r="I583" s="4" t="str">
        <f>HYPERLINK("http://141.218.60.56/~jnz1568/getInfo.php?workbook=03_02.xlsx&amp;sheet=A0&amp;row=583&amp;col=9&amp;number=&amp;sourceID=15","")</f>
        <v/>
      </c>
      <c r="J583" s="4" t="str">
        <f>HYPERLINK("http://141.218.60.56/~jnz1568/getInfo.php?workbook=03_02.xlsx&amp;sheet=A0&amp;row=583&amp;col=10&amp;number=&amp;sourceID=15","")</f>
        <v/>
      </c>
      <c r="K583" s="4" t="str">
        <f>HYPERLINK("http://141.218.60.56/~jnz1568/getInfo.php?workbook=03_02.xlsx&amp;sheet=A0&amp;row=583&amp;col=11&amp;number=&amp;sourceID=30","")</f>
        <v/>
      </c>
      <c r="L583" s="4" t="str">
        <f>HYPERLINK("http://141.218.60.56/~jnz1568/getInfo.php?workbook=03_02.xlsx&amp;sheet=A0&amp;row=583&amp;col=12&amp;number=&amp;sourceID=30","")</f>
        <v/>
      </c>
      <c r="M583" s="4" t="str">
        <f>HYPERLINK("http://141.218.60.56/~jnz1568/getInfo.php?workbook=03_02.xlsx&amp;sheet=A0&amp;row=583&amp;col=13&amp;number=&amp;sourceID=30","")</f>
        <v/>
      </c>
      <c r="N583" s="4" t="str">
        <f>HYPERLINK("http://141.218.60.56/~jnz1568/getInfo.php?workbook=03_02.xlsx&amp;sheet=A0&amp;row=583&amp;col=14&amp;number=3.578e-08&amp;sourceID=30","3.578e-08")</f>
        <v>3.578e-08</v>
      </c>
    </row>
    <row r="584" spans="1:14">
      <c r="A584" s="3">
        <v>3</v>
      </c>
      <c r="B584" s="3">
        <v>2</v>
      </c>
      <c r="C584" s="3">
        <v>38</v>
      </c>
      <c r="D584" s="3">
        <v>30</v>
      </c>
      <c r="E584" s="3">
        <f>((1/(INDEX(E0!J$4:J$52,C584,1)-INDEX(E0!J$4:J$52,D584,1))))*100000000</f>
        <v>0</v>
      </c>
      <c r="F584" s="4" t="str">
        <f>HYPERLINK("http://141.218.60.56/~jnz1568/getInfo.php?workbook=03_02.xlsx&amp;sheet=A0&amp;row=584&amp;col=6&amp;number=&amp;sourceID=27","")</f>
        <v/>
      </c>
      <c r="G584" s="4" t="str">
        <f>HYPERLINK("http://141.218.60.56/~jnz1568/getInfo.php?workbook=03_02.xlsx&amp;sheet=A0&amp;row=584&amp;col=7&amp;number=209300&amp;sourceID=15","209300")</f>
        <v>209300</v>
      </c>
      <c r="H584" s="4" t="str">
        <f>HYPERLINK("http://141.218.60.56/~jnz1568/getInfo.php?workbook=03_02.xlsx&amp;sheet=A0&amp;row=584&amp;col=8&amp;number=&amp;sourceID=15","")</f>
        <v/>
      </c>
      <c r="I584" s="4" t="str">
        <f>HYPERLINK("http://141.218.60.56/~jnz1568/getInfo.php?workbook=03_02.xlsx&amp;sheet=A0&amp;row=584&amp;col=9&amp;number=&amp;sourceID=15","")</f>
        <v/>
      </c>
      <c r="J584" s="4" t="str">
        <f>HYPERLINK("http://141.218.60.56/~jnz1568/getInfo.php?workbook=03_02.xlsx&amp;sheet=A0&amp;row=584&amp;col=10&amp;number=&amp;sourceID=15","")</f>
        <v/>
      </c>
      <c r="K584" s="4" t="str">
        <f>HYPERLINK("http://141.218.60.56/~jnz1568/getInfo.php?workbook=03_02.xlsx&amp;sheet=A0&amp;row=584&amp;col=11&amp;number=149500&amp;sourceID=30","149500")</f>
        <v>149500</v>
      </c>
      <c r="L584" s="4" t="str">
        <f>HYPERLINK("http://141.218.60.56/~jnz1568/getInfo.php?workbook=03_02.xlsx&amp;sheet=A0&amp;row=584&amp;col=12&amp;number=&amp;sourceID=30","")</f>
        <v/>
      </c>
      <c r="M584" s="4" t="str">
        <f>HYPERLINK("http://141.218.60.56/~jnz1568/getInfo.php?workbook=03_02.xlsx&amp;sheet=A0&amp;row=584&amp;col=13&amp;number=&amp;sourceID=30","")</f>
        <v/>
      </c>
      <c r="N584" s="4" t="str">
        <f>HYPERLINK("http://141.218.60.56/~jnz1568/getInfo.php?workbook=03_02.xlsx&amp;sheet=A0&amp;row=584&amp;col=14&amp;number=6.561e-07&amp;sourceID=30","6.561e-07")</f>
        <v>6.561e-07</v>
      </c>
    </row>
    <row r="585" spans="1:14">
      <c r="A585" s="3">
        <v>3</v>
      </c>
      <c r="B585" s="3">
        <v>2</v>
      </c>
      <c r="C585" s="3">
        <v>38</v>
      </c>
      <c r="D585" s="3">
        <v>31</v>
      </c>
      <c r="E585" s="3">
        <f>((1/(INDEX(E0!J$4:J$52,C585,1)-INDEX(E0!J$4:J$52,D585,1))))*100000000</f>
        <v>0</v>
      </c>
      <c r="F585" s="4" t="str">
        <f>HYPERLINK("http://141.218.60.56/~jnz1568/getInfo.php?workbook=03_02.xlsx&amp;sheet=A0&amp;row=585&amp;col=6&amp;number=&amp;sourceID=27","")</f>
        <v/>
      </c>
      <c r="G585" s="4" t="str">
        <f>HYPERLINK("http://141.218.60.56/~jnz1568/getInfo.php?workbook=03_02.xlsx&amp;sheet=A0&amp;row=585&amp;col=7&amp;number=3635&amp;sourceID=15","3635")</f>
        <v>3635</v>
      </c>
      <c r="H585" s="4" t="str">
        <f>HYPERLINK("http://141.218.60.56/~jnz1568/getInfo.php?workbook=03_02.xlsx&amp;sheet=A0&amp;row=585&amp;col=8&amp;number=&amp;sourceID=15","")</f>
        <v/>
      </c>
      <c r="I585" s="4" t="str">
        <f>HYPERLINK("http://141.218.60.56/~jnz1568/getInfo.php?workbook=03_02.xlsx&amp;sheet=A0&amp;row=585&amp;col=9&amp;number=&amp;sourceID=15","")</f>
        <v/>
      </c>
      <c r="J585" s="4" t="str">
        <f>HYPERLINK("http://141.218.60.56/~jnz1568/getInfo.php?workbook=03_02.xlsx&amp;sheet=A0&amp;row=585&amp;col=10&amp;number=&amp;sourceID=15","")</f>
        <v/>
      </c>
      <c r="K585" s="4" t="str">
        <f>HYPERLINK("http://141.218.60.56/~jnz1568/getInfo.php?workbook=03_02.xlsx&amp;sheet=A0&amp;row=585&amp;col=11&amp;number=1794&amp;sourceID=30","1794")</f>
        <v>1794</v>
      </c>
      <c r="L585" s="4" t="str">
        <f>HYPERLINK("http://141.218.60.56/~jnz1568/getInfo.php?workbook=03_02.xlsx&amp;sheet=A0&amp;row=585&amp;col=12&amp;number=&amp;sourceID=30","")</f>
        <v/>
      </c>
      <c r="M585" s="4" t="str">
        <f>HYPERLINK("http://141.218.60.56/~jnz1568/getInfo.php?workbook=03_02.xlsx&amp;sheet=A0&amp;row=585&amp;col=13&amp;number=&amp;sourceID=30","")</f>
        <v/>
      </c>
      <c r="N585" s="4" t="str">
        <f>HYPERLINK("http://141.218.60.56/~jnz1568/getInfo.php?workbook=03_02.xlsx&amp;sheet=A0&amp;row=585&amp;col=14&amp;number=2.538e-06&amp;sourceID=30","2.538e-06")</f>
        <v>2.538e-06</v>
      </c>
    </row>
    <row r="586" spans="1:14">
      <c r="A586" s="3">
        <v>3</v>
      </c>
      <c r="B586" s="3">
        <v>2</v>
      </c>
      <c r="C586" s="3">
        <v>38</v>
      </c>
      <c r="D586" s="3">
        <v>32</v>
      </c>
      <c r="E586" s="3">
        <f>((1/(INDEX(E0!J$4:J$52,C586,1)-INDEX(E0!J$4:J$52,D586,1))))*100000000</f>
        <v>0</v>
      </c>
      <c r="F586" s="4" t="str">
        <f>HYPERLINK("http://141.218.60.56/~jnz1568/getInfo.php?workbook=03_02.xlsx&amp;sheet=A0&amp;row=586&amp;col=6&amp;number=&amp;sourceID=27","")</f>
        <v/>
      </c>
      <c r="G586" s="4" t="str">
        <f>HYPERLINK("http://141.218.60.56/~jnz1568/getInfo.php?workbook=03_02.xlsx&amp;sheet=A0&amp;row=586&amp;col=7&amp;number=&amp;sourceID=15","")</f>
        <v/>
      </c>
      <c r="H586" s="4" t="str">
        <f>HYPERLINK("http://141.218.60.56/~jnz1568/getInfo.php?workbook=03_02.xlsx&amp;sheet=A0&amp;row=586&amp;col=8&amp;number=&amp;sourceID=15","")</f>
        <v/>
      </c>
      <c r="I586" s="4" t="str">
        <f>HYPERLINK("http://141.218.60.56/~jnz1568/getInfo.php?workbook=03_02.xlsx&amp;sheet=A0&amp;row=586&amp;col=9&amp;number=&amp;sourceID=15","")</f>
        <v/>
      </c>
      <c r="J586" s="4" t="str">
        <f>HYPERLINK("http://141.218.60.56/~jnz1568/getInfo.php?workbook=03_02.xlsx&amp;sheet=A0&amp;row=586&amp;col=10&amp;number=&amp;sourceID=15","")</f>
        <v/>
      </c>
      <c r="K586" s="4" t="str">
        <f>HYPERLINK("http://141.218.60.56/~jnz1568/getInfo.php?workbook=03_02.xlsx&amp;sheet=A0&amp;row=586&amp;col=11&amp;number=&amp;sourceID=30","")</f>
        <v/>
      </c>
      <c r="L586" s="4" t="str">
        <f>HYPERLINK("http://141.218.60.56/~jnz1568/getInfo.php?workbook=03_02.xlsx&amp;sheet=A0&amp;row=586&amp;col=12&amp;number=0.009583&amp;sourceID=30","0.009583")</f>
        <v>0.009583</v>
      </c>
      <c r="M586" s="4" t="str">
        <f>HYPERLINK("http://141.218.60.56/~jnz1568/getInfo.php?workbook=03_02.xlsx&amp;sheet=A0&amp;row=586&amp;col=13&amp;number=1.353e-11&amp;sourceID=30","1.353e-11")</f>
        <v>1.353e-11</v>
      </c>
      <c r="N586" s="4" t="str">
        <f>HYPERLINK("http://141.218.60.56/~jnz1568/getInfo.php?workbook=03_02.xlsx&amp;sheet=A0&amp;row=586&amp;col=14&amp;number=&amp;sourceID=30","")</f>
        <v/>
      </c>
    </row>
    <row r="587" spans="1:14">
      <c r="A587" s="3">
        <v>3</v>
      </c>
      <c r="B587" s="3">
        <v>2</v>
      </c>
      <c r="C587" s="3">
        <v>38</v>
      </c>
      <c r="D587" s="3">
        <v>34</v>
      </c>
      <c r="E587" s="3">
        <f>((1/(INDEX(E0!J$4:J$52,C587,1)-INDEX(E0!J$4:J$52,D587,1))))*100000000</f>
        <v>0</v>
      </c>
      <c r="F587" s="4" t="str">
        <f>HYPERLINK("http://141.218.60.56/~jnz1568/getInfo.php?workbook=03_02.xlsx&amp;sheet=A0&amp;row=587&amp;col=6&amp;number=&amp;sourceID=27","")</f>
        <v/>
      </c>
      <c r="G587" s="4" t="str">
        <f>HYPERLINK("http://141.218.60.56/~jnz1568/getInfo.php?workbook=03_02.xlsx&amp;sheet=A0&amp;row=587&amp;col=7&amp;number=&amp;sourceID=15","")</f>
        <v/>
      </c>
      <c r="H587" s="4" t="str">
        <f>HYPERLINK("http://141.218.60.56/~jnz1568/getInfo.php?workbook=03_02.xlsx&amp;sheet=A0&amp;row=587&amp;col=8&amp;number=&amp;sourceID=15","")</f>
        <v/>
      </c>
      <c r="I587" s="4" t="str">
        <f>HYPERLINK("http://141.218.60.56/~jnz1568/getInfo.php?workbook=03_02.xlsx&amp;sheet=A0&amp;row=587&amp;col=9&amp;number=&amp;sourceID=15","")</f>
        <v/>
      </c>
      <c r="J587" s="4" t="str">
        <f>HYPERLINK("http://141.218.60.56/~jnz1568/getInfo.php?workbook=03_02.xlsx&amp;sheet=A0&amp;row=587&amp;col=10&amp;number=&amp;sourceID=15","")</f>
        <v/>
      </c>
      <c r="K587" s="4" t="str">
        <f>HYPERLINK("http://141.218.60.56/~jnz1568/getInfo.php?workbook=03_02.xlsx&amp;sheet=A0&amp;row=587&amp;col=11&amp;number=&amp;sourceID=30","")</f>
        <v/>
      </c>
      <c r="L587" s="4" t="str">
        <f>HYPERLINK("http://141.218.60.56/~jnz1568/getInfo.php?workbook=03_02.xlsx&amp;sheet=A0&amp;row=587&amp;col=12&amp;number=&amp;sourceID=30","")</f>
        <v/>
      </c>
      <c r="M587" s="4" t="str">
        <f>HYPERLINK("http://141.218.60.56/~jnz1568/getInfo.php?workbook=03_02.xlsx&amp;sheet=A0&amp;row=587&amp;col=13&amp;number=&amp;sourceID=30","")</f>
        <v/>
      </c>
      <c r="N587" s="4" t="str">
        <f>HYPERLINK("http://141.218.60.56/~jnz1568/getInfo.php?workbook=03_02.xlsx&amp;sheet=A0&amp;row=587&amp;col=14&amp;number=2.18e-13&amp;sourceID=30","2.18e-13")</f>
        <v>2.18e-13</v>
      </c>
    </row>
    <row r="588" spans="1:14">
      <c r="A588" s="3">
        <v>3</v>
      </c>
      <c r="B588" s="3">
        <v>2</v>
      </c>
      <c r="C588" s="3">
        <v>38</v>
      </c>
      <c r="D588" s="3">
        <v>35</v>
      </c>
      <c r="E588" s="3">
        <f>((1/(INDEX(E0!J$4:J$52,C588,1)-INDEX(E0!J$4:J$52,D588,1))))*100000000</f>
        <v>0</v>
      </c>
      <c r="F588" s="4" t="str">
        <f>HYPERLINK("http://141.218.60.56/~jnz1568/getInfo.php?workbook=03_02.xlsx&amp;sheet=A0&amp;row=588&amp;col=6&amp;number=&amp;sourceID=27","")</f>
        <v/>
      </c>
      <c r="G588" s="4" t="str">
        <f>HYPERLINK("http://141.218.60.56/~jnz1568/getInfo.php?workbook=03_02.xlsx&amp;sheet=A0&amp;row=588&amp;col=7&amp;number=9149.8&amp;sourceID=15","9149.8")</f>
        <v>9149.8</v>
      </c>
      <c r="H588" s="4" t="str">
        <f>HYPERLINK("http://141.218.60.56/~jnz1568/getInfo.php?workbook=03_02.xlsx&amp;sheet=A0&amp;row=588&amp;col=8&amp;number=&amp;sourceID=15","")</f>
        <v/>
      </c>
      <c r="I588" s="4" t="str">
        <f>HYPERLINK("http://141.218.60.56/~jnz1568/getInfo.php?workbook=03_02.xlsx&amp;sheet=A0&amp;row=588&amp;col=9&amp;number=&amp;sourceID=15","")</f>
        <v/>
      </c>
      <c r="J588" s="4" t="str">
        <f>HYPERLINK("http://141.218.60.56/~jnz1568/getInfo.php?workbook=03_02.xlsx&amp;sheet=A0&amp;row=588&amp;col=10&amp;number=&amp;sourceID=15","")</f>
        <v/>
      </c>
      <c r="K588" s="4" t="str">
        <f>HYPERLINK("http://141.218.60.56/~jnz1568/getInfo.php?workbook=03_02.xlsx&amp;sheet=A0&amp;row=588&amp;col=11&amp;number=6479&amp;sourceID=30","6479")</f>
        <v>6479</v>
      </c>
      <c r="L588" s="4" t="str">
        <f>HYPERLINK("http://141.218.60.56/~jnz1568/getInfo.php?workbook=03_02.xlsx&amp;sheet=A0&amp;row=588&amp;col=12&amp;number=&amp;sourceID=30","")</f>
        <v/>
      </c>
      <c r="M588" s="4" t="str">
        <f>HYPERLINK("http://141.218.60.56/~jnz1568/getInfo.php?workbook=03_02.xlsx&amp;sheet=A0&amp;row=588&amp;col=13&amp;number=&amp;sourceID=30","")</f>
        <v/>
      </c>
      <c r="N588" s="4" t="str">
        <f>HYPERLINK("http://141.218.60.56/~jnz1568/getInfo.php?workbook=03_02.xlsx&amp;sheet=A0&amp;row=588&amp;col=14&amp;number=3.6e-12&amp;sourceID=30","3.6e-12")</f>
        <v>3.6e-12</v>
      </c>
    </row>
    <row r="589" spans="1:14">
      <c r="A589" s="3">
        <v>3</v>
      </c>
      <c r="B589" s="3">
        <v>2</v>
      </c>
      <c r="C589" s="3">
        <v>38</v>
      </c>
      <c r="D589" s="3">
        <v>36</v>
      </c>
      <c r="E589" s="3">
        <f>((1/(INDEX(E0!J$4:J$52,C589,1)-INDEX(E0!J$4:J$52,D589,1))))*100000000</f>
        <v>0</v>
      </c>
      <c r="F589" s="4" t="str">
        <f>HYPERLINK("http://141.218.60.56/~jnz1568/getInfo.php?workbook=03_02.xlsx&amp;sheet=A0&amp;row=589&amp;col=6&amp;number=&amp;sourceID=27","")</f>
        <v/>
      </c>
      <c r="G589" s="4" t="str">
        <f>HYPERLINK("http://141.218.60.56/~jnz1568/getInfo.php?workbook=03_02.xlsx&amp;sheet=A0&amp;row=589&amp;col=7&amp;number=3049.9&amp;sourceID=15","3049.9")</f>
        <v>3049.9</v>
      </c>
      <c r="H589" s="4" t="str">
        <f>HYPERLINK("http://141.218.60.56/~jnz1568/getInfo.php?workbook=03_02.xlsx&amp;sheet=A0&amp;row=589&amp;col=8&amp;number=&amp;sourceID=15","")</f>
        <v/>
      </c>
      <c r="I589" s="4" t="str">
        <f>HYPERLINK("http://141.218.60.56/~jnz1568/getInfo.php?workbook=03_02.xlsx&amp;sheet=A0&amp;row=589&amp;col=9&amp;number=&amp;sourceID=15","")</f>
        <v/>
      </c>
      <c r="J589" s="4" t="str">
        <f>HYPERLINK("http://141.218.60.56/~jnz1568/getInfo.php?workbook=03_02.xlsx&amp;sheet=A0&amp;row=589&amp;col=10&amp;number=&amp;sourceID=15","")</f>
        <v/>
      </c>
      <c r="K589" s="4" t="str">
        <f>HYPERLINK("http://141.218.60.56/~jnz1568/getInfo.php?workbook=03_02.xlsx&amp;sheet=A0&amp;row=589&amp;col=11&amp;number=2157&amp;sourceID=30","2157")</f>
        <v>2157</v>
      </c>
      <c r="L589" s="4" t="str">
        <f>HYPERLINK("http://141.218.60.56/~jnz1568/getInfo.php?workbook=03_02.xlsx&amp;sheet=A0&amp;row=589&amp;col=12&amp;number=&amp;sourceID=30","")</f>
        <v/>
      </c>
      <c r="M589" s="4" t="str">
        <f>HYPERLINK("http://141.218.60.56/~jnz1568/getInfo.php?workbook=03_02.xlsx&amp;sheet=A0&amp;row=589&amp;col=13&amp;number=&amp;sourceID=30","")</f>
        <v/>
      </c>
      <c r="N589" s="4" t="str">
        <f>HYPERLINK("http://141.218.60.56/~jnz1568/getInfo.php?workbook=03_02.xlsx&amp;sheet=A0&amp;row=589&amp;col=14&amp;number=1.564e-12&amp;sourceID=30","1.564e-12")</f>
        <v>1.564e-12</v>
      </c>
    </row>
    <row r="590" spans="1:14">
      <c r="A590" s="3">
        <v>3</v>
      </c>
      <c r="B590" s="3">
        <v>2</v>
      </c>
      <c r="C590" s="3">
        <v>38</v>
      </c>
      <c r="D590" s="3">
        <v>37</v>
      </c>
      <c r="E590" s="3">
        <f>((1/(INDEX(E0!J$4:J$52,C590,1)-INDEX(E0!J$4:J$52,D590,1))))*100000000</f>
        <v>0</v>
      </c>
      <c r="F590" s="4" t="str">
        <f>HYPERLINK("http://141.218.60.56/~jnz1568/getInfo.php?workbook=03_02.xlsx&amp;sheet=A0&amp;row=590&amp;col=6&amp;number=&amp;sourceID=27","")</f>
        <v/>
      </c>
      <c r="G590" s="4" t="str">
        <f>HYPERLINK("http://141.218.60.56/~jnz1568/getInfo.php?workbook=03_02.xlsx&amp;sheet=A0&amp;row=590&amp;col=7&amp;number=&amp;sourceID=15","")</f>
        <v/>
      </c>
      <c r="H590" s="4" t="str">
        <f>HYPERLINK("http://141.218.60.56/~jnz1568/getInfo.php?workbook=03_02.xlsx&amp;sheet=A0&amp;row=590&amp;col=8&amp;number=&amp;sourceID=15","")</f>
        <v/>
      </c>
      <c r="I590" s="4" t="str">
        <f>HYPERLINK("http://141.218.60.56/~jnz1568/getInfo.php?workbook=03_02.xlsx&amp;sheet=A0&amp;row=590&amp;col=9&amp;number=&amp;sourceID=15","")</f>
        <v/>
      </c>
      <c r="J590" s="4" t="str">
        <f>HYPERLINK("http://141.218.60.56/~jnz1568/getInfo.php?workbook=03_02.xlsx&amp;sheet=A0&amp;row=590&amp;col=10&amp;number=&amp;sourceID=15","")</f>
        <v/>
      </c>
      <c r="K590" s="4" t="str">
        <f>HYPERLINK("http://141.218.60.56/~jnz1568/getInfo.php?workbook=03_02.xlsx&amp;sheet=A0&amp;row=590&amp;col=11&amp;number=&amp;sourceID=30","")</f>
        <v/>
      </c>
      <c r="L590" s="4" t="str">
        <f>HYPERLINK("http://141.218.60.56/~jnz1568/getInfo.php?workbook=03_02.xlsx&amp;sheet=A0&amp;row=590&amp;col=12&amp;number=0&amp;sourceID=30","0")</f>
        <v>0</v>
      </c>
      <c r="M590" s="4" t="str">
        <f>HYPERLINK("http://141.218.60.56/~jnz1568/getInfo.php?workbook=03_02.xlsx&amp;sheet=A0&amp;row=590&amp;col=13&amp;number=6e-15&amp;sourceID=30","6e-15")</f>
        <v>6e-15</v>
      </c>
      <c r="N590" s="4" t="str">
        <f>HYPERLINK("http://141.218.60.56/~jnz1568/getInfo.php?workbook=03_02.xlsx&amp;sheet=A0&amp;row=590&amp;col=14&amp;number=&amp;sourceID=30","")</f>
        <v/>
      </c>
    </row>
    <row r="591" spans="1:14">
      <c r="A591" s="3">
        <v>3</v>
      </c>
      <c r="B591" s="3">
        <v>2</v>
      </c>
      <c r="C591" s="3">
        <v>39</v>
      </c>
      <c r="D591" s="3">
        <v>2</v>
      </c>
      <c r="E591" s="3">
        <f>((1/(INDEX(E0!J$4:J$52,C591,1)-INDEX(E0!J$4:J$52,D591,1))))*100000000</f>
        <v>0</v>
      </c>
      <c r="F591" s="4" t="str">
        <f>HYPERLINK("http://141.218.60.56/~jnz1568/getInfo.php?workbook=03_02.xlsx&amp;sheet=A0&amp;row=591&amp;col=6&amp;number=&amp;sourceID=27","")</f>
        <v/>
      </c>
      <c r="G591" s="4" t="str">
        <f>HYPERLINK("http://141.218.60.56/~jnz1568/getInfo.php?workbook=03_02.xlsx&amp;sheet=A0&amp;row=591&amp;col=7&amp;number=&amp;sourceID=15","")</f>
        <v/>
      </c>
      <c r="H591" s="4" t="str">
        <f>HYPERLINK("http://141.218.60.56/~jnz1568/getInfo.php?workbook=03_02.xlsx&amp;sheet=A0&amp;row=591&amp;col=8&amp;number=&amp;sourceID=15","")</f>
        <v/>
      </c>
      <c r="I591" s="4" t="str">
        <f>HYPERLINK("http://141.218.60.56/~jnz1568/getInfo.php?workbook=03_02.xlsx&amp;sheet=A0&amp;row=591&amp;col=9&amp;number=&amp;sourceID=15","")</f>
        <v/>
      </c>
      <c r="J591" s="4" t="str">
        <f>HYPERLINK("http://141.218.60.56/~jnz1568/getInfo.php?workbook=03_02.xlsx&amp;sheet=A0&amp;row=591&amp;col=10&amp;number=&amp;sourceID=15","")</f>
        <v/>
      </c>
      <c r="K591" s="4" t="str">
        <f>HYPERLINK("http://141.218.60.56/~jnz1568/getInfo.php?workbook=03_02.xlsx&amp;sheet=A0&amp;row=591&amp;col=11&amp;number=&amp;sourceID=30","")</f>
        <v/>
      </c>
      <c r="L591" s="4" t="str">
        <f>HYPERLINK("http://141.218.60.56/~jnz1568/getInfo.php?workbook=03_02.xlsx&amp;sheet=A0&amp;row=591&amp;col=12&amp;number=5.303&amp;sourceID=30","5.303")</f>
        <v>5.303</v>
      </c>
      <c r="M591" s="4" t="str">
        <f>HYPERLINK("http://141.218.60.56/~jnz1568/getInfo.php?workbook=03_02.xlsx&amp;sheet=A0&amp;row=591&amp;col=13&amp;number=&amp;sourceID=30","")</f>
        <v/>
      </c>
      <c r="N591" s="4" t="str">
        <f>HYPERLINK("http://141.218.60.56/~jnz1568/getInfo.php?workbook=03_02.xlsx&amp;sheet=A0&amp;row=591&amp;col=14&amp;number=&amp;sourceID=30","")</f>
        <v/>
      </c>
    </row>
    <row r="592" spans="1:14">
      <c r="A592" s="3">
        <v>3</v>
      </c>
      <c r="B592" s="3">
        <v>2</v>
      </c>
      <c r="C592" s="3">
        <v>39</v>
      </c>
      <c r="D592" s="3">
        <v>4</v>
      </c>
      <c r="E592" s="3">
        <f>((1/(INDEX(E0!J$4:J$52,C592,1)-INDEX(E0!J$4:J$52,D592,1))))*100000000</f>
        <v>0</v>
      </c>
      <c r="F592" s="4" t="str">
        <f>HYPERLINK("http://141.218.60.56/~jnz1568/getInfo.php?workbook=03_02.xlsx&amp;sheet=A0&amp;row=592&amp;col=6&amp;number=&amp;sourceID=27","")</f>
        <v/>
      </c>
      <c r="G592" s="4" t="str">
        <f>HYPERLINK("http://141.218.60.56/~jnz1568/getInfo.php?workbook=03_02.xlsx&amp;sheet=A0&amp;row=592&amp;col=7&amp;number=&amp;sourceID=15","")</f>
        <v/>
      </c>
      <c r="H592" s="4" t="str">
        <f>HYPERLINK("http://141.218.60.56/~jnz1568/getInfo.php?workbook=03_02.xlsx&amp;sheet=A0&amp;row=592&amp;col=8&amp;number=&amp;sourceID=15","")</f>
        <v/>
      </c>
      <c r="I592" s="4" t="str">
        <f>HYPERLINK("http://141.218.60.56/~jnz1568/getInfo.php?workbook=03_02.xlsx&amp;sheet=A0&amp;row=592&amp;col=9&amp;number=&amp;sourceID=15","")</f>
        <v/>
      </c>
      <c r="J592" s="4" t="str">
        <f>HYPERLINK("http://141.218.60.56/~jnz1568/getInfo.php?workbook=03_02.xlsx&amp;sheet=A0&amp;row=592&amp;col=10&amp;number=&amp;sourceID=15","")</f>
        <v/>
      </c>
      <c r="K592" s="4" t="str">
        <f>HYPERLINK("http://141.218.60.56/~jnz1568/getInfo.php?workbook=03_02.xlsx&amp;sheet=A0&amp;row=592&amp;col=11&amp;number=&amp;sourceID=30","")</f>
        <v/>
      </c>
      <c r="L592" s="4" t="str">
        <f>HYPERLINK("http://141.218.60.56/~jnz1568/getInfo.php?workbook=03_02.xlsx&amp;sheet=A0&amp;row=592&amp;col=12&amp;number=&amp;sourceID=30","")</f>
        <v/>
      </c>
      <c r="M592" s="4" t="str">
        <f>HYPERLINK("http://141.218.60.56/~jnz1568/getInfo.php?workbook=03_02.xlsx&amp;sheet=A0&amp;row=592&amp;col=13&amp;number=&amp;sourceID=30","")</f>
        <v/>
      </c>
      <c r="N592" s="4" t="str">
        <f>HYPERLINK("http://141.218.60.56/~jnz1568/getInfo.php?workbook=03_02.xlsx&amp;sheet=A0&amp;row=592&amp;col=14&amp;number=0.0003739&amp;sourceID=30","0.0003739")</f>
        <v>0.0003739</v>
      </c>
    </row>
    <row r="593" spans="1:14">
      <c r="A593" s="3">
        <v>3</v>
      </c>
      <c r="B593" s="3">
        <v>2</v>
      </c>
      <c r="C593" s="3">
        <v>39</v>
      </c>
      <c r="D593" s="3">
        <v>5</v>
      </c>
      <c r="E593" s="3">
        <f>((1/(INDEX(E0!J$4:J$52,C593,1)-INDEX(E0!J$4:J$52,D593,1))))*100000000</f>
        <v>0</v>
      </c>
      <c r="F593" s="4" t="str">
        <f>HYPERLINK("http://141.218.60.56/~jnz1568/getInfo.php?workbook=03_02.xlsx&amp;sheet=A0&amp;row=593&amp;col=6&amp;number=&amp;sourceID=27","")</f>
        <v/>
      </c>
      <c r="G593" s="4" t="str">
        <f>HYPERLINK("http://141.218.60.56/~jnz1568/getInfo.php?workbook=03_02.xlsx&amp;sheet=A0&amp;row=593&amp;col=7&amp;number=180770000&amp;sourceID=15","180770000")</f>
        <v>180770000</v>
      </c>
      <c r="H593" s="4" t="str">
        <f>HYPERLINK("http://141.218.60.56/~jnz1568/getInfo.php?workbook=03_02.xlsx&amp;sheet=A0&amp;row=593&amp;col=8&amp;number=&amp;sourceID=15","")</f>
        <v/>
      </c>
      <c r="I593" s="4" t="str">
        <f>HYPERLINK("http://141.218.60.56/~jnz1568/getInfo.php?workbook=03_02.xlsx&amp;sheet=A0&amp;row=593&amp;col=9&amp;number=&amp;sourceID=15","")</f>
        <v/>
      </c>
      <c r="J593" s="4" t="str">
        <f>HYPERLINK("http://141.218.60.56/~jnz1568/getInfo.php?workbook=03_02.xlsx&amp;sheet=A0&amp;row=593&amp;col=10&amp;number=&amp;sourceID=15","")</f>
        <v/>
      </c>
      <c r="K593" s="4" t="str">
        <f>HYPERLINK("http://141.218.60.56/~jnz1568/getInfo.php?workbook=03_02.xlsx&amp;sheet=A0&amp;row=593&amp;col=11&amp;number=159500000&amp;sourceID=30","159500000")</f>
        <v>159500000</v>
      </c>
      <c r="L593" s="4" t="str">
        <f>HYPERLINK("http://141.218.60.56/~jnz1568/getInfo.php?workbook=03_02.xlsx&amp;sheet=A0&amp;row=593&amp;col=12&amp;number=&amp;sourceID=30","")</f>
        <v/>
      </c>
      <c r="M593" s="4" t="str">
        <f>HYPERLINK("http://141.218.60.56/~jnz1568/getInfo.php?workbook=03_02.xlsx&amp;sheet=A0&amp;row=593&amp;col=13&amp;number=&amp;sourceID=30","")</f>
        <v/>
      </c>
      <c r="N593" s="4" t="str">
        <f>HYPERLINK("http://141.218.60.56/~jnz1568/getInfo.php?workbook=03_02.xlsx&amp;sheet=A0&amp;row=593&amp;col=14&amp;number=0.01856&amp;sourceID=30","0.01856")</f>
        <v>0.01856</v>
      </c>
    </row>
    <row r="594" spans="1:14">
      <c r="A594" s="3">
        <v>3</v>
      </c>
      <c r="B594" s="3">
        <v>2</v>
      </c>
      <c r="C594" s="3">
        <v>39</v>
      </c>
      <c r="D594" s="3">
        <v>7</v>
      </c>
      <c r="E594" s="3">
        <f>((1/(INDEX(E0!J$4:J$52,C594,1)-INDEX(E0!J$4:J$52,D594,1))))*100000000</f>
        <v>0</v>
      </c>
      <c r="F594" s="4" t="str">
        <f>HYPERLINK("http://141.218.60.56/~jnz1568/getInfo.php?workbook=03_02.xlsx&amp;sheet=A0&amp;row=594&amp;col=6&amp;number=&amp;sourceID=27","")</f>
        <v/>
      </c>
      <c r="G594" s="4" t="str">
        <f>HYPERLINK("http://141.218.60.56/~jnz1568/getInfo.php?workbook=03_02.xlsx&amp;sheet=A0&amp;row=594&amp;col=7&amp;number=&amp;sourceID=15","")</f>
        <v/>
      </c>
      <c r="H594" s="4" t="str">
        <f>HYPERLINK("http://141.218.60.56/~jnz1568/getInfo.php?workbook=03_02.xlsx&amp;sheet=A0&amp;row=594&amp;col=8&amp;number=&amp;sourceID=15","")</f>
        <v/>
      </c>
      <c r="I594" s="4" t="str">
        <f>HYPERLINK("http://141.218.60.56/~jnz1568/getInfo.php?workbook=03_02.xlsx&amp;sheet=A0&amp;row=594&amp;col=9&amp;number=&amp;sourceID=15","")</f>
        <v/>
      </c>
      <c r="J594" s="4" t="str">
        <f>HYPERLINK("http://141.218.60.56/~jnz1568/getInfo.php?workbook=03_02.xlsx&amp;sheet=A0&amp;row=594&amp;col=10&amp;number=&amp;sourceID=15","")</f>
        <v/>
      </c>
      <c r="K594" s="4" t="str">
        <f>HYPERLINK("http://141.218.60.56/~jnz1568/getInfo.php?workbook=03_02.xlsx&amp;sheet=A0&amp;row=594&amp;col=11&amp;number=&amp;sourceID=30","")</f>
        <v/>
      </c>
      <c r="L594" s="4" t="str">
        <f>HYPERLINK("http://141.218.60.56/~jnz1568/getInfo.php?workbook=03_02.xlsx&amp;sheet=A0&amp;row=594&amp;col=12&amp;number=&amp;sourceID=30","")</f>
        <v/>
      </c>
      <c r="M594" s="4" t="str">
        <f>HYPERLINK("http://141.218.60.56/~jnz1568/getInfo.php?workbook=03_02.xlsx&amp;sheet=A0&amp;row=594&amp;col=13&amp;number=&amp;sourceID=30","")</f>
        <v/>
      </c>
      <c r="N594" s="4" t="str">
        <f>HYPERLINK("http://141.218.60.56/~jnz1568/getInfo.php?workbook=03_02.xlsx&amp;sheet=A0&amp;row=594&amp;col=14&amp;number=0.006392&amp;sourceID=30","0.006392")</f>
        <v>0.006392</v>
      </c>
    </row>
    <row r="595" spans="1:14">
      <c r="A595" s="3">
        <v>3</v>
      </c>
      <c r="B595" s="3">
        <v>2</v>
      </c>
      <c r="C595" s="3">
        <v>39</v>
      </c>
      <c r="D595" s="3">
        <v>8</v>
      </c>
      <c r="E595" s="3">
        <f>((1/(INDEX(E0!J$4:J$52,C595,1)-INDEX(E0!J$4:J$52,D595,1))))*100000000</f>
        <v>0</v>
      </c>
      <c r="F595" s="4" t="str">
        <f>HYPERLINK("http://141.218.60.56/~jnz1568/getInfo.php?workbook=03_02.xlsx&amp;sheet=A0&amp;row=595&amp;col=6&amp;number=&amp;sourceID=27","")</f>
        <v/>
      </c>
      <c r="G595" s="4" t="str">
        <f>HYPERLINK("http://141.218.60.56/~jnz1568/getInfo.php?workbook=03_02.xlsx&amp;sheet=A0&amp;row=595&amp;col=7&amp;number=&amp;sourceID=15","")</f>
        <v/>
      </c>
      <c r="H595" s="4" t="str">
        <f>HYPERLINK("http://141.218.60.56/~jnz1568/getInfo.php?workbook=03_02.xlsx&amp;sheet=A0&amp;row=595&amp;col=8&amp;number=&amp;sourceID=15","")</f>
        <v/>
      </c>
      <c r="I595" s="4" t="str">
        <f>HYPERLINK("http://141.218.60.56/~jnz1568/getInfo.php?workbook=03_02.xlsx&amp;sheet=A0&amp;row=595&amp;col=9&amp;number=&amp;sourceID=15","")</f>
        <v/>
      </c>
      <c r="J595" s="4" t="str">
        <f>HYPERLINK("http://141.218.60.56/~jnz1568/getInfo.php?workbook=03_02.xlsx&amp;sheet=A0&amp;row=595&amp;col=10&amp;number=&amp;sourceID=15","")</f>
        <v/>
      </c>
      <c r="K595" s="4" t="str">
        <f>HYPERLINK("http://141.218.60.56/~jnz1568/getInfo.php?workbook=03_02.xlsx&amp;sheet=A0&amp;row=595&amp;col=11&amp;number=&amp;sourceID=30","")</f>
        <v/>
      </c>
      <c r="L595" s="4" t="str">
        <f>HYPERLINK("http://141.218.60.56/~jnz1568/getInfo.php?workbook=03_02.xlsx&amp;sheet=A0&amp;row=595&amp;col=12&amp;number=134.9&amp;sourceID=30","134.9")</f>
        <v>134.9</v>
      </c>
      <c r="M595" s="4" t="str">
        <f>HYPERLINK("http://141.218.60.56/~jnz1568/getInfo.php?workbook=03_02.xlsx&amp;sheet=A0&amp;row=595&amp;col=13&amp;number=&amp;sourceID=30","")</f>
        <v/>
      </c>
      <c r="N595" s="4" t="str">
        <f>HYPERLINK("http://141.218.60.56/~jnz1568/getInfo.php?workbook=03_02.xlsx&amp;sheet=A0&amp;row=595&amp;col=14&amp;number=&amp;sourceID=30","")</f>
        <v/>
      </c>
    </row>
    <row r="596" spans="1:14">
      <c r="A596" s="3">
        <v>3</v>
      </c>
      <c r="B596" s="3">
        <v>2</v>
      </c>
      <c r="C596" s="3">
        <v>39</v>
      </c>
      <c r="D596" s="3">
        <v>10</v>
      </c>
      <c r="E596" s="3">
        <f>((1/(INDEX(E0!J$4:J$52,C596,1)-INDEX(E0!J$4:J$52,D596,1))))*100000000</f>
        <v>0</v>
      </c>
      <c r="F596" s="4" t="str">
        <f>HYPERLINK("http://141.218.60.56/~jnz1568/getInfo.php?workbook=03_02.xlsx&amp;sheet=A0&amp;row=596&amp;col=6&amp;number=&amp;sourceID=27","")</f>
        <v/>
      </c>
      <c r="G596" s="4" t="str">
        <f>HYPERLINK("http://141.218.60.56/~jnz1568/getInfo.php?workbook=03_02.xlsx&amp;sheet=A0&amp;row=596&amp;col=7&amp;number=&amp;sourceID=15","")</f>
        <v/>
      </c>
      <c r="H596" s="4" t="str">
        <f>HYPERLINK("http://141.218.60.56/~jnz1568/getInfo.php?workbook=03_02.xlsx&amp;sheet=A0&amp;row=596&amp;col=8&amp;number=&amp;sourceID=15","")</f>
        <v/>
      </c>
      <c r="I596" s="4" t="str">
        <f>HYPERLINK("http://141.218.60.56/~jnz1568/getInfo.php?workbook=03_02.xlsx&amp;sheet=A0&amp;row=596&amp;col=9&amp;number=&amp;sourceID=15","")</f>
        <v/>
      </c>
      <c r="J596" s="4" t="str">
        <f>HYPERLINK("http://141.218.60.56/~jnz1568/getInfo.php?workbook=03_02.xlsx&amp;sheet=A0&amp;row=596&amp;col=10&amp;number=&amp;sourceID=15","")</f>
        <v/>
      </c>
      <c r="K596" s="4" t="str">
        <f>HYPERLINK("http://141.218.60.56/~jnz1568/getInfo.php?workbook=03_02.xlsx&amp;sheet=A0&amp;row=596&amp;col=11&amp;number=&amp;sourceID=30","")</f>
        <v/>
      </c>
      <c r="L596" s="4" t="str">
        <f>HYPERLINK("http://141.218.60.56/~jnz1568/getInfo.php?workbook=03_02.xlsx&amp;sheet=A0&amp;row=596&amp;col=12&amp;number=&amp;sourceID=30","")</f>
        <v/>
      </c>
      <c r="M596" s="4" t="str">
        <f>HYPERLINK("http://141.218.60.56/~jnz1568/getInfo.php?workbook=03_02.xlsx&amp;sheet=A0&amp;row=596&amp;col=13&amp;number=&amp;sourceID=30","")</f>
        <v/>
      </c>
      <c r="N596" s="4" t="str">
        <f>HYPERLINK("http://141.218.60.56/~jnz1568/getInfo.php?workbook=03_02.xlsx&amp;sheet=A0&amp;row=596&amp;col=14&amp;number=1.403e-05&amp;sourceID=30","1.403e-05")</f>
        <v>1.403e-05</v>
      </c>
    </row>
    <row r="597" spans="1:14">
      <c r="A597" s="3">
        <v>3</v>
      </c>
      <c r="B597" s="3">
        <v>2</v>
      </c>
      <c r="C597" s="3">
        <v>39</v>
      </c>
      <c r="D597" s="3">
        <v>11</v>
      </c>
      <c r="E597" s="3">
        <f>((1/(INDEX(E0!J$4:J$52,C597,1)-INDEX(E0!J$4:J$52,D597,1))))*100000000</f>
        <v>0</v>
      </c>
      <c r="F597" s="4" t="str">
        <f>HYPERLINK("http://141.218.60.56/~jnz1568/getInfo.php?workbook=03_02.xlsx&amp;sheet=A0&amp;row=597&amp;col=6&amp;number=&amp;sourceID=27","")</f>
        <v/>
      </c>
      <c r="G597" s="4" t="str">
        <f>HYPERLINK("http://141.218.60.56/~jnz1568/getInfo.php?workbook=03_02.xlsx&amp;sheet=A0&amp;row=597&amp;col=7&amp;number=55732000&amp;sourceID=15","55732000")</f>
        <v>55732000</v>
      </c>
      <c r="H597" s="4" t="str">
        <f>HYPERLINK("http://141.218.60.56/~jnz1568/getInfo.php?workbook=03_02.xlsx&amp;sheet=A0&amp;row=597&amp;col=8&amp;number=&amp;sourceID=15","")</f>
        <v/>
      </c>
      <c r="I597" s="4" t="str">
        <f>HYPERLINK("http://141.218.60.56/~jnz1568/getInfo.php?workbook=03_02.xlsx&amp;sheet=A0&amp;row=597&amp;col=9&amp;number=&amp;sourceID=15","")</f>
        <v/>
      </c>
      <c r="J597" s="4" t="str">
        <f>HYPERLINK("http://141.218.60.56/~jnz1568/getInfo.php?workbook=03_02.xlsx&amp;sheet=A0&amp;row=597&amp;col=10&amp;number=&amp;sourceID=15","")</f>
        <v/>
      </c>
      <c r="K597" s="4" t="str">
        <f>HYPERLINK("http://141.218.60.56/~jnz1568/getInfo.php?workbook=03_02.xlsx&amp;sheet=A0&amp;row=597&amp;col=11&amp;number=52880000&amp;sourceID=30","52880000")</f>
        <v>52880000</v>
      </c>
      <c r="L597" s="4" t="str">
        <f>HYPERLINK("http://141.218.60.56/~jnz1568/getInfo.php?workbook=03_02.xlsx&amp;sheet=A0&amp;row=597&amp;col=12&amp;number=&amp;sourceID=30","")</f>
        <v/>
      </c>
      <c r="M597" s="4" t="str">
        <f>HYPERLINK("http://141.218.60.56/~jnz1568/getInfo.php?workbook=03_02.xlsx&amp;sheet=A0&amp;row=597&amp;col=13&amp;number=&amp;sourceID=30","")</f>
        <v/>
      </c>
      <c r="N597" s="4" t="str">
        <f>HYPERLINK("http://141.218.60.56/~jnz1568/getInfo.php?workbook=03_02.xlsx&amp;sheet=A0&amp;row=597&amp;col=14&amp;number=0.0006972&amp;sourceID=30","0.0006972")</f>
        <v>0.0006972</v>
      </c>
    </row>
    <row r="598" spans="1:14">
      <c r="A598" s="3">
        <v>3</v>
      </c>
      <c r="B598" s="3">
        <v>2</v>
      </c>
      <c r="C598" s="3">
        <v>39</v>
      </c>
      <c r="D598" s="3">
        <v>13</v>
      </c>
      <c r="E598" s="3">
        <f>((1/(INDEX(E0!J$4:J$52,C598,1)-INDEX(E0!J$4:J$52,D598,1))))*100000000</f>
        <v>0</v>
      </c>
      <c r="F598" s="4" t="str">
        <f>HYPERLINK("http://141.218.60.56/~jnz1568/getInfo.php?workbook=03_02.xlsx&amp;sheet=A0&amp;row=598&amp;col=6&amp;number=&amp;sourceID=27","")</f>
        <v/>
      </c>
      <c r="G598" s="4" t="str">
        <f>HYPERLINK("http://141.218.60.56/~jnz1568/getInfo.php?workbook=03_02.xlsx&amp;sheet=A0&amp;row=598&amp;col=7&amp;number=&amp;sourceID=15","")</f>
        <v/>
      </c>
      <c r="H598" s="4" t="str">
        <f>HYPERLINK("http://141.218.60.56/~jnz1568/getInfo.php?workbook=03_02.xlsx&amp;sheet=A0&amp;row=598&amp;col=8&amp;number=&amp;sourceID=15","")</f>
        <v/>
      </c>
      <c r="I598" s="4" t="str">
        <f>HYPERLINK("http://141.218.60.56/~jnz1568/getInfo.php?workbook=03_02.xlsx&amp;sheet=A0&amp;row=598&amp;col=9&amp;number=&amp;sourceID=15","")</f>
        <v/>
      </c>
      <c r="J598" s="4" t="str">
        <f>HYPERLINK("http://141.218.60.56/~jnz1568/getInfo.php?workbook=03_02.xlsx&amp;sheet=A0&amp;row=598&amp;col=10&amp;number=&amp;sourceID=15","")</f>
        <v/>
      </c>
      <c r="K598" s="4" t="str">
        <f>HYPERLINK("http://141.218.60.56/~jnz1568/getInfo.php?workbook=03_02.xlsx&amp;sheet=A0&amp;row=598&amp;col=11&amp;number=&amp;sourceID=30","")</f>
        <v/>
      </c>
      <c r="L598" s="4" t="str">
        <f>HYPERLINK("http://141.218.60.56/~jnz1568/getInfo.php?workbook=03_02.xlsx&amp;sheet=A0&amp;row=598&amp;col=12&amp;number=10.36&amp;sourceID=30","10.36")</f>
        <v>10.36</v>
      </c>
      <c r="M598" s="4" t="str">
        <f>HYPERLINK("http://141.218.60.56/~jnz1568/getInfo.php?workbook=03_02.xlsx&amp;sheet=A0&amp;row=598&amp;col=13&amp;number=2.28e-09&amp;sourceID=30","2.28e-09")</f>
        <v>2.28e-09</v>
      </c>
      <c r="N598" s="4" t="str">
        <f>HYPERLINK("http://141.218.60.56/~jnz1568/getInfo.php?workbook=03_02.xlsx&amp;sheet=A0&amp;row=598&amp;col=14&amp;number=&amp;sourceID=30","")</f>
        <v/>
      </c>
    </row>
    <row r="599" spans="1:14">
      <c r="A599" s="3">
        <v>3</v>
      </c>
      <c r="B599" s="3">
        <v>2</v>
      </c>
      <c r="C599" s="3">
        <v>39</v>
      </c>
      <c r="D599" s="3">
        <v>14</v>
      </c>
      <c r="E599" s="3">
        <f>((1/(INDEX(E0!J$4:J$52,C599,1)-INDEX(E0!J$4:J$52,D599,1))))*100000000</f>
        <v>0</v>
      </c>
      <c r="F599" s="4" t="str">
        <f>HYPERLINK("http://141.218.60.56/~jnz1568/getInfo.php?workbook=03_02.xlsx&amp;sheet=A0&amp;row=599&amp;col=6&amp;number=&amp;sourceID=27","")</f>
        <v/>
      </c>
      <c r="G599" s="4" t="str">
        <f>HYPERLINK("http://141.218.60.56/~jnz1568/getInfo.php?workbook=03_02.xlsx&amp;sheet=A0&amp;row=599&amp;col=7&amp;number=&amp;sourceID=15","")</f>
        <v/>
      </c>
      <c r="H599" s="4" t="str">
        <f>HYPERLINK("http://141.218.60.56/~jnz1568/getInfo.php?workbook=03_02.xlsx&amp;sheet=A0&amp;row=599&amp;col=8&amp;number=&amp;sourceID=15","")</f>
        <v/>
      </c>
      <c r="I599" s="4" t="str">
        <f>HYPERLINK("http://141.218.60.56/~jnz1568/getInfo.php?workbook=03_02.xlsx&amp;sheet=A0&amp;row=599&amp;col=9&amp;number=&amp;sourceID=15","")</f>
        <v/>
      </c>
      <c r="J599" s="4" t="str">
        <f>HYPERLINK("http://141.218.60.56/~jnz1568/getInfo.php?workbook=03_02.xlsx&amp;sheet=A0&amp;row=599&amp;col=10&amp;number=&amp;sourceID=15","")</f>
        <v/>
      </c>
      <c r="K599" s="4" t="str">
        <f>HYPERLINK("http://141.218.60.56/~jnz1568/getInfo.php?workbook=03_02.xlsx&amp;sheet=A0&amp;row=599&amp;col=11&amp;number=&amp;sourceID=30","")</f>
        <v/>
      </c>
      <c r="L599" s="4" t="str">
        <f>HYPERLINK("http://141.218.60.56/~jnz1568/getInfo.php?workbook=03_02.xlsx&amp;sheet=A0&amp;row=599&amp;col=12&amp;number=24.85&amp;sourceID=30","24.85")</f>
        <v>24.85</v>
      </c>
      <c r="M599" s="4" t="str">
        <f>HYPERLINK("http://141.218.60.56/~jnz1568/getInfo.php?workbook=03_02.xlsx&amp;sheet=A0&amp;row=599&amp;col=13&amp;number=6.17e-08&amp;sourceID=30","6.17e-08")</f>
        <v>6.17e-08</v>
      </c>
      <c r="N599" s="4" t="str">
        <f>HYPERLINK("http://141.218.60.56/~jnz1568/getInfo.php?workbook=03_02.xlsx&amp;sheet=A0&amp;row=599&amp;col=14&amp;number=&amp;sourceID=30","")</f>
        <v/>
      </c>
    </row>
    <row r="600" spans="1:14">
      <c r="A600" s="3">
        <v>3</v>
      </c>
      <c r="B600" s="3">
        <v>2</v>
      </c>
      <c r="C600" s="3">
        <v>39</v>
      </c>
      <c r="D600" s="3">
        <v>15</v>
      </c>
      <c r="E600" s="3">
        <f>((1/(INDEX(E0!J$4:J$52,C600,1)-INDEX(E0!J$4:J$52,D600,1))))*100000000</f>
        <v>0</v>
      </c>
      <c r="F600" s="4" t="str">
        <f>HYPERLINK("http://141.218.60.56/~jnz1568/getInfo.php?workbook=03_02.xlsx&amp;sheet=A0&amp;row=600&amp;col=6&amp;number=&amp;sourceID=27","")</f>
        <v/>
      </c>
      <c r="G600" s="4" t="str">
        <f>HYPERLINK("http://141.218.60.56/~jnz1568/getInfo.php?workbook=03_02.xlsx&amp;sheet=A0&amp;row=600&amp;col=7&amp;number=&amp;sourceID=15","")</f>
        <v/>
      </c>
      <c r="H600" s="4" t="str">
        <f>HYPERLINK("http://141.218.60.56/~jnz1568/getInfo.php?workbook=03_02.xlsx&amp;sheet=A0&amp;row=600&amp;col=8&amp;number=&amp;sourceID=15","")</f>
        <v/>
      </c>
      <c r="I600" s="4" t="str">
        <f>HYPERLINK("http://141.218.60.56/~jnz1568/getInfo.php?workbook=03_02.xlsx&amp;sheet=A0&amp;row=600&amp;col=9&amp;number=&amp;sourceID=15","")</f>
        <v/>
      </c>
      <c r="J600" s="4" t="str">
        <f>HYPERLINK("http://141.218.60.56/~jnz1568/getInfo.php?workbook=03_02.xlsx&amp;sheet=A0&amp;row=600&amp;col=10&amp;number=&amp;sourceID=15","")</f>
        <v/>
      </c>
      <c r="K600" s="4" t="str">
        <f>HYPERLINK("http://141.218.60.56/~jnz1568/getInfo.php?workbook=03_02.xlsx&amp;sheet=A0&amp;row=600&amp;col=11&amp;number=&amp;sourceID=30","")</f>
        <v/>
      </c>
      <c r="L600" s="4" t="str">
        <f>HYPERLINK("http://141.218.60.56/~jnz1568/getInfo.php?workbook=03_02.xlsx&amp;sheet=A0&amp;row=600&amp;col=12&amp;number=1.036&amp;sourceID=30","1.036")</f>
        <v>1.036</v>
      </c>
      <c r="M600" s="4" t="str">
        <f>HYPERLINK("http://141.218.60.56/~jnz1568/getInfo.php?workbook=03_02.xlsx&amp;sheet=A0&amp;row=600&amp;col=13&amp;number=&amp;sourceID=30","")</f>
        <v/>
      </c>
      <c r="N600" s="4" t="str">
        <f>HYPERLINK("http://141.218.60.56/~jnz1568/getInfo.php?workbook=03_02.xlsx&amp;sheet=A0&amp;row=600&amp;col=14&amp;number=&amp;sourceID=30","")</f>
        <v/>
      </c>
    </row>
    <row r="601" spans="1:14">
      <c r="A601" s="3">
        <v>3</v>
      </c>
      <c r="B601" s="3">
        <v>2</v>
      </c>
      <c r="C601" s="3">
        <v>39</v>
      </c>
      <c r="D601" s="3">
        <v>16</v>
      </c>
      <c r="E601" s="3">
        <f>((1/(INDEX(E0!J$4:J$52,C601,1)-INDEX(E0!J$4:J$52,D601,1))))*100000000</f>
        <v>0</v>
      </c>
      <c r="F601" s="4" t="str">
        <f>HYPERLINK("http://141.218.60.56/~jnz1568/getInfo.php?workbook=03_02.xlsx&amp;sheet=A0&amp;row=601&amp;col=6&amp;number=&amp;sourceID=27","")</f>
        <v/>
      </c>
      <c r="G601" s="4" t="str">
        <f>HYPERLINK("http://141.218.60.56/~jnz1568/getInfo.php?workbook=03_02.xlsx&amp;sheet=A0&amp;row=601&amp;col=7&amp;number=&amp;sourceID=15","")</f>
        <v/>
      </c>
      <c r="H601" s="4" t="str">
        <f>HYPERLINK("http://141.218.60.56/~jnz1568/getInfo.php?workbook=03_02.xlsx&amp;sheet=A0&amp;row=601&amp;col=8&amp;number=&amp;sourceID=15","")</f>
        <v/>
      </c>
      <c r="I601" s="4" t="str">
        <f>HYPERLINK("http://141.218.60.56/~jnz1568/getInfo.php?workbook=03_02.xlsx&amp;sheet=A0&amp;row=601&amp;col=9&amp;number=&amp;sourceID=15","")</f>
        <v/>
      </c>
      <c r="J601" s="4" t="str">
        <f>HYPERLINK("http://141.218.60.56/~jnz1568/getInfo.php?workbook=03_02.xlsx&amp;sheet=A0&amp;row=601&amp;col=10&amp;number=&amp;sourceID=15","")</f>
        <v/>
      </c>
      <c r="K601" s="4" t="str">
        <f>HYPERLINK("http://141.218.60.56/~jnz1568/getInfo.php?workbook=03_02.xlsx&amp;sheet=A0&amp;row=601&amp;col=11&amp;number=&amp;sourceID=30","")</f>
        <v/>
      </c>
      <c r="L601" s="4" t="str">
        <f>HYPERLINK("http://141.218.60.56/~jnz1568/getInfo.php?workbook=03_02.xlsx&amp;sheet=A0&amp;row=601&amp;col=12&amp;number=0.00181&amp;sourceID=30","0.00181")</f>
        <v>0.00181</v>
      </c>
      <c r="M601" s="4" t="str">
        <f>HYPERLINK("http://141.218.60.56/~jnz1568/getInfo.php?workbook=03_02.xlsx&amp;sheet=A0&amp;row=601&amp;col=13&amp;number=8.94e-09&amp;sourceID=30","8.94e-09")</f>
        <v>8.94e-09</v>
      </c>
      <c r="N601" s="4" t="str">
        <f>HYPERLINK("http://141.218.60.56/~jnz1568/getInfo.php?workbook=03_02.xlsx&amp;sheet=A0&amp;row=601&amp;col=14&amp;number=&amp;sourceID=30","")</f>
        <v/>
      </c>
    </row>
    <row r="602" spans="1:14">
      <c r="A602" s="3">
        <v>3</v>
      </c>
      <c r="B602" s="3">
        <v>2</v>
      </c>
      <c r="C602" s="3">
        <v>39</v>
      </c>
      <c r="D602" s="3">
        <v>17</v>
      </c>
      <c r="E602" s="3">
        <f>((1/(INDEX(E0!J$4:J$52,C602,1)-INDEX(E0!J$4:J$52,D602,1))))*100000000</f>
        <v>0</v>
      </c>
      <c r="F602" s="4" t="str">
        <f>HYPERLINK("http://141.218.60.56/~jnz1568/getInfo.php?workbook=03_02.xlsx&amp;sheet=A0&amp;row=602&amp;col=6&amp;number=&amp;sourceID=27","")</f>
        <v/>
      </c>
      <c r="G602" s="4" t="str">
        <f>HYPERLINK("http://141.218.60.56/~jnz1568/getInfo.php?workbook=03_02.xlsx&amp;sheet=A0&amp;row=602&amp;col=7&amp;number=&amp;sourceID=15","")</f>
        <v/>
      </c>
      <c r="H602" s="4" t="str">
        <f>HYPERLINK("http://141.218.60.56/~jnz1568/getInfo.php?workbook=03_02.xlsx&amp;sheet=A0&amp;row=602&amp;col=8&amp;number=&amp;sourceID=15","")</f>
        <v/>
      </c>
      <c r="I602" s="4" t="str">
        <f>HYPERLINK("http://141.218.60.56/~jnz1568/getInfo.php?workbook=03_02.xlsx&amp;sheet=A0&amp;row=602&amp;col=9&amp;number=&amp;sourceID=15","")</f>
        <v/>
      </c>
      <c r="J602" s="4" t="str">
        <f>HYPERLINK("http://141.218.60.56/~jnz1568/getInfo.php?workbook=03_02.xlsx&amp;sheet=A0&amp;row=602&amp;col=10&amp;number=&amp;sourceID=15","")</f>
        <v/>
      </c>
      <c r="K602" s="4" t="str">
        <f>HYPERLINK("http://141.218.60.56/~jnz1568/getInfo.php?workbook=03_02.xlsx&amp;sheet=A0&amp;row=602&amp;col=11&amp;number=&amp;sourceID=30","")</f>
        <v/>
      </c>
      <c r="L602" s="4" t="str">
        <f>HYPERLINK("http://141.218.60.56/~jnz1568/getInfo.php?workbook=03_02.xlsx&amp;sheet=A0&amp;row=602&amp;col=12&amp;number=&amp;sourceID=30","")</f>
        <v/>
      </c>
      <c r="M602" s="4" t="str">
        <f>HYPERLINK("http://141.218.60.56/~jnz1568/getInfo.php?workbook=03_02.xlsx&amp;sheet=A0&amp;row=602&amp;col=13&amp;number=&amp;sourceID=30","")</f>
        <v/>
      </c>
      <c r="N602" s="4" t="str">
        <f>HYPERLINK("http://141.218.60.56/~jnz1568/getInfo.php?workbook=03_02.xlsx&amp;sheet=A0&amp;row=602&amp;col=14&amp;number=0.0002454&amp;sourceID=30","0.0002454")</f>
        <v>0.0002454</v>
      </c>
    </row>
    <row r="603" spans="1:14">
      <c r="A603" s="3">
        <v>3</v>
      </c>
      <c r="B603" s="3">
        <v>2</v>
      </c>
      <c r="C603" s="3">
        <v>39</v>
      </c>
      <c r="D603" s="3">
        <v>18</v>
      </c>
      <c r="E603" s="3">
        <f>((1/(INDEX(E0!J$4:J$52,C603,1)-INDEX(E0!J$4:J$52,D603,1))))*100000000</f>
        <v>0</v>
      </c>
      <c r="F603" s="4" t="str">
        <f>HYPERLINK("http://141.218.60.56/~jnz1568/getInfo.php?workbook=03_02.xlsx&amp;sheet=A0&amp;row=603&amp;col=6&amp;number=&amp;sourceID=27","")</f>
        <v/>
      </c>
      <c r="G603" s="4" t="str">
        <f>HYPERLINK("http://141.218.60.56/~jnz1568/getInfo.php?workbook=03_02.xlsx&amp;sheet=A0&amp;row=603&amp;col=7&amp;number=&amp;sourceID=15","")</f>
        <v/>
      </c>
      <c r="H603" s="4" t="str">
        <f>HYPERLINK("http://141.218.60.56/~jnz1568/getInfo.php?workbook=03_02.xlsx&amp;sheet=A0&amp;row=603&amp;col=8&amp;number=&amp;sourceID=15","")</f>
        <v/>
      </c>
      <c r="I603" s="4" t="str">
        <f>HYPERLINK("http://141.218.60.56/~jnz1568/getInfo.php?workbook=03_02.xlsx&amp;sheet=A0&amp;row=603&amp;col=9&amp;number=&amp;sourceID=15","")</f>
        <v/>
      </c>
      <c r="J603" s="4" t="str">
        <f>HYPERLINK("http://141.218.60.56/~jnz1568/getInfo.php?workbook=03_02.xlsx&amp;sheet=A0&amp;row=603&amp;col=10&amp;number=&amp;sourceID=15","")</f>
        <v/>
      </c>
      <c r="K603" s="4" t="str">
        <f>HYPERLINK("http://141.218.60.56/~jnz1568/getInfo.php?workbook=03_02.xlsx&amp;sheet=A0&amp;row=603&amp;col=11&amp;number=&amp;sourceID=30","")</f>
        <v/>
      </c>
      <c r="L603" s="4" t="str">
        <f>HYPERLINK("http://141.218.60.56/~jnz1568/getInfo.php?workbook=03_02.xlsx&amp;sheet=A0&amp;row=603&amp;col=12&amp;number=43.78&amp;sourceID=30","43.78")</f>
        <v>43.78</v>
      </c>
      <c r="M603" s="4" t="str">
        <f>HYPERLINK("http://141.218.60.56/~jnz1568/getInfo.php?workbook=03_02.xlsx&amp;sheet=A0&amp;row=603&amp;col=13&amp;number=&amp;sourceID=30","")</f>
        <v/>
      </c>
      <c r="N603" s="4" t="str">
        <f>HYPERLINK("http://141.218.60.56/~jnz1568/getInfo.php?workbook=03_02.xlsx&amp;sheet=A0&amp;row=603&amp;col=14&amp;number=&amp;sourceID=30","")</f>
        <v/>
      </c>
    </row>
    <row r="604" spans="1:14">
      <c r="A604" s="3">
        <v>3</v>
      </c>
      <c r="B604" s="3">
        <v>2</v>
      </c>
      <c r="C604" s="3">
        <v>39</v>
      </c>
      <c r="D604" s="3">
        <v>21</v>
      </c>
      <c r="E604" s="3">
        <f>((1/(INDEX(E0!J$4:J$52,C604,1)-INDEX(E0!J$4:J$52,D604,1))))*100000000</f>
        <v>0</v>
      </c>
      <c r="F604" s="4" t="str">
        <f>HYPERLINK("http://141.218.60.56/~jnz1568/getInfo.php?workbook=03_02.xlsx&amp;sheet=A0&amp;row=604&amp;col=6&amp;number=&amp;sourceID=27","")</f>
        <v/>
      </c>
      <c r="G604" s="4" t="str">
        <f>HYPERLINK("http://141.218.60.56/~jnz1568/getInfo.php?workbook=03_02.xlsx&amp;sheet=A0&amp;row=604&amp;col=7&amp;number=&amp;sourceID=15","")</f>
        <v/>
      </c>
      <c r="H604" s="4" t="str">
        <f>HYPERLINK("http://141.218.60.56/~jnz1568/getInfo.php?workbook=03_02.xlsx&amp;sheet=A0&amp;row=604&amp;col=8&amp;number=&amp;sourceID=15","")</f>
        <v/>
      </c>
      <c r="I604" s="4" t="str">
        <f>HYPERLINK("http://141.218.60.56/~jnz1568/getInfo.php?workbook=03_02.xlsx&amp;sheet=A0&amp;row=604&amp;col=9&amp;number=&amp;sourceID=15","")</f>
        <v/>
      </c>
      <c r="J604" s="4" t="str">
        <f>HYPERLINK("http://141.218.60.56/~jnz1568/getInfo.php?workbook=03_02.xlsx&amp;sheet=A0&amp;row=604&amp;col=10&amp;number=&amp;sourceID=15","")</f>
        <v/>
      </c>
      <c r="K604" s="4" t="str">
        <f>HYPERLINK("http://141.218.60.56/~jnz1568/getInfo.php?workbook=03_02.xlsx&amp;sheet=A0&amp;row=604&amp;col=11&amp;number=&amp;sourceID=30","")</f>
        <v/>
      </c>
      <c r="L604" s="4" t="str">
        <f>HYPERLINK("http://141.218.60.56/~jnz1568/getInfo.php?workbook=03_02.xlsx&amp;sheet=A0&amp;row=604&amp;col=12&amp;number=&amp;sourceID=30","")</f>
        <v/>
      </c>
      <c r="M604" s="4" t="str">
        <f>HYPERLINK("http://141.218.60.56/~jnz1568/getInfo.php?workbook=03_02.xlsx&amp;sheet=A0&amp;row=604&amp;col=13&amp;number=&amp;sourceID=30","")</f>
        <v/>
      </c>
      <c r="N604" s="4" t="str">
        <f>HYPERLINK("http://141.218.60.56/~jnz1568/getInfo.php?workbook=03_02.xlsx&amp;sheet=A0&amp;row=604&amp;col=14&amp;number=5.768e-07&amp;sourceID=30","5.768e-07")</f>
        <v>5.768e-07</v>
      </c>
    </row>
    <row r="605" spans="1:14">
      <c r="A605" s="3">
        <v>3</v>
      </c>
      <c r="B605" s="3">
        <v>2</v>
      </c>
      <c r="C605" s="3">
        <v>39</v>
      </c>
      <c r="D605" s="3">
        <v>22</v>
      </c>
      <c r="E605" s="3">
        <f>((1/(INDEX(E0!J$4:J$52,C605,1)-INDEX(E0!J$4:J$52,D605,1))))*100000000</f>
        <v>0</v>
      </c>
      <c r="F605" s="4" t="str">
        <f>HYPERLINK("http://141.218.60.56/~jnz1568/getInfo.php?workbook=03_02.xlsx&amp;sheet=A0&amp;row=605&amp;col=6&amp;number=&amp;sourceID=27","")</f>
        <v/>
      </c>
      <c r="G605" s="4" t="str">
        <f>HYPERLINK("http://141.218.60.56/~jnz1568/getInfo.php?workbook=03_02.xlsx&amp;sheet=A0&amp;row=605&amp;col=7&amp;number=21233000&amp;sourceID=15","21233000")</f>
        <v>21233000</v>
      </c>
      <c r="H605" s="4" t="str">
        <f>HYPERLINK("http://141.218.60.56/~jnz1568/getInfo.php?workbook=03_02.xlsx&amp;sheet=A0&amp;row=605&amp;col=8&amp;number=&amp;sourceID=15","")</f>
        <v/>
      </c>
      <c r="I605" s="4" t="str">
        <f>HYPERLINK("http://141.218.60.56/~jnz1568/getInfo.php?workbook=03_02.xlsx&amp;sheet=A0&amp;row=605&amp;col=9&amp;number=&amp;sourceID=15","")</f>
        <v/>
      </c>
      <c r="J605" s="4" t="str">
        <f>HYPERLINK("http://141.218.60.56/~jnz1568/getInfo.php?workbook=03_02.xlsx&amp;sheet=A0&amp;row=605&amp;col=10&amp;number=&amp;sourceID=15","")</f>
        <v/>
      </c>
      <c r="K605" s="4" t="str">
        <f>HYPERLINK("http://141.218.60.56/~jnz1568/getInfo.php?workbook=03_02.xlsx&amp;sheet=A0&amp;row=605&amp;col=11&amp;number=21080000&amp;sourceID=30","21080000")</f>
        <v>21080000</v>
      </c>
      <c r="L605" s="4" t="str">
        <f>HYPERLINK("http://141.218.60.56/~jnz1568/getInfo.php?workbook=03_02.xlsx&amp;sheet=A0&amp;row=605&amp;col=12&amp;number=&amp;sourceID=30","")</f>
        <v/>
      </c>
      <c r="M605" s="4" t="str">
        <f>HYPERLINK("http://141.218.60.56/~jnz1568/getInfo.php?workbook=03_02.xlsx&amp;sheet=A0&amp;row=605&amp;col=13&amp;number=&amp;sourceID=30","")</f>
        <v/>
      </c>
      <c r="N605" s="4" t="str">
        <f>HYPERLINK("http://141.218.60.56/~jnz1568/getInfo.php?workbook=03_02.xlsx&amp;sheet=A0&amp;row=605&amp;col=14&amp;number=2.867e-05&amp;sourceID=30","2.867e-05")</f>
        <v>2.867e-05</v>
      </c>
    </row>
    <row r="606" spans="1:14">
      <c r="A606" s="3">
        <v>3</v>
      </c>
      <c r="B606" s="3">
        <v>2</v>
      </c>
      <c r="C606" s="3">
        <v>39</v>
      </c>
      <c r="D606" s="3">
        <v>23</v>
      </c>
      <c r="E606" s="3">
        <f>((1/(INDEX(E0!J$4:J$52,C606,1)-INDEX(E0!J$4:J$52,D606,1))))*100000000</f>
        <v>0</v>
      </c>
      <c r="F606" s="4" t="str">
        <f>HYPERLINK("http://141.218.60.56/~jnz1568/getInfo.php?workbook=03_02.xlsx&amp;sheet=A0&amp;row=606&amp;col=6&amp;number=&amp;sourceID=27","")</f>
        <v/>
      </c>
      <c r="G606" s="4" t="str">
        <f>HYPERLINK("http://141.218.60.56/~jnz1568/getInfo.php?workbook=03_02.xlsx&amp;sheet=A0&amp;row=606&amp;col=7&amp;number=&amp;sourceID=15","")</f>
        <v/>
      </c>
      <c r="H606" s="4" t="str">
        <f>HYPERLINK("http://141.218.60.56/~jnz1568/getInfo.php?workbook=03_02.xlsx&amp;sheet=A0&amp;row=606&amp;col=8&amp;number=&amp;sourceID=15","")</f>
        <v/>
      </c>
      <c r="I606" s="4" t="str">
        <f>HYPERLINK("http://141.218.60.56/~jnz1568/getInfo.php?workbook=03_02.xlsx&amp;sheet=A0&amp;row=606&amp;col=9&amp;number=&amp;sourceID=15","")</f>
        <v/>
      </c>
      <c r="J606" s="4" t="str">
        <f>HYPERLINK("http://141.218.60.56/~jnz1568/getInfo.php?workbook=03_02.xlsx&amp;sheet=A0&amp;row=606&amp;col=10&amp;number=&amp;sourceID=15","")</f>
        <v/>
      </c>
      <c r="K606" s="4" t="str">
        <f>HYPERLINK("http://141.218.60.56/~jnz1568/getInfo.php?workbook=03_02.xlsx&amp;sheet=A0&amp;row=606&amp;col=11&amp;number=&amp;sourceID=30","")</f>
        <v/>
      </c>
      <c r="L606" s="4" t="str">
        <f>HYPERLINK("http://141.218.60.56/~jnz1568/getInfo.php?workbook=03_02.xlsx&amp;sheet=A0&amp;row=606&amp;col=12&amp;number=0.4855&amp;sourceID=30","0.4855")</f>
        <v>0.4855</v>
      </c>
      <c r="M606" s="4" t="str">
        <f>HYPERLINK("http://141.218.60.56/~jnz1568/getInfo.php?workbook=03_02.xlsx&amp;sheet=A0&amp;row=606&amp;col=13&amp;number=&amp;sourceID=30","")</f>
        <v/>
      </c>
      <c r="N606" s="4" t="str">
        <f>HYPERLINK("http://141.218.60.56/~jnz1568/getInfo.php?workbook=03_02.xlsx&amp;sheet=A0&amp;row=606&amp;col=14&amp;number=&amp;sourceID=30","")</f>
        <v/>
      </c>
    </row>
    <row r="607" spans="1:14">
      <c r="A607" s="3">
        <v>3</v>
      </c>
      <c r="B607" s="3">
        <v>2</v>
      </c>
      <c r="C607" s="3">
        <v>39</v>
      </c>
      <c r="D607" s="3">
        <v>24</v>
      </c>
      <c r="E607" s="3">
        <f>((1/(INDEX(E0!J$4:J$52,C607,1)-INDEX(E0!J$4:J$52,D607,1))))*100000000</f>
        <v>0</v>
      </c>
      <c r="F607" s="4" t="str">
        <f>HYPERLINK("http://141.218.60.56/~jnz1568/getInfo.php?workbook=03_02.xlsx&amp;sheet=A0&amp;row=607&amp;col=6&amp;number=&amp;sourceID=27","")</f>
        <v/>
      </c>
      <c r="G607" s="4" t="str">
        <f>HYPERLINK("http://141.218.60.56/~jnz1568/getInfo.php?workbook=03_02.xlsx&amp;sheet=A0&amp;row=607&amp;col=7&amp;number=&amp;sourceID=15","")</f>
        <v/>
      </c>
      <c r="H607" s="4" t="str">
        <f>HYPERLINK("http://141.218.60.56/~jnz1568/getInfo.php?workbook=03_02.xlsx&amp;sheet=A0&amp;row=607&amp;col=8&amp;number=&amp;sourceID=15","")</f>
        <v/>
      </c>
      <c r="I607" s="4" t="str">
        <f>HYPERLINK("http://141.218.60.56/~jnz1568/getInfo.php?workbook=03_02.xlsx&amp;sheet=A0&amp;row=607&amp;col=9&amp;number=&amp;sourceID=15","")</f>
        <v/>
      </c>
      <c r="J607" s="4" t="str">
        <f>HYPERLINK("http://141.218.60.56/~jnz1568/getInfo.php?workbook=03_02.xlsx&amp;sheet=A0&amp;row=607&amp;col=10&amp;number=&amp;sourceID=15","")</f>
        <v/>
      </c>
      <c r="K607" s="4" t="str">
        <f>HYPERLINK("http://141.218.60.56/~jnz1568/getInfo.php?workbook=03_02.xlsx&amp;sheet=A0&amp;row=607&amp;col=11&amp;number=&amp;sourceID=30","")</f>
        <v/>
      </c>
      <c r="L607" s="4" t="str">
        <f>HYPERLINK("http://141.218.60.56/~jnz1568/getInfo.php?workbook=03_02.xlsx&amp;sheet=A0&amp;row=607&amp;col=12&amp;number=4.856&amp;sourceID=30","4.856")</f>
        <v>4.856</v>
      </c>
      <c r="M607" s="4" t="str">
        <f>HYPERLINK("http://141.218.60.56/~jnz1568/getInfo.php?workbook=03_02.xlsx&amp;sheet=A0&amp;row=607&amp;col=13&amp;number=3.438e-10&amp;sourceID=30","3.438e-10")</f>
        <v>3.438e-10</v>
      </c>
      <c r="N607" s="4" t="str">
        <f>HYPERLINK("http://141.218.60.56/~jnz1568/getInfo.php?workbook=03_02.xlsx&amp;sheet=A0&amp;row=607&amp;col=14&amp;number=&amp;sourceID=30","")</f>
        <v/>
      </c>
    </row>
    <row r="608" spans="1:14">
      <c r="A608" s="3">
        <v>3</v>
      </c>
      <c r="B608" s="3">
        <v>2</v>
      </c>
      <c r="C608" s="3">
        <v>39</v>
      </c>
      <c r="D608" s="3">
        <v>25</v>
      </c>
      <c r="E608" s="3">
        <f>((1/(INDEX(E0!J$4:J$52,C608,1)-INDEX(E0!J$4:J$52,D608,1))))*100000000</f>
        <v>0</v>
      </c>
      <c r="F608" s="4" t="str">
        <f>HYPERLINK("http://141.218.60.56/~jnz1568/getInfo.php?workbook=03_02.xlsx&amp;sheet=A0&amp;row=608&amp;col=6&amp;number=&amp;sourceID=27","")</f>
        <v/>
      </c>
      <c r="G608" s="4" t="str">
        <f>HYPERLINK("http://141.218.60.56/~jnz1568/getInfo.php?workbook=03_02.xlsx&amp;sheet=A0&amp;row=608&amp;col=7&amp;number=&amp;sourceID=15","")</f>
        <v/>
      </c>
      <c r="H608" s="4" t="str">
        <f>HYPERLINK("http://141.218.60.56/~jnz1568/getInfo.php?workbook=03_02.xlsx&amp;sheet=A0&amp;row=608&amp;col=8&amp;number=&amp;sourceID=15","")</f>
        <v/>
      </c>
      <c r="I608" s="4" t="str">
        <f>HYPERLINK("http://141.218.60.56/~jnz1568/getInfo.php?workbook=03_02.xlsx&amp;sheet=A0&amp;row=608&amp;col=9&amp;number=&amp;sourceID=15","")</f>
        <v/>
      </c>
      <c r="J608" s="4" t="str">
        <f>HYPERLINK("http://141.218.60.56/~jnz1568/getInfo.php?workbook=03_02.xlsx&amp;sheet=A0&amp;row=608&amp;col=10&amp;number=&amp;sourceID=15","")</f>
        <v/>
      </c>
      <c r="K608" s="4" t="str">
        <f>HYPERLINK("http://141.218.60.56/~jnz1568/getInfo.php?workbook=03_02.xlsx&amp;sheet=A0&amp;row=608&amp;col=11&amp;number=&amp;sourceID=30","")</f>
        <v/>
      </c>
      <c r="L608" s="4" t="str">
        <f>HYPERLINK("http://141.218.60.56/~jnz1568/getInfo.php?workbook=03_02.xlsx&amp;sheet=A0&amp;row=608&amp;col=12&amp;number=11.65&amp;sourceID=30","11.65")</f>
        <v>11.65</v>
      </c>
      <c r="M608" s="4" t="str">
        <f>HYPERLINK("http://141.218.60.56/~jnz1568/getInfo.php?workbook=03_02.xlsx&amp;sheet=A0&amp;row=608&amp;col=13&amp;number=2.846e-09&amp;sourceID=30","2.846e-09")</f>
        <v>2.846e-09</v>
      </c>
      <c r="N608" s="4" t="str">
        <f>HYPERLINK("http://141.218.60.56/~jnz1568/getInfo.php?workbook=03_02.xlsx&amp;sheet=A0&amp;row=608&amp;col=14&amp;number=&amp;sourceID=30","")</f>
        <v/>
      </c>
    </row>
    <row r="609" spans="1:14">
      <c r="A609" s="3">
        <v>3</v>
      </c>
      <c r="B609" s="3">
        <v>2</v>
      </c>
      <c r="C609" s="3">
        <v>39</v>
      </c>
      <c r="D609" s="3">
        <v>26</v>
      </c>
      <c r="E609" s="3">
        <f>((1/(INDEX(E0!J$4:J$52,C609,1)-INDEX(E0!J$4:J$52,D609,1))))*100000000</f>
        <v>0</v>
      </c>
      <c r="F609" s="4" t="str">
        <f>HYPERLINK("http://141.218.60.56/~jnz1568/getInfo.php?workbook=03_02.xlsx&amp;sheet=A0&amp;row=609&amp;col=6&amp;number=&amp;sourceID=27","")</f>
        <v/>
      </c>
      <c r="G609" s="4" t="str">
        <f>HYPERLINK("http://141.218.60.56/~jnz1568/getInfo.php?workbook=03_02.xlsx&amp;sheet=A0&amp;row=609&amp;col=7&amp;number=&amp;sourceID=15","")</f>
        <v/>
      </c>
      <c r="H609" s="4" t="str">
        <f>HYPERLINK("http://141.218.60.56/~jnz1568/getInfo.php?workbook=03_02.xlsx&amp;sheet=A0&amp;row=609&amp;col=8&amp;number=&amp;sourceID=15","")</f>
        <v/>
      </c>
      <c r="I609" s="4" t="str">
        <f>HYPERLINK("http://141.218.60.56/~jnz1568/getInfo.php?workbook=03_02.xlsx&amp;sheet=A0&amp;row=609&amp;col=9&amp;number=&amp;sourceID=15","")</f>
        <v/>
      </c>
      <c r="J609" s="4" t="str">
        <f>HYPERLINK("http://141.218.60.56/~jnz1568/getInfo.php?workbook=03_02.xlsx&amp;sheet=A0&amp;row=609&amp;col=10&amp;number=&amp;sourceID=15","")</f>
        <v/>
      </c>
      <c r="K609" s="4" t="str">
        <f>HYPERLINK("http://141.218.60.56/~jnz1568/getInfo.php?workbook=03_02.xlsx&amp;sheet=A0&amp;row=609&amp;col=11&amp;number=&amp;sourceID=30","")</f>
        <v/>
      </c>
      <c r="L609" s="4" t="str">
        <f>HYPERLINK("http://141.218.60.56/~jnz1568/getInfo.php?workbook=03_02.xlsx&amp;sheet=A0&amp;row=609&amp;col=12&amp;number=0.0004651&amp;sourceID=30","0.0004651")</f>
        <v>0.0004651</v>
      </c>
      <c r="M609" s="4" t="str">
        <f>HYPERLINK("http://141.218.60.56/~jnz1568/getInfo.php?workbook=03_02.xlsx&amp;sheet=A0&amp;row=609&amp;col=13&amp;number=2.762e-09&amp;sourceID=30","2.762e-09")</f>
        <v>2.762e-09</v>
      </c>
      <c r="N609" s="4" t="str">
        <f>HYPERLINK("http://141.218.60.56/~jnz1568/getInfo.php?workbook=03_02.xlsx&amp;sheet=A0&amp;row=609&amp;col=14&amp;number=&amp;sourceID=30","")</f>
        <v/>
      </c>
    </row>
    <row r="610" spans="1:14">
      <c r="A610" s="3">
        <v>3</v>
      </c>
      <c r="B610" s="3">
        <v>2</v>
      </c>
      <c r="C610" s="3">
        <v>39</v>
      </c>
      <c r="D610" s="3">
        <v>27</v>
      </c>
      <c r="E610" s="3">
        <f>((1/(INDEX(E0!J$4:J$52,C610,1)-INDEX(E0!J$4:J$52,D610,1))))*100000000</f>
        <v>0</v>
      </c>
      <c r="F610" s="4" t="str">
        <f>HYPERLINK("http://141.218.60.56/~jnz1568/getInfo.php?workbook=03_02.xlsx&amp;sheet=A0&amp;row=610&amp;col=6&amp;number=&amp;sourceID=27","")</f>
        <v/>
      </c>
      <c r="G610" s="4" t="str">
        <f>HYPERLINK("http://141.218.60.56/~jnz1568/getInfo.php?workbook=03_02.xlsx&amp;sheet=A0&amp;row=610&amp;col=7&amp;number=1884.6&amp;sourceID=15","1884.6")</f>
        <v>1884.6</v>
      </c>
      <c r="H610" s="4" t="str">
        <f>HYPERLINK("http://141.218.60.56/~jnz1568/getInfo.php?workbook=03_02.xlsx&amp;sheet=A0&amp;row=610&amp;col=8&amp;number=&amp;sourceID=15","")</f>
        <v/>
      </c>
      <c r="I610" s="4" t="str">
        <f>HYPERLINK("http://141.218.60.56/~jnz1568/getInfo.php?workbook=03_02.xlsx&amp;sheet=A0&amp;row=610&amp;col=9&amp;number=&amp;sourceID=15","")</f>
        <v/>
      </c>
      <c r="J610" s="4" t="str">
        <f>HYPERLINK("http://141.218.60.56/~jnz1568/getInfo.php?workbook=03_02.xlsx&amp;sheet=A0&amp;row=610&amp;col=10&amp;number=&amp;sourceID=15","")</f>
        <v/>
      </c>
      <c r="K610" s="4" t="str">
        <f>HYPERLINK("http://141.218.60.56/~jnz1568/getInfo.php?workbook=03_02.xlsx&amp;sheet=A0&amp;row=610&amp;col=11&amp;number=1860&amp;sourceID=30","1860")</f>
        <v>1860</v>
      </c>
      <c r="L610" s="4" t="str">
        <f>HYPERLINK("http://141.218.60.56/~jnz1568/getInfo.php?workbook=03_02.xlsx&amp;sheet=A0&amp;row=610&amp;col=12&amp;number=&amp;sourceID=30","")</f>
        <v/>
      </c>
      <c r="M610" s="4" t="str">
        <f>HYPERLINK("http://141.218.60.56/~jnz1568/getInfo.php?workbook=03_02.xlsx&amp;sheet=A0&amp;row=610&amp;col=13&amp;number=&amp;sourceID=30","")</f>
        <v/>
      </c>
      <c r="N610" s="4" t="str">
        <f>HYPERLINK("http://141.218.60.56/~jnz1568/getInfo.php?workbook=03_02.xlsx&amp;sheet=A0&amp;row=610&amp;col=14&amp;number=0&amp;sourceID=30","0")</f>
        <v>0</v>
      </c>
    </row>
    <row r="611" spans="1:14">
      <c r="A611" s="3">
        <v>3</v>
      </c>
      <c r="B611" s="3">
        <v>2</v>
      </c>
      <c r="C611" s="3">
        <v>39</v>
      </c>
      <c r="D611" s="3">
        <v>28</v>
      </c>
      <c r="E611" s="3">
        <f>((1/(INDEX(E0!J$4:J$52,C611,1)-INDEX(E0!J$4:J$52,D611,1))))*100000000</f>
        <v>0</v>
      </c>
      <c r="F611" s="4" t="str">
        <f>HYPERLINK("http://141.218.60.56/~jnz1568/getInfo.php?workbook=03_02.xlsx&amp;sheet=A0&amp;row=611&amp;col=6&amp;number=&amp;sourceID=27","")</f>
        <v/>
      </c>
      <c r="G611" s="4" t="str">
        <f>HYPERLINK("http://141.218.60.56/~jnz1568/getInfo.php?workbook=03_02.xlsx&amp;sheet=A0&amp;row=611&amp;col=7&amp;number=46476&amp;sourceID=15","46476")</f>
        <v>46476</v>
      </c>
      <c r="H611" s="4" t="str">
        <f>HYPERLINK("http://141.218.60.56/~jnz1568/getInfo.php?workbook=03_02.xlsx&amp;sheet=A0&amp;row=611&amp;col=8&amp;number=&amp;sourceID=15","")</f>
        <v/>
      </c>
      <c r="I611" s="4" t="str">
        <f>HYPERLINK("http://141.218.60.56/~jnz1568/getInfo.php?workbook=03_02.xlsx&amp;sheet=A0&amp;row=611&amp;col=9&amp;number=&amp;sourceID=15","")</f>
        <v/>
      </c>
      <c r="J611" s="4" t="str">
        <f>HYPERLINK("http://141.218.60.56/~jnz1568/getInfo.php?workbook=03_02.xlsx&amp;sheet=A0&amp;row=611&amp;col=10&amp;number=&amp;sourceID=15","")</f>
        <v/>
      </c>
      <c r="K611" s="4" t="str">
        <f>HYPERLINK("http://141.218.60.56/~jnz1568/getInfo.php?workbook=03_02.xlsx&amp;sheet=A0&amp;row=611&amp;col=11&amp;number=51260&amp;sourceID=30","51260")</f>
        <v>51260</v>
      </c>
      <c r="L611" s="4" t="str">
        <f>HYPERLINK("http://141.218.60.56/~jnz1568/getInfo.php?workbook=03_02.xlsx&amp;sheet=A0&amp;row=611&amp;col=12&amp;number=&amp;sourceID=30","")</f>
        <v/>
      </c>
      <c r="M611" s="4" t="str">
        <f>HYPERLINK("http://141.218.60.56/~jnz1568/getInfo.php?workbook=03_02.xlsx&amp;sheet=A0&amp;row=611&amp;col=13&amp;number=&amp;sourceID=30","")</f>
        <v/>
      </c>
      <c r="N611" s="4" t="str">
        <f>HYPERLINK("http://141.218.60.56/~jnz1568/getInfo.php?workbook=03_02.xlsx&amp;sheet=A0&amp;row=611&amp;col=14&amp;number=9.527e-09&amp;sourceID=30","9.527e-09")</f>
        <v>9.527e-09</v>
      </c>
    </row>
    <row r="612" spans="1:14">
      <c r="A612" s="3">
        <v>3</v>
      </c>
      <c r="B612" s="3">
        <v>2</v>
      </c>
      <c r="C612" s="3">
        <v>39</v>
      </c>
      <c r="D612" s="3">
        <v>29</v>
      </c>
      <c r="E612" s="3">
        <f>((1/(INDEX(E0!J$4:J$52,C612,1)-INDEX(E0!J$4:J$52,D612,1))))*100000000</f>
        <v>0</v>
      </c>
      <c r="F612" s="4" t="str">
        <f>HYPERLINK("http://141.218.60.56/~jnz1568/getInfo.php?workbook=03_02.xlsx&amp;sheet=A0&amp;row=612&amp;col=6&amp;number=&amp;sourceID=27","")</f>
        <v/>
      </c>
      <c r="G612" s="4" t="str">
        <f>HYPERLINK("http://141.218.60.56/~jnz1568/getInfo.php?workbook=03_02.xlsx&amp;sheet=A0&amp;row=612&amp;col=7&amp;number=763280&amp;sourceID=15","763280")</f>
        <v>763280</v>
      </c>
      <c r="H612" s="4" t="str">
        <f>HYPERLINK("http://141.218.60.56/~jnz1568/getInfo.php?workbook=03_02.xlsx&amp;sheet=A0&amp;row=612&amp;col=8&amp;number=&amp;sourceID=15","")</f>
        <v/>
      </c>
      <c r="I612" s="4" t="str">
        <f>HYPERLINK("http://141.218.60.56/~jnz1568/getInfo.php?workbook=03_02.xlsx&amp;sheet=A0&amp;row=612&amp;col=9&amp;number=&amp;sourceID=15","")</f>
        <v/>
      </c>
      <c r="J612" s="4" t="str">
        <f>HYPERLINK("http://141.218.60.56/~jnz1568/getInfo.php?workbook=03_02.xlsx&amp;sheet=A0&amp;row=612&amp;col=10&amp;number=&amp;sourceID=15","")</f>
        <v/>
      </c>
      <c r="K612" s="4" t="str">
        <f>HYPERLINK("http://141.218.60.56/~jnz1568/getInfo.php?workbook=03_02.xlsx&amp;sheet=A0&amp;row=612&amp;col=11&amp;number=753300&amp;sourceID=30","753300")</f>
        <v>753300</v>
      </c>
      <c r="L612" s="4" t="str">
        <f>HYPERLINK("http://141.218.60.56/~jnz1568/getInfo.php?workbook=03_02.xlsx&amp;sheet=A0&amp;row=612&amp;col=12&amp;number=&amp;sourceID=30","")</f>
        <v/>
      </c>
      <c r="M612" s="4" t="str">
        <f>HYPERLINK("http://141.218.60.56/~jnz1568/getInfo.php?workbook=03_02.xlsx&amp;sheet=A0&amp;row=612&amp;col=13&amp;number=&amp;sourceID=30","")</f>
        <v/>
      </c>
      <c r="N612" s="4" t="str">
        <f>HYPERLINK("http://141.218.60.56/~jnz1568/getInfo.php?workbook=03_02.xlsx&amp;sheet=A0&amp;row=612&amp;col=14&amp;number=1.469e-06&amp;sourceID=30","1.469e-06")</f>
        <v>1.469e-06</v>
      </c>
    </row>
    <row r="613" spans="1:14">
      <c r="A613" s="3">
        <v>3</v>
      </c>
      <c r="B613" s="3">
        <v>2</v>
      </c>
      <c r="C613" s="3">
        <v>39</v>
      </c>
      <c r="D613" s="3">
        <v>30</v>
      </c>
      <c r="E613" s="3">
        <f>((1/(INDEX(E0!J$4:J$52,C613,1)-INDEX(E0!J$4:J$52,D613,1))))*100000000</f>
        <v>0</v>
      </c>
      <c r="F613" s="4" t="str">
        <f>HYPERLINK("http://141.218.60.56/~jnz1568/getInfo.php?workbook=03_02.xlsx&amp;sheet=A0&amp;row=613&amp;col=6&amp;number=&amp;sourceID=27","")</f>
        <v/>
      </c>
      <c r="G613" s="4" t="str">
        <f>HYPERLINK("http://141.218.60.56/~jnz1568/getInfo.php?workbook=03_02.xlsx&amp;sheet=A0&amp;row=613&amp;col=7&amp;number=19490&amp;sourceID=15","19490")</f>
        <v>19490</v>
      </c>
      <c r="H613" s="4" t="str">
        <f>HYPERLINK("http://141.218.60.56/~jnz1568/getInfo.php?workbook=03_02.xlsx&amp;sheet=A0&amp;row=613&amp;col=8&amp;number=&amp;sourceID=15","")</f>
        <v/>
      </c>
      <c r="I613" s="4" t="str">
        <f>HYPERLINK("http://141.218.60.56/~jnz1568/getInfo.php?workbook=03_02.xlsx&amp;sheet=A0&amp;row=613&amp;col=9&amp;number=&amp;sourceID=15","")</f>
        <v/>
      </c>
      <c r="J613" s="4" t="str">
        <f>HYPERLINK("http://141.218.60.56/~jnz1568/getInfo.php?workbook=03_02.xlsx&amp;sheet=A0&amp;row=613&amp;col=10&amp;number=&amp;sourceID=15","")</f>
        <v/>
      </c>
      <c r="K613" s="4" t="str">
        <f>HYPERLINK("http://141.218.60.56/~jnz1568/getInfo.php?workbook=03_02.xlsx&amp;sheet=A0&amp;row=613&amp;col=11&amp;number=13840&amp;sourceID=30","13840")</f>
        <v>13840</v>
      </c>
      <c r="L613" s="4" t="str">
        <f>HYPERLINK("http://141.218.60.56/~jnz1568/getInfo.php?workbook=03_02.xlsx&amp;sheet=A0&amp;row=613&amp;col=12&amp;number=&amp;sourceID=30","")</f>
        <v/>
      </c>
      <c r="M613" s="4" t="str">
        <f>HYPERLINK("http://141.218.60.56/~jnz1568/getInfo.php?workbook=03_02.xlsx&amp;sheet=A0&amp;row=613&amp;col=13&amp;number=&amp;sourceID=30","")</f>
        <v/>
      </c>
      <c r="N613" s="4" t="str">
        <f>HYPERLINK("http://141.218.60.56/~jnz1568/getInfo.php?workbook=03_02.xlsx&amp;sheet=A0&amp;row=613&amp;col=14&amp;number=1.669e-07&amp;sourceID=30","1.669e-07")</f>
        <v>1.669e-07</v>
      </c>
    </row>
    <row r="614" spans="1:14">
      <c r="A614" s="3">
        <v>3</v>
      </c>
      <c r="B614" s="3">
        <v>2</v>
      </c>
      <c r="C614" s="3">
        <v>39</v>
      </c>
      <c r="D614" s="3">
        <v>31</v>
      </c>
      <c r="E614" s="3">
        <f>((1/(INDEX(E0!J$4:J$52,C614,1)-INDEX(E0!J$4:J$52,D614,1))))*100000000</f>
        <v>0</v>
      </c>
      <c r="F614" s="4" t="str">
        <f>HYPERLINK("http://141.218.60.56/~jnz1568/getInfo.php?workbook=03_02.xlsx&amp;sheet=A0&amp;row=614&amp;col=6&amp;number=&amp;sourceID=27","")</f>
        <v/>
      </c>
      <c r="G614" s="4" t="str">
        <f>HYPERLINK("http://141.218.60.56/~jnz1568/getInfo.php?workbook=03_02.xlsx&amp;sheet=A0&amp;row=614&amp;col=7&amp;number=&amp;sourceID=15","")</f>
        <v/>
      </c>
      <c r="H614" s="4" t="str">
        <f>HYPERLINK("http://141.218.60.56/~jnz1568/getInfo.php?workbook=03_02.xlsx&amp;sheet=A0&amp;row=614&amp;col=8&amp;number=&amp;sourceID=15","")</f>
        <v/>
      </c>
      <c r="I614" s="4" t="str">
        <f>HYPERLINK("http://141.218.60.56/~jnz1568/getInfo.php?workbook=03_02.xlsx&amp;sheet=A0&amp;row=614&amp;col=9&amp;number=&amp;sourceID=15","")</f>
        <v/>
      </c>
      <c r="J614" s="4" t="str">
        <f>HYPERLINK("http://141.218.60.56/~jnz1568/getInfo.php?workbook=03_02.xlsx&amp;sheet=A0&amp;row=614&amp;col=10&amp;number=&amp;sourceID=15","")</f>
        <v/>
      </c>
      <c r="K614" s="4" t="str">
        <f>HYPERLINK("http://141.218.60.56/~jnz1568/getInfo.php?workbook=03_02.xlsx&amp;sheet=A0&amp;row=614&amp;col=11&amp;number=&amp;sourceID=30","")</f>
        <v/>
      </c>
      <c r="L614" s="4" t="str">
        <f>HYPERLINK("http://141.218.60.56/~jnz1568/getInfo.php?workbook=03_02.xlsx&amp;sheet=A0&amp;row=614&amp;col=12&amp;number=&amp;sourceID=30","")</f>
        <v/>
      </c>
      <c r="M614" s="4" t="str">
        <f>HYPERLINK("http://141.218.60.56/~jnz1568/getInfo.php?workbook=03_02.xlsx&amp;sheet=A0&amp;row=614&amp;col=13&amp;number=&amp;sourceID=30","")</f>
        <v/>
      </c>
      <c r="N614" s="4" t="str">
        <f>HYPERLINK("http://141.218.60.56/~jnz1568/getInfo.php?workbook=03_02.xlsx&amp;sheet=A0&amp;row=614&amp;col=14&amp;number=1.042e-05&amp;sourceID=30","1.042e-05")</f>
        <v>1.042e-05</v>
      </c>
    </row>
    <row r="615" spans="1:14">
      <c r="A615" s="3">
        <v>3</v>
      </c>
      <c r="B615" s="3">
        <v>2</v>
      </c>
      <c r="C615" s="3">
        <v>39</v>
      </c>
      <c r="D615" s="3">
        <v>32</v>
      </c>
      <c r="E615" s="3">
        <f>((1/(INDEX(E0!J$4:J$52,C615,1)-INDEX(E0!J$4:J$52,D615,1))))*100000000</f>
        <v>0</v>
      </c>
      <c r="F615" s="4" t="str">
        <f>HYPERLINK("http://141.218.60.56/~jnz1568/getInfo.php?workbook=03_02.xlsx&amp;sheet=A0&amp;row=615&amp;col=6&amp;number=&amp;sourceID=27","")</f>
        <v/>
      </c>
      <c r="G615" s="4" t="str">
        <f>HYPERLINK("http://141.218.60.56/~jnz1568/getInfo.php?workbook=03_02.xlsx&amp;sheet=A0&amp;row=615&amp;col=7&amp;number=&amp;sourceID=15","")</f>
        <v/>
      </c>
      <c r="H615" s="4" t="str">
        <f>HYPERLINK("http://141.218.60.56/~jnz1568/getInfo.php?workbook=03_02.xlsx&amp;sheet=A0&amp;row=615&amp;col=8&amp;number=&amp;sourceID=15","")</f>
        <v/>
      </c>
      <c r="I615" s="4" t="str">
        <f>HYPERLINK("http://141.218.60.56/~jnz1568/getInfo.php?workbook=03_02.xlsx&amp;sheet=A0&amp;row=615&amp;col=9&amp;number=&amp;sourceID=15","")</f>
        <v/>
      </c>
      <c r="J615" s="4" t="str">
        <f>HYPERLINK("http://141.218.60.56/~jnz1568/getInfo.php?workbook=03_02.xlsx&amp;sheet=A0&amp;row=615&amp;col=10&amp;number=&amp;sourceID=15","")</f>
        <v/>
      </c>
      <c r="K615" s="4" t="str">
        <f>HYPERLINK("http://141.218.60.56/~jnz1568/getInfo.php?workbook=03_02.xlsx&amp;sheet=A0&amp;row=615&amp;col=11&amp;number=&amp;sourceID=30","")</f>
        <v/>
      </c>
      <c r="L615" s="4" t="str">
        <f>HYPERLINK("http://141.218.60.56/~jnz1568/getInfo.php?workbook=03_02.xlsx&amp;sheet=A0&amp;row=615&amp;col=12&amp;number=0.009585&amp;sourceID=30","0.009585")</f>
        <v>0.009585</v>
      </c>
      <c r="M615" s="4" t="str">
        <f>HYPERLINK("http://141.218.60.56/~jnz1568/getInfo.php?workbook=03_02.xlsx&amp;sheet=A0&amp;row=615&amp;col=13&amp;number=&amp;sourceID=30","")</f>
        <v/>
      </c>
      <c r="N615" s="4" t="str">
        <f>HYPERLINK("http://141.218.60.56/~jnz1568/getInfo.php?workbook=03_02.xlsx&amp;sheet=A0&amp;row=615&amp;col=14&amp;number=&amp;sourceID=30","")</f>
        <v/>
      </c>
    </row>
    <row r="616" spans="1:14">
      <c r="A616" s="3">
        <v>3</v>
      </c>
      <c r="B616" s="3">
        <v>2</v>
      </c>
      <c r="C616" s="3">
        <v>39</v>
      </c>
      <c r="D616" s="3">
        <v>35</v>
      </c>
      <c r="E616" s="3">
        <f>((1/(INDEX(E0!J$4:J$52,C616,1)-INDEX(E0!J$4:J$52,D616,1))))*100000000</f>
        <v>0</v>
      </c>
      <c r="F616" s="4" t="str">
        <f>HYPERLINK("http://141.218.60.56/~jnz1568/getInfo.php?workbook=03_02.xlsx&amp;sheet=A0&amp;row=616&amp;col=6&amp;number=&amp;sourceID=27","")</f>
        <v/>
      </c>
      <c r="G616" s="4" t="str">
        <f>HYPERLINK("http://141.218.60.56/~jnz1568/getInfo.php?workbook=03_02.xlsx&amp;sheet=A0&amp;row=616&amp;col=7&amp;number=&amp;sourceID=15","")</f>
        <v/>
      </c>
      <c r="H616" s="4" t="str">
        <f>HYPERLINK("http://141.218.60.56/~jnz1568/getInfo.php?workbook=03_02.xlsx&amp;sheet=A0&amp;row=616&amp;col=8&amp;number=&amp;sourceID=15","")</f>
        <v/>
      </c>
      <c r="I616" s="4" t="str">
        <f>HYPERLINK("http://141.218.60.56/~jnz1568/getInfo.php?workbook=03_02.xlsx&amp;sheet=A0&amp;row=616&amp;col=9&amp;number=&amp;sourceID=15","")</f>
        <v/>
      </c>
      <c r="J616" s="4" t="str">
        <f>HYPERLINK("http://141.218.60.56/~jnz1568/getInfo.php?workbook=03_02.xlsx&amp;sheet=A0&amp;row=616&amp;col=10&amp;number=&amp;sourceID=15","")</f>
        <v/>
      </c>
      <c r="K616" s="4" t="str">
        <f>HYPERLINK("http://141.218.60.56/~jnz1568/getInfo.php?workbook=03_02.xlsx&amp;sheet=A0&amp;row=616&amp;col=11&amp;number=&amp;sourceID=30","")</f>
        <v/>
      </c>
      <c r="L616" s="4" t="str">
        <f>HYPERLINK("http://141.218.60.56/~jnz1568/getInfo.php?workbook=03_02.xlsx&amp;sheet=A0&amp;row=616&amp;col=12&amp;number=&amp;sourceID=30","")</f>
        <v/>
      </c>
      <c r="M616" s="4" t="str">
        <f>HYPERLINK("http://141.218.60.56/~jnz1568/getInfo.php?workbook=03_02.xlsx&amp;sheet=A0&amp;row=616&amp;col=13&amp;number=&amp;sourceID=30","")</f>
        <v/>
      </c>
      <c r="N616" s="4" t="str">
        <f>HYPERLINK("http://141.218.60.56/~jnz1568/getInfo.php?workbook=03_02.xlsx&amp;sheet=A0&amp;row=616&amp;col=14&amp;number=2.3e-13&amp;sourceID=30","2.3e-13")</f>
        <v>2.3e-13</v>
      </c>
    </row>
    <row r="617" spans="1:14">
      <c r="A617" s="3">
        <v>3</v>
      </c>
      <c r="B617" s="3">
        <v>2</v>
      </c>
      <c r="C617" s="3">
        <v>39</v>
      </c>
      <c r="D617" s="3">
        <v>36</v>
      </c>
      <c r="E617" s="3">
        <f>((1/(INDEX(E0!J$4:J$52,C617,1)-INDEX(E0!J$4:J$52,D617,1))))*100000000</f>
        <v>0</v>
      </c>
      <c r="F617" s="4" t="str">
        <f>HYPERLINK("http://141.218.60.56/~jnz1568/getInfo.php?workbook=03_02.xlsx&amp;sheet=A0&amp;row=617&amp;col=6&amp;number=&amp;sourceID=27","")</f>
        <v/>
      </c>
      <c r="G617" s="4" t="str">
        <f>HYPERLINK("http://141.218.60.56/~jnz1568/getInfo.php?workbook=03_02.xlsx&amp;sheet=A0&amp;row=617&amp;col=7&amp;number=12201&amp;sourceID=15","12201")</f>
        <v>12201</v>
      </c>
      <c r="H617" s="4" t="str">
        <f>HYPERLINK("http://141.218.60.56/~jnz1568/getInfo.php?workbook=03_02.xlsx&amp;sheet=A0&amp;row=617&amp;col=8&amp;number=&amp;sourceID=15","")</f>
        <v/>
      </c>
      <c r="I617" s="4" t="str">
        <f>HYPERLINK("http://141.218.60.56/~jnz1568/getInfo.php?workbook=03_02.xlsx&amp;sheet=A0&amp;row=617&amp;col=9&amp;number=&amp;sourceID=15","")</f>
        <v/>
      </c>
      <c r="J617" s="4" t="str">
        <f>HYPERLINK("http://141.218.60.56/~jnz1568/getInfo.php?workbook=03_02.xlsx&amp;sheet=A0&amp;row=617&amp;col=10&amp;number=&amp;sourceID=15","")</f>
        <v/>
      </c>
      <c r="K617" s="4" t="str">
        <f>HYPERLINK("http://141.218.60.56/~jnz1568/getInfo.php?workbook=03_02.xlsx&amp;sheet=A0&amp;row=617&amp;col=11&amp;number=8630&amp;sourceID=30","8630")</f>
        <v>8630</v>
      </c>
      <c r="L617" s="4" t="str">
        <f>HYPERLINK("http://141.218.60.56/~jnz1568/getInfo.php?workbook=03_02.xlsx&amp;sheet=A0&amp;row=617&amp;col=12&amp;number=&amp;sourceID=30","")</f>
        <v/>
      </c>
      <c r="M617" s="4" t="str">
        <f>HYPERLINK("http://141.218.60.56/~jnz1568/getInfo.php?workbook=03_02.xlsx&amp;sheet=A0&amp;row=617&amp;col=13&amp;number=&amp;sourceID=30","")</f>
        <v/>
      </c>
      <c r="N617" s="4" t="str">
        <f>HYPERLINK("http://141.218.60.56/~jnz1568/getInfo.php?workbook=03_02.xlsx&amp;sheet=A0&amp;row=617&amp;col=14&amp;number=1.142e-11&amp;sourceID=30","1.142e-11")</f>
        <v>1.142e-11</v>
      </c>
    </row>
    <row r="618" spans="1:14">
      <c r="A618" s="3">
        <v>3</v>
      </c>
      <c r="B618" s="3">
        <v>2</v>
      </c>
      <c r="C618" s="3">
        <v>39</v>
      </c>
      <c r="D618" s="3">
        <v>37</v>
      </c>
      <c r="E618" s="3">
        <f>((1/(INDEX(E0!J$4:J$52,C618,1)-INDEX(E0!J$4:J$52,D618,1))))*100000000</f>
        <v>0</v>
      </c>
      <c r="F618" s="4" t="str">
        <f>HYPERLINK("http://141.218.60.56/~jnz1568/getInfo.php?workbook=03_02.xlsx&amp;sheet=A0&amp;row=618&amp;col=6&amp;number=&amp;sourceID=27","")</f>
        <v/>
      </c>
      <c r="G618" s="4" t="str">
        <f>HYPERLINK("http://141.218.60.56/~jnz1568/getInfo.php?workbook=03_02.xlsx&amp;sheet=A0&amp;row=618&amp;col=7&amp;number=&amp;sourceID=15","")</f>
        <v/>
      </c>
      <c r="H618" s="4" t="str">
        <f>HYPERLINK("http://141.218.60.56/~jnz1568/getInfo.php?workbook=03_02.xlsx&amp;sheet=A0&amp;row=618&amp;col=8&amp;number=&amp;sourceID=15","")</f>
        <v/>
      </c>
      <c r="I618" s="4" t="str">
        <f>HYPERLINK("http://141.218.60.56/~jnz1568/getInfo.php?workbook=03_02.xlsx&amp;sheet=A0&amp;row=618&amp;col=9&amp;number=&amp;sourceID=15","")</f>
        <v/>
      </c>
      <c r="J618" s="4" t="str">
        <f>HYPERLINK("http://141.218.60.56/~jnz1568/getInfo.php?workbook=03_02.xlsx&amp;sheet=A0&amp;row=618&amp;col=10&amp;number=&amp;sourceID=15","")</f>
        <v/>
      </c>
      <c r="K618" s="4" t="str">
        <f>HYPERLINK("http://141.218.60.56/~jnz1568/getInfo.php?workbook=03_02.xlsx&amp;sheet=A0&amp;row=618&amp;col=11&amp;number=&amp;sourceID=30","")</f>
        <v/>
      </c>
      <c r="L618" s="4" t="str">
        <f>HYPERLINK("http://141.218.60.56/~jnz1568/getInfo.php?workbook=03_02.xlsx&amp;sheet=A0&amp;row=618&amp;col=12&amp;number=0&amp;sourceID=30","0")</f>
        <v>0</v>
      </c>
      <c r="M618" s="4" t="str">
        <f>HYPERLINK("http://141.218.60.56/~jnz1568/getInfo.php?workbook=03_02.xlsx&amp;sheet=A0&amp;row=618&amp;col=13&amp;number=&amp;sourceID=30","")</f>
        <v/>
      </c>
      <c r="N618" s="4" t="str">
        <f>HYPERLINK("http://141.218.60.56/~jnz1568/getInfo.php?workbook=03_02.xlsx&amp;sheet=A0&amp;row=618&amp;col=14&amp;number=&amp;sourceID=30","")</f>
        <v/>
      </c>
    </row>
    <row r="619" spans="1:14">
      <c r="A619" s="3">
        <v>3</v>
      </c>
      <c r="B619" s="3">
        <v>2</v>
      </c>
      <c r="C619" s="3">
        <v>39</v>
      </c>
      <c r="D619" s="3">
        <v>38</v>
      </c>
      <c r="E619" s="3">
        <f>((1/(INDEX(E0!J$4:J$52,C619,1)-INDEX(E0!J$4:J$52,D619,1))))*100000000</f>
        <v>0</v>
      </c>
      <c r="F619" s="4" t="str">
        <f>HYPERLINK("http://141.218.60.56/~jnz1568/getInfo.php?workbook=03_02.xlsx&amp;sheet=A0&amp;row=619&amp;col=6&amp;number=&amp;sourceID=27","")</f>
        <v/>
      </c>
      <c r="G619" s="4" t="str">
        <f>HYPERLINK("http://141.218.60.56/~jnz1568/getInfo.php?workbook=03_02.xlsx&amp;sheet=A0&amp;row=619&amp;col=7&amp;number=&amp;sourceID=15","")</f>
        <v/>
      </c>
      <c r="H619" s="4" t="str">
        <f>HYPERLINK("http://141.218.60.56/~jnz1568/getInfo.php?workbook=03_02.xlsx&amp;sheet=A0&amp;row=619&amp;col=8&amp;number=&amp;sourceID=15","")</f>
        <v/>
      </c>
      <c r="I619" s="4" t="str">
        <f>HYPERLINK("http://141.218.60.56/~jnz1568/getInfo.php?workbook=03_02.xlsx&amp;sheet=A0&amp;row=619&amp;col=9&amp;number=&amp;sourceID=15","")</f>
        <v/>
      </c>
      <c r="J619" s="4" t="str">
        <f>HYPERLINK("http://141.218.60.56/~jnz1568/getInfo.php?workbook=03_02.xlsx&amp;sheet=A0&amp;row=619&amp;col=10&amp;number=&amp;sourceID=15","")</f>
        <v/>
      </c>
      <c r="K619" s="4" t="str">
        <f>HYPERLINK("http://141.218.60.56/~jnz1568/getInfo.php?workbook=03_02.xlsx&amp;sheet=A0&amp;row=619&amp;col=11&amp;number=&amp;sourceID=30","")</f>
        <v/>
      </c>
      <c r="L619" s="4" t="str">
        <f>HYPERLINK("http://141.218.60.56/~jnz1568/getInfo.php?workbook=03_02.xlsx&amp;sheet=A0&amp;row=619&amp;col=12&amp;number=0&amp;sourceID=30","0")</f>
        <v>0</v>
      </c>
      <c r="M619" s="4" t="str">
        <f>HYPERLINK("http://141.218.60.56/~jnz1568/getInfo.php?workbook=03_02.xlsx&amp;sheet=A0&amp;row=619&amp;col=13&amp;number=1e-15&amp;sourceID=30","1e-15")</f>
        <v>1e-15</v>
      </c>
      <c r="N619" s="4" t="str">
        <f>HYPERLINK("http://141.218.60.56/~jnz1568/getInfo.php?workbook=03_02.xlsx&amp;sheet=A0&amp;row=619&amp;col=14&amp;number=&amp;sourceID=30","")</f>
        <v/>
      </c>
    </row>
    <row r="620" spans="1:14">
      <c r="A620" s="3">
        <v>3</v>
      </c>
      <c r="B620" s="3">
        <v>2</v>
      </c>
      <c r="C620" s="3">
        <v>40</v>
      </c>
      <c r="D620" s="3">
        <v>1</v>
      </c>
      <c r="E620" s="3">
        <f>((1/(INDEX(E0!J$4:J$52,C620,1)-INDEX(E0!J$4:J$52,D620,1))))*100000000</f>
        <v>0</v>
      </c>
      <c r="F620" s="4" t="str">
        <f>HYPERLINK("http://141.218.60.56/~jnz1568/getInfo.php?workbook=03_02.xlsx&amp;sheet=A0&amp;row=620&amp;col=6&amp;number=&amp;sourceID=27","")</f>
        <v/>
      </c>
      <c r="G620" s="4" t="str">
        <f>HYPERLINK("http://141.218.60.56/~jnz1568/getInfo.php?workbook=03_02.xlsx&amp;sheet=A0&amp;row=620&amp;col=7&amp;number=&amp;sourceID=15","")</f>
        <v/>
      </c>
      <c r="H620" s="4" t="str">
        <f>HYPERLINK("http://141.218.60.56/~jnz1568/getInfo.php?workbook=03_02.xlsx&amp;sheet=A0&amp;row=620&amp;col=8&amp;number=26847&amp;sourceID=15","26847")</f>
        <v>26847</v>
      </c>
      <c r="I620" s="4" t="str">
        <f>HYPERLINK("http://141.218.60.56/~jnz1568/getInfo.php?workbook=03_02.xlsx&amp;sheet=A0&amp;row=620&amp;col=9&amp;number=&amp;sourceID=15","")</f>
        <v/>
      </c>
      <c r="J620" s="4" t="str">
        <f>HYPERLINK("http://141.218.60.56/~jnz1568/getInfo.php?workbook=03_02.xlsx&amp;sheet=A0&amp;row=620&amp;col=10&amp;number=&amp;sourceID=15","")</f>
        <v/>
      </c>
      <c r="K620" s="4" t="str">
        <f>HYPERLINK("http://141.218.60.56/~jnz1568/getInfo.php?workbook=03_02.xlsx&amp;sheet=A0&amp;row=620&amp;col=11&amp;number=&amp;sourceID=30","")</f>
        <v/>
      </c>
      <c r="L620" s="4" t="str">
        <f>HYPERLINK("http://141.218.60.56/~jnz1568/getInfo.php?workbook=03_02.xlsx&amp;sheet=A0&amp;row=620&amp;col=12&amp;number=18750000&amp;sourceID=30","18750000")</f>
        <v>18750000</v>
      </c>
      <c r="M620" s="4" t="str">
        <f>HYPERLINK("http://141.218.60.56/~jnz1568/getInfo.php?workbook=03_02.xlsx&amp;sheet=A0&amp;row=620&amp;col=13&amp;number=&amp;sourceID=30","")</f>
        <v/>
      </c>
      <c r="N620" s="4" t="str">
        <f>HYPERLINK("http://141.218.60.56/~jnz1568/getInfo.php?workbook=03_02.xlsx&amp;sheet=A0&amp;row=620&amp;col=14&amp;number=&amp;sourceID=30","")</f>
        <v/>
      </c>
    </row>
    <row r="621" spans="1:14">
      <c r="A621" s="3">
        <v>3</v>
      </c>
      <c r="B621" s="3">
        <v>2</v>
      </c>
      <c r="C621" s="3">
        <v>40</v>
      </c>
      <c r="D621" s="3">
        <v>2</v>
      </c>
      <c r="E621" s="3">
        <f>((1/(INDEX(E0!J$4:J$52,C621,1)-INDEX(E0!J$4:J$52,D621,1))))*100000000</f>
        <v>0</v>
      </c>
      <c r="F621" s="4" t="str">
        <f>HYPERLINK("http://141.218.60.56/~jnz1568/getInfo.php?workbook=03_02.xlsx&amp;sheet=A0&amp;row=621&amp;col=6&amp;number=&amp;sourceID=27","")</f>
        <v/>
      </c>
      <c r="G621" s="4" t="str">
        <f>HYPERLINK("http://141.218.60.56/~jnz1568/getInfo.php?workbook=03_02.xlsx&amp;sheet=A0&amp;row=621&amp;col=7&amp;number=&amp;sourceID=15","")</f>
        <v/>
      </c>
      <c r="H621" s="4" t="str">
        <f>HYPERLINK("http://141.218.60.56/~jnz1568/getInfo.php?workbook=03_02.xlsx&amp;sheet=A0&amp;row=621&amp;col=8&amp;number=&amp;sourceID=15","")</f>
        <v/>
      </c>
      <c r="I621" s="4" t="str">
        <f>HYPERLINK("http://141.218.60.56/~jnz1568/getInfo.php?workbook=03_02.xlsx&amp;sheet=A0&amp;row=621&amp;col=9&amp;number=&amp;sourceID=15","")</f>
        <v/>
      </c>
      <c r="J621" s="4" t="str">
        <f>HYPERLINK("http://141.218.60.56/~jnz1568/getInfo.php?workbook=03_02.xlsx&amp;sheet=A0&amp;row=621&amp;col=10&amp;number=&amp;sourceID=15","")</f>
        <v/>
      </c>
      <c r="K621" s="4" t="str">
        <f>HYPERLINK("http://141.218.60.56/~jnz1568/getInfo.php?workbook=03_02.xlsx&amp;sheet=A0&amp;row=621&amp;col=11&amp;number=&amp;sourceID=30","")</f>
        <v/>
      </c>
      <c r="L621" s="4" t="str">
        <f>HYPERLINK("http://141.218.60.56/~jnz1568/getInfo.php?workbook=03_02.xlsx&amp;sheet=A0&amp;row=621&amp;col=12&amp;number=0.0004783&amp;sourceID=30","0.0004783")</f>
        <v>0.0004783</v>
      </c>
      <c r="M621" s="4" t="str">
        <f>HYPERLINK("http://141.218.60.56/~jnz1568/getInfo.php?workbook=03_02.xlsx&amp;sheet=A0&amp;row=621&amp;col=13&amp;number=1.143e-07&amp;sourceID=30","1.143e-07")</f>
        <v>1.143e-07</v>
      </c>
      <c r="N621" s="4" t="str">
        <f>HYPERLINK("http://141.218.60.56/~jnz1568/getInfo.php?workbook=03_02.xlsx&amp;sheet=A0&amp;row=621&amp;col=14&amp;number=&amp;sourceID=30","")</f>
        <v/>
      </c>
    </row>
    <row r="622" spans="1:14">
      <c r="A622" s="3">
        <v>3</v>
      </c>
      <c r="B622" s="3">
        <v>2</v>
      </c>
      <c r="C622" s="3">
        <v>40</v>
      </c>
      <c r="D622" s="3">
        <v>3</v>
      </c>
      <c r="E622" s="3">
        <f>((1/(INDEX(E0!J$4:J$52,C622,1)-INDEX(E0!J$4:J$52,D622,1))))*100000000</f>
        <v>0</v>
      </c>
      <c r="F622" s="4" t="str">
        <f>HYPERLINK("http://141.218.60.56/~jnz1568/getInfo.php?workbook=03_02.xlsx&amp;sheet=A0&amp;row=622&amp;col=6&amp;number=&amp;sourceID=27","")</f>
        <v/>
      </c>
      <c r="G622" s="4" t="str">
        <f>HYPERLINK("http://141.218.60.56/~jnz1568/getInfo.php?workbook=03_02.xlsx&amp;sheet=A0&amp;row=622&amp;col=7&amp;number=&amp;sourceID=15","")</f>
        <v/>
      </c>
      <c r="H622" s="4" t="str">
        <f>HYPERLINK("http://141.218.60.56/~jnz1568/getInfo.php?workbook=03_02.xlsx&amp;sheet=A0&amp;row=622&amp;col=8&amp;number=233.73&amp;sourceID=15","233.73")</f>
        <v>233.73</v>
      </c>
      <c r="I622" s="4" t="str">
        <f>HYPERLINK("http://141.218.60.56/~jnz1568/getInfo.php?workbook=03_02.xlsx&amp;sheet=A0&amp;row=622&amp;col=9&amp;number=&amp;sourceID=15","")</f>
        <v/>
      </c>
      <c r="J622" s="4" t="str">
        <f>HYPERLINK("http://141.218.60.56/~jnz1568/getInfo.php?workbook=03_02.xlsx&amp;sheet=A0&amp;row=622&amp;col=10&amp;number=&amp;sourceID=15","")</f>
        <v/>
      </c>
      <c r="K622" s="4" t="str">
        <f>HYPERLINK("http://141.218.60.56/~jnz1568/getInfo.php?workbook=03_02.xlsx&amp;sheet=A0&amp;row=622&amp;col=11&amp;number=&amp;sourceID=30","")</f>
        <v/>
      </c>
      <c r="L622" s="4" t="str">
        <f>HYPERLINK("http://141.218.60.56/~jnz1568/getInfo.php?workbook=03_02.xlsx&amp;sheet=A0&amp;row=622&amp;col=12&amp;number=9491&amp;sourceID=30","9491")</f>
        <v>9491</v>
      </c>
      <c r="M622" s="4" t="str">
        <f>HYPERLINK("http://141.218.60.56/~jnz1568/getInfo.php?workbook=03_02.xlsx&amp;sheet=A0&amp;row=622&amp;col=13&amp;number=&amp;sourceID=30","")</f>
        <v/>
      </c>
      <c r="N622" s="4" t="str">
        <f>HYPERLINK("http://141.218.60.56/~jnz1568/getInfo.php?workbook=03_02.xlsx&amp;sheet=A0&amp;row=622&amp;col=14&amp;number=&amp;sourceID=30","")</f>
        <v/>
      </c>
    </row>
    <row r="623" spans="1:14">
      <c r="A623" s="3">
        <v>3</v>
      </c>
      <c r="B623" s="3">
        <v>2</v>
      </c>
      <c r="C623" s="3">
        <v>40</v>
      </c>
      <c r="D623" s="3">
        <v>4</v>
      </c>
      <c r="E623" s="3">
        <f>((1/(INDEX(E0!J$4:J$52,C623,1)-INDEX(E0!J$4:J$52,D623,1))))*100000000</f>
        <v>0</v>
      </c>
      <c r="F623" s="4" t="str">
        <f>HYPERLINK("http://141.218.60.56/~jnz1568/getInfo.php?workbook=03_02.xlsx&amp;sheet=A0&amp;row=623&amp;col=6&amp;number=&amp;sourceID=27","")</f>
        <v/>
      </c>
      <c r="G623" s="4" t="str">
        <f>HYPERLINK("http://141.218.60.56/~jnz1568/getInfo.php?workbook=03_02.xlsx&amp;sheet=A0&amp;row=623&amp;col=7&amp;number=19070&amp;sourceID=15","19070")</f>
        <v>19070</v>
      </c>
      <c r="H623" s="4" t="str">
        <f>HYPERLINK("http://141.218.60.56/~jnz1568/getInfo.php?workbook=03_02.xlsx&amp;sheet=A0&amp;row=623&amp;col=8&amp;number=&amp;sourceID=15","")</f>
        <v/>
      </c>
      <c r="I623" s="4" t="str">
        <f>HYPERLINK("http://141.218.60.56/~jnz1568/getInfo.php?workbook=03_02.xlsx&amp;sheet=A0&amp;row=623&amp;col=9&amp;number=&amp;sourceID=15","")</f>
        <v/>
      </c>
      <c r="J623" s="4" t="str">
        <f>HYPERLINK("http://141.218.60.56/~jnz1568/getInfo.php?workbook=03_02.xlsx&amp;sheet=A0&amp;row=623&amp;col=10&amp;number=&amp;sourceID=15","")</f>
        <v/>
      </c>
      <c r="K623" s="4" t="str">
        <f>HYPERLINK("http://141.218.60.56/~jnz1568/getInfo.php?workbook=03_02.xlsx&amp;sheet=A0&amp;row=623&amp;col=11&amp;number=7353&amp;sourceID=30","7353")</f>
        <v>7353</v>
      </c>
      <c r="L623" s="4" t="str">
        <f>HYPERLINK("http://141.218.60.56/~jnz1568/getInfo.php?workbook=03_02.xlsx&amp;sheet=A0&amp;row=623&amp;col=12&amp;number=&amp;sourceID=30","")</f>
        <v/>
      </c>
      <c r="M623" s="4" t="str">
        <f>HYPERLINK("http://141.218.60.56/~jnz1568/getInfo.php?workbook=03_02.xlsx&amp;sheet=A0&amp;row=623&amp;col=13&amp;number=&amp;sourceID=30","")</f>
        <v/>
      </c>
      <c r="N623" s="4" t="str">
        <f>HYPERLINK("http://141.218.60.56/~jnz1568/getInfo.php?workbook=03_02.xlsx&amp;sheet=A0&amp;row=623&amp;col=14&amp;number=0.005176&amp;sourceID=30","0.005176")</f>
        <v>0.005176</v>
      </c>
    </row>
    <row r="624" spans="1:14">
      <c r="A624" s="3">
        <v>3</v>
      </c>
      <c r="B624" s="3">
        <v>2</v>
      </c>
      <c r="C624" s="3">
        <v>40</v>
      </c>
      <c r="D624" s="3">
        <v>5</v>
      </c>
      <c r="E624" s="3">
        <f>((1/(INDEX(E0!J$4:J$52,C624,1)-INDEX(E0!J$4:J$52,D624,1))))*100000000</f>
        <v>0</v>
      </c>
      <c r="F624" s="4" t="str">
        <f>HYPERLINK("http://141.218.60.56/~jnz1568/getInfo.php?workbook=03_02.xlsx&amp;sheet=A0&amp;row=624&amp;col=6&amp;number=&amp;sourceID=27","")</f>
        <v/>
      </c>
      <c r="G624" s="4" t="str">
        <f>HYPERLINK("http://141.218.60.56/~jnz1568/getInfo.php?workbook=03_02.xlsx&amp;sheet=A0&amp;row=624&amp;col=7&amp;number=7339&amp;sourceID=15","7339")</f>
        <v>7339</v>
      </c>
      <c r="H624" s="4" t="str">
        <f>HYPERLINK("http://141.218.60.56/~jnz1568/getInfo.php?workbook=03_02.xlsx&amp;sheet=A0&amp;row=624&amp;col=8&amp;number=&amp;sourceID=15","")</f>
        <v/>
      </c>
      <c r="I624" s="4" t="str">
        <f>HYPERLINK("http://141.218.60.56/~jnz1568/getInfo.php?workbook=03_02.xlsx&amp;sheet=A0&amp;row=624&amp;col=9&amp;number=&amp;sourceID=15","")</f>
        <v/>
      </c>
      <c r="J624" s="4" t="str">
        <f>HYPERLINK("http://141.218.60.56/~jnz1568/getInfo.php?workbook=03_02.xlsx&amp;sheet=A0&amp;row=624&amp;col=10&amp;number=&amp;sourceID=15","")</f>
        <v/>
      </c>
      <c r="K624" s="4" t="str">
        <f>HYPERLINK("http://141.218.60.56/~jnz1568/getInfo.php?workbook=03_02.xlsx&amp;sheet=A0&amp;row=624&amp;col=11&amp;number=3083&amp;sourceID=30","3083")</f>
        <v>3083</v>
      </c>
      <c r="L624" s="4" t="str">
        <f>HYPERLINK("http://141.218.60.56/~jnz1568/getInfo.php?workbook=03_02.xlsx&amp;sheet=A0&amp;row=624&amp;col=12&amp;number=&amp;sourceID=30","")</f>
        <v/>
      </c>
      <c r="M624" s="4" t="str">
        <f>HYPERLINK("http://141.218.60.56/~jnz1568/getInfo.php?workbook=03_02.xlsx&amp;sheet=A0&amp;row=624&amp;col=13&amp;number=&amp;sourceID=30","")</f>
        <v/>
      </c>
      <c r="N624" s="4" t="str">
        <f>HYPERLINK("http://141.218.60.56/~jnz1568/getInfo.php?workbook=03_02.xlsx&amp;sheet=A0&amp;row=624&amp;col=14&amp;number=0.004012&amp;sourceID=30","0.004012")</f>
        <v>0.004012</v>
      </c>
    </row>
    <row r="625" spans="1:14">
      <c r="A625" s="3">
        <v>3</v>
      </c>
      <c r="B625" s="3">
        <v>2</v>
      </c>
      <c r="C625" s="3">
        <v>40</v>
      </c>
      <c r="D625" s="3">
        <v>6</v>
      </c>
      <c r="E625" s="3">
        <f>((1/(INDEX(E0!J$4:J$52,C625,1)-INDEX(E0!J$4:J$52,D625,1))))*100000000</f>
        <v>0</v>
      </c>
      <c r="F625" s="4" t="str">
        <f>HYPERLINK("http://141.218.60.56/~jnz1568/getInfo.php?workbook=03_02.xlsx&amp;sheet=A0&amp;row=625&amp;col=6&amp;number=&amp;sourceID=27","")</f>
        <v/>
      </c>
      <c r="G625" s="4" t="str">
        <f>HYPERLINK("http://141.218.60.56/~jnz1568/getInfo.php?workbook=03_02.xlsx&amp;sheet=A0&amp;row=625&amp;col=7&amp;number=&amp;sourceID=15","")</f>
        <v/>
      </c>
      <c r="H625" s="4" t="str">
        <f>HYPERLINK("http://141.218.60.56/~jnz1568/getInfo.php?workbook=03_02.xlsx&amp;sheet=A0&amp;row=625&amp;col=8&amp;number=&amp;sourceID=15","")</f>
        <v/>
      </c>
      <c r="I625" s="4" t="str">
        <f>HYPERLINK("http://141.218.60.56/~jnz1568/getInfo.php?workbook=03_02.xlsx&amp;sheet=A0&amp;row=625&amp;col=9&amp;number=&amp;sourceID=15","")</f>
        <v/>
      </c>
      <c r="J625" s="4" t="str">
        <f>HYPERLINK("http://141.218.60.56/~jnz1568/getInfo.php?workbook=03_02.xlsx&amp;sheet=A0&amp;row=625&amp;col=10&amp;number=&amp;sourceID=15","")</f>
        <v/>
      </c>
      <c r="K625" s="4" t="str">
        <f>HYPERLINK("http://141.218.60.56/~jnz1568/getInfo.php?workbook=03_02.xlsx&amp;sheet=A0&amp;row=625&amp;col=11&amp;number=&amp;sourceID=30","")</f>
        <v/>
      </c>
      <c r="L625" s="4" t="str">
        <f>HYPERLINK("http://141.218.60.56/~jnz1568/getInfo.php?workbook=03_02.xlsx&amp;sheet=A0&amp;row=625&amp;col=12&amp;number=&amp;sourceID=30","")</f>
        <v/>
      </c>
      <c r="M625" s="4" t="str">
        <f>HYPERLINK("http://141.218.60.56/~jnz1568/getInfo.php?workbook=03_02.xlsx&amp;sheet=A0&amp;row=625&amp;col=13&amp;number=&amp;sourceID=30","")</f>
        <v/>
      </c>
      <c r="N625" s="4" t="str">
        <f>HYPERLINK("http://141.218.60.56/~jnz1568/getInfo.php?workbook=03_02.xlsx&amp;sheet=A0&amp;row=625&amp;col=14&amp;number=0.002277&amp;sourceID=30","0.002277")</f>
        <v>0.002277</v>
      </c>
    </row>
    <row r="626" spans="1:14">
      <c r="A626" s="3">
        <v>3</v>
      </c>
      <c r="B626" s="3">
        <v>2</v>
      </c>
      <c r="C626" s="3">
        <v>40</v>
      </c>
      <c r="D626" s="3">
        <v>7</v>
      </c>
      <c r="E626" s="3">
        <f>((1/(INDEX(E0!J$4:J$52,C626,1)-INDEX(E0!J$4:J$52,D626,1))))*100000000</f>
        <v>0</v>
      </c>
      <c r="F626" s="4" t="str">
        <f>HYPERLINK("http://141.218.60.56/~jnz1568/getInfo.php?workbook=03_02.xlsx&amp;sheet=A0&amp;row=626&amp;col=6&amp;number=&amp;sourceID=27","")</f>
        <v/>
      </c>
      <c r="G626" s="4" t="str">
        <f>HYPERLINK("http://141.218.60.56/~jnz1568/getInfo.php?workbook=03_02.xlsx&amp;sheet=A0&amp;row=626&amp;col=7&amp;number=140700000&amp;sourceID=15","140700000")</f>
        <v>140700000</v>
      </c>
      <c r="H626" s="4" t="str">
        <f>HYPERLINK("http://141.218.60.56/~jnz1568/getInfo.php?workbook=03_02.xlsx&amp;sheet=A0&amp;row=626&amp;col=8&amp;number=&amp;sourceID=15","")</f>
        <v/>
      </c>
      <c r="I626" s="4" t="str">
        <f>HYPERLINK("http://141.218.60.56/~jnz1568/getInfo.php?workbook=03_02.xlsx&amp;sheet=A0&amp;row=626&amp;col=9&amp;number=&amp;sourceID=15","")</f>
        <v/>
      </c>
      <c r="J626" s="4" t="str">
        <f>HYPERLINK("http://141.218.60.56/~jnz1568/getInfo.php?workbook=03_02.xlsx&amp;sheet=A0&amp;row=626&amp;col=10&amp;number=&amp;sourceID=15","")</f>
        <v/>
      </c>
      <c r="K626" s="4" t="str">
        <f>HYPERLINK("http://141.218.60.56/~jnz1568/getInfo.php?workbook=03_02.xlsx&amp;sheet=A0&amp;row=626&amp;col=11&amp;number=183900000&amp;sourceID=30","183900000")</f>
        <v>183900000</v>
      </c>
      <c r="L626" s="4" t="str">
        <f>HYPERLINK("http://141.218.60.56/~jnz1568/getInfo.php?workbook=03_02.xlsx&amp;sheet=A0&amp;row=626&amp;col=12&amp;number=&amp;sourceID=30","")</f>
        <v/>
      </c>
      <c r="M626" s="4" t="str">
        <f>HYPERLINK("http://141.218.60.56/~jnz1568/getInfo.php?workbook=03_02.xlsx&amp;sheet=A0&amp;row=626&amp;col=13&amp;number=&amp;sourceID=30","")</f>
        <v/>
      </c>
      <c r="N626" s="4" t="str">
        <f>HYPERLINK("http://141.218.60.56/~jnz1568/getInfo.php?workbook=03_02.xlsx&amp;sheet=A0&amp;row=626&amp;col=14&amp;number=0.004373&amp;sourceID=30","0.004373")</f>
        <v>0.004373</v>
      </c>
    </row>
    <row r="627" spans="1:14">
      <c r="A627" s="3">
        <v>3</v>
      </c>
      <c r="B627" s="3">
        <v>2</v>
      </c>
      <c r="C627" s="3">
        <v>40</v>
      </c>
      <c r="D627" s="3">
        <v>8</v>
      </c>
      <c r="E627" s="3">
        <f>((1/(INDEX(E0!J$4:J$52,C627,1)-INDEX(E0!J$4:J$52,D627,1))))*100000000</f>
        <v>0</v>
      </c>
      <c r="F627" s="4" t="str">
        <f>HYPERLINK("http://141.218.60.56/~jnz1568/getInfo.php?workbook=03_02.xlsx&amp;sheet=A0&amp;row=627&amp;col=6&amp;number=&amp;sourceID=27","")</f>
        <v/>
      </c>
      <c r="G627" s="4" t="str">
        <f>HYPERLINK("http://141.218.60.56/~jnz1568/getInfo.php?workbook=03_02.xlsx&amp;sheet=A0&amp;row=627&amp;col=7&amp;number=&amp;sourceID=15","")</f>
        <v/>
      </c>
      <c r="H627" s="4" t="str">
        <f>HYPERLINK("http://141.218.60.56/~jnz1568/getInfo.php?workbook=03_02.xlsx&amp;sheet=A0&amp;row=627&amp;col=8&amp;number=&amp;sourceID=15","")</f>
        <v/>
      </c>
      <c r="I627" s="4" t="str">
        <f>HYPERLINK("http://141.218.60.56/~jnz1568/getInfo.php?workbook=03_02.xlsx&amp;sheet=A0&amp;row=627&amp;col=9&amp;number=&amp;sourceID=15","")</f>
        <v/>
      </c>
      <c r="J627" s="4" t="str">
        <f>HYPERLINK("http://141.218.60.56/~jnz1568/getInfo.php?workbook=03_02.xlsx&amp;sheet=A0&amp;row=627&amp;col=10&amp;number=&amp;sourceID=15","")</f>
        <v/>
      </c>
      <c r="K627" s="4" t="str">
        <f>HYPERLINK("http://141.218.60.56/~jnz1568/getInfo.php?workbook=03_02.xlsx&amp;sheet=A0&amp;row=627&amp;col=11&amp;number=&amp;sourceID=30","")</f>
        <v/>
      </c>
      <c r="L627" s="4" t="str">
        <f>HYPERLINK("http://141.218.60.56/~jnz1568/getInfo.php?workbook=03_02.xlsx&amp;sheet=A0&amp;row=627&amp;col=12&amp;number=0.01039&amp;sourceID=30","0.01039")</f>
        <v>0.01039</v>
      </c>
      <c r="M627" s="4" t="str">
        <f>HYPERLINK("http://141.218.60.56/~jnz1568/getInfo.php?workbook=03_02.xlsx&amp;sheet=A0&amp;row=627&amp;col=13&amp;number=4.771e-10&amp;sourceID=30","4.771e-10")</f>
        <v>4.771e-10</v>
      </c>
      <c r="N627" s="4" t="str">
        <f>HYPERLINK("http://141.218.60.56/~jnz1568/getInfo.php?workbook=03_02.xlsx&amp;sheet=A0&amp;row=627&amp;col=14&amp;number=&amp;sourceID=30","")</f>
        <v/>
      </c>
    </row>
    <row r="628" spans="1:14">
      <c r="A628" s="3">
        <v>3</v>
      </c>
      <c r="B628" s="3">
        <v>2</v>
      </c>
      <c r="C628" s="3">
        <v>40</v>
      </c>
      <c r="D628" s="3">
        <v>9</v>
      </c>
      <c r="E628" s="3">
        <f>((1/(INDEX(E0!J$4:J$52,C628,1)-INDEX(E0!J$4:J$52,D628,1))))*100000000</f>
        <v>0</v>
      </c>
      <c r="F628" s="4" t="str">
        <f>HYPERLINK("http://141.218.60.56/~jnz1568/getInfo.php?workbook=03_02.xlsx&amp;sheet=A0&amp;row=628&amp;col=6&amp;number=&amp;sourceID=27","")</f>
        <v/>
      </c>
      <c r="G628" s="4" t="str">
        <f>HYPERLINK("http://141.218.60.56/~jnz1568/getInfo.php?workbook=03_02.xlsx&amp;sheet=A0&amp;row=628&amp;col=7&amp;number=&amp;sourceID=15","")</f>
        <v/>
      </c>
      <c r="H628" s="4" t="str">
        <f>HYPERLINK("http://141.218.60.56/~jnz1568/getInfo.php?workbook=03_02.xlsx&amp;sheet=A0&amp;row=628&amp;col=8&amp;number=113.83&amp;sourceID=15","113.83")</f>
        <v>113.83</v>
      </c>
      <c r="I628" s="4" t="str">
        <f>HYPERLINK("http://141.218.60.56/~jnz1568/getInfo.php?workbook=03_02.xlsx&amp;sheet=A0&amp;row=628&amp;col=9&amp;number=&amp;sourceID=15","")</f>
        <v/>
      </c>
      <c r="J628" s="4" t="str">
        <f>HYPERLINK("http://141.218.60.56/~jnz1568/getInfo.php?workbook=03_02.xlsx&amp;sheet=A0&amp;row=628&amp;col=10&amp;number=&amp;sourceID=15","")</f>
        <v/>
      </c>
      <c r="K628" s="4" t="str">
        <f>HYPERLINK("http://141.218.60.56/~jnz1568/getInfo.php?workbook=03_02.xlsx&amp;sheet=A0&amp;row=628&amp;col=11&amp;number=&amp;sourceID=30","")</f>
        <v/>
      </c>
      <c r="L628" s="4" t="str">
        <f>HYPERLINK("http://141.218.60.56/~jnz1568/getInfo.php?workbook=03_02.xlsx&amp;sheet=A0&amp;row=628&amp;col=12&amp;number=314.9&amp;sourceID=30","314.9")</f>
        <v>314.9</v>
      </c>
      <c r="M628" s="4" t="str">
        <f>HYPERLINK("http://141.218.60.56/~jnz1568/getInfo.php?workbook=03_02.xlsx&amp;sheet=A0&amp;row=628&amp;col=13&amp;number=&amp;sourceID=30","")</f>
        <v/>
      </c>
      <c r="N628" s="4" t="str">
        <f>HYPERLINK("http://141.218.60.56/~jnz1568/getInfo.php?workbook=03_02.xlsx&amp;sheet=A0&amp;row=628&amp;col=14&amp;number=&amp;sourceID=30","")</f>
        <v/>
      </c>
    </row>
    <row r="629" spans="1:14">
      <c r="A629" s="3">
        <v>3</v>
      </c>
      <c r="B629" s="3">
        <v>2</v>
      </c>
      <c r="C629" s="3">
        <v>40</v>
      </c>
      <c r="D629" s="3">
        <v>10</v>
      </c>
      <c r="E629" s="3">
        <f>((1/(INDEX(E0!J$4:J$52,C629,1)-INDEX(E0!J$4:J$52,D629,1))))*100000000</f>
        <v>0</v>
      </c>
      <c r="F629" s="4" t="str">
        <f>HYPERLINK("http://141.218.60.56/~jnz1568/getInfo.php?workbook=03_02.xlsx&amp;sheet=A0&amp;row=629&amp;col=6&amp;number=&amp;sourceID=27","")</f>
        <v/>
      </c>
      <c r="G629" s="4" t="str">
        <f>HYPERLINK("http://141.218.60.56/~jnz1568/getInfo.php?workbook=03_02.xlsx&amp;sheet=A0&amp;row=629&amp;col=7&amp;number=&amp;sourceID=15","")</f>
        <v/>
      </c>
      <c r="H629" s="4" t="str">
        <f>HYPERLINK("http://141.218.60.56/~jnz1568/getInfo.php?workbook=03_02.xlsx&amp;sheet=A0&amp;row=629&amp;col=8&amp;number=&amp;sourceID=15","")</f>
        <v/>
      </c>
      <c r="I629" s="4" t="str">
        <f>HYPERLINK("http://141.218.60.56/~jnz1568/getInfo.php?workbook=03_02.xlsx&amp;sheet=A0&amp;row=629&amp;col=9&amp;number=&amp;sourceID=15","")</f>
        <v/>
      </c>
      <c r="J629" s="4" t="str">
        <f>HYPERLINK("http://141.218.60.56/~jnz1568/getInfo.php?workbook=03_02.xlsx&amp;sheet=A0&amp;row=629&amp;col=10&amp;number=&amp;sourceID=15","")</f>
        <v/>
      </c>
      <c r="K629" s="4" t="str">
        <f>HYPERLINK("http://141.218.60.56/~jnz1568/getInfo.php?workbook=03_02.xlsx&amp;sheet=A0&amp;row=629&amp;col=11&amp;number=2486&amp;sourceID=30","2486")</f>
        <v>2486</v>
      </c>
      <c r="L629" s="4" t="str">
        <f>HYPERLINK("http://141.218.60.56/~jnz1568/getInfo.php?workbook=03_02.xlsx&amp;sheet=A0&amp;row=629&amp;col=12&amp;number=&amp;sourceID=30","")</f>
        <v/>
      </c>
      <c r="M629" s="4" t="str">
        <f>HYPERLINK("http://141.218.60.56/~jnz1568/getInfo.php?workbook=03_02.xlsx&amp;sheet=A0&amp;row=629&amp;col=13&amp;number=&amp;sourceID=30","")</f>
        <v/>
      </c>
      <c r="N629" s="4" t="str">
        <f>HYPERLINK("http://141.218.60.56/~jnz1568/getInfo.php?workbook=03_02.xlsx&amp;sheet=A0&amp;row=629&amp;col=14&amp;number=0.0001926&amp;sourceID=30","0.0001926")</f>
        <v>0.0001926</v>
      </c>
    </row>
    <row r="630" spans="1:14">
      <c r="A630" s="3">
        <v>3</v>
      </c>
      <c r="B630" s="3">
        <v>2</v>
      </c>
      <c r="C630" s="3">
        <v>40</v>
      </c>
      <c r="D630" s="3">
        <v>11</v>
      </c>
      <c r="E630" s="3">
        <f>((1/(INDEX(E0!J$4:J$52,C630,1)-INDEX(E0!J$4:J$52,D630,1))))*100000000</f>
        <v>0</v>
      </c>
      <c r="F630" s="4" t="str">
        <f>HYPERLINK("http://141.218.60.56/~jnz1568/getInfo.php?workbook=03_02.xlsx&amp;sheet=A0&amp;row=630&amp;col=6&amp;number=&amp;sourceID=27","")</f>
        <v/>
      </c>
      <c r="G630" s="4" t="str">
        <f>HYPERLINK("http://141.218.60.56/~jnz1568/getInfo.php?workbook=03_02.xlsx&amp;sheet=A0&amp;row=630&amp;col=7&amp;number=&amp;sourceID=15","")</f>
        <v/>
      </c>
      <c r="H630" s="4" t="str">
        <f>HYPERLINK("http://141.218.60.56/~jnz1568/getInfo.php?workbook=03_02.xlsx&amp;sheet=A0&amp;row=630&amp;col=8&amp;number=&amp;sourceID=15","")</f>
        <v/>
      </c>
      <c r="I630" s="4" t="str">
        <f>HYPERLINK("http://141.218.60.56/~jnz1568/getInfo.php?workbook=03_02.xlsx&amp;sheet=A0&amp;row=630&amp;col=9&amp;number=&amp;sourceID=15","")</f>
        <v/>
      </c>
      <c r="J630" s="4" t="str">
        <f>HYPERLINK("http://141.218.60.56/~jnz1568/getInfo.php?workbook=03_02.xlsx&amp;sheet=A0&amp;row=630&amp;col=10&amp;number=&amp;sourceID=15","")</f>
        <v/>
      </c>
      <c r="K630" s="4" t="str">
        <f>HYPERLINK("http://141.218.60.56/~jnz1568/getInfo.php?workbook=03_02.xlsx&amp;sheet=A0&amp;row=630&amp;col=11&amp;number=1014&amp;sourceID=30","1014")</f>
        <v>1014</v>
      </c>
      <c r="L630" s="4" t="str">
        <f>HYPERLINK("http://141.218.60.56/~jnz1568/getInfo.php?workbook=03_02.xlsx&amp;sheet=A0&amp;row=630&amp;col=12&amp;number=&amp;sourceID=30","")</f>
        <v/>
      </c>
      <c r="M630" s="4" t="str">
        <f>HYPERLINK("http://141.218.60.56/~jnz1568/getInfo.php?workbook=03_02.xlsx&amp;sheet=A0&amp;row=630&amp;col=13&amp;number=&amp;sourceID=30","")</f>
        <v/>
      </c>
      <c r="N630" s="4" t="str">
        <f>HYPERLINK("http://141.218.60.56/~jnz1568/getInfo.php?workbook=03_02.xlsx&amp;sheet=A0&amp;row=630&amp;col=14&amp;number=0.0001493&amp;sourceID=30","0.0001493")</f>
        <v>0.0001493</v>
      </c>
    </row>
    <row r="631" spans="1:14">
      <c r="A631" s="3">
        <v>3</v>
      </c>
      <c r="B631" s="3">
        <v>2</v>
      </c>
      <c r="C631" s="3">
        <v>40</v>
      </c>
      <c r="D631" s="3">
        <v>12</v>
      </c>
      <c r="E631" s="3">
        <f>((1/(INDEX(E0!J$4:J$52,C631,1)-INDEX(E0!J$4:J$52,D631,1))))*100000000</f>
        <v>0</v>
      </c>
      <c r="F631" s="4" t="str">
        <f>HYPERLINK("http://141.218.60.56/~jnz1568/getInfo.php?workbook=03_02.xlsx&amp;sheet=A0&amp;row=631&amp;col=6&amp;number=&amp;sourceID=27","")</f>
        <v/>
      </c>
      <c r="G631" s="4" t="str">
        <f>HYPERLINK("http://141.218.60.56/~jnz1568/getInfo.php?workbook=03_02.xlsx&amp;sheet=A0&amp;row=631&amp;col=7&amp;number=&amp;sourceID=15","")</f>
        <v/>
      </c>
      <c r="H631" s="4" t="str">
        <f>HYPERLINK("http://141.218.60.56/~jnz1568/getInfo.php?workbook=03_02.xlsx&amp;sheet=A0&amp;row=631&amp;col=8&amp;number=&amp;sourceID=15","")</f>
        <v/>
      </c>
      <c r="I631" s="4" t="str">
        <f>HYPERLINK("http://141.218.60.56/~jnz1568/getInfo.php?workbook=03_02.xlsx&amp;sheet=A0&amp;row=631&amp;col=9&amp;number=&amp;sourceID=15","")</f>
        <v/>
      </c>
      <c r="J631" s="4" t="str">
        <f>HYPERLINK("http://141.218.60.56/~jnz1568/getInfo.php?workbook=03_02.xlsx&amp;sheet=A0&amp;row=631&amp;col=10&amp;number=&amp;sourceID=15","")</f>
        <v/>
      </c>
      <c r="K631" s="4" t="str">
        <f>HYPERLINK("http://141.218.60.56/~jnz1568/getInfo.php?workbook=03_02.xlsx&amp;sheet=A0&amp;row=631&amp;col=11&amp;number=&amp;sourceID=30","")</f>
        <v/>
      </c>
      <c r="L631" s="4" t="str">
        <f>HYPERLINK("http://141.218.60.56/~jnz1568/getInfo.php?workbook=03_02.xlsx&amp;sheet=A0&amp;row=631&amp;col=12&amp;number=&amp;sourceID=30","")</f>
        <v/>
      </c>
      <c r="M631" s="4" t="str">
        <f>HYPERLINK("http://141.218.60.56/~jnz1568/getInfo.php?workbook=03_02.xlsx&amp;sheet=A0&amp;row=631&amp;col=13&amp;number=&amp;sourceID=30","")</f>
        <v/>
      </c>
      <c r="N631" s="4" t="str">
        <f>HYPERLINK("http://141.218.60.56/~jnz1568/getInfo.php?workbook=03_02.xlsx&amp;sheet=A0&amp;row=631&amp;col=14&amp;number=8.472e-05&amp;sourceID=30","8.472e-05")</f>
        <v>8.472e-05</v>
      </c>
    </row>
    <row r="632" spans="1:14">
      <c r="A632" s="3">
        <v>3</v>
      </c>
      <c r="B632" s="3">
        <v>2</v>
      </c>
      <c r="C632" s="3">
        <v>40</v>
      </c>
      <c r="D632" s="3">
        <v>13</v>
      </c>
      <c r="E632" s="3">
        <f>((1/(INDEX(E0!J$4:J$52,C632,1)-INDEX(E0!J$4:J$52,D632,1))))*100000000</f>
        <v>0</v>
      </c>
      <c r="F632" s="4" t="str">
        <f>HYPERLINK("http://141.218.60.56/~jnz1568/getInfo.php?workbook=03_02.xlsx&amp;sheet=A0&amp;row=632&amp;col=6&amp;number=&amp;sourceID=27","")</f>
        <v/>
      </c>
      <c r="G632" s="4" t="str">
        <f>HYPERLINK("http://141.218.60.56/~jnz1568/getInfo.php?workbook=03_02.xlsx&amp;sheet=A0&amp;row=632&amp;col=7&amp;number=&amp;sourceID=15","")</f>
        <v/>
      </c>
      <c r="H632" s="4" t="str">
        <f>HYPERLINK("http://141.218.60.56/~jnz1568/getInfo.php?workbook=03_02.xlsx&amp;sheet=A0&amp;row=632&amp;col=8&amp;number=&amp;sourceID=15","")</f>
        <v/>
      </c>
      <c r="I632" s="4" t="str">
        <f>HYPERLINK("http://141.218.60.56/~jnz1568/getInfo.php?workbook=03_02.xlsx&amp;sheet=A0&amp;row=632&amp;col=9&amp;number=&amp;sourceID=15","")</f>
        <v/>
      </c>
      <c r="J632" s="4" t="str">
        <f>HYPERLINK("http://141.218.60.56/~jnz1568/getInfo.php?workbook=03_02.xlsx&amp;sheet=A0&amp;row=632&amp;col=10&amp;number=&amp;sourceID=15","")</f>
        <v/>
      </c>
      <c r="K632" s="4" t="str">
        <f>HYPERLINK("http://141.218.60.56/~jnz1568/getInfo.php?workbook=03_02.xlsx&amp;sheet=A0&amp;row=632&amp;col=11&amp;number=&amp;sourceID=30","")</f>
        <v/>
      </c>
      <c r="L632" s="4" t="str">
        <f>HYPERLINK("http://141.218.60.56/~jnz1568/getInfo.php?workbook=03_02.xlsx&amp;sheet=A0&amp;row=632&amp;col=12&amp;number=0.00296&amp;sourceID=30","0.00296")</f>
        <v>0.00296</v>
      </c>
      <c r="M632" s="4" t="str">
        <f>HYPERLINK("http://141.218.60.56/~jnz1568/getInfo.php?workbook=03_02.xlsx&amp;sheet=A0&amp;row=632&amp;col=13&amp;number=8.296e-10&amp;sourceID=30","8.296e-10")</f>
        <v>8.296e-10</v>
      </c>
      <c r="N632" s="4" t="str">
        <f>HYPERLINK("http://141.218.60.56/~jnz1568/getInfo.php?workbook=03_02.xlsx&amp;sheet=A0&amp;row=632&amp;col=14&amp;number=&amp;sourceID=30","")</f>
        <v/>
      </c>
    </row>
    <row r="633" spans="1:14">
      <c r="A633" s="3">
        <v>3</v>
      </c>
      <c r="B633" s="3">
        <v>2</v>
      </c>
      <c r="C633" s="3">
        <v>40</v>
      </c>
      <c r="D633" s="3">
        <v>14</v>
      </c>
      <c r="E633" s="3">
        <f>((1/(INDEX(E0!J$4:J$52,C633,1)-INDEX(E0!J$4:J$52,D633,1))))*100000000</f>
        <v>0</v>
      </c>
      <c r="F633" s="4" t="str">
        <f>HYPERLINK("http://141.218.60.56/~jnz1568/getInfo.php?workbook=03_02.xlsx&amp;sheet=A0&amp;row=633&amp;col=6&amp;number=&amp;sourceID=27","")</f>
        <v/>
      </c>
      <c r="G633" s="4" t="str">
        <f>HYPERLINK("http://141.218.60.56/~jnz1568/getInfo.php?workbook=03_02.xlsx&amp;sheet=A0&amp;row=633&amp;col=7&amp;number=&amp;sourceID=15","")</f>
        <v/>
      </c>
      <c r="H633" s="4" t="str">
        <f>HYPERLINK("http://141.218.60.56/~jnz1568/getInfo.php?workbook=03_02.xlsx&amp;sheet=A0&amp;row=633&amp;col=8&amp;number=&amp;sourceID=15","")</f>
        <v/>
      </c>
      <c r="I633" s="4" t="str">
        <f>HYPERLINK("http://141.218.60.56/~jnz1568/getInfo.php?workbook=03_02.xlsx&amp;sheet=A0&amp;row=633&amp;col=9&amp;number=&amp;sourceID=15","")</f>
        <v/>
      </c>
      <c r="J633" s="4" t="str">
        <f>HYPERLINK("http://141.218.60.56/~jnz1568/getInfo.php?workbook=03_02.xlsx&amp;sheet=A0&amp;row=633&amp;col=10&amp;number=&amp;sourceID=15","")</f>
        <v/>
      </c>
      <c r="K633" s="4" t="str">
        <f>HYPERLINK("http://141.218.60.56/~jnz1568/getInfo.php?workbook=03_02.xlsx&amp;sheet=A0&amp;row=633&amp;col=11&amp;number=&amp;sourceID=30","")</f>
        <v/>
      </c>
      <c r="L633" s="4" t="str">
        <f>HYPERLINK("http://141.218.60.56/~jnz1568/getInfo.php?workbook=03_02.xlsx&amp;sheet=A0&amp;row=633&amp;col=12&amp;number=0.001117&amp;sourceID=30","0.001117")</f>
        <v>0.001117</v>
      </c>
      <c r="M633" s="4" t="str">
        <f>HYPERLINK("http://141.218.60.56/~jnz1568/getInfo.php?workbook=03_02.xlsx&amp;sheet=A0&amp;row=633&amp;col=13&amp;number=7.3e-08&amp;sourceID=30","7.3e-08")</f>
        <v>7.3e-08</v>
      </c>
      <c r="N633" s="4" t="str">
        <f>HYPERLINK("http://141.218.60.56/~jnz1568/getInfo.php?workbook=03_02.xlsx&amp;sheet=A0&amp;row=633&amp;col=14&amp;number=&amp;sourceID=30","")</f>
        <v/>
      </c>
    </row>
    <row r="634" spans="1:14">
      <c r="A634" s="3">
        <v>3</v>
      </c>
      <c r="B634" s="3">
        <v>2</v>
      </c>
      <c r="C634" s="3">
        <v>40</v>
      </c>
      <c r="D634" s="3">
        <v>15</v>
      </c>
      <c r="E634" s="3">
        <f>((1/(INDEX(E0!J$4:J$52,C634,1)-INDEX(E0!J$4:J$52,D634,1))))*100000000</f>
        <v>0</v>
      </c>
      <c r="F634" s="4" t="str">
        <f>HYPERLINK("http://141.218.60.56/~jnz1568/getInfo.php?workbook=03_02.xlsx&amp;sheet=A0&amp;row=634&amp;col=6&amp;number=&amp;sourceID=27","")</f>
        <v/>
      </c>
      <c r="G634" s="4" t="str">
        <f>HYPERLINK("http://141.218.60.56/~jnz1568/getInfo.php?workbook=03_02.xlsx&amp;sheet=A0&amp;row=634&amp;col=7&amp;number=&amp;sourceID=15","")</f>
        <v/>
      </c>
      <c r="H634" s="4" t="str">
        <f>HYPERLINK("http://141.218.60.56/~jnz1568/getInfo.php?workbook=03_02.xlsx&amp;sheet=A0&amp;row=634&amp;col=8&amp;number=&amp;sourceID=15","")</f>
        <v/>
      </c>
      <c r="I634" s="4" t="str">
        <f>HYPERLINK("http://141.218.60.56/~jnz1568/getInfo.php?workbook=03_02.xlsx&amp;sheet=A0&amp;row=634&amp;col=9&amp;number=&amp;sourceID=15","")</f>
        <v/>
      </c>
      <c r="J634" s="4" t="str">
        <f>HYPERLINK("http://141.218.60.56/~jnz1568/getInfo.php?workbook=03_02.xlsx&amp;sheet=A0&amp;row=634&amp;col=10&amp;number=&amp;sourceID=15","")</f>
        <v/>
      </c>
      <c r="K634" s="4" t="str">
        <f>HYPERLINK("http://141.218.60.56/~jnz1568/getInfo.php?workbook=03_02.xlsx&amp;sheet=A0&amp;row=634&amp;col=11&amp;number=&amp;sourceID=30","")</f>
        <v/>
      </c>
      <c r="L634" s="4" t="str">
        <f>HYPERLINK("http://141.218.60.56/~jnz1568/getInfo.php?workbook=03_02.xlsx&amp;sheet=A0&amp;row=634&amp;col=12&amp;number=0.0009777&amp;sourceID=30","0.0009777")</f>
        <v>0.0009777</v>
      </c>
      <c r="M634" s="4" t="str">
        <f>HYPERLINK("http://141.218.60.56/~jnz1568/getInfo.php?workbook=03_02.xlsx&amp;sheet=A0&amp;row=634&amp;col=13&amp;number=1.941e-08&amp;sourceID=30","1.941e-08")</f>
        <v>1.941e-08</v>
      </c>
      <c r="N634" s="4" t="str">
        <f>HYPERLINK("http://141.218.60.56/~jnz1568/getInfo.php?workbook=03_02.xlsx&amp;sheet=A0&amp;row=634&amp;col=14&amp;number=&amp;sourceID=30","")</f>
        <v/>
      </c>
    </row>
    <row r="635" spans="1:14">
      <c r="A635" s="3">
        <v>3</v>
      </c>
      <c r="B635" s="3">
        <v>2</v>
      </c>
      <c r="C635" s="3">
        <v>40</v>
      </c>
      <c r="D635" s="3">
        <v>16</v>
      </c>
      <c r="E635" s="3">
        <f>((1/(INDEX(E0!J$4:J$52,C635,1)-INDEX(E0!J$4:J$52,D635,1))))*100000000</f>
        <v>0</v>
      </c>
      <c r="F635" s="4" t="str">
        <f>HYPERLINK("http://141.218.60.56/~jnz1568/getInfo.php?workbook=03_02.xlsx&amp;sheet=A0&amp;row=635&amp;col=6&amp;number=&amp;sourceID=27","")</f>
        <v/>
      </c>
      <c r="G635" s="4" t="str">
        <f>HYPERLINK("http://141.218.60.56/~jnz1568/getInfo.php?workbook=03_02.xlsx&amp;sheet=A0&amp;row=635&amp;col=7&amp;number=&amp;sourceID=15","")</f>
        <v/>
      </c>
      <c r="H635" s="4" t="str">
        <f>HYPERLINK("http://141.218.60.56/~jnz1568/getInfo.php?workbook=03_02.xlsx&amp;sheet=A0&amp;row=635&amp;col=8&amp;number=&amp;sourceID=15","")</f>
        <v/>
      </c>
      <c r="I635" s="4" t="str">
        <f>HYPERLINK("http://141.218.60.56/~jnz1568/getInfo.php?workbook=03_02.xlsx&amp;sheet=A0&amp;row=635&amp;col=9&amp;number=&amp;sourceID=15","")</f>
        <v/>
      </c>
      <c r="J635" s="4" t="str">
        <f>HYPERLINK("http://141.218.60.56/~jnz1568/getInfo.php?workbook=03_02.xlsx&amp;sheet=A0&amp;row=635&amp;col=10&amp;number=&amp;sourceID=15","")</f>
        <v/>
      </c>
      <c r="K635" s="4" t="str">
        <f>HYPERLINK("http://141.218.60.56/~jnz1568/getInfo.php?workbook=03_02.xlsx&amp;sheet=A0&amp;row=635&amp;col=11&amp;number=&amp;sourceID=30","")</f>
        <v/>
      </c>
      <c r="L635" s="4" t="str">
        <f>HYPERLINK("http://141.218.60.56/~jnz1568/getInfo.php?workbook=03_02.xlsx&amp;sheet=A0&amp;row=635&amp;col=12&amp;number=38.08&amp;sourceID=30","38.08")</f>
        <v>38.08</v>
      </c>
      <c r="M635" s="4" t="str">
        <f>HYPERLINK("http://141.218.60.56/~jnz1568/getInfo.php?workbook=03_02.xlsx&amp;sheet=A0&amp;row=635&amp;col=13&amp;number=3.579e-08&amp;sourceID=30","3.579e-08")</f>
        <v>3.579e-08</v>
      </c>
      <c r="N635" s="4" t="str">
        <f>HYPERLINK("http://141.218.60.56/~jnz1568/getInfo.php?workbook=03_02.xlsx&amp;sheet=A0&amp;row=635&amp;col=14&amp;number=&amp;sourceID=30","")</f>
        <v/>
      </c>
    </row>
    <row r="636" spans="1:14">
      <c r="A636" s="3">
        <v>3</v>
      </c>
      <c r="B636" s="3">
        <v>2</v>
      </c>
      <c r="C636" s="3">
        <v>40</v>
      </c>
      <c r="D636" s="3">
        <v>17</v>
      </c>
      <c r="E636" s="3">
        <f>((1/(INDEX(E0!J$4:J$52,C636,1)-INDEX(E0!J$4:J$52,D636,1))))*100000000</f>
        <v>0</v>
      </c>
      <c r="F636" s="4" t="str">
        <f>HYPERLINK("http://141.218.60.56/~jnz1568/getInfo.php?workbook=03_02.xlsx&amp;sheet=A0&amp;row=636&amp;col=6&amp;number=&amp;sourceID=27","")</f>
        <v/>
      </c>
      <c r="G636" s="4" t="str">
        <f>HYPERLINK("http://141.218.60.56/~jnz1568/getInfo.php?workbook=03_02.xlsx&amp;sheet=A0&amp;row=636&amp;col=7&amp;number=53551000&amp;sourceID=15","53551000")</f>
        <v>53551000</v>
      </c>
      <c r="H636" s="4" t="str">
        <f>HYPERLINK("http://141.218.60.56/~jnz1568/getInfo.php?workbook=03_02.xlsx&amp;sheet=A0&amp;row=636&amp;col=8&amp;number=&amp;sourceID=15","")</f>
        <v/>
      </c>
      <c r="I636" s="4" t="str">
        <f>HYPERLINK("http://141.218.60.56/~jnz1568/getInfo.php?workbook=03_02.xlsx&amp;sheet=A0&amp;row=636&amp;col=9&amp;number=&amp;sourceID=15","")</f>
        <v/>
      </c>
      <c r="J636" s="4" t="str">
        <f>HYPERLINK("http://141.218.60.56/~jnz1568/getInfo.php?workbook=03_02.xlsx&amp;sheet=A0&amp;row=636&amp;col=10&amp;number=&amp;sourceID=15","")</f>
        <v/>
      </c>
      <c r="K636" s="4" t="str">
        <f>HYPERLINK("http://141.218.60.56/~jnz1568/getInfo.php?workbook=03_02.xlsx&amp;sheet=A0&amp;row=636&amp;col=11&amp;number=61140000&amp;sourceID=30","61140000")</f>
        <v>61140000</v>
      </c>
      <c r="L636" s="4" t="str">
        <f>HYPERLINK("http://141.218.60.56/~jnz1568/getInfo.php?workbook=03_02.xlsx&amp;sheet=A0&amp;row=636&amp;col=12&amp;number=&amp;sourceID=30","")</f>
        <v/>
      </c>
      <c r="M636" s="4" t="str">
        <f>HYPERLINK("http://141.218.60.56/~jnz1568/getInfo.php?workbook=03_02.xlsx&amp;sheet=A0&amp;row=636&amp;col=13&amp;number=&amp;sourceID=30","")</f>
        <v/>
      </c>
      <c r="N636" s="4" t="str">
        <f>HYPERLINK("http://141.218.60.56/~jnz1568/getInfo.php?workbook=03_02.xlsx&amp;sheet=A0&amp;row=636&amp;col=14&amp;number=0.0001668&amp;sourceID=30","0.0001668")</f>
        <v>0.0001668</v>
      </c>
    </row>
    <row r="637" spans="1:14">
      <c r="A637" s="3">
        <v>3</v>
      </c>
      <c r="B637" s="3">
        <v>2</v>
      </c>
      <c r="C637" s="3">
        <v>40</v>
      </c>
      <c r="D637" s="3">
        <v>18</v>
      </c>
      <c r="E637" s="3">
        <f>((1/(INDEX(E0!J$4:J$52,C637,1)-INDEX(E0!J$4:J$52,D637,1))))*100000000</f>
        <v>0</v>
      </c>
      <c r="F637" s="4" t="str">
        <f>HYPERLINK("http://141.218.60.56/~jnz1568/getInfo.php?workbook=03_02.xlsx&amp;sheet=A0&amp;row=637&amp;col=6&amp;number=&amp;sourceID=27","")</f>
        <v/>
      </c>
      <c r="G637" s="4" t="str">
        <f>HYPERLINK("http://141.218.60.56/~jnz1568/getInfo.php?workbook=03_02.xlsx&amp;sheet=A0&amp;row=637&amp;col=7&amp;number=&amp;sourceID=15","")</f>
        <v/>
      </c>
      <c r="H637" s="4" t="str">
        <f>HYPERLINK("http://141.218.60.56/~jnz1568/getInfo.php?workbook=03_02.xlsx&amp;sheet=A0&amp;row=637&amp;col=8&amp;number=&amp;sourceID=15","")</f>
        <v/>
      </c>
      <c r="I637" s="4" t="str">
        <f>HYPERLINK("http://141.218.60.56/~jnz1568/getInfo.php?workbook=03_02.xlsx&amp;sheet=A0&amp;row=637&amp;col=9&amp;number=&amp;sourceID=15","")</f>
        <v/>
      </c>
      <c r="J637" s="4" t="str">
        <f>HYPERLINK("http://141.218.60.56/~jnz1568/getInfo.php?workbook=03_02.xlsx&amp;sheet=A0&amp;row=637&amp;col=10&amp;number=&amp;sourceID=15","")</f>
        <v/>
      </c>
      <c r="K637" s="4" t="str">
        <f>HYPERLINK("http://141.218.60.56/~jnz1568/getInfo.php?workbook=03_02.xlsx&amp;sheet=A0&amp;row=637&amp;col=11&amp;number=&amp;sourceID=30","")</f>
        <v/>
      </c>
      <c r="L637" s="4" t="str">
        <f>HYPERLINK("http://141.218.60.56/~jnz1568/getInfo.php?workbook=03_02.xlsx&amp;sheet=A0&amp;row=637&amp;col=12&amp;number=0.003348&amp;sourceID=30","0.003348")</f>
        <v>0.003348</v>
      </c>
      <c r="M637" s="4" t="str">
        <f>HYPERLINK("http://141.218.60.56/~jnz1568/getInfo.php?workbook=03_02.xlsx&amp;sheet=A0&amp;row=637&amp;col=13&amp;number=1.618e-12&amp;sourceID=30","1.618e-12")</f>
        <v>1.618e-12</v>
      </c>
      <c r="N637" s="4" t="str">
        <f>HYPERLINK("http://141.218.60.56/~jnz1568/getInfo.php?workbook=03_02.xlsx&amp;sheet=A0&amp;row=637&amp;col=14&amp;number=&amp;sourceID=30","")</f>
        <v/>
      </c>
    </row>
    <row r="638" spans="1:14">
      <c r="A638" s="3">
        <v>3</v>
      </c>
      <c r="B638" s="3">
        <v>2</v>
      </c>
      <c r="C638" s="3">
        <v>40</v>
      </c>
      <c r="D638" s="3">
        <v>19</v>
      </c>
      <c r="E638" s="3">
        <f>((1/(INDEX(E0!J$4:J$52,C638,1)-INDEX(E0!J$4:J$52,D638,1))))*100000000</f>
        <v>0</v>
      </c>
      <c r="F638" s="4" t="str">
        <f>HYPERLINK("http://141.218.60.56/~jnz1568/getInfo.php?workbook=03_02.xlsx&amp;sheet=A0&amp;row=638&amp;col=6&amp;number=&amp;sourceID=27","")</f>
        <v/>
      </c>
      <c r="G638" s="4" t="str">
        <f>HYPERLINK("http://141.218.60.56/~jnz1568/getInfo.php?workbook=03_02.xlsx&amp;sheet=A0&amp;row=638&amp;col=7&amp;number=&amp;sourceID=15","")</f>
        <v/>
      </c>
      <c r="H638" s="4" t="str">
        <f>HYPERLINK("http://141.218.60.56/~jnz1568/getInfo.php?workbook=03_02.xlsx&amp;sheet=A0&amp;row=638&amp;col=8&amp;number=40.723&amp;sourceID=15","40.723")</f>
        <v>40.723</v>
      </c>
      <c r="I638" s="4" t="str">
        <f>HYPERLINK("http://141.218.60.56/~jnz1568/getInfo.php?workbook=03_02.xlsx&amp;sheet=A0&amp;row=638&amp;col=9&amp;number=&amp;sourceID=15","")</f>
        <v/>
      </c>
      <c r="J638" s="4" t="str">
        <f>HYPERLINK("http://141.218.60.56/~jnz1568/getInfo.php?workbook=03_02.xlsx&amp;sheet=A0&amp;row=638&amp;col=10&amp;number=&amp;sourceID=15","")</f>
        <v/>
      </c>
      <c r="K638" s="4" t="str">
        <f>HYPERLINK("http://141.218.60.56/~jnz1568/getInfo.php?workbook=03_02.xlsx&amp;sheet=A0&amp;row=638&amp;col=11&amp;number=&amp;sourceID=30","")</f>
        <v/>
      </c>
      <c r="L638" s="4" t="str">
        <f>HYPERLINK("http://141.218.60.56/~jnz1568/getInfo.php?workbook=03_02.xlsx&amp;sheet=A0&amp;row=638&amp;col=12&amp;number=46.53&amp;sourceID=30","46.53")</f>
        <v>46.53</v>
      </c>
      <c r="M638" s="4" t="str">
        <f>HYPERLINK("http://141.218.60.56/~jnz1568/getInfo.php?workbook=03_02.xlsx&amp;sheet=A0&amp;row=638&amp;col=13&amp;number=&amp;sourceID=30","")</f>
        <v/>
      </c>
      <c r="N638" s="4" t="str">
        <f>HYPERLINK("http://141.218.60.56/~jnz1568/getInfo.php?workbook=03_02.xlsx&amp;sheet=A0&amp;row=638&amp;col=14&amp;number=&amp;sourceID=30","")</f>
        <v/>
      </c>
    </row>
    <row r="639" spans="1:14">
      <c r="A639" s="3">
        <v>3</v>
      </c>
      <c r="B639" s="3">
        <v>2</v>
      </c>
      <c r="C639" s="3">
        <v>40</v>
      </c>
      <c r="D639" s="3">
        <v>20</v>
      </c>
      <c r="E639" s="3">
        <f>((1/(INDEX(E0!J$4:J$52,C639,1)-INDEX(E0!J$4:J$52,D639,1))))*100000000</f>
        <v>0</v>
      </c>
      <c r="F639" s="4" t="str">
        <f>HYPERLINK("http://141.218.60.56/~jnz1568/getInfo.php?workbook=03_02.xlsx&amp;sheet=A0&amp;row=639&amp;col=6&amp;number=&amp;sourceID=27","")</f>
        <v/>
      </c>
      <c r="G639" s="4" t="str">
        <f>HYPERLINK("http://141.218.60.56/~jnz1568/getInfo.php?workbook=03_02.xlsx&amp;sheet=A0&amp;row=639&amp;col=7&amp;number=&amp;sourceID=15","")</f>
        <v/>
      </c>
      <c r="H639" s="4" t="str">
        <f>HYPERLINK("http://141.218.60.56/~jnz1568/getInfo.php?workbook=03_02.xlsx&amp;sheet=A0&amp;row=639&amp;col=8&amp;number=&amp;sourceID=15","")</f>
        <v/>
      </c>
      <c r="I639" s="4" t="str">
        <f>HYPERLINK("http://141.218.60.56/~jnz1568/getInfo.php?workbook=03_02.xlsx&amp;sheet=A0&amp;row=639&amp;col=9&amp;number=&amp;sourceID=15","")</f>
        <v/>
      </c>
      <c r="J639" s="4" t="str">
        <f>HYPERLINK("http://141.218.60.56/~jnz1568/getInfo.php?workbook=03_02.xlsx&amp;sheet=A0&amp;row=639&amp;col=10&amp;number=&amp;sourceID=15","")</f>
        <v/>
      </c>
      <c r="K639" s="4" t="str">
        <f>HYPERLINK("http://141.218.60.56/~jnz1568/getInfo.php?workbook=03_02.xlsx&amp;sheet=A0&amp;row=639&amp;col=11&amp;number=&amp;sourceID=30","")</f>
        <v/>
      </c>
      <c r="L639" s="4" t="str">
        <f>HYPERLINK("http://141.218.60.56/~jnz1568/getInfo.php?workbook=03_02.xlsx&amp;sheet=A0&amp;row=639&amp;col=12&amp;number=&amp;sourceID=30","")</f>
        <v/>
      </c>
      <c r="M639" s="4" t="str">
        <f>HYPERLINK("http://141.218.60.56/~jnz1568/getInfo.php?workbook=03_02.xlsx&amp;sheet=A0&amp;row=639&amp;col=13&amp;number=&amp;sourceID=30","")</f>
        <v/>
      </c>
      <c r="N639" s="4" t="str">
        <f>HYPERLINK("http://141.218.60.56/~jnz1568/getInfo.php?workbook=03_02.xlsx&amp;sheet=A0&amp;row=639&amp;col=14&amp;number=3.461e-06&amp;sourceID=30","3.461e-06")</f>
        <v>3.461e-06</v>
      </c>
    </row>
    <row r="640" spans="1:14">
      <c r="A640" s="3">
        <v>3</v>
      </c>
      <c r="B640" s="3">
        <v>2</v>
      </c>
      <c r="C640" s="3">
        <v>40</v>
      </c>
      <c r="D640" s="3">
        <v>21</v>
      </c>
      <c r="E640" s="3">
        <f>((1/(INDEX(E0!J$4:J$52,C640,1)-INDEX(E0!J$4:J$52,D640,1))))*100000000</f>
        <v>0</v>
      </c>
      <c r="F640" s="4" t="str">
        <f>HYPERLINK("http://141.218.60.56/~jnz1568/getInfo.php?workbook=03_02.xlsx&amp;sheet=A0&amp;row=640&amp;col=6&amp;number=&amp;sourceID=27","")</f>
        <v/>
      </c>
      <c r="G640" s="4" t="str">
        <f>HYPERLINK("http://141.218.60.56/~jnz1568/getInfo.php?workbook=03_02.xlsx&amp;sheet=A0&amp;row=640&amp;col=7&amp;number=2179&amp;sourceID=15","2179")</f>
        <v>2179</v>
      </c>
      <c r="H640" s="4" t="str">
        <f>HYPERLINK("http://141.218.60.56/~jnz1568/getInfo.php?workbook=03_02.xlsx&amp;sheet=A0&amp;row=640&amp;col=8&amp;number=&amp;sourceID=15","")</f>
        <v/>
      </c>
      <c r="I640" s="4" t="str">
        <f>HYPERLINK("http://141.218.60.56/~jnz1568/getInfo.php?workbook=03_02.xlsx&amp;sheet=A0&amp;row=640&amp;col=9&amp;number=&amp;sourceID=15","")</f>
        <v/>
      </c>
      <c r="J640" s="4" t="str">
        <f>HYPERLINK("http://141.218.60.56/~jnz1568/getInfo.php?workbook=03_02.xlsx&amp;sheet=A0&amp;row=640&amp;col=10&amp;number=&amp;sourceID=15","")</f>
        <v/>
      </c>
      <c r="K640" s="4" t="str">
        <f>HYPERLINK("http://141.218.60.56/~jnz1568/getInfo.php?workbook=03_02.xlsx&amp;sheet=A0&amp;row=640&amp;col=11&amp;number=998&amp;sourceID=30","998")</f>
        <v>998</v>
      </c>
      <c r="L640" s="4" t="str">
        <f>HYPERLINK("http://141.218.60.56/~jnz1568/getInfo.php?workbook=03_02.xlsx&amp;sheet=A0&amp;row=640&amp;col=12&amp;number=&amp;sourceID=30","")</f>
        <v/>
      </c>
      <c r="M640" s="4" t="str">
        <f>HYPERLINK("http://141.218.60.56/~jnz1568/getInfo.php?workbook=03_02.xlsx&amp;sheet=A0&amp;row=640&amp;col=13&amp;number=&amp;sourceID=30","")</f>
        <v/>
      </c>
      <c r="N640" s="4" t="str">
        <f>HYPERLINK("http://141.218.60.56/~jnz1568/getInfo.php?workbook=03_02.xlsx&amp;sheet=A0&amp;row=640&amp;col=14&amp;number=7.869e-06&amp;sourceID=30","7.869e-06")</f>
        <v>7.869e-06</v>
      </c>
    </row>
    <row r="641" spans="1:14">
      <c r="A641" s="3">
        <v>3</v>
      </c>
      <c r="B641" s="3">
        <v>2</v>
      </c>
      <c r="C641" s="3">
        <v>40</v>
      </c>
      <c r="D641" s="3">
        <v>22</v>
      </c>
      <c r="E641" s="3">
        <f>((1/(INDEX(E0!J$4:J$52,C641,1)-INDEX(E0!J$4:J$52,D641,1))))*100000000</f>
        <v>0</v>
      </c>
      <c r="F641" s="4" t="str">
        <f>HYPERLINK("http://141.218.60.56/~jnz1568/getInfo.php?workbook=03_02.xlsx&amp;sheet=A0&amp;row=641&amp;col=6&amp;number=&amp;sourceID=27","")</f>
        <v/>
      </c>
      <c r="G641" s="4" t="str">
        <f>HYPERLINK("http://141.218.60.56/~jnz1568/getInfo.php?workbook=03_02.xlsx&amp;sheet=A0&amp;row=641&amp;col=7&amp;number=864.1&amp;sourceID=15","864.1")</f>
        <v>864.1</v>
      </c>
      <c r="H641" s="4" t="str">
        <f>HYPERLINK("http://141.218.60.56/~jnz1568/getInfo.php?workbook=03_02.xlsx&amp;sheet=A0&amp;row=641&amp;col=8&amp;number=&amp;sourceID=15","")</f>
        <v/>
      </c>
      <c r="I641" s="4" t="str">
        <f>HYPERLINK("http://141.218.60.56/~jnz1568/getInfo.php?workbook=03_02.xlsx&amp;sheet=A0&amp;row=641&amp;col=9&amp;number=&amp;sourceID=15","")</f>
        <v/>
      </c>
      <c r="J641" s="4" t="str">
        <f>HYPERLINK("http://141.218.60.56/~jnz1568/getInfo.php?workbook=03_02.xlsx&amp;sheet=A0&amp;row=641&amp;col=10&amp;number=&amp;sourceID=15","")</f>
        <v/>
      </c>
      <c r="K641" s="4" t="str">
        <f>HYPERLINK("http://141.218.60.56/~jnz1568/getInfo.php?workbook=03_02.xlsx&amp;sheet=A0&amp;row=641&amp;col=11&amp;number=401.1&amp;sourceID=30","401.1")</f>
        <v>401.1</v>
      </c>
      <c r="L641" s="4" t="str">
        <f>HYPERLINK("http://141.218.60.56/~jnz1568/getInfo.php?workbook=03_02.xlsx&amp;sheet=A0&amp;row=641&amp;col=12&amp;number=&amp;sourceID=30","")</f>
        <v/>
      </c>
      <c r="M641" s="4" t="str">
        <f>HYPERLINK("http://141.218.60.56/~jnz1568/getInfo.php?workbook=03_02.xlsx&amp;sheet=A0&amp;row=641&amp;col=13&amp;number=&amp;sourceID=30","")</f>
        <v/>
      </c>
      <c r="N641" s="4" t="str">
        <f>HYPERLINK("http://141.218.60.56/~jnz1568/getInfo.php?workbook=03_02.xlsx&amp;sheet=A0&amp;row=641&amp;col=14&amp;number=6.099e-06&amp;sourceID=30","6.099e-06")</f>
        <v>6.099e-06</v>
      </c>
    </row>
    <row r="642" spans="1:14">
      <c r="A642" s="3">
        <v>3</v>
      </c>
      <c r="B642" s="3">
        <v>2</v>
      </c>
      <c r="C642" s="3">
        <v>40</v>
      </c>
      <c r="D642" s="3">
        <v>23</v>
      </c>
      <c r="E642" s="3">
        <f>((1/(INDEX(E0!J$4:J$52,C642,1)-INDEX(E0!J$4:J$52,D642,1))))*100000000</f>
        <v>0</v>
      </c>
      <c r="F642" s="4" t="str">
        <f>HYPERLINK("http://141.218.60.56/~jnz1568/getInfo.php?workbook=03_02.xlsx&amp;sheet=A0&amp;row=642&amp;col=6&amp;number=&amp;sourceID=27","")</f>
        <v/>
      </c>
      <c r="G642" s="4" t="str">
        <f>HYPERLINK("http://141.218.60.56/~jnz1568/getInfo.php?workbook=03_02.xlsx&amp;sheet=A0&amp;row=642&amp;col=7&amp;number=&amp;sourceID=15","")</f>
        <v/>
      </c>
      <c r="H642" s="4" t="str">
        <f>HYPERLINK("http://141.218.60.56/~jnz1568/getInfo.php?workbook=03_02.xlsx&amp;sheet=A0&amp;row=642&amp;col=8&amp;number=&amp;sourceID=15","")</f>
        <v/>
      </c>
      <c r="I642" s="4" t="str">
        <f>HYPERLINK("http://141.218.60.56/~jnz1568/getInfo.php?workbook=03_02.xlsx&amp;sheet=A0&amp;row=642&amp;col=9&amp;number=&amp;sourceID=15","")</f>
        <v/>
      </c>
      <c r="J642" s="4" t="str">
        <f>HYPERLINK("http://141.218.60.56/~jnz1568/getInfo.php?workbook=03_02.xlsx&amp;sheet=A0&amp;row=642&amp;col=10&amp;number=&amp;sourceID=15","")</f>
        <v/>
      </c>
      <c r="K642" s="4" t="str">
        <f>HYPERLINK("http://141.218.60.56/~jnz1568/getInfo.php?workbook=03_02.xlsx&amp;sheet=A0&amp;row=642&amp;col=11&amp;number=&amp;sourceID=30","")</f>
        <v/>
      </c>
      <c r="L642" s="4" t="str">
        <f>HYPERLINK("http://141.218.60.56/~jnz1568/getInfo.php?workbook=03_02.xlsx&amp;sheet=A0&amp;row=642&amp;col=12&amp;number=0.0004558&amp;sourceID=30","0.0004558")</f>
        <v>0.0004558</v>
      </c>
      <c r="M642" s="4" t="str">
        <f>HYPERLINK("http://141.218.60.56/~jnz1568/getInfo.php?workbook=03_02.xlsx&amp;sheet=A0&amp;row=642&amp;col=13&amp;number=4.769e-09&amp;sourceID=30","4.769e-09")</f>
        <v>4.769e-09</v>
      </c>
      <c r="N642" s="4" t="str">
        <f>HYPERLINK("http://141.218.60.56/~jnz1568/getInfo.php?workbook=03_02.xlsx&amp;sheet=A0&amp;row=642&amp;col=14&amp;number=&amp;sourceID=30","")</f>
        <v/>
      </c>
    </row>
    <row r="643" spans="1:14">
      <c r="A643" s="3">
        <v>3</v>
      </c>
      <c r="B643" s="3">
        <v>2</v>
      </c>
      <c r="C643" s="3">
        <v>40</v>
      </c>
      <c r="D643" s="3">
        <v>24</v>
      </c>
      <c r="E643" s="3">
        <f>((1/(INDEX(E0!J$4:J$52,C643,1)-INDEX(E0!J$4:J$52,D643,1))))*100000000</f>
        <v>0</v>
      </c>
      <c r="F643" s="4" t="str">
        <f>HYPERLINK("http://141.218.60.56/~jnz1568/getInfo.php?workbook=03_02.xlsx&amp;sheet=A0&amp;row=643&amp;col=6&amp;number=&amp;sourceID=27","")</f>
        <v/>
      </c>
      <c r="G643" s="4" t="str">
        <f>HYPERLINK("http://141.218.60.56/~jnz1568/getInfo.php?workbook=03_02.xlsx&amp;sheet=A0&amp;row=643&amp;col=7&amp;number=&amp;sourceID=15","")</f>
        <v/>
      </c>
      <c r="H643" s="4" t="str">
        <f>HYPERLINK("http://141.218.60.56/~jnz1568/getInfo.php?workbook=03_02.xlsx&amp;sheet=A0&amp;row=643&amp;col=8&amp;number=&amp;sourceID=15","")</f>
        <v/>
      </c>
      <c r="I643" s="4" t="str">
        <f>HYPERLINK("http://141.218.60.56/~jnz1568/getInfo.php?workbook=03_02.xlsx&amp;sheet=A0&amp;row=643&amp;col=9&amp;number=&amp;sourceID=15","")</f>
        <v/>
      </c>
      <c r="J643" s="4" t="str">
        <f>HYPERLINK("http://141.218.60.56/~jnz1568/getInfo.php?workbook=03_02.xlsx&amp;sheet=A0&amp;row=643&amp;col=10&amp;number=&amp;sourceID=15","")</f>
        <v/>
      </c>
      <c r="K643" s="4" t="str">
        <f>HYPERLINK("http://141.218.60.56/~jnz1568/getInfo.php?workbook=03_02.xlsx&amp;sheet=A0&amp;row=643&amp;col=11&amp;number=&amp;sourceID=30","")</f>
        <v/>
      </c>
      <c r="L643" s="4" t="str">
        <f>HYPERLINK("http://141.218.60.56/~jnz1568/getInfo.php?workbook=03_02.xlsx&amp;sheet=A0&amp;row=643&amp;col=12&amp;number=0.0005022&amp;sourceID=30","0.0005022")</f>
        <v>0.0005022</v>
      </c>
      <c r="M643" s="4" t="str">
        <f>HYPERLINK("http://141.218.60.56/~jnz1568/getInfo.php?workbook=03_02.xlsx&amp;sheet=A0&amp;row=643&amp;col=13&amp;number=5.51e-10&amp;sourceID=30","5.51e-10")</f>
        <v>5.51e-10</v>
      </c>
      <c r="N643" s="4" t="str">
        <f>HYPERLINK("http://141.218.60.56/~jnz1568/getInfo.php?workbook=03_02.xlsx&amp;sheet=A0&amp;row=643&amp;col=14&amp;number=&amp;sourceID=30","")</f>
        <v/>
      </c>
    </row>
    <row r="644" spans="1:14">
      <c r="A644" s="3">
        <v>3</v>
      </c>
      <c r="B644" s="3">
        <v>2</v>
      </c>
      <c r="C644" s="3">
        <v>40</v>
      </c>
      <c r="D644" s="3">
        <v>25</v>
      </c>
      <c r="E644" s="3">
        <f>((1/(INDEX(E0!J$4:J$52,C644,1)-INDEX(E0!J$4:J$52,D644,1))))*100000000</f>
        <v>0</v>
      </c>
      <c r="F644" s="4" t="str">
        <f>HYPERLINK("http://141.218.60.56/~jnz1568/getInfo.php?workbook=03_02.xlsx&amp;sheet=A0&amp;row=644&amp;col=6&amp;number=&amp;sourceID=27","")</f>
        <v/>
      </c>
      <c r="G644" s="4" t="str">
        <f>HYPERLINK("http://141.218.60.56/~jnz1568/getInfo.php?workbook=03_02.xlsx&amp;sheet=A0&amp;row=644&amp;col=7&amp;number=&amp;sourceID=15","")</f>
        <v/>
      </c>
      <c r="H644" s="4" t="str">
        <f>HYPERLINK("http://141.218.60.56/~jnz1568/getInfo.php?workbook=03_02.xlsx&amp;sheet=A0&amp;row=644&amp;col=8&amp;number=&amp;sourceID=15","")</f>
        <v/>
      </c>
      <c r="I644" s="4" t="str">
        <f>HYPERLINK("http://141.218.60.56/~jnz1568/getInfo.php?workbook=03_02.xlsx&amp;sheet=A0&amp;row=644&amp;col=9&amp;number=&amp;sourceID=15","")</f>
        <v/>
      </c>
      <c r="J644" s="4" t="str">
        <f>HYPERLINK("http://141.218.60.56/~jnz1568/getInfo.php?workbook=03_02.xlsx&amp;sheet=A0&amp;row=644&amp;col=10&amp;number=&amp;sourceID=15","")</f>
        <v/>
      </c>
      <c r="K644" s="4" t="str">
        <f>HYPERLINK("http://141.218.60.56/~jnz1568/getInfo.php?workbook=03_02.xlsx&amp;sheet=A0&amp;row=644&amp;col=11&amp;number=&amp;sourceID=30","")</f>
        <v/>
      </c>
      <c r="L644" s="4" t="str">
        <f>HYPERLINK("http://141.218.60.56/~jnz1568/getInfo.php?workbook=03_02.xlsx&amp;sheet=A0&amp;row=644&amp;col=12&amp;number=0.0005208&amp;sourceID=30","0.0005208")</f>
        <v>0.0005208</v>
      </c>
      <c r="M644" s="4" t="str">
        <f>HYPERLINK("http://141.218.60.56/~jnz1568/getInfo.php?workbook=03_02.xlsx&amp;sheet=A0&amp;row=644&amp;col=13&amp;number=9.305e-09&amp;sourceID=30","9.305e-09")</f>
        <v>9.305e-09</v>
      </c>
      <c r="N644" s="4" t="str">
        <f>HYPERLINK("http://141.218.60.56/~jnz1568/getInfo.php?workbook=03_02.xlsx&amp;sheet=A0&amp;row=644&amp;col=14&amp;number=&amp;sourceID=30","")</f>
        <v/>
      </c>
    </row>
    <row r="645" spans="1:14">
      <c r="A645" s="3">
        <v>3</v>
      </c>
      <c r="B645" s="3">
        <v>2</v>
      </c>
      <c r="C645" s="3">
        <v>40</v>
      </c>
      <c r="D645" s="3">
        <v>26</v>
      </c>
      <c r="E645" s="3">
        <f>((1/(INDEX(E0!J$4:J$52,C645,1)-INDEX(E0!J$4:J$52,D645,1))))*100000000</f>
        <v>0</v>
      </c>
      <c r="F645" s="4" t="str">
        <f>HYPERLINK("http://141.218.60.56/~jnz1568/getInfo.php?workbook=03_02.xlsx&amp;sheet=A0&amp;row=645&amp;col=6&amp;number=&amp;sourceID=27","")</f>
        <v/>
      </c>
      <c r="G645" s="4" t="str">
        <f>HYPERLINK("http://141.218.60.56/~jnz1568/getInfo.php?workbook=03_02.xlsx&amp;sheet=A0&amp;row=645&amp;col=7&amp;number=&amp;sourceID=15","")</f>
        <v/>
      </c>
      <c r="H645" s="4" t="str">
        <f>HYPERLINK("http://141.218.60.56/~jnz1568/getInfo.php?workbook=03_02.xlsx&amp;sheet=A0&amp;row=645&amp;col=8&amp;number=&amp;sourceID=15","")</f>
        <v/>
      </c>
      <c r="I645" s="4" t="str">
        <f>HYPERLINK("http://141.218.60.56/~jnz1568/getInfo.php?workbook=03_02.xlsx&amp;sheet=A0&amp;row=645&amp;col=9&amp;number=&amp;sourceID=15","")</f>
        <v/>
      </c>
      <c r="J645" s="4" t="str">
        <f>HYPERLINK("http://141.218.60.56/~jnz1568/getInfo.php?workbook=03_02.xlsx&amp;sheet=A0&amp;row=645&amp;col=10&amp;number=&amp;sourceID=15","")</f>
        <v/>
      </c>
      <c r="K645" s="4" t="str">
        <f>HYPERLINK("http://141.218.60.56/~jnz1568/getInfo.php?workbook=03_02.xlsx&amp;sheet=A0&amp;row=645&amp;col=11&amp;number=&amp;sourceID=30","")</f>
        <v/>
      </c>
      <c r="L645" s="4" t="str">
        <f>HYPERLINK("http://141.218.60.56/~jnz1568/getInfo.php?workbook=03_02.xlsx&amp;sheet=A0&amp;row=645&amp;col=12&amp;number=17.1&amp;sourceID=30","17.1")</f>
        <v>17.1</v>
      </c>
      <c r="M645" s="4" t="str">
        <f>HYPERLINK("http://141.218.60.56/~jnz1568/getInfo.php?workbook=03_02.xlsx&amp;sheet=A0&amp;row=645&amp;col=13&amp;number=1.672e-09&amp;sourceID=30","1.672e-09")</f>
        <v>1.672e-09</v>
      </c>
      <c r="N645" s="4" t="str">
        <f>HYPERLINK("http://141.218.60.56/~jnz1568/getInfo.php?workbook=03_02.xlsx&amp;sheet=A0&amp;row=645&amp;col=14&amp;number=&amp;sourceID=30","")</f>
        <v/>
      </c>
    </row>
    <row r="646" spans="1:14">
      <c r="A646" s="3">
        <v>3</v>
      </c>
      <c r="B646" s="3">
        <v>2</v>
      </c>
      <c r="C646" s="3">
        <v>40</v>
      </c>
      <c r="D646" s="3">
        <v>27</v>
      </c>
      <c r="E646" s="3">
        <f>((1/(INDEX(E0!J$4:J$52,C646,1)-INDEX(E0!J$4:J$52,D646,1))))*100000000</f>
        <v>0</v>
      </c>
      <c r="F646" s="4" t="str">
        <f>HYPERLINK("http://141.218.60.56/~jnz1568/getInfo.php?workbook=03_02.xlsx&amp;sheet=A0&amp;row=646&amp;col=6&amp;number=&amp;sourceID=27","")</f>
        <v/>
      </c>
      <c r="G646" s="4" t="str">
        <f>HYPERLINK("http://141.218.60.56/~jnz1568/getInfo.php?workbook=03_02.xlsx&amp;sheet=A0&amp;row=646&amp;col=7&amp;number=&amp;sourceID=15","")</f>
        <v/>
      </c>
      <c r="H646" s="4" t="str">
        <f>HYPERLINK("http://141.218.60.56/~jnz1568/getInfo.php?workbook=03_02.xlsx&amp;sheet=A0&amp;row=646&amp;col=8&amp;number=&amp;sourceID=15","")</f>
        <v/>
      </c>
      <c r="I646" s="4" t="str">
        <f>HYPERLINK("http://141.218.60.56/~jnz1568/getInfo.php?workbook=03_02.xlsx&amp;sheet=A0&amp;row=646&amp;col=9&amp;number=&amp;sourceID=15","")</f>
        <v/>
      </c>
      <c r="J646" s="4" t="str">
        <f>HYPERLINK("http://141.218.60.56/~jnz1568/getInfo.php?workbook=03_02.xlsx&amp;sheet=A0&amp;row=646&amp;col=10&amp;number=&amp;sourceID=15","")</f>
        <v/>
      </c>
      <c r="K646" s="4" t="str">
        <f>HYPERLINK("http://141.218.60.56/~jnz1568/getInfo.php?workbook=03_02.xlsx&amp;sheet=A0&amp;row=646&amp;col=11&amp;number=6.823&amp;sourceID=30","6.823")</f>
        <v>6.823</v>
      </c>
      <c r="L646" s="4" t="str">
        <f>HYPERLINK("http://141.218.60.56/~jnz1568/getInfo.php?workbook=03_02.xlsx&amp;sheet=A0&amp;row=646&amp;col=12&amp;number=&amp;sourceID=30","")</f>
        <v/>
      </c>
      <c r="M646" s="4" t="str">
        <f>HYPERLINK("http://141.218.60.56/~jnz1568/getInfo.php?workbook=03_02.xlsx&amp;sheet=A0&amp;row=646&amp;col=13&amp;number=&amp;sourceID=30","")</f>
        <v/>
      </c>
      <c r="N646" s="4" t="str">
        <f>HYPERLINK("http://141.218.60.56/~jnz1568/getInfo.php?workbook=03_02.xlsx&amp;sheet=A0&amp;row=646&amp;col=14&amp;number=1.613e-08&amp;sourceID=30","1.613e-08")</f>
        <v>1.613e-08</v>
      </c>
    </row>
    <row r="647" spans="1:14">
      <c r="A647" s="3">
        <v>3</v>
      </c>
      <c r="B647" s="3">
        <v>2</v>
      </c>
      <c r="C647" s="3">
        <v>40</v>
      </c>
      <c r="D647" s="3">
        <v>28</v>
      </c>
      <c r="E647" s="3">
        <f>((1/(INDEX(E0!J$4:J$52,C647,1)-INDEX(E0!J$4:J$52,D647,1))))*100000000</f>
        <v>0</v>
      </c>
      <c r="F647" s="4" t="str">
        <f>HYPERLINK("http://141.218.60.56/~jnz1568/getInfo.php?workbook=03_02.xlsx&amp;sheet=A0&amp;row=647&amp;col=6&amp;number=&amp;sourceID=27","")</f>
        <v/>
      </c>
      <c r="G647" s="4" t="str">
        <f>HYPERLINK("http://141.218.60.56/~jnz1568/getInfo.php?workbook=03_02.xlsx&amp;sheet=A0&amp;row=647&amp;col=7&amp;number=232500&amp;sourceID=15","232500")</f>
        <v>232500</v>
      </c>
      <c r="H647" s="4" t="str">
        <f>HYPERLINK("http://141.218.60.56/~jnz1568/getInfo.php?workbook=03_02.xlsx&amp;sheet=A0&amp;row=647&amp;col=8&amp;number=&amp;sourceID=15","")</f>
        <v/>
      </c>
      <c r="I647" s="4" t="str">
        <f>HYPERLINK("http://141.218.60.56/~jnz1568/getInfo.php?workbook=03_02.xlsx&amp;sheet=A0&amp;row=647&amp;col=9&amp;number=&amp;sourceID=15","")</f>
        <v/>
      </c>
      <c r="J647" s="4" t="str">
        <f>HYPERLINK("http://141.218.60.56/~jnz1568/getInfo.php?workbook=03_02.xlsx&amp;sheet=A0&amp;row=647&amp;col=10&amp;number=&amp;sourceID=15","")</f>
        <v/>
      </c>
      <c r="K647" s="4" t="str">
        <f>HYPERLINK("http://141.218.60.56/~jnz1568/getInfo.php?workbook=03_02.xlsx&amp;sheet=A0&amp;row=647&amp;col=11&amp;number=165200&amp;sourceID=30","165200")</f>
        <v>165200</v>
      </c>
      <c r="L647" s="4" t="str">
        <f>HYPERLINK("http://141.218.60.56/~jnz1568/getInfo.php?workbook=03_02.xlsx&amp;sheet=A0&amp;row=647&amp;col=12&amp;number=&amp;sourceID=30","")</f>
        <v/>
      </c>
      <c r="M647" s="4" t="str">
        <f>HYPERLINK("http://141.218.60.56/~jnz1568/getInfo.php?workbook=03_02.xlsx&amp;sheet=A0&amp;row=647&amp;col=13&amp;number=&amp;sourceID=30","")</f>
        <v/>
      </c>
      <c r="N647" s="4" t="str">
        <f>HYPERLINK("http://141.218.60.56/~jnz1568/getInfo.php?workbook=03_02.xlsx&amp;sheet=A0&amp;row=647&amp;col=14&amp;number=3.099e-09&amp;sourceID=30","3.099e-09")</f>
        <v>3.099e-09</v>
      </c>
    </row>
    <row r="648" spans="1:14">
      <c r="A648" s="3">
        <v>3</v>
      </c>
      <c r="B648" s="3">
        <v>2</v>
      </c>
      <c r="C648" s="3">
        <v>40</v>
      </c>
      <c r="D648" s="3">
        <v>29</v>
      </c>
      <c r="E648" s="3">
        <f>((1/(INDEX(E0!J$4:J$52,C648,1)-INDEX(E0!J$4:J$52,D648,1))))*100000000</f>
        <v>0</v>
      </c>
      <c r="F648" s="4" t="str">
        <f>HYPERLINK("http://141.218.60.56/~jnz1568/getInfo.php?workbook=03_02.xlsx&amp;sheet=A0&amp;row=648&amp;col=6&amp;number=&amp;sourceID=27","")</f>
        <v/>
      </c>
      <c r="G648" s="4" t="str">
        <f>HYPERLINK("http://141.218.60.56/~jnz1568/getInfo.php?workbook=03_02.xlsx&amp;sheet=A0&amp;row=648&amp;col=7&amp;number=&amp;sourceID=15","")</f>
        <v/>
      </c>
      <c r="H648" s="4" t="str">
        <f>HYPERLINK("http://141.218.60.56/~jnz1568/getInfo.php?workbook=03_02.xlsx&amp;sheet=A0&amp;row=648&amp;col=8&amp;number=&amp;sourceID=15","")</f>
        <v/>
      </c>
      <c r="I648" s="4" t="str">
        <f>HYPERLINK("http://141.218.60.56/~jnz1568/getInfo.php?workbook=03_02.xlsx&amp;sheet=A0&amp;row=648&amp;col=9&amp;number=&amp;sourceID=15","")</f>
        <v/>
      </c>
      <c r="J648" s="4" t="str">
        <f>HYPERLINK("http://141.218.60.56/~jnz1568/getInfo.php?workbook=03_02.xlsx&amp;sheet=A0&amp;row=648&amp;col=10&amp;number=&amp;sourceID=15","")</f>
        <v/>
      </c>
      <c r="K648" s="4" t="str">
        <f>HYPERLINK("http://141.218.60.56/~jnz1568/getInfo.php?workbook=03_02.xlsx&amp;sheet=A0&amp;row=648&amp;col=11&amp;number=&amp;sourceID=30","")</f>
        <v/>
      </c>
      <c r="L648" s="4" t="str">
        <f>HYPERLINK("http://141.218.60.56/~jnz1568/getInfo.php?workbook=03_02.xlsx&amp;sheet=A0&amp;row=648&amp;col=12&amp;number=&amp;sourceID=30","")</f>
        <v/>
      </c>
      <c r="M648" s="4" t="str">
        <f>HYPERLINK("http://141.218.60.56/~jnz1568/getInfo.php?workbook=03_02.xlsx&amp;sheet=A0&amp;row=648&amp;col=13&amp;number=&amp;sourceID=30","")</f>
        <v/>
      </c>
      <c r="N648" s="4" t="str">
        <f>HYPERLINK("http://141.218.60.56/~jnz1568/getInfo.php?workbook=03_02.xlsx&amp;sheet=A0&amp;row=648&amp;col=14&amp;number=4.428e-07&amp;sourceID=30","4.428e-07")</f>
        <v>4.428e-07</v>
      </c>
    </row>
    <row r="649" spans="1:14">
      <c r="A649" s="3">
        <v>3</v>
      </c>
      <c r="B649" s="3">
        <v>2</v>
      </c>
      <c r="C649" s="3">
        <v>40</v>
      </c>
      <c r="D649" s="3">
        <v>30</v>
      </c>
      <c r="E649" s="3">
        <f>((1/(INDEX(E0!J$4:J$52,C649,1)-INDEX(E0!J$4:J$52,D649,1))))*100000000</f>
        <v>0</v>
      </c>
      <c r="F649" s="4" t="str">
        <f>HYPERLINK("http://141.218.60.56/~jnz1568/getInfo.php?workbook=03_02.xlsx&amp;sheet=A0&amp;row=649&amp;col=6&amp;number=&amp;sourceID=27","")</f>
        <v/>
      </c>
      <c r="G649" s="4" t="str">
        <f>HYPERLINK("http://141.218.60.56/~jnz1568/getInfo.php?workbook=03_02.xlsx&amp;sheet=A0&amp;row=649&amp;col=7&amp;number=585000&amp;sourceID=15","585000")</f>
        <v>585000</v>
      </c>
      <c r="H649" s="4" t="str">
        <f>HYPERLINK("http://141.218.60.56/~jnz1568/getInfo.php?workbook=03_02.xlsx&amp;sheet=A0&amp;row=649&amp;col=8&amp;number=&amp;sourceID=15","")</f>
        <v/>
      </c>
      <c r="I649" s="4" t="str">
        <f>HYPERLINK("http://141.218.60.56/~jnz1568/getInfo.php?workbook=03_02.xlsx&amp;sheet=A0&amp;row=649&amp;col=9&amp;number=&amp;sourceID=15","")</f>
        <v/>
      </c>
      <c r="J649" s="4" t="str">
        <f>HYPERLINK("http://141.218.60.56/~jnz1568/getInfo.php?workbook=03_02.xlsx&amp;sheet=A0&amp;row=649&amp;col=10&amp;number=&amp;sourceID=15","")</f>
        <v/>
      </c>
      <c r="K649" s="4" t="str">
        <f>HYPERLINK("http://141.218.60.56/~jnz1568/getInfo.php?workbook=03_02.xlsx&amp;sheet=A0&amp;row=649&amp;col=11&amp;number=637900&amp;sourceID=30","637900")</f>
        <v>637900</v>
      </c>
      <c r="L649" s="4" t="str">
        <f>HYPERLINK("http://141.218.60.56/~jnz1568/getInfo.php?workbook=03_02.xlsx&amp;sheet=A0&amp;row=649&amp;col=12&amp;number=&amp;sourceID=30","")</f>
        <v/>
      </c>
      <c r="M649" s="4" t="str">
        <f>HYPERLINK("http://141.218.60.56/~jnz1568/getInfo.php?workbook=03_02.xlsx&amp;sheet=A0&amp;row=649&amp;col=13&amp;number=&amp;sourceID=30","")</f>
        <v/>
      </c>
      <c r="N649" s="4" t="str">
        <f>HYPERLINK("http://141.218.60.56/~jnz1568/getInfo.php?workbook=03_02.xlsx&amp;sheet=A0&amp;row=649&amp;col=14&amp;number=7.394e-07&amp;sourceID=30","7.394e-07")</f>
        <v>7.394e-07</v>
      </c>
    </row>
    <row r="650" spans="1:14">
      <c r="A650" s="3">
        <v>3</v>
      </c>
      <c r="B650" s="3">
        <v>2</v>
      </c>
      <c r="C650" s="3">
        <v>40</v>
      </c>
      <c r="D650" s="3">
        <v>31</v>
      </c>
      <c r="E650" s="3">
        <f>((1/(INDEX(E0!J$4:J$52,C650,1)-INDEX(E0!J$4:J$52,D650,1))))*100000000</f>
        <v>0</v>
      </c>
      <c r="F650" s="4" t="str">
        <f>HYPERLINK("http://141.218.60.56/~jnz1568/getInfo.php?workbook=03_02.xlsx&amp;sheet=A0&amp;row=650&amp;col=6&amp;number=&amp;sourceID=27","")</f>
        <v/>
      </c>
      <c r="G650" s="4" t="str">
        <f>HYPERLINK("http://141.218.60.56/~jnz1568/getInfo.php?workbook=03_02.xlsx&amp;sheet=A0&amp;row=650&amp;col=7&amp;number=24422000&amp;sourceID=15","24422000")</f>
        <v>24422000</v>
      </c>
      <c r="H650" s="4" t="str">
        <f>HYPERLINK("http://141.218.60.56/~jnz1568/getInfo.php?workbook=03_02.xlsx&amp;sheet=A0&amp;row=650&amp;col=8&amp;number=&amp;sourceID=15","")</f>
        <v/>
      </c>
      <c r="I650" s="4" t="str">
        <f>HYPERLINK("http://141.218.60.56/~jnz1568/getInfo.php?workbook=03_02.xlsx&amp;sheet=A0&amp;row=650&amp;col=9&amp;number=&amp;sourceID=15","")</f>
        <v/>
      </c>
      <c r="J650" s="4" t="str">
        <f>HYPERLINK("http://141.218.60.56/~jnz1568/getInfo.php?workbook=03_02.xlsx&amp;sheet=A0&amp;row=650&amp;col=10&amp;number=&amp;sourceID=15","")</f>
        <v/>
      </c>
      <c r="K650" s="4" t="str">
        <f>HYPERLINK("http://141.218.60.56/~jnz1568/getInfo.php?workbook=03_02.xlsx&amp;sheet=A0&amp;row=650&amp;col=11&amp;number=26610000&amp;sourceID=30","26610000")</f>
        <v>26610000</v>
      </c>
      <c r="L650" s="4" t="str">
        <f>HYPERLINK("http://141.218.60.56/~jnz1568/getInfo.php?workbook=03_02.xlsx&amp;sheet=A0&amp;row=650&amp;col=12&amp;number=&amp;sourceID=30","")</f>
        <v/>
      </c>
      <c r="M650" s="4" t="str">
        <f>HYPERLINK("http://141.218.60.56/~jnz1568/getInfo.php?workbook=03_02.xlsx&amp;sheet=A0&amp;row=650&amp;col=13&amp;number=&amp;sourceID=30","")</f>
        <v/>
      </c>
      <c r="N650" s="4" t="str">
        <f>HYPERLINK("http://141.218.60.56/~jnz1568/getInfo.php?workbook=03_02.xlsx&amp;sheet=A0&amp;row=650&amp;col=14&amp;number=7.044e-06&amp;sourceID=30","7.044e-06")</f>
        <v>7.044e-06</v>
      </c>
    </row>
    <row r="651" spans="1:14">
      <c r="A651" s="3">
        <v>3</v>
      </c>
      <c r="B651" s="3">
        <v>2</v>
      </c>
      <c r="C651" s="3">
        <v>40</v>
      </c>
      <c r="D651" s="3">
        <v>32</v>
      </c>
      <c r="E651" s="3">
        <f>((1/(INDEX(E0!J$4:J$52,C651,1)-INDEX(E0!J$4:J$52,D651,1))))*100000000</f>
        <v>0</v>
      </c>
      <c r="F651" s="4" t="str">
        <f>HYPERLINK("http://141.218.60.56/~jnz1568/getInfo.php?workbook=03_02.xlsx&amp;sheet=A0&amp;row=651&amp;col=6&amp;number=&amp;sourceID=27","")</f>
        <v/>
      </c>
      <c r="G651" s="4" t="str">
        <f>HYPERLINK("http://141.218.60.56/~jnz1568/getInfo.php?workbook=03_02.xlsx&amp;sheet=A0&amp;row=651&amp;col=7&amp;number=&amp;sourceID=15","")</f>
        <v/>
      </c>
      <c r="H651" s="4" t="str">
        <f>HYPERLINK("http://141.218.60.56/~jnz1568/getInfo.php?workbook=03_02.xlsx&amp;sheet=A0&amp;row=651&amp;col=8&amp;number=&amp;sourceID=15","")</f>
        <v/>
      </c>
      <c r="I651" s="4" t="str">
        <f>HYPERLINK("http://141.218.60.56/~jnz1568/getInfo.php?workbook=03_02.xlsx&amp;sheet=A0&amp;row=651&amp;col=9&amp;number=&amp;sourceID=15","")</f>
        <v/>
      </c>
      <c r="J651" s="4" t="str">
        <f>HYPERLINK("http://141.218.60.56/~jnz1568/getInfo.php?workbook=03_02.xlsx&amp;sheet=A0&amp;row=651&amp;col=10&amp;number=&amp;sourceID=15","")</f>
        <v/>
      </c>
      <c r="K651" s="4" t="str">
        <f>HYPERLINK("http://141.218.60.56/~jnz1568/getInfo.php?workbook=03_02.xlsx&amp;sheet=A0&amp;row=651&amp;col=11&amp;number=&amp;sourceID=30","")</f>
        <v/>
      </c>
      <c r="L651" s="4" t="str">
        <f>HYPERLINK("http://141.218.60.56/~jnz1568/getInfo.php?workbook=03_02.xlsx&amp;sheet=A0&amp;row=651&amp;col=12&amp;number=7.749e-07&amp;sourceID=30","7.749e-07")</f>
        <v>7.749e-07</v>
      </c>
      <c r="M651" s="4" t="str">
        <f>HYPERLINK("http://141.218.60.56/~jnz1568/getInfo.php?workbook=03_02.xlsx&amp;sheet=A0&amp;row=651&amp;col=13&amp;number=1.1e-14&amp;sourceID=30","1.1e-14")</f>
        <v>1.1e-14</v>
      </c>
      <c r="N651" s="4" t="str">
        <f>HYPERLINK("http://141.218.60.56/~jnz1568/getInfo.php?workbook=03_02.xlsx&amp;sheet=A0&amp;row=651&amp;col=14&amp;number=&amp;sourceID=30","")</f>
        <v/>
      </c>
    </row>
    <row r="652" spans="1:14">
      <c r="A652" s="3">
        <v>3</v>
      </c>
      <c r="B652" s="3">
        <v>2</v>
      </c>
      <c r="C652" s="3">
        <v>40</v>
      </c>
      <c r="D652" s="3">
        <v>34</v>
      </c>
      <c r="E652" s="3">
        <f>((1/(INDEX(E0!J$4:J$52,C652,1)-INDEX(E0!J$4:J$52,D652,1))))*100000000</f>
        <v>0</v>
      </c>
      <c r="F652" s="4" t="str">
        <f>HYPERLINK("http://141.218.60.56/~jnz1568/getInfo.php?workbook=03_02.xlsx&amp;sheet=A0&amp;row=652&amp;col=6&amp;number=&amp;sourceID=27","")</f>
        <v/>
      </c>
      <c r="G652" s="4" t="str">
        <f>HYPERLINK("http://141.218.60.56/~jnz1568/getInfo.php?workbook=03_02.xlsx&amp;sheet=A0&amp;row=652&amp;col=7&amp;number=&amp;sourceID=15","")</f>
        <v/>
      </c>
      <c r="H652" s="4" t="str">
        <f>HYPERLINK("http://141.218.60.56/~jnz1568/getInfo.php?workbook=03_02.xlsx&amp;sheet=A0&amp;row=652&amp;col=8&amp;number=&amp;sourceID=15","")</f>
        <v/>
      </c>
      <c r="I652" s="4" t="str">
        <f>HYPERLINK("http://141.218.60.56/~jnz1568/getInfo.php?workbook=03_02.xlsx&amp;sheet=A0&amp;row=652&amp;col=9&amp;number=&amp;sourceID=15","")</f>
        <v/>
      </c>
      <c r="J652" s="4" t="str">
        <f>HYPERLINK("http://141.218.60.56/~jnz1568/getInfo.php?workbook=03_02.xlsx&amp;sheet=A0&amp;row=652&amp;col=10&amp;number=&amp;sourceID=15","")</f>
        <v/>
      </c>
      <c r="K652" s="4" t="str">
        <f>HYPERLINK("http://141.218.60.56/~jnz1568/getInfo.php?workbook=03_02.xlsx&amp;sheet=A0&amp;row=652&amp;col=11&amp;number=&amp;sourceID=30","")</f>
        <v/>
      </c>
      <c r="L652" s="4" t="str">
        <f>HYPERLINK("http://141.218.60.56/~jnz1568/getInfo.php?workbook=03_02.xlsx&amp;sheet=A0&amp;row=652&amp;col=12&amp;number=&amp;sourceID=30","")</f>
        <v/>
      </c>
      <c r="M652" s="4" t="str">
        <f>HYPERLINK("http://141.218.60.56/~jnz1568/getInfo.php?workbook=03_02.xlsx&amp;sheet=A0&amp;row=652&amp;col=13&amp;number=&amp;sourceID=30","")</f>
        <v/>
      </c>
      <c r="N652" s="4" t="str">
        <f>HYPERLINK("http://141.218.60.56/~jnz1568/getInfo.php?workbook=03_02.xlsx&amp;sheet=A0&amp;row=652&amp;col=14&amp;number=1.697e-12&amp;sourceID=30","1.697e-12")</f>
        <v>1.697e-12</v>
      </c>
    </row>
    <row r="653" spans="1:14">
      <c r="A653" s="3">
        <v>3</v>
      </c>
      <c r="B653" s="3">
        <v>2</v>
      </c>
      <c r="C653" s="3">
        <v>40</v>
      </c>
      <c r="D653" s="3">
        <v>35</v>
      </c>
      <c r="E653" s="3">
        <f>((1/(INDEX(E0!J$4:J$52,C653,1)-INDEX(E0!J$4:J$52,D653,1))))*100000000</f>
        <v>0</v>
      </c>
      <c r="F653" s="4" t="str">
        <f>HYPERLINK("http://141.218.60.56/~jnz1568/getInfo.php?workbook=03_02.xlsx&amp;sheet=A0&amp;row=653&amp;col=6&amp;number=&amp;sourceID=27","")</f>
        <v/>
      </c>
      <c r="G653" s="4" t="str">
        <f>HYPERLINK("http://141.218.60.56/~jnz1568/getInfo.php?workbook=03_02.xlsx&amp;sheet=A0&amp;row=653&amp;col=7&amp;number=1.397&amp;sourceID=15","1.397")</f>
        <v>1.397</v>
      </c>
      <c r="H653" s="4" t="str">
        <f>HYPERLINK("http://141.218.60.56/~jnz1568/getInfo.php?workbook=03_02.xlsx&amp;sheet=A0&amp;row=653&amp;col=8&amp;number=&amp;sourceID=15","")</f>
        <v/>
      </c>
      <c r="I653" s="4" t="str">
        <f>HYPERLINK("http://141.218.60.56/~jnz1568/getInfo.php?workbook=03_02.xlsx&amp;sheet=A0&amp;row=653&amp;col=9&amp;number=&amp;sourceID=15","")</f>
        <v/>
      </c>
      <c r="J653" s="4" t="str">
        <f>HYPERLINK("http://141.218.60.56/~jnz1568/getInfo.php?workbook=03_02.xlsx&amp;sheet=A0&amp;row=653&amp;col=10&amp;number=&amp;sourceID=15","")</f>
        <v/>
      </c>
      <c r="K653" s="4" t="str">
        <f>HYPERLINK("http://141.218.60.56/~jnz1568/getInfo.php?workbook=03_02.xlsx&amp;sheet=A0&amp;row=653&amp;col=11&amp;number=0.474&amp;sourceID=30","0.474")</f>
        <v>0.474</v>
      </c>
      <c r="L653" s="4" t="str">
        <f>HYPERLINK("http://141.218.60.56/~jnz1568/getInfo.php?workbook=03_02.xlsx&amp;sheet=A0&amp;row=653&amp;col=12&amp;number=&amp;sourceID=30","")</f>
        <v/>
      </c>
      <c r="M653" s="4" t="str">
        <f>HYPERLINK("http://141.218.60.56/~jnz1568/getInfo.php?workbook=03_02.xlsx&amp;sheet=A0&amp;row=653&amp;col=13&amp;number=&amp;sourceID=30","")</f>
        <v/>
      </c>
      <c r="N653" s="4" t="str">
        <f>HYPERLINK("http://141.218.60.56/~jnz1568/getInfo.php?workbook=03_02.xlsx&amp;sheet=A0&amp;row=653&amp;col=14&amp;number=3.871e-12&amp;sourceID=30","3.871e-12")</f>
        <v>3.871e-12</v>
      </c>
    </row>
    <row r="654" spans="1:14">
      <c r="A654" s="3">
        <v>3</v>
      </c>
      <c r="B654" s="3">
        <v>2</v>
      </c>
      <c r="C654" s="3">
        <v>40</v>
      </c>
      <c r="D654" s="3">
        <v>36</v>
      </c>
      <c r="E654" s="3">
        <f>((1/(INDEX(E0!J$4:J$52,C654,1)-INDEX(E0!J$4:J$52,D654,1))))*100000000</f>
        <v>0</v>
      </c>
      <c r="F654" s="4" t="str">
        <f>HYPERLINK("http://141.218.60.56/~jnz1568/getInfo.php?workbook=03_02.xlsx&amp;sheet=A0&amp;row=654&amp;col=6&amp;number=&amp;sourceID=27","")</f>
        <v/>
      </c>
      <c r="G654" s="4" t="str">
        <f>HYPERLINK("http://141.218.60.56/~jnz1568/getInfo.php?workbook=03_02.xlsx&amp;sheet=A0&amp;row=654&amp;col=7&amp;number=0.5347&amp;sourceID=15","0.5347")</f>
        <v>0.5347</v>
      </c>
      <c r="H654" s="4" t="str">
        <f>HYPERLINK("http://141.218.60.56/~jnz1568/getInfo.php?workbook=03_02.xlsx&amp;sheet=A0&amp;row=654&amp;col=8&amp;number=&amp;sourceID=15","")</f>
        <v/>
      </c>
      <c r="I654" s="4" t="str">
        <f>HYPERLINK("http://141.218.60.56/~jnz1568/getInfo.php?workbook=03_02.xlsx&amp;sheet=A0&amp;row=654&amp;col=9&amp;number=&amp;sourceID=15","")</f>
        <v/>
      </c>
      <c r="J654" s="4" t="str">
        <f>HYPERLINK("http://141.218.60.56/~jnz1568/getInfo.php?workbook=03_02.xlsx&amp;sheet=A0&amp;row=654&amp;col=10&amp;number=&amp;sourceID=15","")</f>
        <v/>
      </c>
      <c r="K654" s="4" t="str">
        <f>HYPERLINK("http://141.218.60.56/~jnz1568/getInfo.php?workbook=03_02.xlsx&amp;sheet=A0&amp;row=654&amp;col=11&amp;number=0.1873&amp;sourceID=30","0.1873")</f>
        <v>0.1873</v>
      </c>
      <c r="L654" s="4" t="str">
        <f>HYPERLINK("http://141.218.60.56/~jnz1568/getInfo.php?workbook=03_02.xlsx&amp;sheet=A0&amp;row=654&amp;col=12&amp;number=&amp;sourceID=30","")</f>
        <v/>
      </c>
      <c r="M654" s="4" t="str">
        <f>HYPERLINK("http://141.218.60.56/~jnz1568/getInfo.php?workbook=03_02.xlsx&amp;sheet=A0&amp;row=654&amp;col=13&amp;number=&amp;sourceID=30","")</f>
        <v/>
      </c>
      <c r="N654" s="4" t="str">
        <f>HYPERLINK("http://141.218.60.56/~jnz1568/getInfo.php?workbook=03_02.xlsx&amp;sheet=A0&amp;row=654&amp;col=14&amp;number=2.994e-12&amp;sourceID=30","2.994e-12")</f>
        <v>2.994e-12</v>
      </c>
    </row>
    <row r="655" spans="1:14">
      <c r="A655" s="3">
        <v>3</v>
      </c>
      <c r="B655" s="3">
        <v>2</v>
      </c>
      <c r="C655" s="3">
        <v>40</v>
      </c>
      <c r="D655" s="3">
        <v>37</v>
      </c>
      <c r="E655" s="3">
        <f>((1/(INDEX(E0!J$4:J$52,C655,1)-INDEX(E0!J$4:J$52,D655,1))))*100000000</f>
        <v>0</v>
      </c>
      <c r="F655" s="4" t="str">
        <f>HYPERLINK("http://141.218.60.56/~jnz1568/getInfo.php?workbook=03_02.xlsx&amp;sheet=A0&amp;row=655&amp;col=6&amp;number=&amp;sourceID=27","")</f>
        <v/>
      </c>
      <c r="G655" s="4" t="str">
        <f>HYPERLINK("http://141.218.60.56/~jnz1568/getInfo.php?workbook=03_02.xlsx&amp;sheet=A0&amp;row=655&amp;col=7&amp;number=&amp;sourceID=15","")</f>
        <v/>
      </c>
      <c r="H655" s="4" t="str">
        <f>HYPERLINK("http://141.218.60.56/~jnz1568/getInfo.php?workbook=03_02.xlsx&amp;sheet=A0&amp;row=655&amp;col=8&amp;number=&amp;sourceID=15","")</f>
        <v/>
      </c>
      <c r="I655" s="4" t="str">
        <f>HYPERLINK("http://141.218.60.56/~jnz1568/getInfo.php?workbook=03_02.xlsx&amp;sheet=A0&amp;row=655&amp;col=9&amp;number=&amp;sourceID=15","")</f>
        <v/>
      </c>
      <c r="J655" s="4" t="str">
        <f>HYPERLINK("http://141.218.60.56/~jnz1568/getInfo.php?workbook=03_02.xlsx&amp;sheet=A0&amp;row=655&amp;col=10&amp;number=&amp;sourceID=15","")</f>
        <v/>
      </c>
      <c r="K655" s="4" t="str">
        <f>HYPERLINK("http://141.218.60.56/~jnz1568/getInfo.php?workbook=03_02.xlsx&amp;sheet=A0&amp;row=655&amp;col=11&amp;number=&amp;sourceID=30","")</f>
        <v/>
      </c>
      <c r="L655" s="4" t="str">
        <f>HYPERLINK("http://141.218.60.56/~jnz1568/getInfo.php?workbook=03_02.xlsx&amp;sheet=A0&amp;row=655&amp;col=12&amp;number=0&amp;sourceID=30","0")</f>
        <v>0</v>
      </c>
      <c r="M655" s="4" t="str">
        <f>HYPERLINK("http://141.218.60.56/~jnz1568/getInfo.php?workbook=03_02.xlsx&amp;sheet=A0&amp;row=655&amp;col=13&amp;number=5.176e-12&amp;sourceID=30","5.176e-12")</f>
        <v>5.176e-12</v>
      </c>
      <c r="N655" s="4" t="str">
        <f>HYPERLINK("http://141.218.60.56/~jnz1568/getInfo.php?workbook=03_02.xlsx&amp;sheet=A0&amp;row=655&amp;col=14&amp;number=&amp;sourceID=30","")</f>
        <v/>
      </c>
    </row>
    <row r="656" spans="1:14">
      <c r="A656" s="3">
        <v>3</v>
      </c>
      <c r="B656" s="3">
        <v>2</v>
      </c>
      <c r="C656" s="3">
        <v>40</v>
      </c>
      <c r="D656" s="3">
        <v>38</v>
      </c>
      <c r="E656" s="3">
        <f>((1/(INDEX(E0!J$4:J$52,C656,1)-INDEX(E0!J$4:J$52,D656,1))))*100000000</f>
        <v>0</v>
      </c>
      <c r="F656" s="4" t="str">
        <f>HYPERLINK("http://141.218.60.56/~jnz1568/getInfo.php?workbook=03_02.xlsx&amp;sheet=A0&amp;row=656&amp;col=6&amp;number=&amp;sourceID=27","")</f>
        <v/>
      </c>
      <c r="G656" s="4" t="str">
        <f>HYPERLINK("http://141.218.60.56/~jnz1568/getInfo.php?workbook=03_02.xlsx&amp;sheet=A0&amp;row=656&amp;col=7&amp;number=&amp;sourceID=15","")</f>
        <v/>
      </c>
      <c r="H656" s="4" t="str">
        <f>HYPERLINK("http://141.218.60.56/~jnz1568/getInfo.php?workbook=03_02.xlsx&amp;sheet=A0&amp;row=656&amp;col=8&amp;number=&amp;sourceID=15","")</f>
        <v/>
      </c>
      <c r="I656" s="4" t="str">
        <f>HYPERLINK("http://141.218.60.56/~jnz1568/getInfo.php?workbook=03_02.xlsx&amp;sheet=A0&amp;row=656&amp;col=9&amp;number=&amp;sourceID=15","")</f>
        <v/>
      </c>
      <c r="J656" s="4" t="str">
        <f>HYPERLINK("http://141.218.60.56/~jnz1568/getInfo.php?workbook=03_02.xlsx&amp;sheet=A0&amp;row=656&amp;col=10&amp;number=&amp;sourceID=15","")</f>
        <v/>
      </c>
      <c r="K656" s="4" t="str">
        <f>HYPERLINK("http://141.218.60.56/~jnz1568/getInfo.php?workbook=03_02.xlsx&amp;sheet=A0&amp;row=656&amp;col=11&amp;number=&amp;sourceID=30","")</f>
        <v/>
      </c>
      <c r="L656" s="4" t="str">
        <f>HYPERLINK("http://141.218.60.56/~jnz1568/getInfo.php?workbook=03_02.xlsx&amp;sheet=A0&amp;row=656&amp;col=12&amp;number=0&amp;sourceID=30","0")</f>
        <v>0</v>
      </c>
      <c r="M656" s="4" t="str">
        <f>HYPERLINK("http://141.218.60.56/~jnz1568/getInfo.php?workbook=03_02.xlsx&amp;sheet=A0&amp;row=656&amp;col=13&amp;number=1.026e-12&amp;sourceID=30","1.026e-12")</f>
        <v>1.026e-12</v>
      </c>
      <c r="N656" s="4" t="str">
        <f>HYPERLINK("http://141.218.60.56/~jnz1568/getInfo.php?workbook=03_02.xlsx&amp;sheet=A0&amp;row=656&amp;col=14&amp;number=&amp;sourceID=30","")</f>
        <v/>
      </c>
    </row>
    <row r="657" spans="1:14">
      <c r="A657" s="3">
        <v>3</v>
      </c>
      <c r="B657" s="3">
        <v>2</v>
      </c>
      <c r="C657" s="3">
        <v>40</v>
      </c>
      <c r="D657" s="3">
        <v>39</v>
      </c>
      <c r="E657" s="3">
        <f>((1/(INDEX(E0!J$4:J$52,C657,1)-INDEX(E0!J$4:J$52,D657,1))))*100000000</f>
        <v>0</v>
      </c>
      <c r="F657" s="4" t="str">
        <f>HYPERLINK("http://141.218.60.56/~jnz1568/getInfo.php?workbook=03_02.xlsx&amp;sheet=A0&amp;row=657&amp;col=6&amp;number=&amp;sourceID=27","")</f>
        <v/>
      </c>
      <c r="G657" s="4" t="str">
        <f>HYPERLINK("http://141.218.60.56/~jnz1568/getInfo.php?workbook=03_02.xlsx&amp;sheet=A0&amp;row=657&amp;col=7&amp;number=&amp;sourceID=15","")</f>
        <v/>
      </c>
      <c r="H657" s="4" t="str">
        <f>HYPERLINK("http://141.218.60.56/~jnz1568/getInfo.php?workbook=03_02.xlsx&amp;sheet=A0&amp;row=657&amp;col=8&amp;number=&amp;sourceID=15","")</f>
        <v/>
      </c>
      <c r="I657" s="4" t="str">
        <f>HYPERLINK("http://141.218.60.56/~jnz1568/getInfo.php?workbook=03_02.xlsx&amp;sheet=A0&amp;row=657&amp;col=9&amp;number=&amp;sourceID=15","")</f>
        <v/>
      </c>
      <c r="J657" s="4" t="str">
        <f>HYPERLINK("http://141.218.60.56/~jnz1568/getInfo.php?workbook=03_02.xlsx&amp;sheet=A0&amp;row=657&amp;col=10&amp;number=&amp;sourceID=15","")</f>
        <v/>
      </c>
      <c r="K657" s="4" t="str">
        <f>HYPERLINK("http://141.218.60.56/~jnz1568/getInfo.php?workbook=03_02.xlsx&amp;sheet=A0&amp;row=657&amp;col=11&amp;number=&amp;sourceID=30","")</f>
        <v/>
      </c>
      <c r="L657" s="4" t="str">
        <f>HYPERLINK("http://141.218.60.56/~jnz1568/getInfo.php?workbook=03_02.xlsx&amp;sheet=A0&amp;row=657&amp;col=12&amp;number=0&amp;sourceID=30","0")</f>
        <v>0</v>
      </c>
      <c r="M657" s="4" t="str">
        <f>HYPERLINK("http://141.218.60.56/~jnz1568/getInfo.php?workbook=03_02.xlsx&amp;sheet=A0&amp;row=657&amp;col=13&amp;number=5.012e-12&amp;sourceID=30","5.012e-12")</f>
        <v>5.012e-12</v>
      </c>
      <c r="N657" s="4" t="str">
        <f>HYPERLINK("http://141.218.60.56/~jnz1568/getInfo.php?workbook=03_02.xlsx&amp;sheet=A0&amp;row=657&amp;col=14&amp;number=&amp;sourceID=30","")</f>
        <v/>
      </c>
    </row>
    <row r="658" spans="1:14">
      <c r="A658" s="3">
        <v>3</v>
      </c>
      <c r="B658" s="3">
        <v>2</v>
      </c>
      <c r="C658" s="3">
        <v>40</v>
      </c>
      <c r="D658" s="3">
        <v>44</v>
      </c>
      <c r="E658" s="3">
        <f>((1/(INDEX(E0!J$4:J$52,C658,1)-INDEX(E0!J$4:J$52,D658,1))))*100000000</f>
        <v>0</v>
      </c>
      <c r="F658" s="4" t="str">
        <f>HYPERLINK("http://141.218.60.56/~jnz1568/getInfo.php?workbook=03_02.xlsx&amp;sheet=A0&amp;row=658&amp;col=6&amp;number=&amp;sourceID=27","")</f>
        <v/>
      </c>
      <c r="G658" s="4" t="str">
        <f>HYPERLINK("http://141.218.60.56/~jnz1568/getInfo.php?workbook=03_02.xlsx&amp;sheet=A0&amp;row=658&amp;col=7&amp;number=&amp;sourceID=15","")</f>
        <v/>
      </c>
      <c r="H658" s="4" t="str">
        <f>HYPERLINK("http://141.218.60.56/~jnz1568/getInfo.php?workbook=03_02.xlsx&amp;sheet=A0&amp;row=658&amp;col=8&amp;number=&amp;sourceID=15","")</f>
        <v/>
      </c>
      <c r="I658" s="4" t="str">
        <f>HYPERLINK("http://141.218.60.56/~jnz1568/getInfo.php?workbook=03_02.xlsx&amp;sheet=A0&amp;row=658&amp;col=9&amp;number=&amp;sourceID=15","")</f>
        <v/>
      </c>
      <c r="J658" s="4" t="str">
        <f>HYPERLINK("http://141.218.60.56/~jnz1568/getInfo.php?workbook=03_02.xlsx&amp;sheet=A0&amp;row=658&amp;col=10&amp;number=&amp;sourceID=15","")</f>
        <v/>
      </c>
      <c r="K658" s="4" t="str">
        <f>HYPERLINK("http://141.218.60.56/~jnz1568/getInfo.php?workbook=03_02.xlsx&amp;sheet=A0&amp;row=658&amp;col=11&amp;number=&amp;sourceID=30","")</f>
        <v/>
      </c>
      <c r="L658" s="4" t="str">
        <f>HYPERLINK("http://141.218.60.56/~jnz1568/getInfo.php?workbook=03_02.xlsx&amp;sheet=A0&amp;row=658&amp;col=12&amp;number=0&amp;sourceID=30","0")</f>
        <v>0</v>
      </c>
      <c r="M658" s="4" t="str">
        <f>HYPERLINK("http://141.218.60.56/~jnz1568/getInfo.php?workbook=03_02.xlsx&amp;sheet=A0&amp;row=658&amp;col=13&amp;number=0&amp;sourceID=30","0")</f>
        <v>0</v>
      </c>
      <c r="N658" s="4" t="str">
        <f>HYPERLINK("http://141.218.60.56/~jnz1568/getInfo.php?workbook=03_02.xlsx&amp;sheet=A0&amp;row=658&amp;col=14&amp;number=&amp;sourceID=30","")</f>
        <v/>
      </c>
    </row>
    <row r="659" spans="1:14">
      <c r="A659" s="3">
        <v>3</v>
      </c>
      <c r="B659" s="3">
        <v>2</v>
      </c>
      <c r="C659" s="3">
        <v>40</v>
      </c>
      <c r="D659" s="3">
        <v>45</v>
      </c>
      <c r="E659" s="3">
        <f>((1/(INDEX(E0!J$4:J$52,C659,1)-INDEX(E0!J$4:J$52,D659,1))))*100000000</f>
        <v>0</v>
      </c>
      <c r="F659" s="4" t="str">
        <f>HYPERLINK("http://141.218.60.56/~jnz1568/getInfo.php?workbook=03_02.xlsx&amp;sheet=A0&amp;row=659&amp;col=6&amp;number=&amp;sourceID=27","")</f>
        <v/>
      </c>
      <c r="G659" s="4" t="str">
        <f>HYPERLINK("http://141.218.60.56/~jnz1568/getInfo.php?workbook=03_02.xlsx&amp;sheet=A0&amp;row=659&amp;col=7&amp;number=&amp;sourceID=15","")</f>
        <v/>
      </c>
      <c r="H659" s="4" t="str">
        <f>HYPERLINK("http://141.218.60.56/~jnz1568/getInfo.php?workbook=03_02.xlsx&amp;sheet=A0&amp;row=659&amp;col=8&amp;number=&amp;sourceID=15","")</f>
        <v/>
      </c>
      <c r="I659" s="4" t="str">
        <f>HYPERLINK("http://141.218.60.56/~jnz1568/getInfo.php?workbook=03_02.xlsx&amp;sheet=A0&amp;row=659&amp;col=9&amp;number=&amp;sourceID=15","")</f>
        <v/>
      </c>
      <c r="J659" s="4" t="str">
        <f>HYPERLINK("http://141.218.60.56/~jnz1568/getInfo.php?workbook=03_02.xlsx&amp;sheet=A0&amp;row=659&amp;col=10&amp;number=&amp;sourceID=15","")</f>
        <v/>
      </c>
      <c r="K659" s="4" t="str">
        <f>HYPERLINK("http://141.218.60.56/~jnz1568/getInfo.php?workbook=03_02.xlsx&amp;sheet=A0&amp;row=659&amp;col=11&amp;number=&amp;sourceID=30","")</f>
        <v/>
      </c>
      <c r="L659" s="4" t="str">
        <f>HYPERLINK("http://141.218.60.56/~jnz1568/getInfo.php?workbook=03_02.xlsx&amp;sheet=A0&amp;row=659&amp;col=12&amp;number=2e-15&amp;sourceID=30","2e-15")</f>
        <v>2e-15</v>
      </c>
      <c r="M659" s="4" t="str">
        <f>HYPERLINK("http://141.218.60.56/~jnz1568/getInfo.php?workbook=03_02.xlsx&amp;sheet=A0&amp;row=659&amp;col=13&amp;number=&amp;sourceID=30","")</f>
        <v/>
      </c>
      <c r="N659" s="4" t="str">
        <f>HYPERLINK("http://141.218.60.56/~jnz1568/getInfo.php?workbook=03_02.xlsx&amp;sheet=A0&amp;row=659&amp;col=14&amp;number=&amp;sourceID=30","")</f>
        <v/>
      </c>
    </row>
    <row r="660" spans="1:14">
      <c r="A660" s="3">
        <v>3</v>
      </c>
      <c r="B660" s="3">
        <v>2</v>
      </c>
      <c r="C660" s="3">
        <v>40</v>
      </c>
      <c r="D660" s="3">
        <v>47</v>
      </c>
      <c r="E660" s="3">
        <f>((1/(INDEX(E0!J$4:J$52,C660,1)-INDEX(E0!J$4:J$52,D660,1))))*100000000</f>
        <v>0</v>
      </c>
      <c r="F660" s="4" t="str">
        <f>HYPERLINK("http://141.218.60.56/~jnz1568/getInfo.php?workbook=03_02.xlsx&amp;sheet=A0&amp;row=660&amp;col=6&amp;number=&amp;sourceID=27","")</f>
        <v/>
      </c>
      <c r="G660" s="4" t="str">
        <f>HYPERLINK("http://141.218.60.56/~jnz1568/getInfo.php?workbook=03_02.xlsx&amp;sheet=A0&amp;row=660&amp;col=7&amp;number=&amp;sourceID=15","")</f>
        <v/>
      </c>
      <c r="H660" s="4" t="str">
        <f>HYPERLINK("http://141.218.60.56/~jnz1568/getInfo.php?workbook=03_02.xlsx&amp;sheet=A0&amp;row=660&amp;col=8&amp;number=&amp;sourceID=15","")</f>
        <v/>
      </c>
      <c r="I660" s="4" t="str">
        <f>HYPERLINK("http://141.218.60.56/~jnz1568/getInfo.php?workbook=03_02.xlsx&amp;sheet=A0&amp;row=660&amp;col=9&amp;number=&amp;sourceID=15","")</f>
        <v/>
      </c>
      <c r="J660" s="4" t="str">
        <f>HYPERLINK("http://141.218.60.56/~jnz1568/getInfo.php?workbook=03_02.xlsx&amp;sheet=A0&amp;row=660&amp;col=10&amp;number=&amp;sourceID=15","")</f>
        <v/>
      </c>
      <c r="K660" s="4" t="str">
        <f>HYPERLINK("http://141.218.60.56/~jnz1568/getInfo.php?workbook=03_02.xlsx&amp;sheet=A0&amp;row=660&amp;col=11&amp;number=&amp;sourceID=30","")</f>
        <v/>
      </c>
      <c r="L660" s="4" t="str">
        <f>HYPERLINK("http://141.218.60.56/~jnz1568/getInfo.php?workbook=03_02.xlsx&amp;sheet=A0&amp;row=660&amp;col=12&amp;number=3e-15&amp;sourceID=30","3e-15")</f>
        <v>3e-15</v>
      </c>
      <c r="M660" s="4" t="str">
        <f>HYPERLINK("http://141.218.60.56/~jnz1568/getInfo.php?workbook=03_02.xlsx&amp;sheet=A0&amp;row=660&amp;col=13&amp;number=&amp;sourceID=30","")</f>
        <v/>
      </c>
      <c r="N660" s="4" t="str">
        <f>HYPERLINK("http://141.218.60.56/~jnz1568/getInfo.php?workbook=03_02.xlsx&amp;sheet=A0&amp;row=660&amp;col=14&amp;number=&amp;sourceID=30","")</f>
        <v/>
      </c>
    </row>
    <row r="661" spans="1:14">
      <c r="A661" s="3">
        <v>3</v>
      </c>
      <c r="B661" s="3">
        <v>2</v>
      </c>
      <c r="C661" s="3">
        <v>41</v>
      </c>
      <c r="D661" s="3">
        <v>1</v>
      </c>
      <c r="E661" s="3">
        <f>((1/(INDEX(E0!J$4:J$52,C661,1)-INDEX(E0!J$4:J$52,D661,1))))*100000000</f>
        <v>0</v>
      </c>
      <c r="F661" s="4" t="str">
        <f>HYPERLINK("http://141.218.60.56/~jnz1568/getInfo.php?workbook=03_02.xlsx&amp;sheet=A0&amp;row=661&amp;col=6&amp;number=&amp;sourceID=27","")</f>
        <v/>
      </c>
      <c r="G661" s="4" t="str">
        <f>HYPERLINK("http://141.218.60.56/~jnz1568/getInfo.php?workbook=03_02.xlsx&amp;sheet=A0&amp;row=661&amp;col=7&amp;number=&amp;sourceID=15","")</f>
        <v/>
      </c>
      <c r="H661" s="4" t="str">
        <f>HYPERLINK("http://141.218.60.56/~jnz1568/getInfo.php?workbook=03_02.xlsx&amp;sheet=A0&amp;row=661&amp;col=8&amp;number=&amp;sourceID=15","")</f>
        <v/>
      </c>
      <c r="I661" s="4" t="str">
        <f>HYPERLINK("http://141.218.60.56/~jnz1568/getInfo.php?workbook=03_02.xlsx&amp;sheet=A0&amp;row=661&amp;col=9&amp;number=&amp;sourceID=15","")</f>
        <v/>
      </c>
      <c r="J661" s="4" t="str">
        <f>HYPERLINK("http://141.218.60.56/~jnz1568/getInfo.php?workbook=03_02.xlsx&amp;sheet=A0&amp;row=661&amp;col=10&amp;number=&amp;sourceID=15","")</f>
        <v/>
      </c>
      <c r="K661" s="4" t="str">
        <f>HYPERLINK("http://141.218.60.56/~jnz1568/getInfo.php?workbook=03_02.xlsx&amp;sheet=A0&amp;row=661&amp;col=11&amp;number=&amp;sourceID=30","")</f>
        <v/>
      </c>
      <c r="L661" s="4" t="str">
        <f>HYPERLINK("http://141.218.60.56/~jnz1568/getInfo.php?workbook=03_02.xlsx&amp;sheet=A0&amp;row=661&amp;col=12&amp;number=&amp;sourceID=30","")</f>
        <v/>
      </c>
      <c r="M661" s="4" t="str">
        <f>HYPERLINK("http://141.218.60.56/~jnz1568/getInfo.php?workbook=03_02.xlsx&amp;sheet=A0&amp;row=661&amp;col=13&amp;number=&amp;sourceID=30","")</f>
        <v/>
      </c>
      <c r="N661" s="4" t="str">
        <f>HYPERLINK("http://141.218.60.56/~jnz1568/getInfo.php?workbook=03_02.xlsx&amp;sheet=A0&amp;row=661&amp;col=14&amp;number=5.18e-05&amp;sourceID=30","5.18e-05")</f>
        <v>5.18e-05</v>
      </c>
    </row>
    <row r="662" spans="1:14">
      <c r="A662" s="3">
        <v>3</v>
      </c>
      <c r="B662" s="3">
        <v>2</v>
      </c>
      <c r="C662" s="3">
        <v>41</v>
      </c>
      <c r="D662" s="3">
        <v>2</v>
      </c>
      <c r="E662" s="3">
        <f>((1/(INDEX(E0!J$4:J$52,C662,1)-INDEX(E0!J$4:J$52,D662,1))))*100000000</f>
        <v>0</v>
      </c>
      <c r="F662" s="4" t="str">
        <f>HYPERLINK("http://141.218.60.56/~jnz1568/getInfo.php?workbook=03_02.xlsx&amp;sheet=A0&amp;row=662&amp;col=6&amp;number=&amp;sourceID=27","")</f>
        <v/>
      </c>
      <c r="G662" s="4" t="str">
        <f>HYPERLINK("http://141.218.60.56/~jnz1568/getInfo.php?workbook=03_02.xlsx&amp;sheet=A0&amp;row=662&amp;col=7&amp;number=&amp;sourceID=15","")</f>
        <v/>
      </c>
      <c r="H662" s="4" t="str">
        <f>HYPERLINK("http://141.218.60.56/~jnz1568/getInfo.php?workbook=03_02.xlsx&amp;sheet=A0&amp;row=662&amp;col=8&amp;number=&amp;sourceID=15","")</f>
        <v/>
      </c>
      <c r="I662" s="4" t="str">
        <f>HYPERLINK("http://141.218.60.56/~jnz1568/getInfo.php?workbook=03_02.xlsx&amp;sheet=A0&amp;row=662&amp;col=9&amp;number=&amp;sourceID=15","")</f>
        <v/>
      </c>
      <c r="J662" s="4" t="str">
        <f>HYPERLINK("http://141.218.60.56/~jnz1568/getInfo.php?workbook=03_02.xlsx&amp;sheet=A0&amp;row=662&amp;col=10&amp;number=&amp;sourceID=15","")</f>
        <v/>
      </c>
      <c r="K662" s="4" t="str">
        <f>HYPERLINK("http://141.218.60.56/~jnz1568/getInfo.php?workbook=03_02.xlsx&amp;sheet=A0&amp;row=662&amp;col=11&amp;number=0.006164&amp;sourceID=30","0.006164")</f>
        <v>0.006164</v>
      </c>
      <c r="L662" s="4" t="str">
        <f>HYPERLINK("http://141.218.60.56/~jnz1568/getInfo.php?workbook=03_02.xlsx&amp;sheet=A0&amp;row=662&amp;col=12&amp;number=&amp;sourceID=30","")</f>
        <v/>
      </c>
      <c r="M662" s="4" t="str">
        <f>HYPERLINK("http://141.218.60.56/~jnz1568/getInfo.php?workbook=03_02.xlsx&amp;sheet=A0&amp;row=662&amp;col=13&amp;number=&amp;sourceID=30","")</f>
        <v/>
      </c>
      <c r="N662" s="4" t="str">
        <f>HYPERLINK("http://141.218.60.56/~jnz1568/getInfo.php?workbook=03_02.xlsx&amp;sheet=A0&amp;row=662&amp;col=14&amp;number=3.1e-14&amp;sourceID=30","3.1e-14")</f>
        <v>3.1e-14</v>
      </c>
    </row>
    <row r="663" spans="1:14">
      <c r="A663" s="3">
        <v>3</v>
      </c>
      <c r="B663" s="3">
        <v>2</v>
      </c>
      <c r="C663" s="3">
        <v>41</v>
      </c>
      <c r="D663" s="3">
        <v>3</v>
      </c>
      <c r="E663" s="3">
        <f>((1/(INDEX(E0!J$4:J$52,C663,1)-INDEX(E0!J$4:J$52,D663,1))))*100000000</f>
        <v>0</v>
      </c>
      <c r="F663" s="4" t="str">
        <f>HYPERLINK("http://141.218.60.56/~jnz1568/getInfo.php?workbook=03_02.xlsx&amp;sheet=A0&amp;row=663&amp;col=6&amp;number=&amp;sourceID=27","")</f>
        <v/>
      </c>
      <c r="G663" s="4" t="str">
        <f>HYPERLINK("http://141.218.60.56/~jnz1568/getInfo.php?workbook=03_02.xlsx&amp;sheet=A0&amp;row=663&amp;col=7&amp;number=&amp;sourceID=15","")</f>
        <v/>
      </c>
      <c r="H663" s="4" t="str">
        <f>HYPERLINK("http://141.218.60.56/~jnz1568/getInfo.php?workbook=03_02.xlsx&amp;sheet=A0&amp;row=663&amp;col=8&amp;number=&amp;sourceID=15","")</f>
        <v/>
      </c>
      <c r="I663" s="4" t="str">
        <f>HYPERLINK("http://141.218.60.56/~jnz1568/getInfo.php?workbook=03_02.xlsx&amp;sheet=A0&amp;row=663&amp;col=9&amp;number=&amp;sourceID=15","")</f>
        <v/>
      </c>
      <c r="J663" s="4" t="str">
        <f>HYPERLINK("http://141.218.60.56/~jnz1568/getInfo.php?workbook=03_02.xlsx&amp;sheet=A0&amp;row=663&amp;col=10&amp;number=&amp;sourceID=15","")</f>
        <v/>
      </c>
      <c r="K663" s="4" t="str">
        <f>HYPERLINK("http://141.218.60.56/~jnz1568/getInfo.php?workbook=03_02.xlsx&amp;sheet=A0&amp;row=663&amp;col=11&amp;number=&amp;sourceID=30","")</f>
        <v/>
      </c>
      <c r="L663" s="4" t="str">
        <f>HYPERLINK("http://141.218.60.56/~jnz1568/getInfo.php?workbook=03_02.xlsx&amp;sheet=A0&amp;row=663&amp;col=12&amp;number=&amp;sourceID=30","")</f>
        <v/>
      </c>
      <c r="M663" s="4" t="str">
        <f>HYPERLINK("http://141.218.60.56/~jnz1568/getInfo.php?workbook=03_02.xlsx&amp;sheet=A0&amp;row=663&amp;col=13&amp;number=&amp;sourceID=30","")</f>
        <v/>
      </c>
      <c r="N663" s="4" t="str">
        <f>HYPERLINK("http://141.218.60.56/~jnz1568/getInfo.php?workbook=03_02.xlsx&amp;sheet=A0&amp;row=663&amp;col=14&amp;number=1.442e-11&amp;sourceID=30","1.442e-11")</f>
        <v>1.442e-11</v>
      </c>
    </row>
    <row r="664" spans="1:14">
      <c r="A664" s="3">
        <v>3</v>
      </c>
      <c r="B664" s="3">
        <v>2</v>
      </c>
      <c r="C664" s="3">
        <v>41</v>
      </c>
      <c r="D664" s="3">
        <v>4</v>
      </c>
      <c r="E664" s="3">
        <f>((1/(INDEX(E0!J$4:J$52,C664,1)-INDEX(E0!J$4:J$52,D664,1))))*100000000</f>
        <v>0</v>
      </c>
      <c r="F664" s="4" t="str">
        <f>HYPERLINK("http://141.218.60.56/~jnz1568/getInfo.php?workbook=03_02.xlsx&amp;sheet=A0&amp;row=664&amp;col=6&amp;number=&amp;sourceID=27","")</f>
        <v/>
      </c>
      <c r="G664" s="4" t="str">
        <f>HYPERLINK("http://141.218.60.56/~jnz1568/getInfo.php?workbook=03_02.xlsx&amp;sheet=A0&amp;row=664&amp;col=7&amp;number=&amp;sourceID=15","")</f>
        <v/>
      </c>
      <c r="H664" s="4" t="str">
        <f>HYPERLINK("http://141.218.60.56/~jnz1568/getInfo.php?workbook=03_02.xlsx&amp;sheet=A0&amp;row=664&amp;col=8&amp;number=&amp;sourceID=15","")</f>
        <v/>
      </c>
      <c r="I664" s="4" t="str">
        <f>HYPERLINK("http://141.218.60.56/~jnz1568/getInfo.php?workbook=03_02.xlsx&amp;sheet=A0&amp;row=664&amp;col=9&amp;number=&amp;sourceID=15","")</f>
        <v/>
      </c>
      <c r="J664" s="4" t="str">
        <f>HYPERLINK("http://141.218.60.56/~jnz1568/getInfo.php?workbook=03_02.xlsx&amp;sheet=A0&amp;row=664&amp;col=10&amp;number=&amp;sourceID=15","")</f>
        <v/>
      </c>
      <c r="K664" s="4" t="str">
        <f>HYPERLINK("http://141.218.60.56/~jnz1568/getInfo.php?workbook=03_02.xlsx&amp;sheet=A0&amp;row=664&amp;col=11&amp;number=&amp;sourceID=30","")</f>
        <v/>
      </c>
      <c r="L664" s="4" t="str">
        <f>HYPERLINK("http://141.218.60.56/~jnz1568/getInfo.php?workbook=03_02.xlsx&amp;sheet=A0&amp;row=664&amp;col=12&amp;number=1655&amp;sourceID=30","1655")</f>
        <v>1655</v>
      </c>
      <c r="M664" s="4" t="str">
        <f>HYPERLINK("http://141.218.60.56/~jnz1568/getInfo.php?workbook=03_02.xlsx&amp;sheet=A0&amp;row=664&amp;col=13&amp;number=1.94e-08&amp;sourceID=30","1.94e-08")</f>
        <v>1.94e-08</v>
      </c>
      <c r="N664" s="4" t="str">
        <f>HYPERLINK("http://141.218.60.56/~jnz1568/getInfo.php?workbook=03_02.xlsx&amp;sheet=A0&amp;row=664&amp;col=14&amp;number=&amp;sourceID=30","")</f>
        <v/>
      </c>
    </row>
    <row r="665" spans="1:14">
      <c r="A665" s="3">
        <v>3</v>
      </c>
      <c r="B665" s="3">
        <v>2</v>
      </c>
      <c r="C665" s="3">
        <v>41</v>
      </c>
      <c r="D665" s="3">
        <v>5</v>
      </c>
      <c r="E665" s="3">
        <f>((1/(INDEX(E0!J$4:J$52,C665,1)-INDEX(E0!J$4:J$52,D665,1))))*100000000</f>
        <v>0</v>
      </c>
      <c r="F665" s="4" t="str">
        <f>HYPERLINK("http://141.218.60.56/~jnz1568/getInfo.php?workbook=03_02.xlsx&amp;sheet=A0&amp;row=665&amp;col=6&amp;number=&amp;sourceID=27","")</f>
        <v/>
      </c>
      <c r="G665" s="4" t="str">
        <f>HYPERLINK("http://141.218.60.56/~jnz1568/getInfo.php?workbook=03_02.xlsx&amp;sheet=A0&amp;row=665&amp;col=7&amp;number=&amp;sourceID=15","")</f>
        <v/>
      </c>
      <c r="H665" s="4" t="str">
        <f>HYPERLINK("http://141.218.60.56/~jnz1568/getInfo.php?workbook=03_02.xlsx&amp;sheet=A0&amp;row=665&amp;col=8&amp;number=&amp;sourceID=15","")</f>
        <v/>
      </c>
      <c r="I665" s="4" t="str">
        <f>HYPERLINK("http://141.218.60.56/~jnz1568/getInfo.php?workbook=03_02.xlsx&amp;sheet=A0&amp;row=665&amp;col=9&amp;number=&amp;sourceID=15","")</f>
        <v/>
      </c>
      <c r="J665" s="4" t="str">
        <f>HYPERLINK("http://141.218.60.56/~jnz1568/getInfo.php?workbook=03_02.xlsx&amp;sheet=A0&amp;row=665&amp;col=10&amp;number=&amp;sourceID=15","")</f>
        <v/>
      </c>
      <c r="K665" s="4" t="str">
        <f>HYPERLINK("http://141.218.60.56/~jnz1568/getInfo.php?workbook=03_02.xlsx&amp;sheet=A0&amp;row=665&amp;col=11&amp;number=&amp;sourceID=30","")</f>
        <v/>
      </c>
      <c r="L665" s="4" t="str">
        <f>HYPERLINK("http://141.218.60.56/~jnz1568/getInfo.php?workbook=03_02.xlsx&amp;sheet=A0&amp;row=665&amp;col=12&amp;number=236.5&amp;sourceID=30","236.5")</f>
        <v>236.5</v>
      </c>
      <c r="M665" s="4" t="str">
        <f>HYPERLINK("http://141.218.60.56/~jnz1568/getInfo.php?workbook=03_02.xlsx&amp;sheet=A0&amp;row=665&amp;col=13&amp;number=4.226e-08&amp;sourceID=30","4.226e-08")</f>
        <v>4.226e-08</v>
      </c>
      <c r="N665" s="4" t="str">
        <f>HYPERLINK("http://141.218.60.56/~jnz1568/getInfo.php?workbook=03_02.xlsx&amp;sheet=A0&amp;row=665&amp;col=14&amp;number=&amp;sourceID=30","")</f>
        <v/>
      </c>
    </row>
    <row r="666" spans="1:14">
      <c r="A666" s="3">
        <v>3</v>
      </c>
      <c r="B666" s="3">
        <v>2</v>
      </c>
      <c r="C666" s="3">
        <v>41</v>
      </c>
      <c r="D666" s="3">
        <v>6</v>
      </c>
      <c r="E666" s="3">
        <f>((1/(INDEX(E0!J$4:J$52,C666,1)-INDEX(E0!J$4:J$52,D666,1))))*100000000</f>
        <v>0</v>
      </c>
      <c r="F666" s="4" t="str">
        <f>HYPERLINK("http://141.218.60.56/~jnz1568/getInfo.php?workbook=03_02.xlsx&amp;sheet=A0&amp;row=666&amp;col=6&amp;number=&amp;sourceID=27","")</f>
        <v/>
      </c>
      <c r="G666" s="4" t="str">
        <f>HYPERLINK("http://141.218.60.56/~jnz1568/getInfo.php?workbook=03_02.xlsx&amp;sheet=A0&amp;row=666&amp;col=7&amp;number=&amp;sourceID=15","")</f>
        <v/>
      </c>
      <c r="H666" s="4" t="str">
        <f>HYPERLINK("http://141.218.60.56/~jnz1568/getInfo.php?workbook=03_02.xlsx&amp;sheet=A0&amp;row=666&amp;col=8&amp;number=&amp;sourceID=15","")</f>
        <v/>
      </c>
      <c r="I666" s="4" t="str">
        <f>HYPERLINK("http://141.218.60.56/~jnz1568/getInfo.php?workbook=03_02.xlsx&amp;sheet=A0&amp;row=666&amp;col=9&amp;number=&amp;sourceID=15","")</f>
        <v/>
      </c>
      <c r="J666" s="4" t="str">
        <f>HYPERLINK("http://141.218.60.56/~jnz1568/getInfo.php?workbook=03_02.xlsx&amp;sheet=A0&amp;row=666&amp;col=10&amp;number=&amp;sourceID=15","")</f>
        <v/>
      </c>
      <c r="K666" s="4" t="str">
        <f>HYPERLINK("http://141.218.60.56/~jnz1568/getInfo.php?workbook=03_02.xlsx&amp;sheet=A0&amp;row=666&amp;col=11&amp;number=&amp;sourceID=30","")</f>
        <v/>
      </c>
      <c r="L666" s="4" t="str">
        <f>HYPERLINK("http://141.218.60.56/~jnz1568/getInfo.php?workbook=03_02.xlsx&amp;sheet=A0&amp;row=666&amp;col=12&amp;number=1654&amp;sourceID=30","1654")</f>
        <v>1654</v>
      </c>
      <c r="M666" s="4" t="str">
        <f>HYPERLINK("http://141.218.60.56/~jnz1568/getInfo.php?workbook=03_02.xlsx&amp;sheet=A0&amp;row=666&amp;col=13&amp;number=&amp;sourceID=30","")</f>
        <v/>
      </c>
      <c r="N666" s="4" t="str">
        <f>HYPERLINK("http://141.218.60.56/~jnz1568/getInfo.php?workbook=03_02.xlsx&amp;sheet=A0&amp;row=666&amp;col=14&amp;number=&amp;sourceID=30","")</f>
        <v/>
      </c>
    </row>
    <row r="667" spans="1:14">
      <c r="A667" s="3">
        <v>3</v>
      </c>
      <c r="B667" s="3">
        <v>2</v>
      </c>
      <c r="C667" s="3">
        <v>41</v>
      </c>
      <c r="D667" s="3">
        <v>7</v>
      </c>
      <c r="E667" s="3">
        <f>((1/(INDEX(E0!J$4:J$52,C667,1)-INDEX(E0!J$4:J$52,D667,1))))*100000000</f>
        <v>0</v>
      </c>
      <c r="F667" s="4" t="str">
        <f>HYPERLINK("http://141.218.60.56/~jnz1568/getInfo.php?workbook=03_02.xlsx&amp;sheet=A0&amp;row=667&amp;col=6&amp;number=&amp;sourceID=27","")</f>
        <v/>
      </c>
      <c r="G667" s="4" t="str">
        <f>HYPERLINK("http://141.218.60.56/~jnz1568/getInfo.php?workbook=03_02.xlsx&amp;sheet=A0&amp;row=667&amp;col=7&amp;number=&amp;sourceID=15","")</f>
        <v/>
      </c>
      <c r="H667" s="4" t="str">
        <f>HYPERLINK("http://141.218.60.56/~jnz1568/getInfo.php?workbook=03_02.xlsx&amp;sheet=A0&amp;row=667&amp;col=8&amp;number=&amp;sourceID=15","")</f>
        <v/>
      </c>
      <c r="I667" s="4" t="str">
        <f>HYPERLINK("http://141.218.60.56/~jnz1568/getInfo.php?workbook=03_02.xlsx&amp;sheet=A0&amp;row=667&amp;col=9&amp;number=&amp;sourceID=15","")</f>
        <v/>
      </c>
      <c r="J667" s="4" t="str">
        <f>HYPERLINK("http://141.218.60.56/~jnz1568/getInfo.php?workbook=03_02.xlsx&amp;sheet=A0&amp;row=667&amp;col=10&amp;number=&amp;sourceID=15","")</f>
        <v/>
      </c>
      <c r="K667" s="4" t="str">
        <f>HYPERLINK("http://141.218.60.56/~jnz1568/getInfo.php?workbook=03_02.xlsx&amp;sheet=A0&amp;row=667&amp;col=11&amp;number=&amp;sourceID=30","")</f>
        <v/>
      </c>
      <c r="L667" s="4" t="str">
        <f>HYPERLINK("http://141.218.60.56/~jnz1568/getInfo.php?workbook=03_02.xlsx&amp;sheet=A0&amp;row=667&amp;col=12&amp;number=0.0006093&amp;sourceID=30","0.0006093")</f>
        <v>0.0006093</v>
      </c>
      <c r="M667" s="4" t="str">
        <f>HYPERLINK("http://141.218.60.56/~jnz1568/getInfo.php?workbook=03_02.xlsx&amp;sheet=A0&amp;row=667&amp;col=13&amp;number=5.677e-08&amp;sourceID=30","5.677e-08")</f>
        <v>5.677e-08</v>
      </c>
      <c r="N667" s="4" t="str">
        <f>HYPERLINK("http://141.218.60.56/~jnz1568/getInfo.php?workbook=03_02.xlsx&amp;sheet=A0&amp;row=667&amp;col=14&amp;number=&amp;sourceID=30","")</f>
        <v/>
      </c>
    </row>
    <row r="668" spans="1:14">
      <c r="A668" s="3">
        <v>3</v>
      </c>
      <c r="B668" s="3">
        <v>2</v>
      </c>
      <c r="C668" s="3">
        <v>41</v>
      </c>
      <c r="D668" s="3">
        <v>8</v>
      </c>
      <c r="E668" s="3">
        <f>((1/(INDEX(E0!J$4:J$52,C668,1)-INDEX(E0!J$4:J$52,D668,1))))*100000000</f>
        <v>0</v>
      </c>
      <c r="F668" s="4" t="str">
        <f>HYPERLINK("http://141.218.60.56/~jnz1568/getInfo.php?workbook=03_02.xlsx&amp;sheet=A0&amp;row=668&amp;col=6&amp;number=&amp;sourceID=27","")</f>
        <v/>
      </c>
      <c r="G668" s="4" t="str">
        <f>HYPERLINK("http://141.218.60.56/~jnz1568/getInfo.php?workbook=03_02.xlsx&amp;sheet=A0&amp;row=668&amp;col=7&amp;number=&amp;sourceID=15","")</f>
        <v/>
      </c>
      <c r="H668" s="4" t="str">
        <f>HYPERLINK("http://141.218.60.56/~jnz1568/getInfo.php?workbook=03_02.xlsx&amp;sheet=A0&amp;row=668&amp;col=8&amp;number=&amp;sourceID=15","")</f>
        <v/>
      </c>
      <c r="I668" s="4" t="str">
        <f>HYPERLINK("http://141.218.60.56/~jnz1568/getInfo.php?workbook=03_02.xlsx&amp;sheet=A0&amp;row=668&amp;col=9&amp;number=&amp;sourceID=15","")</f>
        <v/>
      </c>
      <c r="J668" s="4" t="str">
        <f>HYPERLINK("http://141.218.60.56/~jnz1568/getInfo.php?workbook=03_02.xlsx&amp;sheet=A0&amp;row=668&amp;col=10&amp;number=&amp;sourceID=15","")</f>
        <v/>
      </c>
      <c r="K668" s="4" t="str">
        <f>HYPERLINK("http://141.218.60.56/~jnz1568/getInfo.php?workbook=03_02.xlsx&amp;sheet=A0&amp;row=668&amp;col=11&amp;number=0.007598&amp;sourceID=30","0.007598")</f>
        <v>0.007598</v>
      </c>
      <c r="L668" s="4" t="str">
        <f>HYPERLINK("http://141.218.60.56/~jnz1568/getInfo.php?workbook=03_02.xlsx&amp;sheet=A0&amp;row=668&amp;col=12&amp;number=&amp;sourceID=30","")</f>
        <v/>
      </c>
      <c r="M668" s="4" t="str">
        <f>HYPERLINK("http://141.218.60.56/~jnz1568/getInfo.php?workbook=03_02.xlsx&amp;sheet=A0&amp;row=668&amp;col=13&amp;number=&amp;sourceID=30","")</f>
        <v/>
      </c>
      <c r="N668" s="4" t="str">
        <f>HYPERLINK("http://141.218.60.56/~jnz1568/getInfo.php?workbook=03_02.xlsx&amp;sheet=A0&amp;row=668&amp;col=14&amp;number=3.5e-14&amp;sourceID=30","3.5e-14")</f>
        <v>3.5e-14</v>
      </c>
    </row>
    <row r="669" spans="1:14">
      <c r="A669" s="3">
        <v>3</v>
      </c>
      <c r="B669" s="3">
        <v>2</v>
      </c>
      <c r="C669" s="3">
        <v>41</v>
      </c>
      <c r="D669" s="3">
        <v>9</v>
      </c>
      <c r="E669" s="3">
        <f>((1/(INDEX(E0!J$4:J$52,C669,1)-INDEX(E0!J$4:J$52,D669,1))))*100000000</f>
        <v>0</v>
      </c>
      <c r="F669" s="4" t="str">
        <f>HYPERLINK("http://141.218.60.56/~jnz1568/getInfo.php?workbook=03_02.xlsx&amp;sheet=A0&amp;row=669&amp;col=6&amp;number=&amp;sourceID=27","")</f>
        <v/>
      </c>
      <c r="G669" s="4" t="str">
        <f>HYPERLINK("http://141.218.60.56/~jnz1568/getInfo.php?workbook=03_02.xlsx&amp;sheet=A0&amp;row=669&amp;col=7&amp;number=&amp;sourceID=15","")</f>
        <v/>
      </c>
      <c r="H669" s="4" t="str">
        <f>HYPERLINK("http://141.218.60.56/~jnz1568/getInfo.php?workbook=03_02.xlsx&amp;sheet=A0&amp;row=669&amp;col=8&amp;number=&amp;sourceID=15","")</f>
        <v/>
      </c>
      <c r="I669" s="4" t="str">
        <f>HYPERLINK("http://141.218.60.56/~jnz1568/getInfo.php?workbook=03_02.xlsx&amp;sheet=A0&amp;row=669&amp;col=9&amp;number=&amp;sourceID=15","")</f>
        <v/>
      </c>
      <c r="J669" s="4" t="str">
        <f>HYPERLINK("http://141.218.60.56/~jnz1568/getInfo.php?workbook=03_02.xlsx&amp;sheet=A0&amp;row=669&amp;col=10&amp;number=&amp;sourceID=15","")</f>
        <v/>
      </c>
      <c r="K669" s="4" t="str">
        <f>HYPERLINK("http://141.218.60.56/~jnz1568/getInfo.php?workbook=03_02.xlsx&amp;sheet=A0&amp;row=669&amp;col=11&amp;number=&amp;sourceID=30","")</f>
        <v/>
      </c>
      <c r="L669" s="4" t="str">
        <f>HYPERLINK("http://141.218.60.56/~jnz1568/getInfo.php?workbook=03_02.xlsx&amp;sheet=A0&amp;row=669&amp;col=12&amp;number=&amp;sourceID=30","")</f>
        <v/>
      </c>
      <c r="M669" s="4" t="str">
        <f>HYPERLINK("http://141.218.60.56/~jnz1568/getInfo.php?workbook=03_02.xlsx&amp;sheet=A0&amp;row=669&amp;col=13&amp;number=&amp;sourceID=30","")</f>
        <v/>
      </c>
      <c r="N669" s="4" t="str">
        <f>HYPERLINK("http://141.218.60.56/~jnz1568/getInfo.php?workbook=03_02.xlsx&amp;sheet=A0&amp;row=669&amp;col=14&amp;number=1e-15&amp;sourceID=30","1e-15")</f>
        <v>1e-15</v>
      </c>
    </row>
    <row r="670" spans="1:14">
      <c r="A670" s="3">
        <v>3</v>
      </c>
      <c r="B670" s="3">
        <v>2</v>
      </c>
      <c r="C670" s="3">
        <v>41</v>
      </c>
      <c r="D670" s="3">
        <v>10</v>
      </c>
      <c r="E670" s="3">
        <f>((1/(INDEX(E0!J$4:J$52,C670,1)-INDEX(E0!J$4:J$52,D670,1))))*100000000</f>
        <v>0</v>
      </c>
      <c r="F670" s="4" t="str">
        <f>HYPERLINK("http://141.218.60.56/~jnz1568/getInfo.php?workbook=03_02.xlsx&amp;sheet=A0&amp;row=670&amp;col=6&amp;number=&amp;sourceID=27","")</f>
        <v/>
      </c>
      <c r="G670" s="4" t="str">
        <f>HYPERLINK("http://141.218.60.56/~jnz1568/getInfo.php?workbook=03_02.xlsx&amp;sheet=A0&amp;row=670&amp;col=7&amp;number=&amp;sourceID=15","")</f>
        <v/>
      </c>
      <c r="H670" s="4" t="str">
        <f>HYPERLINK("http://141.218.60.56/~jnz1568/getInfo.php?workbook=03_02.xlsx&amp;sheet=A0&amp;row=670&amp;col=8&amp;number=&amp;sourceID=15","")</f>
        <v/>
      </c>
      <c r="I670" s="4" t="str">
        <f>HYPERLINK("http://141.218.60.56/~jnz1568/getInfo.php?workbook=03_02.xlsx&amp;sheet=A0&amp;row=670&amp;col=9&amp;number=&amp;sourceID=15","")</f>
        <v/>
      </c>
      <c r="J670" s="4" t="str">
        <f>HYPERLINK("http://141.218.60.56/~jnz1568/getInfo.php?workbook=03_02.xlsx&amp;sheet=A0&amp;row=670&amp;col=10&amp;number=&amp;sourceID=15","")</f>
        <v/>
      </c>
      <c r="K670" s="4" t="str">
        <f>HYPERLINK("http://141.218.60.56/~jnz1568/getInfo.php?workbook=03_02.xlsx&amp;sheet=A0&amp;row=670&amp;col=11&amp;number=&amp;sourceID=30","")</f>
        <v/>
      </c>
      <c r="L670" s="4" t="str">
        <f>HYPERLINK("http://141.218.60.56/~jnz1568/getInfo.php?workbook=03_02.xlsx&amp;sheet=A0&amp;row=670&amp;col=12&amp;number=3.875&amp;sourceID=30","3.875")</f>
        <v>3.875</v>
      </c>
      <c r="M670" s="4" t="str">
        <f>HYPERLINK("http://141.218.60.56/~jnz1568/getInfo.php?workbook=03_02.xlsx&amp;sheet=A0&amp;row=670&amp;col=13&amp;number=5.894e-10&amp;sourceID=30","5.894e-10")</f>
        <v>5.894e-10</v>
      </c>
      <c r="N670" s="4" t="str">
        <f>HYPERLINK("http://141.218.60.56/~jnz1568/getInfo.php?workbook=03_02.xlsx&amp;sheet=A0&amp;row=670&amp;col=14&amp;number=&amp;sourceID=30","")</f>
        <v/>
      </c>
    </row>
    <row r="671" spans="1:14">
      <c r="A671" s="3">
        <v>3</v>
      </c>
      <c r="B671" s="3">
        <v>2</v>
      </c>
      <c r="C671" s="3">
        <v>41</v>
      </c>
      <c r="D671" s="3">
        <v>11</v>
      </c>
      <c r="E671" s="3">
        <f>((1/(INDEX(E0!J$4:J$52,C671,1)-INDEX(E0!J$4:J$52,D671,1))))*100000000</f>
        <v>0</v>
      </c>
      <c r="F671" s="4" t="str">
        <f>HYPERLINK("http://141.218.60.56/~jnz1568/getInfo.php?workbook=03_02.xlsx&amp;sheet=A0&amp;row=671&amp;col=6&amp;number=&amp;sourceID=27","")</f>
        <v/>
      </c>
      <c r="G671" s="4" t="str">
        <f>HYPERLINK("http://141.218.60.56/~jnz1568/getInfo.php?workbook=03_02.xlsx&amp;sheet=A0&amp;row=671&amp;col=7&amp;number=&amp;sourceID=15","")</f>
        <v/>
      </c>
      <c r="H671" s="4" t="str">
        <f>HYPERLINK("http://141.218.60.56/~jnz1568/getInfo.php?workbook=03_02.xlsx&amp;sheet=A0&amp;row=671&amp;col=8&amp;number=&amp;sourceID=15","")</f>
        <v/>
      </c>
      <c r="I671" s="4" t="str">
        <f>HYPERLINK("http://141.218.60.56/~jnz1568/getInfo.php?workbook=03_02.xlsx&amp;sheet=A0&amp;row=671&amp;col=9&amp;number=&amp;sourceID=15","")</f>
        <v/>
      </c>
      <c r="J671" s="4" t="str">
        <f>HYPERLINK("http://141.218.60.56/~jnz1568/getInfo.php?workbook=03_02.xlsx&amp;sheet=A0&amp;row=671&amp;col=10&amp;number=&amp;sourceID=15","")</f>
        <v/>
      </c>
      <c r="K671" s="4" t="str">
        <f>HYPERLINK("http://141.218.60.56/~jnz1568/getInfo.php?workbook=03_02.xlsx&amp;sheet=A0&amp;row=671&amp;col=11&amp;number=&amp;sourceID=30","")</f>
        <v/>
      </c>
      <c r="L671" s="4" t="str">
        <f>HYPERLINK("http://141.218.60.56/~jnz1568/getInfo.php?workbook=03_02.xlsx&amp;sheet=A0&amp;row=671&amp;col=12&amp;number=0.5528&amp;sourceID=30","0.5528")</f>
        <v>0.5528</v>
      </c>
      <c r="M671" s="4" t="str">
        <f>HYPERLINK("http://141.218.60.56/~jnz1568/getInfo.php?workbook=03_02.xlsx&amp;sheet=A0&amp;row=671&amp;col=13&amp;number=7.974e-10&amp;sourceID=30","7.974e-10")</f>
        <v>7.974e-10</v>
      </c>
      <c r="N671" s="4" t="str">
        <f>HYPERLINK("http://141.218.60.56/~jnz1568/getInfo.php?workbook=03_02.xlsx&amp;sheet=A0&amp;row=671&amp;col=14&amp;number=&amp;sourceID=30","")</f>
        <v/>
      </c>
    </row>
    <row r="672" spans="1:14">
      <c r="A672" s="3">
        <v>3</v>
      </c>
      <c r="B672" s="3">
        <v>2</v>
      </c>
      <c r="C672" s="3">
        <v>41</v>
      </c>
      <c r="D672" s="3">
        <v>12</v>
      </c>
      <c r="E672" s="3">
        <f>((1/(INDEX(E0!J$4:J$52,C672,1)-INDEX(E0!J$4:J$52,D672,1))))*100000000</f>
        <v>0</v>
      </c>
      <c r="F672" s="4" t="str">
        <f>HYPERLINK("http://141.218.60.56/~jnz1568/getInfo.php?workbook=03_02.xlsx&amp;sheet=A0&amp;row=672&amp;col=6&amp;number=&amp;sourceID=27","")</f>
        <v/>
      </c>
      <c r="G672" s="4" t="str">
        <f>HYPERLINK("http://141.218.60.56/~jnz1568/getInfo.php?workbook=03_02.xlsx&amp;sheet=A0&amp;row=672&amp;col=7&amp;number=&amp;sourceID=15","")</f>
        <v/>
      </c>
      <c r="H672" s="4" t="str">
        <f>HYPERLINK("http://141.218.60.56/~jnz1568/getInfo.php?workbook=03_02.xlsx&amp;sheet=A0&amp;row=672&amp;col=8&amp;number=&amp;sourceID=15","")</f>
        <v/>
      </c>
      <c r="I672" s="4" t="str">
        <f>HYPERLINK("http://141.218.60.56/~jnz1568/getInfo.php?workbook=03_02.xlsx&amp;sheet=A0&amp;row=672&amp;col=9&amp;number=&amp;sourceID=15","")</f>
        <v/>
      </c>
      <c r="J672" s="4" t="str">
        <f>HYPERLINK("http://141.218.60.56/~jnz1568/getInfo.php?workbook=03_02.xlsx&amp;sheet=A0&amp;row=672&amp;col=10&amp;number=&amp;sourceID=15","")</f>
        <v/>
      </c>
      <c r="K672" s="4" t="str">
        <f>HYPERLINK("http://141.218.60.56/~jnz1568/getInfo.php?workbook=03_02.xlsx&amp;sheet=A0&amp;row=672&amp;col=11&amp;number=&amp;sourceID=30","")</f>
        <v/>
      </c>
      <c r="L672" s="4" t="str">
        <f>HYPERLINK("http://141.218.60.56/~jnz1568/getInfo.php?workbook=03_02.xlsx&amp;sheet=A0&amp;row=672&amp;col=12&amp;number=3.876&amp;sourceID=30","3.876")</f>
        <v>3.876</v>
      </c>
      <c r="M672" s="4" t="str">
        <f>HYPERLINK("http://141.218.60.56/~jnz1568/getInfo.php?workbook=03_02.xlsx&amp;sheet=A0&amp;row=672&amp;col=13&amp;number=&amp;sourceID=30","")</f>
        <v/>
      </c>
      <c r="N672" s="4" t="str">
        <f>HYPERLINK("http://141.218.60.56/~jnz1568/getInfo.php?workbook=03_02.xlsx&amp;sheet=A0&amp;row=672&amp;col=14&amp;number=&amp;sourceID=30","")</f>
        <v/>
      </c>
    </row>
    <row r="673" spans="1:14">
      <c r="A673" s="3">
        <v>3</v>
      </c>
      <c r="B673" s="3">
        <v>2</v>
      </c>
      <c r="C673" s="3">
        <v>41</v>
      </c>
      <c r="D673" s="3">
        <v>13</v>
      </c>
      <c r="E673" s="3">
        <f>((1/(INDEX(E0!J$4:J$52,C673,1)-INDEX(E0!J$4:J$52,D673,1))))*100000000</f>
        <v>0</v>
      </c>
      <c r="F673" s="4" t="str">
        <f>HYPERLINK("http://141.218.60.56/~jnz1568/getInfo.php?workbook=03_02.xlsx&amp;sheet=A0&amp;row=673&amp;col=6&amp;number=&amp;sourceID=27","")</f>
        <v/>
      </c>
      <c r="G673" s="4" t="str">
        <f>HYPERLINK("http://141.218.60.56/~jnz1568/getInfo.php?workbook=03_02.xlsx&amp;sheet=A0&amp;row=673&amp;col=7&amp;number=11373000&amp;sourceID=15","11373000")</f>
        <v>11373000</v>
      </c>
      <c r="H673" s="4" t="str">
        <f>HYPERLINK("http://141.218.60.56/~jnz1568/getInfo.php?workbook=03_02.xlsx&amp;sheet=A0&amp;row=673&amp;col=8&amp;number=&amp;sourceID=15","")</f>
        <v/>
      </c>
      <c r="I673" s="4" t="str">
        <f>HYPERLINK("http://141.218.60.56/~jnz1568/getInfo.php?workbook=03_02.xlsx&amp;sheet=A0&amp;row=673&amp;col=9&amp;number=&amp;sourceID=15","")</f>
        <v/>
      </c>
      <c r="J673" s="4" t="str">
        <f>HYPERLINK("http://141.218.60.56/~jnz1568/getInfo.php?workbook=03_02.xlsx&amp;sheet=A0&amp;row=673&amp;col=10&amp;number=&amp;sourceID=15","")</f>
        <v/>
      </c>
      <c r="K673" s="4" t="str">
        <f>HYPERLINK("http://141.218.60.56/~jnz1568/getInfo.php?workbook=03_02.xlsx&amp;sheet=A0&amp;row=673&amp;col=11&amp;number=11340000&amp;sourceID=30","11340000")</f>
        <v>11340000</v>
      </c>
      <c r="L673" s="4" t="str">
        <f>HYPERLINK("http://141.218.60.56/~jnz1568/getInfo.php?workbook=03_02.xlsx&amp;sheet=A0&amp;row=673&amp;col=12&amp;number=&amp;sourceID=30","")</f>
        <v/>
      </c>
      <c r="M673" s="4" t="str">
        <f>HYPERLINK("http://141.218.60.56/~jnz1568/getInfo.php?workbook=03_02.xlsx&amp;sheet=A0&amp;row=673&amp;col=13&amp;number=&amp;sourceID=30","")</f>
        <v/>
      </c>
      <c r="N673" s="4" t="str">
        <f>HYPERLINK("http://141.218.60.56/~jnz1568/getInfo.php?workbook=03_02.xlsx&amp;sheet=A0&amp;row=673&amp;col=14&amp;number=3.209e-05&amp;sourceID=30","3.209e-05")</f>
        <v>3.209e-05</v>
      </c>
    </row>
    <row r="674" spans="1:14">
      <c r="A674" s="3">
        <v>3</v>
      </c>
      <c r="B674" s="3">
        <v>2</v>
      </c>
      <c r="C674" s="3">
        <v>41</v>
      </c>
      <c r="D674" s="3">
        <v>14</v>
      </c>
      <c r="E674" s="3">
        <f>((1/(INDEX(E0!J$4:J$52,C674,1)-INDEX(E0!J$4:J$52,D674,1))))*100000000</f>
        <v>0</v>
      </c>
      <c r="F674" s="4" t="str">
        <f>HYPERLINK("http://141.218.60.56/~jnz1568/getInfo.php?workbook=03_02.xlsx&amp;sheet=A0&amp;row=674&amp;col=6&amp;number=&amp;sourceID=27","")</f>
        <v/>
      </c>
      <c r="G674" s="4" t="str">
        <f>HYPERLINK("http://141.218.60.56/~jnz1568/getInfo.php?workbook=03_02.xlsx&amp;sheet=A0&amp;row=674&amp;col=7&amp;number=325070&amp;sourceID=15","325070")</f>
        <v>325070</v>
      </c>
      <c r="H674" s="4" t="str">
        <f>HYPERLINK("http://141.218.60.56/~jnz1568/getInfo.php?workbook=03_02.xlsx&amp;sheet=A0&amp;row=674&amp;col=8&amp;number=&amp;sourceID=15","")</f>
        <v/>
      </c>
      <c r="I674" s="4" t="str">
        <f>HYPERLINK("http://141.218.60.56/~jnz1568/getInfo.php?workbook=03_02.xlsx&amp;sheet=A0&amp;row=674&amp;col=9&amp;number=&amp;sourceID=15","")</f>
        <v/>
      </c>
      <c r="J674" s="4" t="str">
        <f>HYPERLINK("http://141.218.60.56/~jnz1568/getInfo.php?workbook=03_02.xlsx&amp;sheet=A0&amp;row=674&amp;col=10&amp;number=&amp;sourceID=15","")</f>
        <v/>
      </c>
      <c r="K674" s="4" t="str">
        <f>HYPERLINK("http://141.218.60.56/~jnz1568/getInfo.php?workbook=03_02.xlsx&amp;sheet=A0&amp;row=674&amp;col=11&amp;number=324000&amp;sourceID=30","324000")</f>
        <v>324000</v>
      </c>
      <c r="L674" s="4" t="str">
        <f>HYPERLINK("http://141.218.60.56/~jnz1568/getInfo.php?workbook=03_02.xlsx&amp;sheet=A0&amp;row=674&amp;col=12&amp;number=&amp;sourceID=30","")</f>
        <v/>
      </c>
      <c r="M674" s="4" t="str">
        <f>HYPERLINK("http://141.218.60.56/~jnz1568/getInfo.php?workbook=03_02.xlsx&amp;sheet=A0&amp;row=674&amp;col=13&amp;number=&amp;sourceID=30","")</f>
        <v/>
      </c>
      <c r="N674" s="4" t="str">
        <f>HYPERLINK("http://141.218.60.56/~jnz1568/getInfo.php?workbook=03_02.xlsx&amp;sheet=A0&amp;row=674&amp;col=14&amp;number=6e-15&amp;sourceID=30","6e-15")</f>
        <v>6e-15</v>
      </c>
    </row>
    <row r="675" spans="1:14">
      <c r="A675" s="3">
        <v>3</v>
      </c>
      <c r="B675" s="3">
        <v>2</v>
      </c>
      <c r="C675" s="3">
        <v>41</v>
      </c>
      <c r="D675" s="3">
        <v>15</v>
      </c>
      <c r="E675" s="3">
        <f>((1/(INDEX(E0!J$4:J$52,C675,1)-INDEX(E0!J$4:J$52,D675,1))))*100000000</f>
        <v>0</v>
      </c>
      <c r="F675" s="4" t="str">
        <f>HYPERLINK("http://141.218.60.56/~jnz1568/getInfo.php?workbook=03_02.xlsx&amp;sheet=A0&amp;row=675&amp;col=6&amp;number=&amp;sourceID=27","")</f>
        <v/>
      </c>
      <c r="G675" s="4" t="str">
        <f>HYPERLINK("http://141.218.60.56/~jnz1568/getInfo.php?workbook=03_02.xlsx&amp;sheet=A0&amp;row=675&amp;col=7&amp;number=61439000&amp;sourceID=15","61439000")</f>
        <v>61439000</v>
      </c>
      <c r="H675" s="4" t="str">
        <f>HYPERLINK("http://141.218.60.56/~jnz1568/getInfo.php?workbook=03_02.xlsx&amp;sheet=A0&amp;row=675&amp;col=8&amp;number=&amp;sourceID=15","")</f>
        <v/>
      </c>
      <c r="I675" s="4" t="str">
        <f>HYPERLINK("http://141.218.60.56/~jnz1568/getInfo.php?workbook=03_02.xlsx&amp;sheet=A0&amp;row=675&amp;col=9&amp;number=&amp;sourceID=15","")</f>
        <v/>
      </c>
      <c r="J675" s="4" t="str">
        <f>HYPERLINK("http://141.218.60.56/~jnz1568/getInfo.php?workbook=03_02.xlsx&amp;sheet=A0&amp;row=675&amp;col=10&amp;number=&amp;sourceID=15","")</f>
        <v/>
      </c>
      <c r="K675" s="4" t="str">
        <f>HYPERLINK("http://141.218.60.56/~jnz1568/getInfo.php?workbook=03_02.xlsx&amp;sheet=A0&amp;row=675&amp;col=11&amp;number=61240000&amp;sourceID=30","61240000")</f>
        <v>61240000</v>
      </c>
      <c r="L675" s="4" t="str">
        <f>HYPERLINK("http://141.218.60.56/~jnz1568/getInfo.php?workbook=03_02.xlsx&amp;sheet=A0&amp;row=675&amp;col=12&amp;number=&amp;sourceID=30","")</f>
        <v/>
      </c>
      <c r="M675" s="4" t="str">
        <f>HYPERLINK("http://141.218.60.56/~jnz1568/getInfo.php?workbook=03_02.xlsx&amp;sheet=A0&amp;row=675&amp;col=13&amp;number=&amp;sourceID=30","")</f>
        <v/>
      </c>
      <c r="N675" s="4" t="str">
        <f>HYPERLINK("http://141.218.60.56/~jnz1568/getInfo.php?workbook=03_02.xlsx&amp;sheet=A0&amp;row=675&amp;col=14&amp;number=0.0001222&amp;sourceID=30","0.0001222")</f>
        <v>0.0001222</v>
      </c>
    </row>
    <row r="676" spans="1:14">
      <c r="A676" s="3">
        <v>3</v>
      </c>
      <c r="B676" s="3">
        <v>2</v>
      </c>
      <c r="C676" s="3">
        <v>41</v>
      </c>
      <c r="D676" s="3">
        <v>16</v>
      </c>
      <c r="E676" s="3">
        <f>((1/(INDEX(E0!J$4:J$52,C676,1)-INDEX(E0!J$4:J$52,D676,1))))*100000000</f>
        <v>0</v>
      </c>
      <c r="F676" s="4" t="str">
        <f>HYPERLINK("http://141.218.60.56/~jnz1568/getInfo.php?workbook=03_02.xlsx&amp;sheet=A0&amp;row=676&amp;col=6&amp;number=&amp;sourceID=27","")</f>
        <v/>
      </c>
      <c r="G676" s="4" t="str">
        <f>HYPERLINK("http://141.218.60.56/~jnz1568/getInfo.php?workbook=03_02.xlsx&amp;sheet=A0&amp;row=676&amp;col=7&amp;number=4086&amp;sourceID=15","4086")</f>
        <v>4086</v>
      </c>
      <c r="H676" s="4" t="str">
        <f>HYPERLINK("http://141.218.60.56/~jnz1568/getInfo.php?workbook=03_02.xlsx&amp;sheet=A0&amp;row=676&amp;col=8&amp;number=&amp;sourceID=15","")</f>
        <v/>
      </c>
      <c r="I676" s="4" t="str">
        <f>HYPERLINK("http://141.218.60.56/~jnz1568/getInfo.php?workbook=03_02.xlsx&amp;sheet=A0&amp;row=676&amp;col=9&amp;number=&amp;sourceID=15","")</f>
        <v/>
      </c>
      <c r="J676" s="4" t="str">
        <f>HYPERLINK("http://141.218.60.56/~jnz1568/getInfo.php?workbook=03_02.xlsx&amp;sheet=A0&amp;row=676&amp;col=10&amp;number=&amp;sourceID=15","")</f>
        <v/>
      </c>
      <c r="K676" s="4" t="str">
        <f>HYPERLINK("http://141.218.60.56/~jnz1568/getInfo.php?workbook=03_02.xlsx&amp;sheet=A0&amp;row=676&amp;col=11&amp;number=1954&amp;sourceID=30","1954")</f>
        <v>1954</v>
      </c>
      <c r="L676" s="4" t="str">
        <f>HYPERLINK("http://141.218.60.56/~jnz1568/getInfo.php?workbook=03_02.xlsx&amp;sheet=A0&amp;row=676&amp;col=12&amp;number=&amp;sourceID=30","")</f>
        <v/>
      </c>
      <c r="M676" s="4" t="str">
        <f>HYPERLINK("http://141.218.60.56/~jnz1568/getInfo.php?workbook=03_02.xlsx&amp;sheet=A0&amp;row=676&amp;col=13&amp;number=&amp;sourceID=30","")</f>
        <v/>
      </c>
      <c r="N676" s="4" t="str">
        <f>HYPERLINK("http://141.218.60.56/~jnz1568/getInfo.php?workbook=03_02.xlsx&amp;sheet=A0&amp;row=676&amp;col=14&amp;number=2.016e-05&amp;sourceID=30","2.016e-05")</f>
        <v>2.016e-05</v>
      </c>
    </row>
    <row r="677" spans="1:14">
      <c r="A677" s="3">
        <v>3</v>
      </c>
      <c r="B677" s="3">
        <v>2</v>
      </c>
      <c r="C677" s="3">
        <v>41</v>
      </c>
      <c r="D677" s="3">
        <v>17</v>
      </c>
      <c r="E677" s="3">
        <f>((1/(INDEX(E0!J$4:J$52,C677,1)-INDEX(E0!J$4:J$52,D677,1))))*100000000</f>
        <v>0</v>
      </c>
      <c r="F677" s="4" t="str">
        <f>HYPERLINK("http://141.218.60.56/~jnz1568/getInfo.php?workbook=03_02.xlsx&amp;sheet=A0&amp;row=677&amp;col=6&amp;number=&amp;sourceID=27","")</f>
        <v/>
      </c>
      <c r="G677" s="4" t="str">
        <f>HYPERLINK("http://141.218.60.56/~jnz1568/getInfo.php?workbook=03_02.xlsx&amp;sheet=A0&amp;row=677&amp;col=7&amp;number=&amp;sourceID=15","")</f>
        <v/>
      </c>
      <c r="H677" s="4" t="str">
        <f>HYPERLINK("http://141.218.60.56/~jnz1568/getInfo.php?workbook=03_02.xlsx&amp;sheet=A0&amp;row=677&amp;col=8&amp;number=&amp;sourceID=15","")</f>
        <v/>
      </c>
      <c r="I677" s="4" t="str">
        <f>HYPERLINK("http://141.218.60.56/~jnz1568/getInfo.php?workbook=03_02.xlsx&amp;sheet=A0&amp;row=677&amp;col=9&amp;number=&amp;sourceID=15","")</f>
        <v/>
      </c>
      <c r="J677" s="4" t="str">
        <f>HYPERLINK("http://141.218.60.56/~jnz1568/getInfo.php?workbook=03_02.xlsx&amp;sheet=A0&amp;row=677&amp;col=10&amp;number=&amp;sourceID=15","")</f>
        <v/>
      </c>
      <c r="K677" s="4" t="str">
        <f>HYPERLINK("http://141.218.60.56/~jnz1568/getInfo.php?workbook=03_02.xlsx&amp;sheet=A0&amp;row=677&amp;col=11&amp;number=&amp;sourceID=30","")</f>
        <v/>
      </c>
      <c r="L677" s="4" t="str">
        <f>HYPERLINK("http://141.218.60.56/~jnz1568/getInfo.php?workbook=03_02.xlsx&amp;sheet=A0&amp;row=677&amp;col=12&amp;number=1.256e-09&amp;sourceID=30","1.256e-09")</f>
        <v>1.256e-09</v>
      </c>
      <c r="M677" s="4" t="str">
        <f>HYPERLINK("http://141.218.60.56/~jnz1568/getInfo.php?workbook=03_02.xlsx&amp;sheet=A0&amp;row=677&amp;col=13&amp;number=2.356e-10&amp;sourceID=30","2.356e-10")</f>
        <v>2.356e-10</v>
      </c>
      <c r="N677" s="4" t="str">
        <f>HYPERLINK("http://141.218.60.56/~jnz1568/getInfo.php?workbook=03_02.xlsx&amp;sheet=A0&amp;row=677&amp;col=14&amp;number=&amp;sourceID=30","")</f>
        <v/>
      </c>
    </row>
    <row r="678" spans="1:14">
      <c r="A678" s="3">
        <v>3</v>
      </c>
      <c r="B678" s="3">
        <v>2</v>
      </c>
      <c r="C678" s="3">
        <v>41</v>
      </c>
      <c r="D678" s="3">
        <v>18</v>
      </c>
      <c r="E678" s="3">
        <f>((1/(INDEX(E0!J$4:J$52,C678,1)-INDEX(E0!J$4:J$52,D678,1))))*100000000</f>
        <v>0</v>
      </c>
      <c r="F678" s="4" t="str">
        <f>HYPERLINK("http://141.218.60.56/~jnz1568/getInfo.php?workbook=03_02.xlsx&amp;sheet=A0&amp;row=678&amp;col=6&amp;number=&amp;sourceID=27","")</f>
        <v/>
      </c>
      <c r="G678" s="4" t="str">
        <f>HYPERLINK("http://141.218.60.56/~jnz1568/getInfo.php?workbook=03_02.xlsx&amp;sheet=A0&amp;row=678&amp;col=7&amp;number=&amp;sourceID=15","")</f>
        <v/>
      </c>
      <c r="H678" s="4" t="str">
        <f>HYPERLINK("http://141.218.60.56/~jnz1568/getInfo.php?workbook=03_02.xlsx&amp;sheet=A0&amp;row=678&amp;col=8&amp;number=&amp;sourceID=15","")</f>
        <v/>
      </c>
      <c r="I678" s="4" t="str">
        <f>HYPERLINK("http://141.218.60.56/~jnz1568/getInfo.php?workbook=03_02.xlsx&amp;sheet=A0&amp;row=678&amp;col=9&amp;number=&amp;sourceID=15","")</f>
        <v/>
      </c>
      <c r="J678" s="4" t="str">
        <f>HYPERLINK("http://141.218.60.56/~jnz1568/getInfo.php?workbook=03_02.xlsx&amp;sheet=A0&amp;row=678&amp;col=10&amp;number=&amp;sourceID=15","")</f>
        <v/>
      </c>
      <c r="K678" s="4" t="str">
        <f>HYPERLINK("http://141.218.60.56/~jnz1568/getInfo.php?workbook=03_02.xlsx&amp;sheet=A0&amp;row=678&amp;col=11&amp;number=0.00438&amp;sourceID=30","0.00438")</f>
        <v>0.00438</v>
      </c>
      <c r="L678" s="4" t="str">
        <f>HYPERLINK("http://141.218.60.56/~jnz1568/getInfo.php?workbook=03_02.xlsx&amp;sheet=A0&amp;row=678&amp;col=12&amp;number=&amp;sourceID=30","")</f>
        <v/>
      </c>
      <c r="M678" s="4" t="str">
        <f>HYPERLINK("http://141.218.60.56/~jnz1568/getInfo.php?workbook=03_02.xlsx&amp;sheet=A0&amp;row=678&amp;col=13&amp;number=&amp;sourceID=30","")</f>
        <v/>
      </c>
      <c r="N678" s="4" t="str">
        <f>HYPERLINK("http://141.218.60.56/~jnz1568/getInfo.php?workbook=03_02.xlsx&amp;sheet=A0&amp;row=678&amp;col=14&amp;number=2e-15&amp;sourceID=30","2e-15")</f>
        <v>2e-15</v>
      </c>
    </row>
    <row r="679" spans="1:14">
      <c r="A679" s="3">
        <v>3</v>
      </c>
      <c r="B679" s="3">
        <v>2</v>
      </c>
      <c r="C679" s="3">
        <v>41</v>
      </c>
      <c r="D679" s="3">
        <v>19</v>
      </c>
      <c r="E679" s="3">
        <f>((1/(INDEX(E0!J$4:J$52,C679,1)-INDEX(E0!J$4:J$52,D679,1))))*100000000</f>
        <v>0</v>
      </c>
      <c r="F679" s="4" t="str">
        <f>HYPERLINK("http://141.218.60.56/~jnz1568/getInfo.php?workbook=03_02.xlsx&amp;sheet=A0&amp;row=679&amp;col=6&amp;number=&amp;sourceID=27","")</f>
        <v/>
      </c>
      <c r="G679" s="4" t="str">
        <f>HYPERLINK("http://141.218.60.56/~jnz1568/getInfo.php?workbook=03_02.xlsx&amp;sheet=A0&amp;row=679&amp;col=7&amp;number=&amp;sourceID=15","")</f>
        <v/>
      </c>
      <c r="H679" s="4" t="str">
        <f>HYPERLINK("http://141.218.60.56/~jnz1568/getInfo.php?workbook=03_02.xlsx&amp;sheet=A0&amp;row=679&amp;col=8&amp;number=&amp;sourceID=15","")</f>
        <v/>
      </c>
      <c r="I679" s="4" t="str">
        <f>HYPERLINK("http://141.218.60.56/~jnz1568/getInfo.php?workbook=03_02.xlsx&amp;sheet=A0&amp;row=679&amp;col=9&amp;number=&amp;sourceID=15","")</f>
        <v/>
      </c>
      <c r="J679" s="4" t="str">
        <f>HYPERLINK("http://141.218.60.56/~jnz1568/getInfo.php?workbook=03_02.xlsx&amp;sheet=A0&amp;row=679&amp;col=10&amp;number=&amp;sourceID=15","")</f>
        <v/>
      </c>
      <c r="K679" s="4" t="str">
        <f>HYPERLINK("http://141.218.60.56/~jnz1568/getInfo.php?workbook=03_02.xlsx&amp;sheet=A0&amp;row=679&amp;col=11&amp;number=&amp;sourceID=30","")</f>
        <v/>
      </c>
      <c r="L679" s="4" t="str">
        <f>HYPERLINK("http://141.218.60.56/~jnz1568/getInfo.php?workbook=03_02.xlsx&amp;sheet=A0&amp;row=679&amp;col=12&amp;number=&amp;sourceID=30","")</f>
        <v/>
      </c>
      <c r="M679" s="4" t="str">
        <f>HYPERLINK("http://141.218.60.56/~jnz1568/getInfo.php?workbook=03_02.xlsx&amp;sheet=A0&amp;row=679&amp;col=13&amp;number=&amp;sourceID=30","")</f>
        <v/>
      </c>
      <c r="N679" s="4" t="str">
        <f>HYPERLINK("http://141.218.60.56/~jnz1568/getInfo.php?workbook=03_02.xlsx&amp;sheet=A0&amp;row=679&amp;col=14&amp;number=0&amp;sourceID=30","0")</f>
        <v>0</v>
      </c>
    </row>
    <row r="680" spans="1:14">
      <c r="A680" s="3">
        <v>3</v>
      </c>
      <c r="B680" s="3">
        <v>2</v>
      </c>
      <c r="C680" s="3">
        <v>41</v>
      </c>
      <c r="D680" s="3">
        <v>20</v>
      </c>
      <c r="E680" s="3">
        <f>((1/(INDEX(E0!J$4:J$52,C680,1)-INDEX(E0!J$4:J$52,D680,1))))*100000000</f>
        <v>0</v>
      </c>
      <c r="F680" s="4" t="str">
        <f>HYPERLINK("http://141.218.60.56/~jnz1568/getInfo.php?workbook=03_02.xlsx&amp;sheet=A0&amp;row=680&amp;col=6&amp;number=&amp;sourceID=27","")</f>
        <v/>
      </c>
      <c r="G680" s="4" t="str">
        <f>HYPERLINK("http://141.218.60.56/~jnz1568/getInfo.php?workbook=03_02.xlsx&amp;sheet=A0&amp;row=680&amp;col=7&amp;number=&amp;sourceID=15","")</f>
        <v/>
      </c>
      <c r="H680" s="4" t="str">
        <f>HYPERLINK("http://141.218.60.56/~jnz1568/getInfo.php?workbook=03_02.xlsx&amp;sheet=A0&amp;row=680&amp;col=8&amp;number=&amp;sourceID=15","")</f>
        <v/>
      </c>
      <c r="I680" s="4" t="str">
        <f>HYPERLINK("http://141.218.60.56/~jnz1568/getInfo.php?workbook=03_02.xlsx&amp;sheet=A0&amp;row=680&amp;col=9&amp;number=&amp;sourceID=15","")</f>
        <v/>
      </c>
      <c r="J680" s="4" t="str">
        <f>HYPERLINK("http://141.218.60.56/~jnz1568/getInfo.php?workbook=03_02.xlsx&amp;sheet=A0&amp;row=680&amp;col=10&amp;number=&amp;sourceID=15","")</f>
        <v/>
      </c>
      <c r="K680" s="4" t="str">
        <f>HYPERLINK("http://141.218.60.56/~jnz1568/getInfo.php?workbook=03_02.xlsx&amp;sheet=A0&amp;row=680&amp;col=11&amp;number=&amp;sourceID=30","")</f>
        <v/>
      </c>
      <c r="L680" s="4" t="str">
        <f>HYPERLINK("http://141.218.60.56/~jnz1568/getInfo.php?workbook=03_02.xlsx&amp;sheet=A0&amp;row=680&amp;col=12&amp;number=32.76&amp;sourceID=30","32.76")</f>
        <v>32.76</v>
      </c>
      <c r="M680" s="4" t="str">
        <f>HYPERLINK("http://141.218.60.56/~jnz1568/getInfo.php?workbook=03_02.xlsx&amp;sheet=A0&amp;row=680&amp;col=13&amp;number=&amp;sourceID=30","")</f>
        <v/>
      </c>
      <c r="N680" s="4" t="str">
        <f>HYPERLINK("http://141.218.60.56/~jnz1568/getInfo.php?workbook=03_02.xlsx&amp;sheet=A0&amp;row=680&amp;col=14&amp;number=&amp;sourceID=30","")</f>
        <v/>
      </c>
    </row>
    <row r="681" spans="1:14">
      <c r="A681" s="3">
        <v>3</v>
      </c>
      <c r="B681" s="3">
        <v>2</v>
      </c>
      <c r="C681" s="3">
        <v>41</v>
      </c>
      <c r="D681" s="3">
        <v>21</v>
      </c>
      <c r="E681" s="3">
        <f>((1/(INDEX(E0!J$4:J$52,C681,1)-INDEX(E0!J$4:J$52,D681,1))))*100000000</f>
        <v>0</v>
      </c>
      <c r="F681" s="4" t="str">
        <f>HYPERLINK("http://141.218.60.56/~jnz1568/getInfo.php?workbook=03_02.xlsx&amp;sheet=A0&amp;row=681&amp;col=6&amp;number=&amp;sourceID=27","")</f>
        <v/>
      </c>
      <c r="G681" s="4" t="str">
        <f>HYPERLINK("http://141.218.60.56/~jnz1568/getInfo.php?workbook=03_02.xlsx&amp;sheet=A0&amp;row=681&amp;col=7&amp;number=&amp;sourceID=15","")</f>
        <v/>
      </c>
      <c r="H681" s="4" t="str">
        <f>HYPERLINK("http://141.218.60.56/~jnz1568/getInfo.php?workbook=03_02.xlsx&amp;sheet=A0&amp;row=681&amp;col=8&amp;number=&amp;sourceID=15","")</f>
        <v/>
      </c>
      <c r="I681" s="4" t="str">
        <f>HYPERLINK("http://141.218.60.56/~jnz1568/getInfo.php?workbook=03_02.xlsx&amp;sheet=A0&amp;row=681&amp;col=9&amp;number=&amp;sourceID=15","")</f>
        <v/>
      </c>
      <c r="J681" s="4" t="str">
        <f>HYPERLINK("http://141.218.60.56/~jnz1568/getInfo.php?workbook=03_02.xlsx&amp;sheet=A0&amp;row=681&amp;col=10&amp;number=&amp;sourceID=15","")</f>
        <v/>
      </c>
      <c r="K681" s="4" t="str">
        <f>HYPERLINK("http://141.218.60.56/~jnz1568/getInfo.php?workbook=03_02.xlsx&amp;sheet=A0&amp;row=681&amp;col=11&amp;number=&amp;sourceID=30","")</f>
        <v/>
      </c>
      <c r="L681" s="4" t="str">
        <f>HYPERLINK("http://141.218.60.56/~jnz1568/getInfo.php?workbook=03_02.xlsx&amp;sheet=A0&amp;row=681&amp;col=12&amp;number=32.76&amp;sourceID=30","32.76")</f>
        <v>32.76</v>
      </c>
      <c r="M681" s="4" t="str">
        <f>HYPERLINK("http://141.218.60.56/~jnz1568/getInfo.php?workbook=03_02.xlsx&amp;sheet=A0&amp;row=681&amp;col=13&amp;number=3.187e-11&amp;sourceID=30","3.187e-11")</f>
        <v>3.187e-11</v>
      </c>
      <c r="N681" s="4" t="str">
        <f>HYPERLINK("http://141.218.60.56/~jnz1568/getInfo.php?workbook=03_02.xlsx&amp;sheet=A0&amp;row=681&amp;col=14&amp;number=&amp;sourceID=30","")</f>
        <v/>
      </c>
    </row>
    <row r="682" spans="1:14">
      <c r="A682" s="3">
        <v>3</v>
      </c>
      <c r="B682" s="3">
        <v>2</v>
      </c>
      <c r="C682" s="3">
        <v>41</v>
      </c>
      <c r="D682" s="3">
        <v>22</v>
      </c>
      <c r="E682" s="3">
        <f>((1/(INDEX(E0!J$4:J$52,C682,1)-INDEX(E0!J$4:J$52,D682,1))))*100000000</f>
        <v>0</v>
      </c>
      <c r="F682" s="4" t="str">
        <f>HYPERLINK("http://141.218.60.56/~jnz1568/getInfo.php?workbook=03_02.xlsx&amp;sheet=A0&amp;row=682&amp;col=6&amp;number=&amp;sourceID=27","")</f>
        <v/>
      </c>
      <c r="G682" s="4" t="str">
        <f>HYPERLINK("http://141.218.60.56/~jnz1568/getInfo.php?workbook=03_02.xlsx&amp;sheet=A0&amp;row=682&amp;col=7&amp;number=&amp;sourceID=15","")</f>
        <v/>
      </c>
      <c r="H682" s="4" t="str">
        <f>HYPERLINK("http://141.218.60.56/~jnz1568/getInfo.php?workbook=03_02.xlsx&amp;sheet=A0&amp;row=682&amp;col=8&amp;number=&amp;sourceID=15","")</f>
        <v/>
      </c>
      <c r="I682" s="4" t="str">
        <f>HYPERLINK("http://141.218.60.56/~jnz1568/getInfo.php?workbook=03_02.xlsx&amp;sheet=A0&amp;row=682&amp;col=9&amp;number=&amp;sourceID=15","")</f>
        <v/>
      </c>
      <c r="J682" s="4" t="str">
        <f>HYPERLINK("http://141.218.60.56/~jnz1568/getInfo.php?workbook=03_02.xlsx&amp;sheet=A0&amp;row=682&amp;col=10&amp;number=&amp;sourceID=15","")</f>
        <v/>
      </c>
      <c r="K682" s="4" t="str">
        <f>HYPERLINK("http://141.218.60.56/~jnz1568/getInfo.php?workbook=03_02.xlsx&amp;sheet=A0&amp;row=682&amp;col=11&amp;number=&amp;sourceID=30","")</f>
        <v/>
      </c>
      <c r="L682" s="4" t="str">
        <f>HYPERLINK("http://141.218.60.56/~jnz1568/getInfo.php?workbook=03_02.xlsx&amp;sheet=A0&amp;row=682&amp;col=12&amp;number=4.68&amp;sourceID=30","4.68")</f>
        <v>4.68</v>
      </c>
      <c r="M682" s="4" t="str">
        <f>HYPERLINK("http://141.218.60.56/~jnz1568/getInfo.php?workbook=03_02.xlsx&amp;sheet=A0&amp;row=682&amp;col=13&amp;number=6.34e-11&amp;sourceID=30","6.34e-11")</f>
        <v>6.34e-11</v>
      </c>
      <c r="N682" s="4" t="str">
        <f>HYPERLINK("http://141.218.60.56/~jnz1568/getInfo.php?workbook=03_02.xlsx&amp;sheet=A0&amp;row=682&amp;col=14&amp;number=&amp;sourceID=30","")</f>
        <v/>
      </c>
    </row>
    <row r="683" spans="1:14">
      <c r="A683" s="3">
        <v>3</v>
      </c>
      <c r="B683" s="3">
        <v>2</v>
      </c>
      <c r="C683" s="3">
        <v>41</v>
      </c>
      <c r="D683" s="3">
        <v>23</v>
      </c>
      <c r="E683" s="3">
        <f>((1/(INDEX(E0!J$4:J$52,C683,1)-INDEX(E0!J$4:J$52,D683,1))))*100000000</f>
        <v>0</v>
      </c>
      <c r="F683" s="4" t="str">
        <f>HYPERLINK("http://141.218.60.56/~jnz1568/getInfo.php?workbook=03_02.xlsx&amp;sheet=A0&amp;row=683&amp;col=6&amp;number=&amp;sourceID=27","")</f>
        <v/>
      </c>
      <c r="G683" s="4" t="str">
        <f>HYPERLINK("http://141.218.60.56/~jnz1568/getInfo.php?workbook=03_02.xlsx&amp;sheet=A0&amp;row=683&amp;col=7&amp;number=34747000&amp;sourceID=15","34747000")</f>
        <v>34747000</v>
      </c>
      <c r="H683" s="4" t="str">
        <f>HYPERLINK("http://141.218.60.56/~jnz1568/getInfo.php?workbook=03_02.xlsx&amp;sheet=A0&amp;row=683&amp;col=8&amp;number=&amp;sourceID=15","")</f>
        <v/>
      </c>
      <c r="I683" s="4" t="str">
        <f>HYPERLINK("http://141.218.60.56/~jnz1568/getInfo.php?workbook=03_02.xlsx&amp;sheet=A0&amp;row=683&amp;col=9&amp;number=&amp;sourceID=15","")</f>
        <v/>
      </c>
      <c r="J683" s="4" t="str">
        <f>HYPERLINK("http://141.218.60.56/~jnz1568/getInfo.php?workbook=03_02.xlsx&amp;sheet=A0&amp;row=683&amp;col=10&amp;number=&amp;sourceID=15","")</f>
        <v/>
      </c>
      <c r="K683" s="4" t="str">
        <f>HYPERLINK("http://141.218.60.56/~jnz1568/getInfo.php?workbook=03_02.xlsx&amp;sheet=A0&amp;row=683&amp;col=11&amp;number=34740000&amp;sourceID=30","34740000")</f>
        <v>34740000</v>
      </c>
      <c r="L683" s="4" t="str">
        <f>HYPERLINK("http://141.218.60.56/~jnz1568/getInfo.php?workbook=03_02.xlsx&amp;sheet=A0&amp;row=683&amp;col=12&amp;number=&amp;sourceID=30","")</f>
        <v/>
      </c>
      <c r="M683" s="4" t="str">
        <f>HYPERLINK("http://141.218.60.56/~jnz1568/getInfo.php?workbook=03_02.xlsx&amp;sheet=A0&amp;row=683&amp;col=13&amp;number=&amp;sourceID=30","")</f>
        <v/>
      </c>
      <c r="N683" s="4" t="str">
        <f>HYPERLINK("http://141.218.60.56/~jnz1568/getInfo.php?workbook=03_02.xlsx&amp;sheet=A0&amp;row=683&amp;col=14&amp;number=6.948e-06&amp;sourceID=30","6.948e-06")</f>
        <v>6.948e-06</v>
      </c>
    </row>
    <row r="684" spans="1:14">
      <c r="A684" s="3">
        <v>3</v>
      </c>
      <c r="B684" s="3">
        <v>2</v>
      </c>
      <c r="C684" s="3">
        <v>41</v>
      </c>
      <c r="D684" s="3">
        <v>24</v>
      </c>
      <c r="E684" s="3">
        <f>((1/(INDEX(E0!J$4:J$52,C684,1)-INDEX(E0!J$4:J$52,D684,1))))*100000000</f>
        <v>0</v>
      </c>
      <c r="F684" s="4" t="str">
        <f>HYPERLINK("http://141.218.60.56/~jnz1568/getInfo.php?workbook=03_02.xlsx&amp;sheet=A0&amp;row=684&amp;col=6&amp;number=&amp;sourceID=27","")</f>
        <v/>
      </c>
      <c r="G684" s="4" t="str">
        <f>HYPERLINK("http://141.218.60.56/~jnz1568/getInfo.php?workbook=03_02.xlsx&amp;sheet=A0&amp;row=684&amp;col=7&amp;number=6433300&amp;sourceID=15","6433300")</f>
        <v>6433300</v>
      </c>
      <c r="H684" s="4" t="str">
        <f>HYPERLINK("http://141.218.60.56/~jnz1568/getInfo.php?workbook=03_02.xlsx&amp;sheet=A0&amp;row=684&amp;col=8&amp;number=&amp;sourceID=15","")</f>
        <v/>
      </c>
      <c r="I684" s="4" t="str">
        <f>HYPERLINK("http://141.218.60.56/~jnz1568/getInfo.php?workbook=03_02.xlsx&amp;sheet=A0&amp;row=684&amp;col=9&amp;number=&amp;sourceID=15","")</f>
        <v/>
      </c>
      <c r="J684" s="4" t="str">
        <f>HYPERLINK("http://141.218.60.56/~jnz1568/getInfo.php?workbook=03_02.xlsx&amp;sheet=A0&amp;row=684&amp;col=10&amp;number=&amp;sourceID=15","")</f>
        <v/>
      </c>
      <c r="K684" s="4" t="str">
        <f>HYPERLINK("http://141.218.60.56/~jnz1568/getInfo.php?workbook=03_02.xlsx&amp;sheet=A0&amp;row=684&amp;col=11&amp;number=6432000&amp;sourceID=30","6432000")</f>
        <v>6432000</v>
      </c>
      <c r="L684" s="4" t="str">
        <f>HYPERLINK("http://141.218.60.56/~jnz1568/getInfo.php?workbook=03_02.xlsx&amp;sheet=A0&amp;row=684&amp;col=12&amp;number=&amp;sourceID=30","")</f>
        <v/>
      </c>
      <c r="M684" s="4" t="str">
        <f>HYPERLINK("http://141.218.60.56/~jnz1568/getInfo.php?workbook=03_02.xlsx&amp;sheet=A0&amp;row=684&amp;col=13&amp;number=&amp;sourceID=30","")</f>
        <v/>
      </c>
      <c r="N684" s="4" t="str">
        <f>HYPERLINK("http://141.218.60.56/~jnz1568/getInfo.php?workbook=03_02.xlsx&amp;sheet=A0&amp;row=684&amp;col=14&amp;number=1.815e-06&amp;sourceID=30","1.815e-06")</f>
        <v>1.815e-06</v>
      </c>
    </row>
    <row r="685" spans="1:14">
      <c r="A685" s="3">
        <v>3</v>
      </c>
      <c r="B685" s="3">
        <v>2</v>
      </c>
      <c r="C685" s="3">
        <v>41</v>
      </c>
      <c r="D685" s="3">
        <v>25</v>
      </c>
      <c r="E685" s="3">
        <f>((1/(INDEX(E0!J$4:J$52,C685,1)-INDEX(E0!J$4:J$52,D685,1))))*100000000</f>
        <v>0</v>
      </c>
      <c r="F685" s="4" t="str">
        <f>HYPERLINK("http://141.218.60.56/~jnz1568/getInfo.php?workbook=03_02.xlsx&amp;sheet=A0&amp;row=685&amp;col=6&amp;number=&amp;sourceID=27","")</f>
        <v/>
      </c>
      <c r="G685" s="4" t="str">
        <f>HYPERLINK("http://141.218.60.56/~jnz1568/getInfo.php?workbook=03_02.xlsx&amp;sheet=A0&amp;row=685&amp;col=7&amp;number=183850&amp;sourceID=15","183850")</f>
        <v>183850</v>
      </c>
      <c r="H685" s="4" t="str">
        <f>HYPERLINK("http://141.218.60.56/~jnz1568/getInfo.php?workbook=03_02.xlsx&amp;sheet=A0&amp;row=685&amp;col=8&amp;number=&amp;sourceID=15","")</f>
        <v/>
      </c>
      <c r="I685" s="4" t="str">
        <f>HYPERLINK("http://141.218.60.56/~jnz1568/getInfo.php?workbook=03_02.xlsx&amp;sheet=A0&amp;row=685&amp;col=9&amp;number=&amp;sourceID=15","")</f>
        <v/>
      </c>
      <c r="J685" s="4" t="str">
        <f>HYPERLINK("http://141.218.60.56/~jnz1568/getInfo.php?workbook=03_02.xlsx&amp;sheet=A0&amp;row=685&amp;col=10&amp;number=&amp;sourceID=15","")</f>
        <v/>
      </c>
      <c r="K685" s="4" t="str">
        <f>HYPERLINK("http://141.218.60.56/~jnz1568/getInfo.php?workbook=03_02.xlsx&amp;sheet=A0&amp;row=685&amp;col=11&amp;number=183800&amp;sourceID=30","183800")</f>
        <v>183800</v>
      </c>
      <c r="L685" s="4" t="str">
        <f>HYPERLINK("http://141.218.60.56/~jnz1568/getInfo.php?workbook=03_02.xlsx&amp;sheet=A0&amp;row=685&amp;col=12&amp;number=&amp;sourceID=30","")</f>
        <v/>
      </c>
      <c r="M685" s="4" t="str">
        <f>HYPERLINK("http://141.218.60.56/~jnz1568/getInfo.php?workbook=03_02.xlsx&amp;sheet=A0&amp;row=685&amp;col=13&amp;number=&amp;sourceID=30","")</f>
        <v/>
      </c>
      <c r="N685" s="4" t="str">
        <f>HYPERLINK("http://141.218.60.56/~jnz1568/getInfo.php?workbook=03_02.xlsx&amp;sheet=A0&amp;row=685&amp;col=14&amp;number=0&amp;sourceID=30","0")</f>
        <v>0</v>
      </c>
    </row>
    <row r="686" spans="1:14">
      <c r="A686" s="3">
        <v>3</v>
      </c>
      <c r="B686" s="3">
        <v>2</v>
      </c>
      <c r="C686" s="3">
        <v>41</v>
      </c>
      <c r="D686" s="3">
        <v>26</v>
      </c>
      <c r="E686" s="3">
        <f>((1/(INDEX(E0!J$4:J$52,C686,1)-INDEX(E0!J$4:J$52,D686,1))))*100000000</f>
        <v>0</v>
      </c>
      <c r="F686" s="4" t="str">
        <f>HYPERLINK("http://141.218.60.56/~jnz1568/getInfo.php?workbook=03_02.xlsx&amp;sheet=A0&amp;row=686&amp;col=6&amp;number=&amp;sourceID=27","")</f>
        <v/>
      </c>
      <c r="G686" s="4" t="str">
        <f>HYPERLINK("http://141.218.60.56/~jnz1568/getInfo.php?workbook=03_02.xlsx&amp;sheet=A0&amp;row=686&amp;col=7&amp;number=1291&amp;sourceID=15","1291")</f>
        <v>1291</v>
      </c>
      <c r="H686" s="4" t="str">
        <f>HYPERLINK("http://141.218.60.56/~jnz1568/getInfo.php?workbook=03_02.xlsx&amp;sheet=A0&amp;row=686&amp;col=8&amp;number=&amp;sourceID=15","")</f>
        <v/>
      </c>
      <c r="I686" s="4" t="str">
        <f>HYPERLINK("http://141.218.60.56/~jnz1568/getInfo.php?workbook=03_02.xlsx&amp;sheet=A0&amp;row=686&amp;col=9&amp;number=&amp;sourceID=15","")</f>
        <v/>
      </c>
      <c r="J686" s="4" t="str">
        <f>HYPERLINK("http://141.218.60.56/~jnz1568/getInfo.php?workbook=03_02.xlsx&amp;sheet=A0&amp;row=686&amp;col=10&amp;number=&amp;sourceID=15","")</f>
        <v/>
      </c>
      <c r="K686" s="4" t="str">
        <f>HYPERLINK("http://141.218.60.56/~jnz1568/getInfo.php?workbook=03_02.xlsx&amp;sheet=A0&amp;row=686&amp;col=11&amp;number=616&amp;sourceID=30","616")</f>
        <v>616</v>
      </c>
      <c r="L686" s="4" t="str">
        <f>HYPERLINK("http://141.218.60.56/~jnz1568/getInfo.php?workbook=03_02.xlsx&amp;sheet=A0&amp;row=686&amp;col=12&amp;number=&amp;sourceID=30","")</f>
        <v/>
      </c>
      <c r="M686" s="4" t="str">
        <f>HYPERLINK("http://141.218.60.56/~jnz1568/getInfo.php?workbook=03_02.xlsx&amp;sheet=A0&amp;row=686&amp;col=13&amp;number=&amp;sourceID=30","")</f>
        <v/>
      </c>
      <c r="N686" s="4" t="str">
        <f>HYPERLINK("http://141.218.60.56/~jnz1568/getInfo.php?workbook=03_02.xlsx&amp;sheet=A0&amp;row=686&amp;col=14&amp;number=1.158e-06&amp;sourceID=30","1.158e-06")</f>
        <v>1.158e-06</v>
      </c>
    </row>
    <row r="687" spans="1:14">
      <c r="A687" s="3">
        <v>3</v>
      </c>
      <c r="B687" s="3">
        <v>2</v>
      </c>
      <c r="C687" s="3">
        <v>41</v>
      </c>
      <c r="D687" s="3">
        <v>27</v>
      </c>
      <c r="E687" s="3">
        <f>((1/(INDEX(E0!J$4:J$52,C687,1)-INDEX(E0!J$4:J$52,D687,1))))*100000000</f>
        <v>0</v>
      </c>
      <c r="F687" s="4" t="str">
        <f>HYPERLINK("http://141.218.60.56/~jnz1568/getInfo.php?workbook=03_02.xlsx&amp;sheet=A0&amp;row=687&amp;col=6&amp;number=&amp;sourceID=27","")</f>
        <v/>
      </c>
      <c r="G687" s="4" t="str">
        <f>HYPERLINK("http://141.218.60.56/~jnz1568/getInfo.php?workbook=03_02.xlsx&amp;sheet=A0&amp;row=687&amp;col=7&amp;number=&amp;sourceID=15","")</f>
        <v/>
      </c>
      <c r="H687" s="4" t="str">
        <f>HYPERLINK("http://141.218.60.56/~jnz1568/getInfo.php?workbook=03_02.xlsx&amp;sheet=A0&amp;row=687&amp;col=8&amp;number=&amp;sourceID=15","")</f>
        <v/>
      </c>
      <c r="I687" s="4" t="str">
        <f>HYPERLINK("http://141.218.60.56/~jnz1568/getInfo.php?workbook=03_02.xlsx&amp;sheet=A0&amp;row=687&amp;col=9&amp;number=&amp;sourceID=15","")</f>
        <v/>
      </c>
      <c r="J687" s="4" t="str">
        <f>HYPERLINK("http://141.218.60.56/~jnz1568/getInfo.php?workbook=03_02.xlsx&amp;sheet=A0&amp;row=687&amp;col=10&amp;number=&amp;sourceID=15","")</f>
        <v/>
      </c>
      <c r="K687" s="4" t="str">
        <f>HYPERLINK("http://141.218.60.56/~jnz1568/getInfo.php?workbook=03_02.xlsx&amp;sheet=A0&amp;row=687&amp;col=11&amp;number=&amp;sourceID=30","")</f>
        <v/>
      </c>
      <c r="L687" s="4" t="str">
        <f>HYPERLINK("http://141.218.60.56/~jnz1568/getInfo.php?workbook=03_02.xlsx&amp;sheet=A0&amp;row=687&amp;col=12&amp;number=6.714&amp;sourceID=30","6.714")</f>
        <v>6.714</v>
      </c>
      <c r="M687" s="4" t="str">
        <f>HYPERLINK("http://141.218.60.56/~jnz1568/getInfo.php?workbook=03_02.xlsx&amp;sheet=A0&amp;row=687&amp;col=13&amp;number=1.225e-09&amp;sourceID=30","1.225e-09")</f>
        <v>1.225e-09</v>
      </c>
      <c r="N687" s="4" t="str">
        <f>HYPERLINK("http://141.218.60.56/~jnz1568/getInfo.php?workbook=03_02.xlsx&amp;sheet=A0&amp;row=687&amp;col=14&amp;number=&amp;sourceID=30","")</f>
        <v/>
      </c>
    </row>
    <row r="688" spans="1:14">
      <c r="A688" s="3">
        <v>3</v>
      </c>
      <c r="B688" s="3">
        <v>2</v>
      </c>
      <c r="C688" s="3">
        <v>41</v>
      </c>
      <c r="D688" s="3">
        <v>28</v>
      </c>
      <c r="E688" s="3">
        <f>((1/(INDEX(E0!J$4:J$52,C688,1)-INDEX(E0!J$4:J$52,D688,1))))*100000000</f>
        <v>0</v>
      </c>
      <c r="F688" s="4" t="str">
        <f>HYPERLINK("http://141.218.60.56/~jnz1568/getInfo.php?workbook=03_02.xlsx&amp;sheet=A0&amp;row=688&amp;col=6&amp;number=&amp;sourceID=27","")</f>
        <v/>
      </c>
      <c r="G688" s="4" t="str">
        <f>HYPERLINK("http://141.218.60.56/~jnz1568/getInfo.php?workbook=03_02.xlsx&amp;sheet=A0&amp;row=688&amp;col=7&amp;number=&amp;sourceID=15","")</f>
        <v/>
      </c>
      <c r="H688" s="4" t="str">
        <f>HYPERLINK("http://141.218.60.56/~jnz1568/getInfo.php?workbook=03_02.xlsx&amp;sheet=A0&amp;row=688&amp;col=8&amp;number=&amp;sourceID=15","")</f>
        <v/>
      </c>
      <c r="I688" s="4" t="str">
        <f>HYPERLINK("http://141.218.60.56/~jnz1568/getInfo.php?workbook=03_02.xlsx&amp;sheet=A0&amp;row=688&amp;col=9&amp;number=&amp;sourceID=15","")</f>
        <v/>
      </c>
      <c r="J688" s="4" t="str">
        <f>HYPERLINK("http://141.218.60.56/~jnz1568/getInfo.php?workbook=03_02.xlsx&amp;sheet=A0&amp;row=688&amp;col=10&amp;number=&amp;sourceID=15","")</f>
        <v/>
      </c>
      <c r="K688" s="4" t="str">
        <f>HYPERLINK("http://141.218.60.56/~jnz1568/getInfo.php?workbook=03_02.xlsx&amp;sheet=A0&amp;row=688&amp;col=11&amp;number=&amp;sourceID=30","")</f>
        <v/>
      </c>
      <c r="L688" s="4" t="str">
        <f>HYPERLINK("http://141.218.60.56/~jnz1568/getInfo.php?workbook=03_02.xlsx&amp;sheet=A0&amp;row=688&amp;col=12&amp;number=2.313&amp;sourceID=30","2.313")</f>
        <v>2.313</v>
      </c>
      <c r="M688" s="4" t="str">
        <f>HYPERLINK("http://141.218.60.56/~jnz1568/getInfo.php?workbook=03_02.xlsx&amp;sheet=A0&amp;row=688&amp;col=13&amp;number=1.314e-09&amp;sourceID=30","1.314e-09")</f>
        <v>1.314e-09</v>
      </c>
      <c r="N688" s="4" t="str">
        <f>HYPERLINK("http://141.218.60.56/~jnz1568/getInfo.php?workbook=03_02.xlsx&amp;sheet=A0&amp;row=688&amp;col=14&amp;number=&amp;sourceID=30","")</f>
        <v/>
      </c>
    </row>
    <row r="689" spans="1:14">
      <c r="A689" s="3">
        <v>3</v>
      </c>
      <c r="B689" s="3">
        <v>2</v>
      </c>
      <c r="C689" s="3">
        <v>41</v>
      </c>
      <c r="D689" s="3">
        <v>29</v>
      </c>
      <c r="E689" s="3">
        <f>((1/(INDEX(E0!J$4:J$52,C689,1)-INDEX(E0!J$4:J$52,D689,1))))*100000000</f>
        <v>0</v>
      </c>
      <c r="F689" s="4" t="str">
        <f>HYPERLINK("http://141.218.60.56/~jnz1568/getInfo.php?workbook=03_02.xlsx&amp;sheet=A0&amp;row=689&amp;col=6&amp;number=&amp;sourceID=27","")</f>
        <v/>
      </c>
      <c r="G689" s="4" t="str">
        <f>HYPERLINK("http://141.218.60.56/~jnz1568/getInfo.php?workbook=03_02.xlsx&amp;sheet=A0&amp;row=689&amp;col=7&amp;number=&amp;sourceID=15","")</f>
        <v/>
      </c>
      <c r="H689" s="4" t="str">
        <f>HYPERLINK("http://141.218.60.56/~jnz1568/getInfo.php?workbook=03_02.xlsx&amp;sheet=A0&amp;row=689&amp;col=8&amp;number=&amp;sourceID=15","")</f>
        <v/>
      </c>
      <c r="I689" s="4" t="str">
        <f>HYPERLINK("http://141.218.60.56/~jnz1568/getInfo.php?workbook=03_02.xlsx&amp;sheet=A0&amp;row=689&amp;col=9&amp;number=&amp;sourceID=15","")</f>
        <v/>
      </c>
      <c r="J689" s="4" t="str">
        <f>HYPERLINK("http://141.218.60.56/~jnz1568/getInfo.php?workbook=03_02.xlsx&amp;sheet=A0&amp;row=689&amp;col=10&amp;number=&amp;sourceID=15","")</f>
        <v/>
      </c>
      <c r="K689" s="4" t="str">
        <f>HYPERLINK("http://141.218.60.56/~jnz1568/getInfo.php?workbook=03_02.xlsx&amp;sheet=A0&amp;row=689&amp;col=11&amp;number=&amp;sourceID=30","")</f>
        <v/>
      </c>
      <c r="L689" s="4" t="str">
        <f>HYPERLINK("http://141.218.60.56/~jnz1568/getInfo.php?workbook=03_02.xlsx&amp;sheet=A0&amp;row=689&amp;col=12&amp;number=0.1399&amp;sourceID=30","0.1399")</f>
        <v>0.1399</v>
      </c>
      <c r="M689" s="4" t="str">
        <f>HYPERLINK("http://141.218.60.56/~jnz1568/getInfo.php?workbook=03_02.xlsx&amp;sheet=A0&amp;row=689&amp;col=13&amp;number=&amp;sourceID=30","")</f>
        <v/>
      </c>
      <c r="N689" s="4" t="str">
        <f>HYPERLINK("http://141.218.60.56/~jnz1568/getInfo.php?workbook=03_02.xlsx&amp;sheet=A0&amp;row=689&amp;col=14&amp;number=&amp;sourceID=30","")</f>
        <v/>
      </c>
    </row>
    <row r="690" spans="1:14">
      <c r="A690" s="3">
        <v>3</v>
      </c>
      <c r="B690" s="3">
        <v>2</v>
      </c>
      <c r="C690" s="3">
        <v>41</v>
      </c>
      <c r="D690" s="3">
        <v>30</v>
      </c>
      <c r="E690" s="3">
        <f>((1/(INDEX(E0!J$4:J$52,C690,1)-INDEX(E0!J$4:J$52,D690,1))))*100000000</f>
        <v>0</v>
      </c>
      <c r="F690" s="4" t="str">
        <f>HYPERLINK("http://141.218.60.56/~jnz1568/getInfo.php?workbook=03_02.xlsx&amp;sheet=A0&amp;row=690&amp;col=6&amp;number=&amp;sourceID=27","")</f>
        <v/>
      </c>
      <c r="G690" s="4" t="str">
        <f>HYPERLINK("http://141.218.60.56/~jnz1568/getInfo.php?workbook=03_02.xlsx&amp;sheet=A0&amp;row=690&amp;col=7&amp;number=&amp;sourceID=15","")</f>
        <v/>
      </c>
      <c r="H690" s="4" t="str">
        <f>HYPERLINK("http://141.218.60.56/~jnz1568/getInfo.php?workbook=03_02.xlsx&amp;sheet=A0&amp;row=690&amp;col=8&amp;number=&amp;sourceID=15","")</f>
        <v/>
      </c>
      <c r="I690" s="4" t="str">
        <f>HYPERLINK("http://141.218.60.56/~jnz1568/getInfo.php?workbook=03_02.xlsx&amp;sheet=A0&amp;row=690&amp;col=9&amp;number=&amp;sourceID=15","")</f>
        <v/>
      </c>
      <c r="J690" s="4" t="str">
        <f>HYPERLINK("http://141.218.60.56/~jnz1568/getInfo.php?workbook=03_02.xlsx&amp;sheet=A0&amp;row=690&amp;col=10&amp;number=&amp;sourceID=15","")</f>
        <v/>
      </c>
      <c r="K690" s="4" t="str">
        <f>HYPERLINK("http://141.218.60.56/~jnz1568/getInfo.php?workbook=03_02.xlsx&amp;sheet=A0&amp;row=690&amp;col=11&amp;number=&amp;sourceID=30","")</f>
        <v/>
      </c>
      <c r="L690" s="4" t="str">
        <f>HYPERLINK("http://141.218.60.56/~jnz1568/getInfo.php?workbook=03_02.xlsx&amp;sheet=A0&amp;row=690&amp;col=12&amp;number=0.6241&amp;sourceID=30","0.6241")</f>
        <v>0.6241</v>
      </c>
      <c r="M690" s="4" t="str">
        <f>HYPERLINK("http://141.218.60.56/~jnz1568/getInfo.php?workbook=03_02.xlsx&amp;sheet=A0&amp;row=690&amp;col=13&amp;number=1.713e-09&amp;sourceID=30","1.713e-09")</f>
        <v>1.713e-09</v>
      </c>
      <c r="N690" s="4" t="str">
        <f>HYPERLINK("http://141.218.60.56/~jnz1568/getInfo.php?workbook=03_02.xlsx&amp;sheet=A0&amp;row=690&amp;col=14&amp;number=&amp;sourceID=30","")</f>
        <v/>
      </c>
    </row>
    <row r="691" spans="1:14">
      <c r="A691" s="3">
        <v>3</v>
      </c>
      <c r="B691" s="3">
        <v>2</v>
      </c>
      <c r="C691" s="3">
        <v>41</v>
      </c>
      <c r="D691" s="3">
        <v>31</v>
      </c>
      <c r="E691" s="3">
        <f>((1/(INDEX(E0!J$4:J$52,C691,1)-INDEX(E0!J$4:J$52,D691,1))))*100000000</f>
        <v>0</v>
      </c>
      <c r="F691" s="4" t="str">
        <f>HYPERLINK("http://141.218.60.56/~jnz1568/getInfo.php?workbook=03_02.xlsx&amp;sheet=A0&amp;row=691&amp;col=6&amp;number=&amp;sourceID=27","")</f>
        <v/>
      </c>
      <c r="G691" s="4" t="str">
        <f>HYPERLINK("http://141.218.60.56/~jnz1568/getInfo.php?workbook=03_02.xlsx&amp;sheet=A0&amp;row=691&amp;col=7&amp;number=&amp;sourceID=15","")</f>
        <v/>
      </c>
      <c r="H691" s="4" t="str">
        <f>HYPERLINK("http://141.218.60.56/~jnz1568/getInfo.php?workbook=03_02.xlsx&amp;sheet=A0&amp;row=691&amp;col=8&amp;number=&amp;sourceID=15","")</f>
        <v/>
      </c>
      <c r="I691" s="4" t="str">
        <f>HYPERLINK("http://141.218.60.56/~jnz1568/getInfo.php?workbook=03_02.xlsx&amp;sheet=A0&amp;row=691&amp;col=9&amp;number=&amp;sourceID=15","")</f>
        <v/>
      </c>
      <c r="J691" s="4" t="str">
        <f>HYPERLINK("http://141.218.60.56/~jnz1568/getInfo.php?workbook=03_02.xlsx&amp;sheet=A0&amp;row=691&amp;col=10&amp;number=&amp;sourceID=15","")</f>
        <v/>
      </c>
      <c r="K691" s="4" t="str">
        <f>HYPERLINK("http://141.218.60.56/~jnz1568/getInfo.php?workbook=03_02.xlsx&amp;sheet=A0&amp;row=691&amp;col=11&amp;number=&amp;sourceID=30","")</f>
        <v/>
      </c>
      <c r="L691" s="4" t="str">
        <f>HYPERLINK("http://141.218.60.56/~jnz1568/getInfo.php?workbook=03_02.xlsx&amp;sheet=A0&amp;row=691&amp;col=12&amp;number=1.062e-05&amp;sourceID=30","1.062e-05")</f>
        <v>1.062e-05</v>
      </c>
      <c r="M691" s="4" t="str">
        <f>HYPERLINK("http://141.218.60.56/~jnz1568/getInfo.php?workbook=03_02.xlsx&amp;sheet=A0&amp;row=691&amp;col=13&amp;number=2.058e-11&amp;sourceID=30","2.058e-11")</f>
        <v>2.058e-11</v>
      </c>
      <c r="N691" s="4" t="str">
        <f>HYPERLINK("http://141.218.60.56/~jnz1568/getInfo.php?workbook=03_02.xlsx&amp;sheet=A0&amp;row=691&amp;col=14&amp;number=&amp;sourceID=30","")</f>
        <v/>
      </c>
    </row>
    <row r="692" spans="1:14">
      <c r="A692" s="3">
        <v>3</v>
      </c>
      <c r="B692" s="3">
        <v>2</v>
      </c>
      <c r="C692" s="3">
        <v>41</v>
      </c>
      <c r="D692" s="3">
        <v>32</v>
      </c>
      <c r="E692" s="3">
        <f>((1/(INDEX(E0!J$4:J$52,C692,1)-INDEX(E0!J$4:J$52,D692,1))))*100000000</f>
        <v>0</v>
      </c>
      <c r="F692" s="4" t="str">
        <f>HYPERLINK("http://141.218.60.56/~jnz1568/getInfo.php?workbook=03_02.xlsx&amp;sheet=A0&amp;row=692&amp;col=6&amp;number=&amp;sourceID=27","")</f>
        <v/>
      </c>
      <c r="G692" s="4" t="str">
        <f>HYPERLINK("http://141.218.60.56/~jnz1568/getInfo.php?workbook=03_02.xlsx&amp;sheet=A0&amp;row=692&amp;col=7&amp;number=&amp;sourceID=15","")</f>
        <v/>
      </c>
      <c r="H692" s="4" t="str">
        <f>HYPERLINK("http://141.218.60.56/~jnz1568/getInfo.php?workbook=03_02.xlsx&amp;sheet=A0&amp;row=692&amp;col=8&amp;number=&amp;sourceID=15","")</f>
        <v/>
      </c>
      <c r="I692" s="4" t="str">
        <f>HYPERLINK("http://141.218.60.56/~jnz1568/getInfo.php?workbook=03_02.xlsx&amp;sheet=A0&amp;row=692&amp;col=9&amp;number=&amp;sourceID=15","")</f>
        <v/>
      </c>
      <c r="J692" s="4" t="str">
        <f>HYPERLINK("http://141.218.60.56/~jnz1568/getInfo.php?workbook=03_02.xlsx&amp;sheet=A0&amp;row=692&amp;col=10&amp;number=&amp;sourceID=15","")</f>
        <v/>
      </c>
      <c r="K692" s="4" t="str">
        <f>HYPERLINK("http://141.218.60.56/~jnz1568/getInfo.php?workbook=03_02.xlsx&amp;sheet=A0&amp;row=692&amp;col=11&amp;number=6.065e-05&amp;sourceID=30","6.065e-05")</f>
        <v>6.065e-05</v>
      </c>
      <c r="L692" s="4" t="str">
        <f>HYPERLINK("http://141.218.60.56/~jnz1568/getInfo.php?workbook=03_02.xlsx&amp;sheet=A0&amp;row=692&amp;col=12&amp;number=&amp;sourceID=30","")</f>
        <v/>
      </c>
      <c r="M692" s="4" t="str">
        <f>HYPERLINK("http://141.218.60.56/~jnz1568/getInfo.php?workbook=03_02.xlsx&amp;sheet=A0&amp;row=692&amp;col=13&amp;number=&amp;sourceID=30","")</f>
        <v/>
      </c>
      <c r="N692" s="4" t="str">
        <f>HYPERLINK("http://141.218.60.56/~jnz1568/getInfo.php?workbook=03_02.xlsx&amp;sheet=A0&amp;row=692&amp;col=14&amp;number=0&amp;sourceID=30","0")</f>
        <v>0</v>
      </c>
    </row>
    <row r="693" spans="1:14">
      <c r="A693" s="3">
        <v>3</v>
      </c>
      <c r="B693" s="3">
        <v>2</v>
      </c>
      <c r="C693" s="3">
        <v>41</v>
      </c>
      <c r="D693" s="3">
        <v>34</v>
      </c>
      <c r="E693" s="3">
        <f>((1/(INDEX(E0!J$4:J$52,C693,1)-INDEX(E0!J$4:J$52,D693,1))))*100000000</f>
        <v>0</v>
      </c>
      <c r="F693" s="4" t="str">
        <f>HYPERLINK("http://141.218.60.56/~jnz1568/getInfo.php?workbook=03_02.xlsx&amp;sheet=A0&amp;row=693&amp;col=6&amp;number=&amp;sourceID=27","")</f>
        <v/>
      </c>
      <c r="G693" s="4" t="str">
        <f>HYPERLINK("http://141.218.60.56/~jnz1568/getInfo.php?workbook=03_02.xlsx&amp;sheet=A0&amp;row=693&amp;col=7&amp;number=&amp;sourceID=15","")</f>
        <v/>
      </c>
      <c r="H693" s="4" t="str">
        <f>HYPERLINK("http://141.218.60.56/~jnz1568/getInfo.php?workbook=03_02.xlsx&amp;sheet=A0&amp;row=693&amp;col=8&amp;number=&amp;sourceID=15","")</f>
        <v/>
      </c>
      <c r="I693" s="4" t="str">
        <f>HYPERLINK("http://141.218.60.56/~jnz1568/getInfo.php?workbook=03_02.xlsx&amp;sheet=A0&amp;row=693&amp;col=9&amp;number=&amp;sourceID=15","")</f>
        <v/>
      </c>
      <c r="J693" s="4" t="str">
        <f>HYPERLINK("http://141.218.60.56/~jnz1568/getInfo.php?workbook=03_02.xlsx&amp;sheet=A0&amp;row=693&amp;col=10&amp;number=&amp;sourceID=15","")</f>
        <v/>
      </c>
      <c r="K693" s="4" t="str">
        <f>HYPERLINK("http://141.218.60.56/~jnz1568/getInfo.php?workbook=03_02.xlsx&amp;sheet=A0&amp;row=693&amp;col=11&amp;number=&amp;sourceID=30","")</f>
        <v/>
      </c>
      <c r="L693" s="4" t="str">
        <f>HYPERLINK("http://141.218.60.56/~jnz1568/getInfo.php?workbook=03_02.xlsx&amp;sheet=A0&amp;row=693&amp;col=12&amp;number=4.953e-06&amp;sourceID=30","4.953e-06")</f>
        <v>4.953e-06</v>
      </c>
      <c r="M693" s="4" t="str">
        <f>HYPERLINK("http://141.218.60.56/~jnz1568/getInfo.php?workbook=03_02.xlsx&amp;sheet=A0&amp;row=693&amp;col=13&amp;number=&amp;sourceID=30","")</f>
        <v/>
      </c>
      <c r="N693" s="4" t="str">
        <f>HYPERLINK("http://141.218.60.56/~jnz1568/getInfo.php?workbook=03_02.xlsx&amp;sheet=A0&amp;row=693&amp;col=14&amp;number=&amp;sourceID=30","")</f>
        <v/>
      </c>
    </row>
    <row r="694" spans="1:14">
      <c r="A694" s="3">
        <v>3</v>
      </c>
      <c r="B694" s="3">
        <v>2</v>
      </c>
      <c r="C694" s="3">
        <v>41</v>
      </c>
      <c r="D694" s="3">
        <v>35</v>
      </c>
      <c r="E694" s="3">
        <f>((1/(INDEX(E0!J$4:J$52,C694,1)-INDEX(E0!J$4:J$52,D694,1))))*100000000</f>
        <v>0</v>
      </c>
      <c r="F694" s="4" t="str">
        <f>HYPERLINK("http://141.218.60.56/~jnz1568/getInfo.php?workbook=03_02.xlsx&amp;sheet=A0&amp;row=694&amp;col=6&amp;number=&amp;sourceID=27","")</f>
        <v/>
      </c>
      <c r="G694" s="4" t="str">
        <f>HYPERLINK("http://141.218.60.56/~jnz1568/getInfo.php?workbook=03_02.xlsx&amp;sheet=A0&amp;row=694&amp;col=7&amp;number=&amp;sourceID=15","")</f>
        <v/>
      </c>
      <c r="H694" s="4" t="str">
        <f>HYPERLINK("http://141.218.60.56/~jnz1568/getInfo.php?workbook=03_02.xlsx&amp;sheet=A0&amp;row=694&amp;col=8&amp;number=&amp;sourceID=15","")</f>
        <v/>
      </c>
      <c r="I694" s="4" t="str">
        <f>HYPERLINK("http://141.218.60.56/~jnz1568/getInfo.php?workbook=03_02.xlsx&amp;sheet=A0&amp;row=694&amp;col=9&amp;number=&amp;sourceID=15","")</f>
        <v/>
      </c>
      <c r="J694" s="4" t="str">
        <f>HYPERLINK("http://141.218.60.56/~jnz1568/getInfo.php?workbook=03_02.xlsx&amp;sheet=A0&amp;row=694&amp;col=10&amp;number=&amp;sourceID=15","")</f>
        <v/>
      </c>
      <c r="K694" s="4" t="str">
        <f>HYPERLINK("http://141.218.60.56/~jnz1568/getInfo.php?workbook=03_02.xlsx&amp;sheet=A0&amp;row=694&amp;col=11&amp;number=&amp;sourceID=30","")</f>
        <v/>
      </c>
      <c r="L694" s="4" t="str">
        <f>HYPERLINK("http://141.218.60.56/~jnz1568/getInfo.php?workbook=03_02.xlsx&amp;sheet=A0&amp;row=694&amp;col=12&amp;number=4.971e-06&amp;sourceID=30","4.971e-06")</f>
        <v>4.971e-06</v>
      </c>
      <c r="M694" s="4" t="str">
        <f>HYPERLINK("http://141.218.60.56/~jnz1568/getInfo.php?workbook=03_02.xlsx&amp;sheet=A0&amp;row=694&amp;col=13&amp;number=5e-15&amp;sourceID=30","5e-15")</f>
        <v>5e-15</v>
      </c>
      <c r="N694" s="4" t="str">
        <f>HYPERLINK("http://141.218.60.56/~jnz1568/getInfo.php?workbook=03_02.xlsx&amp;sheet=A0&amp;row=694&amp;col=14&amp;number=&amp;sourceID=30","")</f>
        <v/>
      </c>
    </row>
    <row r="695" spans="1:14">
      <c r="A695" s="3">
        <v>3</v>
      </c>
      <c r="B695" s="3">
        <v>2</v>
      </c>
      <c r="C695" s="3">
        <v>41</v>
      </c>
      <c r="D695" s="3">
        <v>36</v>
      </c>
      <c r="E695" s="3">
        <f>((1/(INDEX(E0!J$4:J$52,C695,1)-INDEX(E0!J$4:J$52,D695,1))))*100000000</f>
        <v>0</v>
      </c>
      <c r="F695" s="4" t="str">
        <f>HYPERLINK("http://141.218.60.56/~jnz1568/getInfo.php?workbook=03_02.xlsx&amp;sheet=A0&amp;row=695&amp;col=6&amp;number=&amp;sourceID=27","")</f>
        <v/>
      </c>
      <c r="G695" s="4" t="str">
        <f>HYPERLINK("http://141.218.60.56/~jnz1568/getInfo.php?workbook=03_02.xlsx&amp;sheet=A0&amp;row=695&amp;col=7&amp;number=&amp;sourceID=15","")</f>
        <v/>
      </c>
      <c r="H695" s="4" t="str">
        <f>HYPERLINK("http://141.218.60.56/~jnz1568/getInfo.php?workbook=03_02.xlsx&amp;sheet=A0&amp;row=695&amp;col=8&amp;number=&amp;sourceID=15","")</f>
        <v/>
      </c>
      <c r="I695" s="4" t="str">
        <f>HYPERLINK("http://141.218.60.56/~jnz1568/getInfo.php?workbook=03_02.xlsx&amp;sheet=A0&amp;row=695&amp;col=9&amp;number=&amp;sourceID=15","")</f>
        <v/>
      </c>
      <c r="J695" s="4" t="str">
        <f>HYPERLINK("http://141.218.60.56/~jnz1568/getInfo.php?workbook=03_02.xlsx&amp;sheet=A0&amp;row=695&amp;col=10&amp;number=&amp;sourceID=15","")</f>
        <v/>
      </c>
      <c r="K695" s="4" t="str">
        <f>HYPERLINK("http://141.218.60.56/~jnz1568/getInfo.php?workbook=03_02.xlsx&amp;sheet=A0&amp;row=695&amp;col=11&amp;number=&amp;sourceID=30","")</f>
        <v/>
      </c>
      <c r="L695" s="4" t="str">
        <f>HYPERLINK("http://141.218.60.56/~jnz1568/getInfo.php?workbook=03_02.xlsx&amp;sheet=A0&amp;row=695&amp;col=12&amp;number=7.086e-07&amp;sourceID=30","7.086e-07")</f>
        <v>7.086e-07</v>
      </c>
      <c r="M695" s="4" t="str">
        <f>HYPERLINK("http://141.218.60.56/~jnz1568/getInfo.php?workbook=03_02.xlsx&amp;sheet=A0&amp;row=695&amp;col=13&amp;number=5.1e-14&amp;sourceID=30","5.1e-14")</f>
        <v>5.1e-14</v>
      </c>
      <c r="N695" s="4" t="str">
        <f>HYPERLINK("http://141.218.60.56/~jnz1568/getInfo.php?workbook=03_02.xlsx&amp;sheet=A0&amp;row=695&amp;col=14&amp;number=&amp;sourceID=30","")</f>
        <v/>
      </c>
    </row>
    <row r="696" spans="1:14">
      <c r="A696" s="3">
        <v>3</v>
      </c>
      <c r="B696" s="3">
        <v>2</v>
      </c>
      <c r="C696" s="3">
        <v>41</v>
      </c>
      <c r="D696" s="3">
        <v>37</v>
      </c>
      <c r="E696" s="3">
        <f>((1/(INDEX(E0!J$4:J$52,C696,1)-INDEX(E0!J$4:J$52,D696,1))))*100000000</f>
        <v>0</v>
      </c>
      <c r="F696" s="4" t="str">
        <f>HYPERLINK("http://141.218.60.56/~jnz1568/getInfo.php?workbook=03_02.xlsx&amp;sheet=A0&amp;row=696&amp;col=6&amp;number=&amp;sourceID=27","")</f>
        <v/>
      </c>
      <c r="G696" s="4" t="str">
        <f>HYPERLINK("http://141.218.60.56/~jnz1568/getInfo.php?workbook=03_02.xlsx&amp;sheet=A0&amp;row=696&amp;col=7&amp;number=&amp;sourceID=15","")</f>
        <v/>
      </c>
      <c r="H696" s="4" t="str">
        <f>HYPERLINK("http://141.218.60.56/~jnz1568/getInfo.php?workbook=03_02.xlsx&amp;sheet=A0&amp;row=696&amp;col=8&amp;number=&amp;sourceID=15","")</f>
        <v/>
      </c>
      <c r="I696" s="4" t="str">
        <f>HYPERLINK("http://141.218.60.56/~jnz1568/getInfo.php?workbook=03_02.xlsx&amp;sheet=A0&amp;row=696&amp;col=9&amp;number=&amp;sourceID=15","")</f>
        <v/>
      </c>
      <c r="J696" s="4" t="str">
        <f>HYPERLINK("http://141.218.60.56/~jnz1568/getInfo.php?workbook=03_02.xlsx&amp;sheet=A0&amp;row=696&amp;col=10&amp;number=&amp;sourceID=15","")</f>
        <v/>
      </c>
      <c r="K696" s="4" t="str">
        <f>HYPERLINK("http://141.218.60.56/~jnz1568/getInfo.php?workbook=03_02.xlsx&amp;sheet=A0&amp;row=696&amp;col=11&amp;number=0.1202&amp;sourceID=30","0.1202")</f>
        <v>0.1202</v>
      </c>
      <c r="L696" s="4" t="str">
        <f>HYPERLINK("http://141.218.60.56/~jnz1568/getInfo.php?workbook=03_02.xlsx&amp;sheet=A0&amp;row=696&amp;col=12&amp;number=&amp;sourceID=30","")</f>
        <v/>
      </c>
      <c r="M696" s="4" t="str">
        <f>HYPERLINK("http://141.218.60.56/~jnz1568/getInfo.php?workbook=03_02.xlsx&amp;sheet=A0&amp;row=696&amp;col=13&amp;number=&amp;sourceID=30","")</f>
        <v/>
      </c>
      <c r="N696" s="4" t="str">
        <f>HYPERLINK("http://141.218.60.56/~jnz1568/getInfo.php?workbook=03_02.xlsx&amp;sheet=A0&amp;row=696&amp;col=14&amp;number=0&amp;sourceID=30","0")</f>
        <v>0</v>
      </c>
    </row>
    <row r="697" spans="1:14">
      <c r="A697" s="3">
        <v>3</v>
      </c>
      <c r="B697" s="3">
        <v>2</v>
      </c>
      <c r="C697" s="3">
        <v>41</v>
      </c>
      <c r="D697" s="3">
        <v>38</v>
      </c>
      <c r="E697" s="3">
        <f>((1/(INDEX(E0!J$4:J$52,C697,1)-INDEX(E0!J$4:J$52,D697,1))))*100000000</f>
        <v>0</v>
      </c>
      <c r="F697" s="4" t="str">
        <f>HYPERLINK("http://141.218.60.56/~jnz1568/getInfo.php?workbook=03_02.xlsx&amp;sheet=A0&amp;row=697&amp;col=6&amp;number=&amp;sourceID=27","")</f>
        <v/>
      </c>
      <c r="G697" s="4" t="str">
        <f>HYPERLINK("http://141.218.60.56/~jnz1568/getInfo.php?workbook=03_02.xlsx&amp;sheet=A0&amp;row=697&amp;col=7&amp;number=&amp;sourceID=15","")</f>
        <v/>
      </c>
      <c r="H697" s="4" t="str">
        <f>HYPERLINK("http://141.218.60.56/~jnz1568/getInfo.php?workbook=03_02.xlsx&amp;sheet=A0&amp;row=697&amp;col=8&amp;number=&amp;sourceID=15","")</f>
        <v/>
      </c>
      <c r="I697" s="4" t="str">
        <f>HYPERLINK("http://141.218.60.56/~jnz1568/getInfo.php?workbook=03_02.xlsx&amp;sheet=A0&amp;row=697&amp;col=9&amp;number=&amp;sourceID=15","")</f>
        <v/>
      </c>
      <c r="J697" s="4" t="str">
        <f>HYPERLINK("http://141.218.60.56/~jnz1568/getInfo.php?workbook=03_02.xlsx&amp;sheet=A0&amp;row=697&amp;col=10&amp;number=&amp;sourceID=15","")</f>
        <v/>
      </c>
      <c r="K697" s="4" t="str">
        <f>HYPERLINK("http://141.218.60.56/~jnz1568/getInfo.php?workbook=03_02.xlsx&amp;sheet=A0&amp;row=697&amp;col=11&amp;number=0.02265&amp;sourceID=30","0.02265")</f>
        <v>0.02265</v>
      </c>
      <c r="L697" s="4" t="str">
        <f>HYPERLINK("http://141.218.60.56/~jnz1568/getInfo.php?workbook=03_02.xlsx&amp;sheet=A0&amp;row=697&amp;col=12&amp;number=&amp;sourceID=30","")</f>
        <v/>
      </c>
      <c r="M697" s="4" t="str">
        <f>HYPERLINK("http://141.218.60.56/~jnz1568/getInfo.php?workbook=03_02.xlsx&amp;sheet=A0&amp;row=697&amp;col=13&amp;number=&amp;sourceID=30","")</f>
        <v/>
      </c>
      <c r="N697" s="4" t="str">
        <f>HYPERLINK("http://141.218.60.56/~jnz1568/getInfo.php?workbook=03_02.xlsx&amp;sheet=A0&amp;row=697&amp;col=14&amp;number=0&amp;sourceID=30","0")</f>
        <v>0</v>
      </c>
    </row>
    <row r="698" spans="1:14">
      <c r="A698" s="3">
        <v>3</v>
      </c>
      <c r="B698" s="3">
        <v>2</v>
      </c>
      <c r="C698" s="3">
        <v>41</v>
      </c>
      <c r="D698" s="3">
        <v>39</v>
      </c>
      <c r="E698" s="3">
        <f>((1/(INDEX(E0!J$4:J$52,C698,1)-INDEX(E0!J$4:J$52,D698,1))))*100000000</f>
        <v>0</v>
      </c>
      <c r="F698" s="4" t="str">
        <f>HYPERLINK("http://141.218.60.56/~jnz1568/getInfo.php?workbook=03_02.xlsx&amp;sheet=A0&amp;row=698&amp;col=6&amp;number=&amp;sourceID=27","")</f>
        <v/>
      </c>
      <c r="G698" s="4" t="str">
        <f>HYPERLINK("http://141.218.60.56/~jnz1568/getInfo.php?workbook=03_02.xlsx&amp;sheet=A0&amp;row=698&amp;col=7&amp;number=&amp;sourceID=15","")</f>
        <v/>
      </c>
      <c r="H698" s="4" t="str">
        <f>HYPERLINK("http://141.218.60.56/~jnz1568/getInfo.php?workbook=03_02.xlsx&amp;sheet=A0&amp;row=698&amp;col=8&amp;number=&amp;sourceID=15","")</f>
        <v/>
      </c>
      <c r="I698" s="4" t="str">
        <f>HYPERLINK("http://141.218.60.56/~jnz1568/getInfo.php?workbook=03_02.xlsx&amp;sheet=A0&amp;row=698&amp;col=9&amp;number=&amp;sourceID=15","")</f>
        <v/>
      </c>
      <c r="J698" s="4" t="str">
        <f>HYPERLINK("http://141.218.60.56/~jnz1568/getInfo.php?workbook=03_02.xlsx&amp;sheet=A0&amp;row=698&amp;col=10&amp;number=&amp;sourceID=15","")</f>
        <v/>
      </c>
      <c r="K698" s="4" t="str">
        <f>HYPERLINK("http://141.218.60.56/~jnz1568/getInfo.php?workbook=03_02.xlsx&amp;sheet=A0&amp;row=698&amp;col=11&amp;number=0.0006405&amp;sourceID=30","0.0006405")</f>
        <v>0.0006405</v>
      </c>
      <c r="L698" s="4" t="str">
        <f>HYPERLINK("http://141.218.60.56/~jnz1568/getInfo.php?workbook=03_02.xlsx&amp;sheet=A0&amp;row=698&amp;col=12&amp;number=&amp;sourceID=30","")</f>
        <v/>
      </c>
      <c r="M698" s="4" t="str">
        <f>HYPERLINK("http://141.218.60.56/~jnz1568/getInfo.php?workbook=03_02.xlsx&amp;sheet=A0&amp;row=698&amp;col=13&amp;number=&amp;sourceID=30","")</f>
        <v/>
      </c>
      <c r="N698" s="4" t="str">
        <f>HYPERLINK("http://141.218.60.56/~jnz1568/getInfo.php?workbook=03_02.xlsx&amp;sheet=A0&amp;row=698&amp;col=14&amp;number=0&amp;sourceID=30","0")</f>
        <v>0</v>
      </c>
    </row>
    <row r="699" spans="1:14">
      <c r="A699" s="3">
        <v>3</v>
      </c>
      <c r="B699" s="3">
        <v>2</v>
      </c>
      <c r="C699" s="3">
        <v>42</v>
      </c>
      <c r="D699" s="3">
        <v>2</v>
      </c>
      <c r="E699" s="3">
        <f>((1/(INDEX(E0!J$4:J$52,C699,1)-INDEX(E0!J$4:J$52,D699,1))))*100000000</f>
        <v>0</v>
      </c>
      <c r="F699" s="4" t="str">
        <f>HYPERLINK("http://141.218.60.56/~jnz1568/getInfo.php?workbook=03_02.xlsx&amp;sheet=A0&amp;row=699&amp;col=6&amp;number=&amp;sourceID=27","")</f>
        <v/>
      </c>
      <c r="G699" s="4" t="str">
        <f>HYPERLINK("http://141.218.60.56/~jnz1568/getInfo.php?workbook=03_02.xlsx&amp;sheet=A0&amp;row=699&amp;col=7&amp;number=&amp;sourceID=15","")</f>
        <v/>
      </c>
      <c r="H699" s="4" t="str">
        <f>HYPERLINK("http://141.218.60.56/~jnz1568/getInfo.php?workbook=03_02.xlsx&amp;sheet=A0&amp;row=699&amp;col=8&amp;number=&amp;sourceID=15","")</f>
        <v/>
      </c>
      <c r="I699" s="4" t="str">
        <f>HYPERLINK("http://141.218.60.56/~jnz1568/getInfo.php?workbook=03_02.xlsx&amp;sheet=A0&amp;row=699&amp;col=9&amp;number=&amp;sourceID=15","")</f>
        <v/>
      </c>
      <c r="J699" s="4" t="str">
        <f>HYPERLINK("http://141.218.60.56/~jnz1568/getInfo.php?workbook=03_02.xlsx&amp;sheet=A0&amp;row=699&amp;col=10&amp;number=&amp;sourceID=15","")</f>
        <v/>
      </c>
      <c r="K699" s="4" t="str">
        <f>HYPERLINK("http://141.218.60.56/~jnz1568/getInfo.php?workbook=03_02.xlsx&amp;sheet=A0&amp;row=699&amp;col=11&amp;number=&amp;sourceID=30","")</f>
        <v/>
      </c>
      <c r="L699" s="4" t="str">
        <f>HYPERLINK("http://141.218.60.56/~jnz1568/getInfo.php?workbook=03_02.xlsx&amp;sheet=A0&amp;row=699&amp;col=12&amp;number=&amp;sourceID=30","")</f>
        <v/>
      </c>
      <c r="M699" s="4" t="str">
        <f>HYPERLINK("http://141.218.60.56/~jnz1568/getInfo.php?workbook=03_02.xlsx&amp;sheet=A0&amp;row=699&amp;col=13&amp;number=&amp;sourceID=30","")</f>
        <v/>
      </c>
      <c r="N699" s="4" t="str">
        <f>HYPERLINK("http://141.218.60.56/~jnz1568/getInfo.php?workbook=03_02.xlsx&amp;sheet=A0&amp;row=699&amp;col=14&amp;number=1.791e-12&amp;sourceID=30","1.791e-12")</f>
        <v>1.791e-12</v>
      </c>
    </row>
    <row r="700" spans="1:14">
      <c r="A700" s="3">
        <v>3</v>
      </c>
      <c r="B700" s="3">
        <v>2</v>
      </c>
      <c r="C700" s="3">
        <v>42</v>
      </c>
      <c r="D700" s="3">
        <v>4</v>
      </c>
      <c r="E700" s="3">
        <f>((1/(INDEX(E0!J$4:J$52,C700,1)-INDEX(E0!J$4:J$52,D700,1))))*100000000</f>
        <v>0</v>
      </c>
      <c r="F700" s="4" t="str">
        <f>HYPERLINK("http://141.218.60.56/~jnz1568/getInfo.php?workbook=03_02.xlsx&amp;sheet=A0&amp;row=700&amp;col=6&amp;number=&amp;sourceID=27","")</f>
        <v/>
      </c>
      <c r="G700" s="4" t="str">
        <f>HYPERLINK("http://141.218.60.56/~jnz1568/getInfo.php?workbook=03_02.xlsx&amp;sheet=A0&amp;row=700&amp;col=7&amp;number=&amp;sourceID=15","")</f>
        <v/>
      </c>
      <c r="H700" s="4" t="str">
        <f>HYPERLINK("http://141.218.60.56/~jnz1568/getInfo.php?workbook=03_02.xlsx&amp;sheet=A0&amp;row=700&amp;col=8&amp;number=&amp;sourceID=15","")</f>
        <v/>
      </c>
      <c r="I700" s="4" t="str">
        <f>HYPERLINK("http://141.218.60.56/~jnz1568/getInfo.php?workbook=03_02.xlsx&amp;sheet=A0&amp;row=700&amp;col=9&amp;number=&amp;sourceID=15","")</f>
        <v/>
      </c>
      <c r="J700" s="4" t="str">
        <f>HYPERLINK("http://141.218.60.56/~jnz1568/getInfo.php?workbook=03_02.xlsx&amp;sheet=A0&amp;row=700&amp;col=10&amp;number=&amp;sourceID=15","")</f>
        <v/>
      </c>
      <c r="K700" s="4" t="str">
        <f>HYPERLINK("http://141.218.60.56/~jnz1568/getInfo.php?workbook=03_02.xlsx&amp;sheet=A0&amp;row=700&amp;col=11&amp;number=&amp;sourceID=30","")</f>
        <v/>
      </c>
      <c r="L700" s="4" t="str">
        <f>HYPERLINK("http://141.218.60.56/~jnz1568/getInfo.php?workbook=03_02.xlsx&amp;sheet=A0&amp;row=700&amp;col=12&amp;number=2057&amp;sourceID=30","2057")</f>
        <v>2057</v>
      </c>
      <c r="M700" s="4" t="str">
        <f>HYPERLINK("http://141.218.60.56/~jnz1568/getInfo.php?workbook=03_02.xlsx&amp;sheet=A0&amp;row=700&amp;col=13&amp;number=&amp;sourceID=30","")</f>
        <v/>
      </c>
      <c r="N700" s="4" t="str">
        <f>HYPERLINK("http://141.218.60.56/~jnz1568/getInfo.php?workbook=03_02.xlsx&amp;sheet=A0&amp;row=700&amp;col=14&amp;number=&amp;sourceID=30","")</f>
        <v/>
      </c>
    </row>
    <row r="701" spans="1:14">
      <c r="A701" s="3">
        <v>3</v>
      </c>
      <c r="B701" s="3">
        <v>2</v>
      </c>
      <c r="C701" s="3">
        <v>42</v>
      </c>
      <c r="D701" s="3">
        <v>5</v>
      </c>
      <c r="E701" s="3">
        <f>((1/(INDEX(E0!J$4:J$52,C701,1)-INDEX(E0!J$4:J$52,D701,1))))*100000000</f>
        <v>0</v>
      </c>
      <c r="F701" s="4" t="str">
        <f>HYPERLINK("http://141.218.60.56/~jnz1568/getInfo.php?workbook=03_02.xlsx&amp;sheet=A0&amp;row=701&amp;col=6&amp;number=&amp;sourceID=27","")</f>
        <v/>
      </c>
      <c r="G701" s="4" t="str">
        <f>HYPERLINK("http://141.218.60.56/~jnz1568/getInfo.php?workbook=03_02.xlsx&amp;sheet=A0&amp;row=701&amp;col=7&amp;number=&amp;sourceID=15","")</f>
        <v/>
      </c>
      <c r="H701" s="4" t="str">
        <f>HYPERLINK("http://141.218.60.56/~jnz1568/getInfo.php?workbook=03_02.xlsx&amp;sheet=A0&amp;row=701&amp;col=8&amp;number=&amp;sourceID=15","")</f>
        <v/>
      </c>
      <c r="I701" s="4" t="str">
        <f>HYPERLINK("http://141.218.60.56/~jnz1568/getInfo.php?workbook=03_02.xlsx&amp;sheet=A0&amp;row=701&amp;col=9&amp;number=&amp;sourceID=15","")</f>
        <v/>
      </c>
      <c r="J701" s="4" t="str">
        <f>HYPERLINK("http://141.218.60.56/~jnz1568/getInfo.php?workbook=03_02.xlsx&amp;sheet=A0&amp;row=701&amp;col=10&amp;number=&amp;sourceID=15","")</f>
        <v/>
      </c>
      <c r="K701" s="4" t="str">
        <f>HYPERLINK("http://141.218.60.56/~jnz1568/getInfo.php?workbook=03_02.xlsx&amp;sheet=A0&amp;row=701&amp;col=11&amp;number=&amp;sourceID=30","")</f>
        <v/>
      </c>
      <c r="L701" s="4" t="str">
        <f>HYPERLINK("http://141.218.60.56/~jnz1568/getInfo.php?workbook=03_02.xlsx&amp;sheet=A0&amp;row=701&amp;col=12&amp;number=1028&amp;sourceID=30","1028")</f>
        <v>1028</v>
      </c>
      <c r="M701" s="4" t="str">
        <f>HYPERLINK("http://141.218.60.56/~jnz1568/getInfo.php?workbook=03_02.xlsx&amp;sheet=A0&amp;row=701&amp;col=13&amp;number=5.906e-09&amp;sourceID=30","5.906e-09")</f>
        <v>5.906e-09</v>
      </c>
      <c r="N701" s="4" t="str">
        <f>HYPERLINK("http://141.218.60.56/~jnz1568/getInfo.php?workbook=03_02.xlsx&amp;sheet=A0&amp;row=701&amp;col=14&amp;number=&amp;sourceID=30","")</f>
        <v/>
      </c>
    </row>
    <row r="702" spans="1:14">
      <c r="A702" s="3">
        <v>3</v>
      </c>
      <c r="B702" s="3">
        <v>2</v>
      </c>
      <c r="C702" s="3">
        <v>42</v>
      </c>
      <c r="D702" s="3">
        <v>7</v>
      </c>
      <c r="E702" s="3">
        <f>((1/(INDEX(E0!J$4:J$52,C702,1)-INDEX(E0!J$4:J$52,D702,1))))*100000000</f>
        <v>0</v>
      </c>
      <c r="F702" s="4" t="str">
        <f>HYPERLINK("http://141.218.60.56/~jnz1568/getInfo.php?workbook=03_02.xlsx&amp;sheet=A0&amp;row=702&amp;col=6&amp;number=&amp;sourceID=27","")</f>
        <v/>
      </c>
      <c r="G702" s="4" t="str">
        <f>HYPERLINK("http://141.218.60.56/~jnz1568/getInfo.php?workbook=03_02.xlsx&amp;sheet=A0&amp;row=702&amp;col=7&amp;number=&amp;sourceID=15","")</f>
        <v/>
      </c>
      <c r="H702" s="4" t="str">
        <f>HYPERLINK("http://141.218.60.56/~jnz1568/getInfo.php?workbook=03_02.xlsx&amp;sheet=A0&amp;row=702&amp;col=8&amp;number=&amp;sourceID=15","")</f>
        <v/>
      </c>
      <c r="I702" s="4" t="str">
        <f>HYPERLINK("http://141.218.60.56/~jnz1568/getInfo.php?workbook=03_02.xlsx&amp;sheet=A0&amp;row=702&amp;col=9&amp;number=&amp;sourceID=15","")</f>
        <v/>
      </c>
      <c r="J702" s="4" t="str">
        <f>HYPERLINK("http://141.218.60.56/~jnz1568/getInfo.php?workbook=03_02.xlsx&amp;sheet=A0&amp;row=702&amp;col=10&amp;number=&amp;sourceID=15","")</f>
        <v/>
      </c>
      <c r="K702" s="4" t="str">
        <f>HYPERLINK("http://141.218.60.56/~jnz1568/getInfo.php?workbook=03_02.xlsx&amp;sheet=A0&amp;row=702&amp;col=11&amp;number=&amp;sourceID=30","")</f>
        <v/>
      </c>
      <c r="L702" s="4" t="str">
        <f>HYPERLINK("http://141.218.60.56/~jnz1568/getInfo.php?workbook=03_02.xlsx&amp;sheet=A0&amp;row=702&amp;col=12&amp;number=134.8&amp;sourceID=30","134.8")</f>
        <v>134.8</v>
      </c>
      <c r="M702" s="4" t="str">
        <f>HYPERLINK("http://141.218.60.56/~jnz1568/getInfo.php?workbook=03_02.xlsx&amp;sheet=A0&amp;row=702&amp;col=13&amp;number=&amp;sourceID=30","")</f>
        <v/>
      </c>
      <c r="N702" s="4" t="str">
        <f>HYPERLINK("http://141.218.60.56/~jnz1568/getInfo.php?workbook=03_02.xlsx&amp;sheet=A0&amp;row=702&amp;col=14&amp;number=&amp;sourceID=30","")</f>
        <v/>
      </c>
    </row>
    <row r="703" spans="1:14">
      <c r="A703" s="3">
        <v>3</v>
      </c>
      <c r="B703" s="3">
        <v>2</v>
      </c>
      <c r="C703" s="3">
        <v>42</v>
      </c>
      <c r="D703" s="3">
        <v>8</v>
      </c>
      <c r="E703" s="3">
        <f>((1/(INDEX(E0!J$4:J$52,C703,1)-INDEX(E0!J$4:J$52,D703,1))))*100000000</f>
        <v>0</v>
      </c>
      <c r="F703" s="4" t="str">
        <f>HYPERLINK("http://141.218.60.56/~jnz1568/getInfo.php?workbook=03_02.xlsx&amp;sheet=A0&amp;row=703&amp;col=6&amp;number=&amp;sourceID=27","")</f>
        <v/>
      </c>
      <c r="G703" s="4" t="str">
        <f>HYPERLINK("http://141.218.60.56/~jnz1568/getInfo.php?workbook=03_02.xlsx&amp;sheet=A0&amp;row=703&amp;col=7&amp;number=&amp;sourceID=15","")</f>
        <v/>
      </c>
      <c r="H703" s="4" t="str">
        <f>HYPERLINK("http://141.218.60.56/~jnz1568/getInfo.php?workbook=03_02.xlsx&amp;sheet=A0&amp;row=703&amp;col=8&amp;number=&amp;sourceID=15","")</f>
        <v/>
      </c>
      <c r="I703" s="4" t="str">
        <f>HYPERLINK("http://141.218.60.56/~jnz1568/getInfo.php?workbook=03_02.xlsx&amp;sheet=A0&amp;row=703&amp;col=9&amp;number=&amp;sourceID=15","")</f>
        <v/>
      </c>
      <c r="J703" s="4" t="str">
        <f>HYPERLINK("http://141.218.60.56/~jnz1568/getInfo.php?workbook=03_02.xlsx&amp;sheet=A0&amp;row=703&amp;col=10&amp;number=&amp;sourceID=15","")</f>
        <v/>
      </c>
      <c r="K703" s="4" t="str">
        <f>HYPERLINK("http://141.218.60.56/~jnz1568/getInfo.php?workbook=03_02.xlsx&amp;sheet=A0&amp;row=703&amp;col=11&amp;number=&amp;sourceID=30","")</f>
        <v/>
      </c>
      <c r="L703" s="4" t="str">
        <f>HYPERLINK("http://141.218.60.56/~jnz1568/getInfo.php?workbook=03_02.xlsx&amp;sheet=A0&amp;row=703&amp;col=12&amp;number=&amp;sourceID=30","")</f>
        <v/>
      </c>
      <c r="M703" s="4" t="str">
        <f>HYPERLINK("http://141.218.60.56/~jnz1568/getInfo.php?workbook=03_02.xlsx&amp;sheet=A0&amp;row=703&amp;col=13&amp;number=&amp;sourceID=30","")</f>
        <v/>
      </c>
      <c r="N703" s="4" t="str">
        <f>HYPERLINK("http://141.218.60.56/~jnz1568/getInfo.php?workbook=03_02.xlsx&amp;sheet=A0&amp;row=703&amp;col=14&amp;number=4e-15&amp;sourceID=30","4e-15")</f>
        <v>4e-15</v>
      </c>
    </row>
    <row r="704" spans="1:14">
      <c r="A704" s="3">
        <v>3</v>
      </c>
      <c r="B704" s="3">
        <v>2</v>
      </c>
      <c r="C704" s="3">
        <v>42</v>
      </c>
      <c r="D704" s="3">
        <v>10</v>
      </c>
      <c r="E704" s="3">
        <f>((1/(INDEX(E0!J$4:J$52,C704,1)-INDEX(E0!J$4:J$52,D704,1))))*100000000</f>
        <v>0</v>
      </c>
      <c r="F704" s="4" t="str">
        <f>HYPERLINK("http://141.218.60.56/~jnz1568/getInfo.php?workbook=03_02.xlsx&amp;sheet=A0&amp;row=704&amp;col=6&amp;number=&amp;sourceID=27","")</f>
        <v/>
      </c>
      <c r="G704" s="4" t="str">
        <f>HYPERLINK("http://141.218.60.56/~jnz1568/getInfo.php?workbook=03_02.xlsx&amp;sheet=A0&amp;row=704&amp;col=7&amp;number=&amp;sourceID=15","")</f>
        <v/>
      </c>
      <c r="H704" s="4" t="str">
        <f>HYPERLINK("http://141.218.60.56/~jnz1568/getInfo.php?workbook=03_02.xlsx&amp;sheet=A0&amp;row=704&amp;col=8&amp;number=&amp;sourceID=15","")</f>
        <v/>
      </c>
      <c r="I704" s="4" t="str">
        <f>HYPERLINK("http://141.218.60.56/~jnz1568/getInfo.php?workbook=03_02.xlsx&amp;sheet=A0&amp;row=704&amp;col=9&amp;number=&amp;sourceID=15","")</f>
        <v/>
      </c>
      <c r="J704" s="4" t="str">
        <f>HYPERLINK("http://141.218.60.56/~jnz1568/getInfo.php?workbook=03_02.xlsx&amp;sheet=A0&amp;row=704&amp;col=10&amp;number=&amp;sourceID=15","")</f>
        <v/>
      </c>
      <c r="K704" s="4" t="str">
        <f>HYPERLINK("http://141.218.60.56/~jnz1568/getInfo.php?workbook=03_02.xlsx&amp;sheet=A0&amp;row=704&amp;col=11&amp;number=&amp;sourceID=30","")</f>
        <v/>
      </c>
      <c r="L704" s="4" t="str">
        <f>HYPERLINK("http://141.218.60.56/~jnz1568/getInfo.php?workbook=03_02.xlsx&amp;sheet=A0&amp;row=704&amp;col=12&amp;number=4.818&amp;sourceID=30","4.818")</f>
        <v>4.818</v>
      </c>
      <c r="M704" s="4" t="str">
        <f>HYPERLINK("http://141.218.60.56/~jnz1568/getInfo.php?workbook=03_02.xlsx&amp;sheet=A0&amp;row=704&amp;col=13&amp;number=&amp;sourceID=30","")</f>
        <v/>
      </c>
      <c r="N704" s="4" t="str">
        <f>HYPERLINK("http://141.218.60.56/~jnz1568/getInfo.php?workbook=03_02.xlsx&amp;sheet=A0&amp;row=704&amp;col=14&amp;number=&amp;sourceID=30","")</f>
        <v/>
      </c>
    </row>
    <row r="705" spans="1:14">
      <c r="A705" s="3">
        <v>3</v>
      </c>
      <c r="B705" s="3">
        <v>2</v>
      </c>
      <c r="C705" s="3">
        <v>42</v>
      </c>
      <c r="D705" s="3">
        <v>11</v>
      </c>
      <c r="E705" s="3">
        <f>((1/(INDEX(E0!J$4:J$52,C705,1)-INDEX(E0!J$4:J$52,D705,1))))*100000000</f>
        <v>0</v>
      </c>
      <c r="F705" s="4" t="str">
        <f>HYPERLINK("http://141.218.60.56/~jnz1568/getInfo.php?workbook=03_02.xlsx&amp;sheet=A0&amp;row=705&amp;col=6&amp;number=&amp;sourceID=27","")</f>
        <v/>
      </c>
      <c r="G705" s="4" t="str">
        <f>HYPERLINK("http://141.218.60.56/~jnz1568/getInfo.php?workbook=03_02.xlsx&amp;sheet=A0&amp;row=705&amp;col=7&amp;number=&amp;sourceID=15","")</f>
        <v/>
      </c>
      <c r="H705" s="4" t="str">
        <f>HYPERLINK("http://141.218.60.56/~jnz1568/getInfo.php?workbook=03_02.xlsx&amp;sheet=A0&amp;row=705&amp;col=8&amp;number=&amp;sourceID=15","")</f>
        <v/>
      </c>
      <c r="I705" s="4" t="str">
        <f>HYPERLINK("http://141.218.60.56/~jnz1568/getInfo.php?workbook=03_02.xlsx&amp;sheet=A0&amp;row=705&amp;col=9&amp;number=&amp;sourceID=15","")</f>
        <v/>
      </c>
      <c r="J705" s="4" t="str">
        <f>HYPERLINK("http://141.218.60.56/~jnz1568/getInfo.php?workbook=03_02.xlsx&amp;sheet=A0&amp;row=705&amp;col=10&amp;number=&amp;sourceID=15","")</f>
        <v/>
      </c>
      <c r="K705" s="4" t="str">
        <f>HYPERLINK("http://141.218.60.56/~jnz1568/getInfo.php?workbook=03_02.xlsx&amp;sheet=A0&amp;row=705&amp;col=11&amp;number=&amp;sourceID=30","")</f>
        <v/>
      </c>
      <c r="L705" s="4" t="str">
        <f>HYPERLINK("http://141.218.60.56/~jnz1568/getInfo.php?workbook=03_02.xlsx&amp;sheet=A0&amp;row=705&amp;col=12&amp;number=2.404&amp;sourceID=30","2.404")</f>
        <v>2.404</v>
      </c>
      <c r="M705" s="4" t="str">
        <f>HYPERLINK("http://141.218.60.56/~jnz1568/getInfo.php?workbook=03_02.xlsx&amp;sheet=A0&amp;row=705&amp;col=13&amp;number=5.406e-10&amp;sourceID=30","5.406e-10")</f>
        <v>5.406e-10</v>
      </c>
      <c r="N705" s="4" t="str">
        <f>HYPERLINK("http://141.218.60.56/~jnz1568/getInfo.php?workbook=03_02.xlsx&amp;sheet=A0&amp;row=705&amp;col=14&amp;number=&amp;sourceID=30","")</f>
        <v/>
      </c>
    </row>
    <row r="706" spans="1:14">
      <c r="A706" s="3">
        <v>3</v>
      </c>
      <c r="B706" s="3">
        <v>2</v>
      </c>
      <c r="C706" s="3">
        <v>42</v>
      </c>
      <c r="D706" s="3">
        <v>13</v>
      </c>
      <c r="E706" s="3">
        <f>((1/(INDEX(E0!J$4:J$52,C706,1)-INDEX(E0!J$4:J$52,D706,1))))*100000000</f>
        <v>0</v>
      </c>
      <c r="F706" s="4" t="str">
        <f>HYPERLINK("http://141.218.60.56/~jnz1568/getInfo.php?workbook=03_02.xlsx&amp;sheet=A0&amp;row=706&amp;col=6&amp;number=&amp;sourceID=27","")</f>
        <v/>
      </c>
      <c r="G706" s="4" t="str">
        <f>HYPERLINK("http://141.218.60.56/~jnz1568/getInfo.php?workbook=03_02.xlsx&amp;sheet=A0&amp;row=706&amp;col=7&amp;number=51900000&amp;sourceID=15","51900000")</f>
        <v>51900000</v>
      </c>
      <c r="H706" s="4" t="str">
        <f>HYPERLINK("http://141.218.60.56/~jnz1568/getInfo.php?workbook=03_02.xlsx&amp;sheet=A0&amp;row=706&amp;col=8&amp;number=&amp;sourceID=15","")</f>
        <v/>
      </c>
      <c r="I706" s="4" t="str">
        <f>HYPERLINK("http://141.218.60.56/~jnz1568/getInfo.php?workbook=03_02.xlsx&amp;sheet=A0&amp;row=706&amp;col=9&amp;number=&amp;sourceID=15","")</f>
        <v/>
      </c>
      <c r="J706" s="4" t="str">
        <f>HYPERLINK("http://141.218.60.56/~jnz1568/getInfo.php?workbook=03_02.xlsx&amp;sheet=A0&amp;row=706&amp;col=10&amp;number=&amp;sourceID=15","")</f>
        <v/>
      </c>
      <c r="K706" s="4" t="str">
        <f>HYPERLINK("http://141.218.60.56/~jnz1568/getInfo.php?workbook=03_02.xlsx&amp;sheet=A0&amp;row=706&amp;col=11&amp;number=56950000&amp;sourceID=30","56950000")</f>
        <v>56950000</v>
      </c>
      <c r="L706" s="4" t="str">
        <f>HYPERLINK("http://141.218.60.56/~jnz1568/getInfo.php?workbook=03_02.xlsx&amp;sheet=A0&amp;row=706&amp;col=12&amp;number=&amp;sourceID=30","")</f>
        <v/>
      </c>
      <c r="M706" s="4" t="str">
        <f>HYPERLINK("http://141.218.60.56/~jnz1568/getInfo.php?workbook=03_02.xlsx&amp;sheet=A0&amp;row=706&amp;col=13&amp;number=&amp;sourceID=30","")</f>
        <v/>
      </c>
      <c r="N706" s="4" t="str">
        <f>HYPERLINK("http://141.218.60.56/~jnz1568/getInfo.php?workbook=03_02.xlsx&amp;sheet=A0&amp;row=706&amp;col=14&amp;number=0.0003288&amp;sourceID=30","0.0003288")</f>
        <v>0.0003288</v>
      </c>
    </row>
    <row r="707" spans="1:14">
      <c r="A707" s="3">
        <v>3</v>
      </c>
      <c r="B707" s="3">
        <v>2</v>
      </c>
      <c r="C707" s="3">
        <v>42</v>
      </c>
      <c r="D707" s="3">
        <v>14</v>
      </c>
      <c r="E707" s="3">
        <f>((1/(INDEX(E0!J$4:J$52,C707,1)-INDEX(E0!J$4:J$52,D707,1))))*100000000</f>
        <v>0</v>
      </c>
      <c r="F707" s="4" t="str">
        <f>HYPERLINK("http://141.218.60.56/~jnz1568/getInfo.php?workbook=03_02.xlsx&amp;sheet=A0&amp;row=707&amp;col=6&amp;number=&amp;sourceID=27","")</f>
        <v/>
      </c>
      <c r="G707" s="4" t="str">
        <f>HYPERLINK("http://141.218.60.56/~jnz1568/getInfo.php?workbook=03_02.xlsx&amp;sheet=A0&amp;row=707&amp;col=7&amp;number=6354000&amp;sourceID=15","6354000")</f>
        <v>6354000</v>
      </c>
      <c r="H707" s="4" t="str">
        <f>HYPERLINK("http://141.218.60.56/~jnz1568/getInfo.php?workbook=03_02.xlsx&amp;sheet=A0&amp;row=707&amp;col=8&amp;number=&amp;sourceID=15","")</f>
        <v/>
      </c>
      <c r="I707" s="4" t="str">
        <f>HYPERLINK("http://141.218.60.56/~jnz1568/getInfo.php?workbook=03_02.xlsx&amp;sheet=A0&amp;row=707&amp;col=9&amp;number=&amp;sourceID=15","")</f>
        <v/>
      </c>
      <c r="J707" s="4" t="str">
        <f>HYPERLINK("http://141.218.60.56/~jnz1568/getInfo.php?workbook=03_02.xlsx&amp;sheet=A0&amp;row=707&amp;col=10&amp;number=&amp;sourceID=15","")</f>
        <v/>
      </c>
      <c r="K707" s="4" t="str">
        <f>HYPERLINK("http://141.218.60.56/~jnz1568/getInfo.php?workbook=03_02.xlsx&amp;sheet=A0&amp;row=707&amp;col=11&amp;number=7044000&amp;sourceID=30","7044000")</f>
        <v>7044000</v>
      </c>
      <c r="L707" s="4" t="str">
        <f>HYPERLINK("http://141.218.60.56/~jnz1568/getInfo.php?workbook=03_02.xlsx&amp;sheet=A0&amp;row=707&amp;col=12&amp;number=&amp;sourceID=30","")</f>
        <v/>
      </c>
      <c r="M707" s="4" t="str">
        <f>HYPERLINK("http://141.218.60.56/~jnz1568/getInfo.php?workbook=03_02.xlsx&amp;sheet=A0&amp;row=707&amp;col=13&amp;number=&amp;sourceID=30","")</f>
        <v/>
      </c>
      <c r="N707" s="4" t="str">
        <f>HYPERLINK("http://141.218.60.56/~jnz1568/getInfo.php?workbook=03_02.xlsx&amp;sheet=A0&amp;row=707&amp;col=14&amp;number=2.505e-05&amp;sourceID=30","2.505e-05")</f>
        <v>2.505e-05</v>
      </c>
    </row>
    <row r="708" spans="1:14">
      <c r="A708" s="3">
        <v>3</v>
      </c>
      <c r="B708" s="3">
        <v>2</v>
      </c>
      <c r="C708" s="3">
        <v>42</v>
      </c>
      <c r="D708" s="3">
        <v>15</v>
      </c>
      <c r="E708" s="3">
        <f>((1/(INDEX(E0!J$4:J$52,C708,1)-INDEX(E0!J$4:J$52,D708,1))))*100000000</f>
        <v>0</v>
      </c>
      <c r="F708" s="4" t="str">
        <f>HYPERLINK("http://141.218.60.56/~jnz1568/getInfo.php?workbook=03_02.xlsx&amp;sheet=A0&amp;row=708&amp;col=6&amp;number=&amp;sourceID=27","")</f>
        <v/>
      </c>
      <c r="G708" s="4" t="str">
        <f>HYPERLINK("http://141.218.60.56/~jnz1568/getInfo.php?workbook=03_02.xlsx&amp;sheet=A0&amp;row=708&amp;col=7&amp;number=&amp;sourceID=15","")</f>
        <v/>
      </c>
      <c r="H708" s="4" t="str">
        <f>HYPERLINK("http://141.218.60.56/~jnz1568/getInfo.php?workbook=03_02.xlsx&amp;sheet=A0&amp;row=708&amp;col=8&amp;number=&amp;sourceID=15","")</f>
        <v/>
      </c>
      <c r="I708" s="4" t="str">
        <f>HYPERLINK("http://141.218.60.56/~jnz1568/getInfo.php?workbook=03_02.xlsx&amp;sheet=A0&amp;row=708&amp;col=9&amp;number=&amp;sourceID=15","")</f>
        <v/>
      </c>
      <c r="J708" s="4" t="str">
        <f>HYPERLINK("http://141.218.60.56/~jnz1568/getInfo.php?workbook=03_02.xlsx&amp;sheet=A0&amp;row=708&amp;col=10&amp;number=&amp;sourceID=15","")</f>
        <v/>
      </c>
      <c r="K708" s="4" t="str">
        <f>HYPERLINK("http://141.218.60.56/~jnz1568/getInfo.php?workbook=03_02.xlsx&amp;sheet=A0&amp;row=708&amp;col=11&amp;number=&amp;sourceID=30","")</f>
        <v/>
      </c>
      <c r="L708" s="4" t="str">
        <f>HYPERLINK("http://141.218.60.56/~jnz1568/getInfo.php?workbook=03_02.xlsx&amp;sheet=A0&amp;row=708&amp;col=12&amp;number=&amp;sourceID=30","")</f>
        <v/>
      </c>
      <c r="M708" s="4" t="str">
        <f>HYPERLINK("http://141.218.60.56/~jnz1568/getInfo.php?workbook=03_02.xlsx&amp;sheet=A0&amp;row=708&amp;col=13&amp;number=&amp;sourceID=30","")</f>
        <v/>
      </c>
      <c r="N708" s="4" t="str">
        <f>HYPERLINK("http://141.218.60.56/~jnz1568/getInfo.php?workbook=03_02.xlsx&amp;sheet=A0&amp;row=708&amp;col=14&amp;number=9.095e-10&amp;sourceID=30","9.095e-10")</f>
        <v>9.095e-10</v>
      </c>
    </row>
    <row r="709" spans="1:14">
      <c r="A709" s="3">
        <v>3</v>
      </c>
      <c r="B709" s="3">
        <v>2</v>
      </c>
      <c r="C709" s="3">
        <v>42</v>
      </c>
      <c r="D709" s="3">
        <v>16</v>
      </c>
      <c r="E709" s="3">
        <f>((1/(INDEX(E0!J$4:J$52,C709,1)-INDEX(E0!J$4:J$52,D709,1))))*100000000</f>
        <v>0</v>
      </c>
      <c r="F709" s="4" t="str">
        <f>HYPERLINK("http://141.218.60.56/~jnz1568/getInfo.php?workbook=03_02.xlsx&amp;sheet=A0&amp;row=709&amp;col=6&amp;number=&amp;sourceID=27","")</f>
        <v/>
      </c>
      <c r="G709" s="4" t="str">
        <f>HYPERLINK("http://141.218.60.56/~jnz1568/getInfo.php?workbook=03_02.xlsx&amp;sheet=A0&amp;row=709&amp;col=7&amp;number=14840000&amp;sourceID=15","14840000")</f>
        <v>14840000</v>
      </c>
      <c r="H709" s="4" t="str">
        <f>HYPERLINK("http://141.218.60.56/~jnz1568/getInfo.php?workbook=03_02.xlsx&amp;sheet=A0&amp;row=709&amp;col=8&amp;number=&amp;sourceID=15","")</f>
        <v/>
      </c>
      <c r="I709" s="4" t="str">
        <f>HYPERLINK("http://141.218.60.56/~jnz1568/getInfo.php?workbook=03_02.xlsx&amp;sheet=A0&amp;row=709&amp;col=9&amp;number=&amp;sourceID=15","")</f>
        <v/>
      </c>
      <c r="J709" s="4" t="str">
        <f>HYPERLINK("http://141.218.60.56/~jnz1568/getInfo.php?workbook=03_02.xlsx&amp;sheet=A0&amp;row=709&amp;col=10&amp;number=&amp;sourceID=15","")</f>
        <v/>
      </c>
      <c r="K709" s="4" t="str">
        <f>HYPERLINK("http://141.218.60.56/~jnz1568/getInfo.php?workbook=03_02.xlsx&amp;sheet=A0&amp;row=709&amp;col=11&amp;number=8882000&amp;sourceID=30","8882000")</f>
        <v>8882000</v>
      </c>
      <c r="L709" s="4" t="str">
        <f>HYPERLINK("http://141.218.60.56/~jnz1568/getInfo.php?workbook=03_02.xlsx&amp;sheet=A0&amp;row=709&amp;col=12&amp;number=&amp;sourceID=30","")</f>
        <v/>
      </c>
      <c r="M709" s="4" t="str">
        <f>HYPERLINK("http://141.218.60.56/~jnz1568/getInfo.php?workbook=03_02.xlsx&amp;sheet=A0&amp;row=709&amp;col=13&amp;number=&amp;sourceID=30","")</f>
        <v/>
      </c>
      <c r="N709" s="4" t="str">
        <f>HYPERLINK("http://141.218.60.56/~jnz1568/getInfo.php?workbook=03_02.xlsx&amp;sheet=A0&amp;row=709&amp;col=14&amp;number=1.546e-06&amp;sourceID=30","1.546e-06")</f>
        <v>1.546e-06</v>
      </c>
    </row>
    <row r="710" spans="1:14">
      <c r="A710" s="3">
        <v>3</v>
      </c>
      <c r="B710" s="3">
        <v>2</v>
      </c>
      <c r="C710" s="3">
        <v>42</v>
      </c>
      <c r="D710" s="3">
        <v>17</v>
      </c>
      <c r="E710" s="3">
        <f>((1/(INDEX(E0!J$4:J$52,C710,1)-INDEX(E0!J$4:J$52,D710,1))))*100000000</f>
        <v>0</v>
      </c>
      <c r="F710" s="4" t="str">
        <f>HYPERLINK("http://141.218.60.56/~jnz1568/getInfo.php?workbook=03_02.xlsx&amp;sheet=A0&amp;row=710&amp;col=6&amp;number=&amp;sourceID=27","")</f>
        <v/>
      </c>
      <c r="G710" s="4" t="str">
        <f>HYPERLINK("http://141.218.60.56/~jnz1568/getInfo.php?workbook=03_02.xlsx&amp;sheet=A0&amp;row=710&amp;col=7&amp;number=&amp;sourceID=15","")</f>
        <v/>
      </c>
      <c r="H710" s="4" t="str">
        <f>HYPERLINK("http://141.218.60.56/~jnz1568/getInfo.php?workbook=03_02.xlsx&amp;sheet=A0&amp;row=710&amp;col=8&amp;number=&amp;sourceID=15","")</f>
        <v/>
      </c>
      <c r="I710" s="4" t="str">
        <f>HYPERLINK("http://141.218.60.56/~jnz1568/getInfo.php?workbook=03_02.xlsx&amp;sheet=A0&amp;row=710&amp;col=9&amp;number=&amp;sourceID=15","")</f>
        <v/>
      </c>
      <c r="J710" s="4" t="str">
        <f>HYPERLINK("http://141.218.60.56/~jnz1568/getInfo.php?workbook=03_02.xlsx&amp;sheet=A0&amp;row=710&amp;col=10&amp;number=&amp;sourceID=15","")</f>
        <v/>
      </c>
      <c r="K710" s="4" t="str">
        <f>HYPERLINK("http://141.218.60.56/~jnz1568/getInfo.php?workbook=03_02.xlsx&amp;sheet=A0&amp;row=710&amp;col=11&amp;number=&amp;sourceID=30","")</f>
        <v/>
      </c>
      <c r="L710" s="4" t="str">
        <f>HYPERLINK("http://141.218.60.56/~jnz1568/getInfo.php?workbook=03_02.xlsx&amp;sheet=A0&amp;row=710&amp;col=12&amp;number=0.4461&amp;sourceID=30","0.4461")</f>
        <v>0.4461</v>
      </c>
      <c r="M710" s="4" t="str">
        <f>HYPERLINK("http://141.218.60.56/~jnz1568/getInfo.php?workbook=03_02.xlsx&amp;sheet=A0&amp;row=710&amp;col=13&amp;number=&amp;sourceID=30","")</f>
        <v/>
      </c>
      <c r="N710" s="4" t="str">
        <f>HYPERLINK("http://141.218.60.56/~jnz1568/getInfo.php?workbook=03_02.xlsx&amp;sheet=A0&amp;row=710&amp;col=14&amp;number=&amp;sourceID=30","")</f>
        <v/>
      </c>
    </row>
    <row r="711" spans="1:14">
      <c r="A711" s="3">
        <v>3</v>
      </c>
      <c r="B711" s="3">
        <v>2</v>
      </c>
      <c r="C711" s="3">
        <v>42</v>
      </c>
      <c r="D711" s="3">
        <v>18</v>
      </c>
      <c r="E711" s="3">
        <f>((1/(INDEX(E0!J$4:J$52,C711,1)-INDEX(E0!J$4:J$52,D711,1))))*100000000</f>
        <v>0</v>
      </c>
      <c r="F711" s="4" t="str">
        <f>HYPERLINK("http://141.218.60.56/~jnz1568/getInfo.php?workbook=03_02.xlsx&amp;sheet=A0&amp;row=711&amp;col=6&amp;number=&amp;sourceID=27","")</f>
        <v/>
      </c>
      <c r="G711" s="4" t="str">
        <f>HYPERLINK("http://141.218.60.56/~jnz1568/getInfo.php?workbook=03_02.xlsx&amp;sheet=A0&amp;row=711&amp;col=7&amp;number=&amp;sourceID=15","")</f>
        <v/>
      </c>
      <c r="H711" s="4" t="str">
        <f>HYPERLINK("http://141.218.60.56/~jnz1568/getInfo.php?workbook=03_02.xlsx&amp;sheet=A0&amp;row=711&amp;col=8&amp;number=&amp;sourceID=15","")</f>
        <v/>
      </c>
      <c r="I711" s="4" t="str">
        <f>HYPERLINK("http://141.218.60.56/~jnz1568/getInfo.php?workbook=03_02.xlsx&amp;sheet=A0&amp;row=711&amp;col=9&amp;number=&amp;sourceID=15","")</f>
        <v/>
      </c>
      <c r="J711" s="4" t="str">
        <f>HYPERLINK("http://141.218.60.56/~jnz1568/getInfo.php?workbook=03_02.xlsx&amp;sheet=A0&amp;row=711&amp;col=10&amp;number=&amp;sourceID=15","")</f>
        <v/>
      </c>
      <c r="K711" s="4" t="str">
        <f>HYPERLINK("http://141.218.60.56/~jnz1568/getInfo.php?workbook=03_02.xlsx&amp;sheet=A0&amp;row=711&amp;col=11&amp;number=&amp;sourceID=30","")</f>
        <v/>
      </c>
      <c r="L711" s="4" t="str">
        <f>HYPERLINK("http://141.218.60.56/~jnz1568/getInfo.php?workbook=03_02.xlsx&amp;sheet=A0&amp;row=711&amp;col=12&amp;number=&amp;sourceID=30","")</f>
        <v/>
      </c>
      <c r="M711" s="4" t="str">
        <f>HYPERLINK("http://141.218.60.56/~jnz1568/getInfo.php?workbook=03_02.xlsx&amp;sheet=A0&amp;row=711&amp;col=13&amp;number=&amp;sourceID=30","")</f>
        <v/>
      </c>
      <c r="N711" s="4" t="str">
        <f>HYPERLINK("http://141.218.60.56/~jnz1568/getInfo.php?workbook=03_02.xlsx&amp;sheet=A0&amp;row=711&amp;col=14&amp;number=0&amp;sourceID=30","0")</f>
        <v>0</v>
      </c>
    </row>
    <row r="712" spans="1:14">
      <c r="A712" s="3">
        <v>3</v>
      </c>
      <c r="B712" s="3">
        <v>2</v>
      </c>
      <c r="C712" s="3">
        <v>42</v>
      </c>
      <c r="D712" s="3">
        <v>21</v>
      </c>
      <c r="E712" s="3">
        <f>((1/(INDEX(E0!J$4:J$52,C712,1)-INDEX(E0!J$4:J$52,D712,1))))*100000000</f>
        <v>0</v>
      </c>
      <c r="F712" s="4" t="str">
        <f>HYPERLINK("http://141.218.60.56/~jnz1568/getInfo.php?workbook=03_02.xlsx&amp;sheet=A0&amp;row=712&amp;col=6&amp;number=&amp;sourceID=27","")</f>
        <v/>
      </c>
      <c r="G712" s="4" t="str">
        <f>HYPERLINK("http://141.218.60.56/~jnz1568/getInfo.php?workbook=03_02.xlsx&amp;sheet=A0&amp;row=712&amp;col=7&amp;number=&amp;sourceID=15","")</f>
        <v/>
      </c>
      <c r="H712" s="4" t="str">
        <f>HYPERLINK("http://141.218.60.56/~jnz1568/getInfo.php?workbook=03_02.xlsx&amp;sheet=A0&amp;row=712&amp;col=8&amp;number=&amp;sourceID=15","")</f>
        <v/>
      </c>
      <c r="I712" s="4" t="str">
        <f>HYPERLINK("http://141.218.60.56/~jnz1568/getInfo.php?workbook=03_02.xlsx&amp;sheet=A0&amp;row=712&amp;col=9&amp;number=&amp;sourceID=15","")</f>
        <v/>
      </c>
      <c r="J712" s="4" t="str">
        <f>HYPERLINK("http://141.218.60.56/~jnz1568/getInfo.php?workbook=03_02.xlsx&amp;sheet=A0&amp;row=712&amp;col=10&amp;number=&amp;sourceID=15","")</f>
        <v/>
      </c>
      <c r="K712" s="4" t="str">
        <f>HYPERLINK("http://141.218.60.56/~jnz1568/getInfo.php?workbook=03_02.xlsx&amp;sheet=A0&amp;row=712&amp;col=11&amp;number=&amp;sourceID=30","")</f>
        <v/>
      </c>
      <c r="L712" s="4" t="str">
        <f>HYPERLINK("http://141.218.60.56/~jnz1568/getInfo.php?workbook=03_02.xlsx&amp;sheet=A0&amp;row=712&amp;col=12&amp;number=40.72&amp;sourceID=30","40.72")</f>
        <v>40.72</v>
      </c>
      <c r="M712" s="4" t="str">
        <f>HYPERLINK("http://141.218.60.56/~jnz1568/getInfo.php?workbook=03_02.xlsx&amp;sheet=A0&amp;row=712&amp;col=13&amp;number=&amp;sourceID=30","")</f>
        <v/>
      </c>
      <c r="N712" s="4" t="str">
        <f>HYPERLINK("http://141.218.60.56/~jnz1568/getInfo.php?workbook=03_02.xlsx&amp;sheet=A0&amp;row=712&amp;col=14&amp;number=&amp;sourceID=30","")</f>
        <v/>
      </c>
    </row>
    <row r="713" spans="1:14">
      <c r="A713" s="3">
        <v>3</v>
      </c>
      <c r="B713" s="3">
        <v>2</v>
      </c>
      <c r="C713" s="3">
        <v>42</v>
      </c>
      <c r="D713" s="3">
        <v>22</v>
      </c>
      <c r="E713" s="3">
        <f>((1/(INDEX(E0!J$4:J$52,C713,1)-INDEX(E0!J$4:J$52,D713,1))))*100000000</f>
        <v>0</v>
      </c>
      <c r="F713" s="4" t="str">
        <f>HYPERLINK("http://141.218.60.56/~jnz1568/getInfo.php?workbook=03_02.xlsx&amp;sheet=A0&amp;row=713&amp;col=6&amp;number=&amp;sourceID=27","")</f>
        <v/>
      </c>
      <c r="G713" s="4" t="str">
        <f>HYPERLINK("http://141.218.60.56/~jnz1568/getInfo.php?workbook=03_02.xlsx&amp;sheet=A0&amp;row=713&amp;col=7&amp;number=&amp;sourceID=15","")</f>
        <v/>
      </c>
      <c r="H713" s="4" t="str">
        <f>HYPERLINK("http://141.218.60.56/~jnz1568/getInfo.php?workbook=03_02.xlsx&amp;sheet=A0&amp;row=713&amp;col=8&amp;number=&amp;sourceID=15","")</f>
        <v/>
      </c>
      <c r="I713" s="4" t="str">
        <f>HYPERLINK("http://141.218.60.56/~jnz1568/getInfo.php?workbook=03_02.xlsx&amp;sheet=A0&amp;row=713&amp;col=9&amp;number=&amp;sourceID=15","")</f>
        <v/>
      </c>
      <c r="J713" s="4" t="str">
        <f>HYPERLINK("http://141.218.60.56/~jnz1568/getInfo.php?workbook=03_02.xlsx&amp;sheet=A0&amp;row=713&amp;col=10&amp;number=&amp;sourceID=15","")</f>
        <v/>
      </c>
      <c r="K713" s="4" t="str">
        <f>HYPERLINK("http://141.218.60.56/~jnz1568/getInfo.php?workbook=03_02.xlsx&amp;sheet=A0&amp;row=713&amp;col=11&amp;number=&amp;sourceID=30","")</f>
        <v/>
      </c>
      <c r="L713" s="4" t="str">
        <f>HYPERLINK("http://141.218.60.56/~jnz1568/getInfo.php?workbook=03_02.xlsx&amp;sheet=A0&amp;row=713&amp;col=12&amp;number=20.35&amp;sourceID=30","20.35")</f>
        <v>20.35</v>
      </c>
      <c r="M713" s="4" t="str">
        <f>HYPERLINK("http://141.218.60.56/~jnz1568/getInfo.php?workbook=03_02.xlsx&amp;sheet=A0&amp;row=713&amp;col=13&amp;number=1.288e-11&amp;sourceID=30","1.288e-11")</f>
        <v>1.288e-11</v>
      </c>
      <c r="N713" s="4" t="str">
        <f>HYPERLINK("http://141.218.60.56/~jnz1568/getInfo.php?workbook=03_02.xlsx&amp;sheet=A0&amp;row=713&amp;col=14&amp;number=&amp;sourceID=30","")</f>
        <v/>
      </c>
    </row>
    <row r="714" spans="1:14">
      <c r="A714" s="3">
        <v>3</v>
      </c>
      <c r="B714" s="3">
        <v>2</v>
      </c>
      <c r="C714" s="3">
        <v>42</v>
      </c>
      <c r="D714" s="3">
        <v>23</v>
      </c>
      <c r="E714" s="3">
        <f>((1/(INDEX(E0!J$4:J$52,C714,1)-INDEX(E0!J$4:J$52,D714,1))))*100000000</f>
        <v>0</v>
      </c>
      <c r="F714" s="4" t="str">
        <f>HYPERLINK("http://141.218.60.56/~jnz1568/getInfo.php?workbook=03_02.xlsx&amp;sheet=A0&amp;row=714&amp;col=6&amp;number=&amp;sourceID=27","")</f>
        <v/>
      </c>
      <c r="G714" s="4" t="str">
        <f>HYPERLINK("http://141.218.60.56/~jnz1568/getInfo.php?workbook=03_02.xlsx&amp;sheet=A0&amp;row=714&amp;col=7&amp;number=&amp;sourceID=15","")</f>
        <v/>
      </c>
      <c r="H714" s="4" t="str">
        <f>HYPERLINK("http://141.218.60.56/~jnz1568/getInfo.php?workbook=03_02.xlsx&amp;sheet=A0&amp;row=714&amp;col=8&amp;number=&amp;sourceID=15","")</f>
        <v/>
      </c>
      <c r="I714" s="4" t="str">
        <f>HYPERLINK("http://141.218.60.56/~jnz1568/getInfo.php?workbook=03_02.xlsx&amp;sheet=A0&amp;row=714&amp;col=9&amp;number=&amp;sourceID=15","")</f>
        <v/>
      </c>
      <c r="J714" s="4" t="str">
        <f>HYPERLINK("http://141.218.60.56/~jnz1568/getInfo.php?workbook=03_02.xlsx&amp;sheet=A0&amp;row=714&amp;col=10&amp;number=&amp;sourceID=15","")</f>
        <v/>
      </c>
      <c r="K714" s="4" t="str">
        <f>HYPERLINK("http://141.218.60.56/~jnz1568/getInfo.php?workbook=03_02.xlsx&amp;sheet=A0&amp;row=714&amp;col=11&amp;number=&amp;sourceID=30","")</f>
        <v/>
      </c>
      <c r="L714" s="4" t="str">
        <f>HYPERLINK("http://141.218.60.56/~jnz1568/getInfo.php?workbook=03_02.xlsx&amp;sheet=A0&amp;row=714&amp;col=12&amp;number=&amp;sourceID=30","")</f>
        <v/>
      </c>
      <c r="M714" s="4" t="str">
        <f>HYPERLINK("http://141.218.60.56/~jnz1568/getInfo.php?workbook=03_02.xlsx&amp;sheet=A0&amp;row=714&amp;col=13&amp;number=&amp;sourceID=30","")</f>
        <v/>
      </c>
      <c r="N714" s="4" t="str">
        <f>HYPERLINK("http://141.218.60.56/~jnz1568/getInfo.php?workbook=03_02.xlsx&amp;sheet=A0&amp;row=714&amp;col=14&amp;number=5.171e-11&amp;sourceID=30","5.171e-11")</f>
        <v>5.171e-11</v>
      </c>
    </row>
    <row r="715" spans="1:14">
      <c r="A715" s="3">
        <v>3</v>
      </c>
      <c r="B715" s="3">
        <v>2</v>
      </c>
      <c r="C715" s="3">
        <v>42</v>
      </c>
      <c r="D715" s="3">
        <v>24</v>
      </c>
      <c r="E715" s="3">
        <f>((1/(INDEX(E0!J$4:J$52,C715,1)-INDEX(E0!J$4:J$52,D715,1))))*100000000</f>
        <v>0</v>
      </c>
      <c r="F715" s="4" t="str">
        <f>HYPERLINK("http://141.218.60.56/~jnz1568/getInfo.php?workbook=03_02.xlsx&amp;sheet=A0&amp;row=715&amp;col=6&amp;number=&amp;sourceID=27","")</f>
        <v/>
      </c>
      <c r="G715" s="4" t="str">
        <f>HYPERLINK("http://141.218.60.56/~jnz1568/getInfo.php?workbook=03_02.xlsx&amp;sheet=A0&amp;row=715&amp;col=7&amp;number=29203000&amp;sourceID=15","29203000")</f>
        <v>29203000</v>
      </c>
      <c r="H715" s="4" t="str">
        <f>HYPERLINK("http://141.218.60.56/~jnz1568/getInfo.php?workbook=03_02.xlsx&amp;sheet=A0&amp;row=715&amp;col=8&amp;number=&amp;sourceID=15","")</f>
        <v/>
      </c>
      <c r="I715" s="4" t="str">
        <f>HYPERLINK("http://141.218.60.56/~jnz1568/getInfo.php?workbook=03_02.xlsx&amp;sheet=A0&amp;row=715&amp;col=9&amp;number=&amp;sourceID=15","")</f>
        <v/>
      </c>
      <c r="J715" s="4" t="str">
        <f>HYPERLINK("http://141.218.60.56/~jnz1568/getInfo.php?workbook=03_02.xlsx&amp;sheet=A0&amp;row=715&amp;col=10&amp;number=&amp;sourceID=15","")</f>
        <v/>
      </c>
      <c r="K715" s="4" t="str">
        <f>HYPERLINK("http://141.218.60.56/~jnz1568/getInfo.php?workbook=03_02.xlsx&amp;sheet=A0&amp;row=715&amp;col=11&amp;number=32220000&amp;sourceID=30","32220000")</f>
        <v>32220000</v>
      </c>
      <c r="L715" s="4" t="str">
        <f>HYPERLINK("http://141.218.60.56/~jnz1568/getInfo.php?workbook=03_02.xlsx&amp;sheet=A0&amp;row=715&amp;col=12&amp;number=&amp;sourceID=30","")</f>
        <v/>
      </c>
      <c r="M715" s="4" t="str">
        <f>HYPERLINK("http://141.218.60.56/~jnz1568/getInfo.php?workbook=03_02.xlsx&amp;sheet=A0&amp;row=715&amp;col=13&amp;number=&amp;sourceID=30","")</f>
        <v/>
      </c>
      <c r="N715" s="4" t="str">
        <f>HYPERLINK("http://141.218.60.56/~jnz1568/getInfo.php?workbook=03_02.xlsx&amp;sheet=A0&amp;row=715&amp;col=14&amp;number=1.871e-05&amp;sourceID=30","1.871e-05")</f>
        <v>1.871e-05</v>
      </c>
    </row>
    <row r="716" spans="1:14">
      <c r="A716" s="3">
        <v>3</v>
      </c>
      <c r="B716" s="3">
        <v>2</v>
      </c>
      <c r="C716" s="3">
        <v>42</v>
      </c>
      <c r="D716" s="3">
        <v>25</v>
      </c>
      <c r="E716" s="3">
        <f>((1/(INDEX(E0!J$4:J$52,C716,1)-INDEX(E0!J$4:J$52,D716,1))))*100000000</f>
        <v>0</v>
      </c>
      <c r="F716" s="4" t="str">
        <f>HYPERLINK("http://141.218.60.56/~jnz1568/getInfo.php?workbook=03_02.xlsx&amp;sheet=A0&amp;row=716&amp;col=6&amp;number=&amp;sourceID=27","")</f>
        <v/>
      </c>
      <c r="G716" s="4" t="str">
        <f>HYPERLINK("http://141.218.60.56/~jnz1568/getInfo.php?workbook=03_02.xlsx&amp;sheet=A0&amp;row=716&amp;col=7&amp;number=3593600&amp;sourceID=15","3593600")</f>
        <v>3593600</v>
      </c>
      <c r="H716" s="4" t="str">
        <f>HYPERLINK("http://141.218.60.56/~jnz1568/getInfo.php?workbook=03_02.xlsx&amp;sheet=A0&amp;row=716&amp;col=8&amp;number=&amp;sourceID=15","")</f>
        <v/>
      </c>
      <c r="I716" s="4" t="str">
        <f>HYPERLINK("http://141.218.60.56/~jnz1568/getInfo.php?workbook=03_02.xlsx&amp;sheet=A0&amp;row=716&amp;col=9&amp;number=&amp;sourceID=15","")</f>
        <v/>
      </c>
      <c r="J716" s="4" t="str">
        <f>HYPERLINK("http://141.218.60.56/~jnz1568/getInfo.php?workbook=03_02.xlsx&amp;sheet=A0&amp;row=716&amp;col=10&amp;number=&amp;sourceID=15","")</f>
        <v/>
      </c>
      <c r="K716" s="4" t="str">
        <f>HYPERLINK("http://141.218.60.56/~jnz1568/getInfo.php?workbook=03_02.xlsx&amp;sheet=A0&amp;row=716&amp;col=11&amp;number=3996000&amp;sourceID=30","3996000")</f>
        <v>3996000</v>
      </c>
      <c r="L716" s="4" t="str">
        <f>HYPERLINK("http://141.218.60.56/~jnz1568/getInfo.php?workbook=03_02.xlsx&amp;sheet=A0&amp;row=716&amp;col=12&amp;number=&amp;sourceID=30","")</f>
        <v/>
      </c>
      <c r="M716" s="4" t="str">
        <f>HYPERLINK("http://141.218.60.56/~jnz1568/getInfo.php?workbook=03_02.xlsx&amp;sheet=A0&amp;row=716&amp;col=13&amp;number=&amp;sourceID=30","")</f>
        <v/>
      </c>
      <c r="N716" s="4" t="str">
        <f>HYPERLINK("http://141.218.60.56/~jnz1568/getInfo.php?workbook=03_02.xlsx&amp;sheet=A0&amp;row=716&amp;col=14&amp;number=1.425e-06&amp;sourceID=30","1.425e-06")</f>
        <v>1.425e-06</v>
      </c>
    </row>
    <row r="717" spans="1:14">
      <c r="A717" s="3">
        <v>3</v>
      </c>
      <c r="B717" s="3">
        <v>2</v>
      </c>
      <c r="C717" s="3">
        <v>42</v>
      </c>
      <c r="D717" s="3">
        <v>26</v>
      </c>
      <c r="E717" s="3">
        <f>((1/(INDEX(E0!J$4:J$52,C717,1)-INDEX(E0!J$4:J$52,D717,1))))*100000000</f>
        <v>0</v>
      </c>
      <c r="F717" s="4" t="str">
        <f>HYPERLINK("http://141.218.60.56/~jnz1568/getInfo.php?workbook=03_02.xlsx&amp;sheet=A0&amp;row=717&amp;col=6&amp;number=&amp;sourceID=27","")</f>
        <v/>
      </c>
      <c r="G717" s="4" t="str">
        <f>HYPERLINK("http://141.218.60.56/~jnz1568/getInfo.php?workbook=03_02.xlsx&amp;sheet=A0&amp;row=717&amp;col=7&amp;number=8574000&amp;sourceID=15","8574000")</f>
        <v>8574000</v>
      </c>
      <c r="H717" s="4" t="str">
        <f>HYPERLINK("http://141.218.60.56/~jnz1568/getInfo.php?workbook=03_02.xlsx&amp;sheet=A0&amp;row=717&amp;col=8&amp;number=&amp;sourceID=15","")</f>
        <v/>
      </c>
      <c r="I717" s="4" t="str">
        <f>HYPERLINK("http://141.218.60.56/~jnz1568/getInfo.php?workbook=03_02.xlsx&amp;sheet=A0&amp;row=717&amp;col=9&amp;number=&amp;sourceID=15","")</f>
        <v/>
      </c>
      <c r="J717" s="4" t="str">
        <f>HYPERLINK("http://141.218.60.56/~jnz1568/getInfo.php?workbook=03_02.xlsx&amp;sheet=A0&amp;row=717&amp;col=10&amp;number=&amp;sourceID=15","")</f>
        <v/>
      </c>
      <c r="K717" s="4" t="str">
        <f>HYPERLINK("http://141.218.60.56/~jnz1568/getInfo.php?workbook=03_02.xlsx&amp;sheet=A0&amp;row=717&amp;col=11&amp;number=5145000&amp;sourceID=30","5145000")</f>
        <v>5145000</v>
      </c>
      <c r="L717" s="4" t="str">
        <f>HYPERLINK("http://141.218.60.56/~jnz1568/getInfo.php?workbook=03_02.xlsx&amp;sheet=A0&amp;row=717&amp;col=12&amp;number=&amp;sourceID=30","")</f>
        <v/>
      </c>
      <c r="M717" s="4" t="str">
        <f>HYPERLINK("http://141.218.60.56/~jnz1568/getInfo.php?workbook=03_02.xlsx&amp;sheet=A0&amp;row=717&amp;col=13&amp;number=&amp;sourceID=30","")</f>
        <v/>
      </c>
      <c r="N717" s="4" t="str">
        <f>HYPERLINK("http://141.218.60.56/~jnz1568/getInfo.php?workbook=03_02.xlsx&amp;sheet=A0&amp;row=717&amp;col=14&amp;number=7.968e-08&amp;sourceID=30","7.968e-08")</f>
        <v>7.968e-08</v>
      </c>
    </row>
    <row r="718" spans="1:14">
      <c r="A718" s="3">
        <v>3</v>
      </c>
      <c r="B718" s="3">
        <v>2</v>
      </c>
      <c r="C718" s="3">
        <v>42</v>
      </c>
      <c r="D718" s="3">
        <v>27</v>
      </c>
      <c r="E718" s="3">
        <f>((1/(INDEX(E0!J$4:J$52,C718,1)-INDEX(E0!J$4:J$52,D718,1))))*100000000</f>
        <v>0</v>
      </c>
      <c r="F718" s="4" t="str">
        <f>HYPERLINK("http://141.218.60.56/~jnz1568/getInfo.php?workbook=03_02.xlsx&amp;sheet=A0&amp;row=718&amp;col=6&amp;number=&amp;sourceID=27","")</f>
        <v/>
      </c>
      <c r="G718" s="4" t="str">
        <f>HYPERLINK("http://141.218.60.56/~jnz1568/getInfo.php?workbook=03_02.xlsx&amp;sheet=A0&amp;row=718&amp;col=7&amp;number=&amp;sourceID=15","")</f>
        <v/>
      </c>
      <c r="H718" s="4" t="str">
        <f>HYPERLINK("http://141.218.60.56/~jnz1568/getInfo.php?workbook=03_02.xlsx&amp;sheet=A0&amp;row=718&amp;col=8&amp;number=&amp;sourceID=15","")</f>
        <v/>
      </c>
      <c r="I718" s="4" t="str">
        <f>HYPERLINK("http://141.218.60.56/~jnz1568/getInfo.php?workbook=03_02.xlsx&amp;sheet=A0&amp;row=718&amp;col=9&amp;number=&amp;sourceID=15","")</f>
        <v/>
      </c>
      <c r="J718" s="4" t="str">
        <f>HYPERLINK("http://141.218.60.56/~jnz1568/getInfo.php?workbook=03_02.xlsx&amp;sheet=A0&amp;row=718&amp;col=10&amp;number=&amp;sourceID=15","")</f>
        <v/>
      </c>
      <c r="K718" s="4" t="str">
        <f>HYPERLINK("http://141.218.60.56/~jnz1568/getInfo.php?workbook=03_02.xlsx&amp;sheet=A0&amp;row=718&amp;col=11&amp;number=&amp;sourceID=30","")</f>
        <v/>
      </c>
      <c r="L718" s="4" t="str">
        <f>HYPERLINK("http://141.218.60.56/~jnz1568/getInfo.php?workbook=03_02.xlsx&amp;sheet=A0&amp;row=718&amp;col=12&amp;number=1.825&amp;sourceID=30","1.825")</f>
        <v>1.825</v>
      </c>
      <c r="M718" s="4" t="str">
        <f>HYPERLINK("http://141.218.60.56/~jnz1568/getInfo.php?workbook=03_02.xlsx&amp;sheet=A0&amp;row=718&amp;col=13&amp;number=2.544e-10&amp;sourceID=30","2.544e-10")</f>
        <v>2.544e-10</v>
      </c>
      <c r="N718" s="4" t="str">
        <f>HYPERLINK("http://141.218.60.56/~jnz1568/getInfo.php?workbook=03_02.xlsx&amp;sheet=A0&amp;row=718&amp;col=14&amp;number=&amp;sourceID=30","")</f>
        <v/>
      </c>
    </row>
    <row r="719" spans="1:14">
      <c r="A719" s="3">
        <v>3</v>
      </c>
      <c r="B719" s="3">
        <v>2</v>
      </c>
      <c r="C719" s="3">
        <v>42</v>
      </c>
      <c r="D719" s="3">
        <v>28</v>
      </c>
      <c r="E719" s="3">
        <f>((1/(INDEX(E0!J$4:J$52,C719,1)-INDEX(E0!J$4:J$52,D719,1))))*100000000</f>
        <v>0</v>
      </c>
      <c r="F719" s="4" t="str">
        <f>HYPERLINK("http://141.218.60.56/~jnz1568/getInfo.php?workbook=03_02.xlsx&amp;sheet=A0&amp;row=719&amp;col=6&amp;number=&amp;sourceID=27","")</f>
        <v/>
      </c>
      <c r="G719" s="4" t="str">
        <f>HYPERLINK("http://141.218.60.56/~jnz1568/getInfo.php?workbook=03_02.xlsx&amp;sheet=A0&amp;row=719&amp;col=7&amp;number=&amp;sourceID=15","")</f>
        <v/>
      </c>
      <c r="H719" s="4" t="str">
        <f>HYPERLINK("http://141.218.60.56/~jnz1568/getInfo.php?workbook=03_02.xlsx&amp;sheet=A0&amp;row=719&amp;col=8&amp;number=&amp;sourceID=15","")</f>
        <v/>
      </c>
      <c r="I719" s="4" t="str">
        <f>HYPERLINK("http://141.218.60.56/~jnz1568/getInfo.php?workbook=03_02.xlsx&amp;sheet=A0&amp;row=719&amp;col=9&amp;number=&amp;sourceID=15","")</f>
        <v/>
      </c>
      <c r="J719" s="4" t="str">
        <f>HYPERLINK("http://141.218.60.56/~jnz1568/getInfo.php?workbook=03_02.xlsx&amp;sheet=A0&amp;row=719&amp;col=10&amp;number=&amp;sourceID=15","")</f>
        <v/>
      </c>
      <c r="K719" s="4" t="str">
        <f>HYPERLINK("http://141.218.60.56/~jnz1568/getInfo.php?workbook=03_02.xlsx&amp;sheet=A0&amp;row=719&amp;col=11&amp;number=&amp;sourceID=30","")</f>
        <v/>
      </c>
      <c r="L719" s="4" t="str">
        <f>HYPERLINK("http://141.218.60.56/~jnz1568/getInfo.php?workbook=03_02.xlsx&amp;sheet=A0&amp;row=719&amp;col=12&amp;number=6.067&amp;sourceID=30","6.067")</f>
        <v>6.067</v>
      </c>
      <c r="M719" s="4" t="str">
        <f>HYPERLINK("http://141.218.60.56/~jnz1568/getInfo.php?workbook=03_02.xlsx&amp;sheet=A0&amp;row=719&amp;col=13&amp;number=1.316e-09&amp;sourceID=30","1.316e-09")</f>
        <v>1.316e-09</v>
      </c>
      <c r="N719" s="4" t="str">
        <f>HYPERLINK("http://141.218.60.56/~jnz1568/getInfo.php?workbook=03_02.xlsx&amp;sheet=A0&amp;row=719&amp;col=14&amp;number=&amp;sourceID=30","")</f>
        <v/>
      </c>
    </row>
    <row r="720" spans="1:14">
      <c r="A720" s="3">
        <v>3</v>
      </c>
      <c r="B720" s="3">
        <v>2</v>
      </c>
      <c r="C720" s="3">
        <v>42</v>
      </c>
      <c r="D720" s="3">
        <v>29</v>
      </c>
      <c r="E720" s="3">
        <f>((1/(INDEX(E0!J$4:J$52,C720,1)-INDEX(E0!J$4:J$52,D720,1))))*100000000</f>
        <v>0</v>
      </c>
      <c r="F720" s="4" t="str">
        <f>HYPERLINK("http://141.218.60.56/~jnz1568/getInfo.php?workbook=03_02.xlsx&amp;sheet=A0&amp;row=720&amp;col=6&amp;number=&amp;sourceID=27","")</f>
        <v/>
      </c>
      <c r="G720" s="4" t="str">
        <f>HYPERLINK("http://141.218.60.56/~jnz1568/getInfo.php?workbook=03_02.xlsx&amp;sheet=A0&amp;row=720&amp;col=7&amp;number=&amp;sourceID=15","")</f>
        <v/>
      </c>
      <c r="H720" s="4" t="str">
        <f>HYPERLINK("http://141.218.60.56/~jnz1568/getInfo.php?workbook=03_02.xlsx&amp;sheet=A0&amp;row=720&amp;col=8&amp;number=&amp;sourceID=15","")</f>
        <v/>
      </c>
      <c r="I720" s="4" t="str">
        <f>HYPERLINK("http://141.218.60.56/~jnz1568/getInfo.php?workbook=03_02.xlsx&amp;sheet=A0&amp;row=720&amp;col=9&amp;number=&amp;sourceID=15","")</f>
        <v/>
      </c>
      <c r="J720" s="4" t="str">
        <f>HYPERLINK("http://141.218.60.56/~jnz1568/getInfo.php?workbook=03_02.xlsx&amp;sheet=A0&amp;row=720&amp;col=10&amp;number=&amp;sourceID=15","")</f>
        <v/>
      </c>
      <c r="K720" s="4" t="str">
        <f>HYPERLINK("http://141.218.60.56/~jnz1568/getInfo.php?workbook=03_02.xlsx&amp;sheet=A0&amp;row=720&amp;col=11&amp;number=&amp;sourceID=30","")</f>
        <v/>
      </c>
      <c r="L720" s="4" t="str">
        <f>HYPERLINK("http://141.218.60.56/~jnz1568/getInfo.php?workbook=03_02.xlsx&amp;sheet=A0&amp;row=720&amp;col=12&amp;number=1.901&amp;sourceID=30","1.901")</f>
        <v>1.901</v>
      </c>
      <c r="M720" s="4" t="str">
        <f>HYPERLINK("http://141.218.60.56/~jnz1568/getInfo.php?workbook=03_02.xlsx&amp;sheet=A0&amp;row=720&amp;col=13&amp;number=5.034e-10&amp;sourceID=30","5.034e-10")</f>
        <v>5.034e-10</v>
      </c>
      <c r="N720" s="4" t="str">
        <f>HYPERLINK("http://141.218.60.56/~jnz1568/getInfo.php?workbook=03_02.xlsx&amp;sheet=A0&amp;row=720&amp;col=14&amp;number=&amp;sourceID=30","")</f>
        <v/>
      </c>
    </row>
    <row r="721" spans="1:14">
      <c r="A721" s="3">
        <v>3</v>
      </c>
      <c r="B721" s="3">
        <v>2</v>
      </c>
      <c r="C721" s="3">
        <v>42</v>
      </c>
      <c r="D721" s="3">
        <v>30</v>
      </c>
      <c r="E721" s="3">
        <f>((1/(INDEX(E0!J$4:J$52,C721,1)-INDEX(E0!J$4:J$52,D721,1))))*100000000</f>
        <v>0</v>
      </c>
      <c r="F721" s="4" t="str">
        <f>HYPERLINK("http://141.218.60.56/~jnz1568/getInfo.php?workbook=03_02.xlsx&amp;sheet=A0&amp;row=721&amp;col=6&amp;number=&amp;sourceID=27","")</f>
        <v/>
      </c>
      <c r="G721" s="4" t="str">
        <f>HYPERLINK("http://141.218.60.56/~jnz1568/getInfo.php?workbook=03_02.xlsx&amp;sheet=A0&amp;row=721&amp;col=7&amp;number=&amp;sourceID=15","")</f>
        <v/>
      </c>
      <c r="H721" s="4" t="str">
        <f>HYPERLINK("http://141.218.60.56/~jnz1568/getInfo.php?workbook=03_02.xlsx&amp;sheet=A0&amp;row=721&amp;col=8&amp;number=&amp;sourceID=15","")</f>
        <v/>
      </c>
      <c r="I721" s="4" t="str">
        <f>HYPERLINK("http://141.218.60.56/~jnz1568/getInfo.php?workbook=03_02.xlsx&amp;sheet=A0&amp;row=721&amp;col=9&amp;number=&amp;sourceID=15","")</f>
        <v/>
      </c>
      <c r="J721" s="4" t="str">
        <f>HYPERLINK("http://141.218.60.56/~jnz1568/getInfo.php?workbook=03_02.xlsx&amp;sheet=A0&amp;row=721&amp;col=10&amp;number=&amp;sourceID=15","")</f>
        <v/>
      </c>
      <c r="K721" s="4" t="str">
        <f>HYPERLINK("http://141.218.60.56/~jnz1568/getInfo.php?workbook=03_02.xlsx&amp;sheet=A0&amp;row=721&amp;col=11&amp;number=&amp;sourceID=30","")</f>
        <v/>
      </c>
      <c r="L721" s="4" t="str">
        <f>HYPERLINK("http://141.218.60.56/~jnz1568/getInfo.php?workbook=03_02.xlsx&amp;sheet=A0&amp;row=721&amp;col=12&amp;number=3.555e-05&amp;sourceID=30","3.555e-05")</f>
        <v>3.555e-05</v>
      </c>
      <c r="M721" s="4" t="str">
        <f>HYPERLINK("http://141.218.60.56/~jnz1568/getInfo.php?workbook=03_02.xlsx&amp;sheet=A0&amp;row=721&amp;col=13&amp;number=4.728e-10&amp;sourceID=30","4.728e-10")</f>
        <v>4.728e-10</v>
      </c>
      <c r="N721" s="4" t="str">
        <f>HYPERLINK("http://141.218.60.56/~jnz1568/getInfo.php?workbook=03_02.xlsx&amp;sheet=A0&amp;row=721&amp;col=14&amp;number=&amp;sourceID=30","")</f>
        <v/>
      </c>
    </row>
    <row r="722" spans="1:14">
      <c r="A722" s="3">
        <v>3</v>
      </c>
      <c r="B722" s="3">
        <v>2</v>
      </c>
      <c r="C722" s="3">
        <v>42</v>
      </c>
      <c r="D722" s="3">
        <v>31</v>
      </c>
      <c r="E722" s="3">
        <f>((1/(INDEX(E0!J$4:J$52,C722,1)-INDEX(E0!J$4:J$52,D722,1))))*100000000</f>
        <v>0</v>
      </c>
      <c r="F722" s="4" t="str">
        <f>HYPERLINK("http://141.218.60.56/~jnz1568/getInfo.php?workbook=03_02.xlsx&amp;sheet=A0&amp;row=722&amp;col=6&amp;number=&amp;sourceID=27","")</f>
        <v/>
      </c>
      <c r="G722" s="4" t="str">
        <f>HYPERLINK("http://141.218.60.56/~jnz1568/getInfo.php?workbook=03_02.xlsx&amp;sheet=A0&amp;row=722&amp;col=7&amp;number=&amp;sourceID=15","")</f>
        <v/>
      </c>
      <c r="H722" s="4" t="str">
        <f>HYPERLINK("http://141.218.60.56/~jnz1568/getInfo.php?workbook=03_02.xlsx&amp;sheet=A0&amp;row=722&amp;col=8&amp;number=&amp;sourceID=15","")</f>
        <v/>
      </c>
      <c r="I722" s="4" t="str">
        <f>HYPERLINK("http://141.218.60.56/~jnz1568/getInfo.php?workbook=03_02.xlsx&amp;sheet=A0&amp;row=722&amp;col=9&amp;number=&amp;sourceID=15","")</f>
        <v/>
      </c>
      <c r="J722" s="4" t="str">
        <f>HYPERLINK("http://141.218.60.56/~jnz1568/getInfo.php?workbook=03_02.xlsx&amp;sheet=A0&amp;row=722&amp;col=10&amp;number=&amp;sourceID=15","")</f>
        <v/>
      </c>
      <c r="K722" s="4" t="str">
        <f>HYPERLINK("http://141.218.60.56/~jnz1568/getInfo.php?workbook=03_02.xlsx&amp;sheet=A0&amp;row=722&amp;col=11&amp;number=&amp;sourceID=30","")</f>
        <v/>
      </c>
      <c r="L722" s="4" t="str">
        <f>HYPERLINK("http://141.218.60.56/~jnz1568/getInfo.php?workbook=03_02.xlsx&amp;sheet=A0&amp;row=722&amp;col=12&amp;number=7.176&amp;sourceID=30","7.176")</f>
        <v>7.176</v>
      </c>
      <c r="M722" s="4" t="str">
        <f>HYPERLINK("http://141.218.60.56/~jnz1568/getInfo.php?workbook=03_02.xlsx&amp;sheet=A0&amp;row=722&amp;col=13&amp;number=&amp;sourceID=30","")</f>
        <v/>
      </c>
      <c r="N722" s="4" t="str">
        <f>HYPERLINK("http://141.218.60.56/~jnz1568/getInfo.php?workbook=03_02.xlsx&amp;sheet=A0&amp;row=722&amp;col=14&amp;number=&amp;sourceID=30","")</f>
        <v/>
      </c>
    </row>
    <row r="723" spans="1:14">
      <c r="A723" s="3">
        <v>3</v>
      </c>
      <c r="B723" s="3">
        <v>2</v>
      </c>
      <c r="C723" s="3">
        <v>42</v>
      </c>
      <c r="D723" s="3">
        <v>32</v>
      </c>
      <c r="E723" s="3">
        <f>((1/(INDEX(E0!J$4:J$52,C723,1)-INDEX(E0!J$4:J$52,D723,1))))*100000000</f>
        <v>0</v>
      </c>
      <c r="F723" s="4" t="str">
        <f>HYPERLINK("http://141.218.60.56/~jnz1568/getInfo.php?workbook=03_02.xlsx&amp;sheet=A0&amp;row=723&amp;col=6&amp;number=&amp;sourceID=27","")</f>
        <v/>
      </c>
      <c r="G723" s="4" t="str">
        <f>HYPERLINK("http://141.218.60.56/~jnz1568/getInfo.php?workbook=03_02.xlsx&amp;sheet=A0&amp;row=723&amp;col=7&amp;number=&amp;sourceID=15","")</f>
        <v/>
      </c>
      <c r="H723" s="4" t="str">
        <f>HYPERLINK("http://141.218.60.56/~jnz1568/getInfo.php?workbook=03_02.xlsx&amp;sheet=A0&amp;row=723&amp;col=8&amp;number=&amp;sourceID=15","")</f>
        <v/>
      </c>
      <c r="I723" s="4" t="str">
        <f>HYPERLINK("http://141.218.60.56/~jnz1568/getInfo.php?workbook=03_02.xlsx&amp;sheet=A0&amp;row=723&amp;col=9&amp;number=&amp;sourceID=15","")</f>
        <v/>
      </c>
      <c r="J723" s="4" t="str">
        <f>HYPERLINK("http://141.218.60.56/~jnz1568/getInfo.php?workbook=03_02.xlsx&amp;sheet=A0&amp;row=723&amp;col=10&amp;number=&amp;sourceID=15","")</f>
        <v/>
      </c>
      <c r="K723" s="4" t="str">
        <f>HYPERLINK("http://141.218.60.56/~jnz1568/getInfo.php?workbook=03_02.xlsx&amp;sheet=A0&amp;row=723&amp;col=11&amp;number=&amp;sourceID=30","")</f>
        <v/>
      </c>
      <c r="L723" s="4" t="str">
        <f>HYPERLINK("http://141.218.60.56/~jnz1568/getInfo.php?workbook=03_02.xlsx&amp;sheet=A0&amp;row=723&amp;col=12&amp;number=&amp;sourceID=30","")</f>
        <v/>
      </c>
      <c r="M723" s="4" t="str">
        <f>HYPERLINK("http://141.218.60.56/~jnz1568/getInfo.php?workbook=03_02.xlsx&amp;sheet=A0&amp;row=723&amp;col=13&amp;number=&amp;sourceID=30","")</f>
        <v/>
      </c>
      <c r="N723" s="4" t="str">
        <f>HYPERLINK("http://141.218.60.56/~jnz1568/getInfo.php?workbook=03_02.xlsx&amp;sheet=A0&amp;row=723&amp;col=14&amp;number=0&amp;sourceID=30","0")</f>
        <v>0</v>
      </c>
    </row>
    <row r="724" spans="1:14">
      <c r="A724" s="3">
        <v>3</v>
      </c>
      <c r="B724" s="3">
        <v>2</v>
      </c>
      <c r="C724" s="3">
        <v>42</v>
      </c>
      <c r="D724" s="3">
        <v>35</v>
      </c>
      <c r="E724" s="3">
        <f>((1/(INDEX(E0!J$4:J$52,C724,1)-INDEX(E0!J$4:J$52,D724,1))))*100000000</f>
        <v>0</v>
      </c>
      <c r="F724" s="4" t="str">
        <f>HYPERLINK("http://141.218.60.56/~jnz1568/getInfo.php?workbook=03_02.xlsx&amp;sheet=A0&amp;row=724&amp;col=6&amp;number=&amp;sourceID=27","")</f>
        <v/>
      </c>
      <c r="G724" s="4" t="str">
        <f>HYPERLINK("http://141.218.60.56/~jnz1568/getInfo.php?workbook=03_02.xlsx&amp;sheet=A0&amp;row=724&amp;col=7&amp;number=&amp;sourceID=15","")</f>
        <v/>
      </c>
      <c r="H724" s="4" t="str">
        <f>HYPERLINK("http://141.218.60.56/~jnz1568/getInfo.php?workbook=03_02.xlsx&amp;sheet=A0&amp;row=724&amp;col=8&amp;number=&amp;sourceID=15","")</f>
        <v/>
      </c>
      <c r="I724" s="4" t="str">
        <f>HYPERLINK("http://141.218.60.56/~jnz1568/getInfo.php?workbook=03_02.xlsx&amp;sheet=A0&amp;row=724&amp;col=9&amp;number=&amp;sourceID=15","")</f>
        <v/>
      </c>
      <c r="J724" s="4" t="str">
        <f>HYPERLINK("http://141.218.60.56/~jnz1568/getInfo.php?workbook=03_02.xlsx&amp;sheet=A0&amp;row=724&amp;col=10&amp;number=&amp;sourceID=15","")</f>
        <v/>
      </c>
      <c r="K724" s="4" t="str">
        <f>HYPERLINK("http://141.218.60.56/~jnz1568/getInfo.php?workbook=03_02.xlsx&amp;sheet=A0&amp;row=724&amp;col=11&amp;number=&amp;sourceID=30","")</f>
        <v/>
      </c>
      <c r="L724" s="4" t="str">
        <f>HYPERLINK("http://141.218.60.56/~jnz1568/getInfo.php?workbook=03_02.xlsx&amp;sheet=A0&amp;row=724&amp;col=12&amp;number=6.175e-06&amp;sourceID=30","6.175e-06")</f>
        <v>6.175e-06</v>
      </c>
      <c r="M724" s="4" t="str">
        <f>HYPERLINK("http://141.218.60.56/~jnz1568/getInfo.php?workbook=03_02.xlsx&amp;sheet=A0&amp;row=724&amp;col=13&amp;number=&amp;sourceID=30","")</f>
        <v/>
      </c>
      <c r="N724" s="4" t="str">
        <f>HYPERLINK("http://141.218.60.56/~jnz1568/getInfo.php?workbook=03_02.xlsx&amp;sheet=A0&amp;row=724&amp;col=14&amp;number=&amp;sourceID=30","")</f>
        <v/>
      </c>
    </row>
    <row r="725" spans="1:14">
      <c r="A725" s="3">
        <v>3</v>
      </c>
      <c r="B725" s="3">
        <v>2</v>
      </c>
      <c r="C725" s="3">
        <v>42</v>
      </c>
      <c r="D725" s="3">
        <v>36</v>
      </c>
      <c r="E725" s="3">
        <f>((1/(INDEX(E0!J$4:J$52,C725,1)-INDEX(E0!J$4:J$52,D725,1))))*100000000</f>
        <v>0</v>
      </c>
      <c r="F725" s="4" t="str">
        <f>HYPERLINK("http://141.218.60.56/~jnz1568/getInfo.php?workbook=03_02.xlsx&amp;sheet=A0&amp;row=725&amp;col=6&amp;number=&amp;sourceID=27","")</f>
        <v/>
      </c>
      <c r="G725" s="4" t="str">
        <f>HYPERLINK("http://141.218.60.56/~jnz1568/getInfo.php?workbook=03_02.xlsx&amp;sheet=A0&amp;row=725&amp;col=7&amp;number=&amp;sourceID=15","")</f>
        <v/>
      </c>
      <c r="H725" s="4" t="str">
        <f>HYPERLINK("http://141.218.60.56/~jnz1568/getInfo.php?workbook=03_02.xlsx&amp;sheet=A0&amp;row=725&amp;col=8&amp;number=&amp;sourceID=15","")</f>
        <v/>
      </c>
      <c r="I725" s="4" t="str">
        <f>HYPERLINK("http://141.218.60.56/~jnz1568/getInfo.php?workbook=03_02.xlsx&amp;sheet=A0&amp;row=725&amp;col=9&amp;number=&amp;sourceID=15","")</f>
        <v/>
      </c>
      <c r="J725" s="4" t="str">
        <f>HYPERLINK("http://141.218.60.56/~jnz1568/getInfo.php?workbook=03_02.xlsx&amp;sheet=A0&amp;row=725&amp;col=10&amp;number=&amp;sourceID=15","")</f>
        <v/>
      </c>
      <c r="K725" s="4" t="str">
        <f>HYPERLINK("http://141.218.60.56/~jnz1568/getInfo.php?workbook=03_02.xlsx&amp;sheet=A0&amp;row=725&amp;col=11&amp;number=&amp;sourceID=30","")</f>
        <v/>
      </c>
      <c r="L725" s="4" t="str">
        <f>HYPERLINK("http://141.218.60.56/~jnz1568/getInfo.php?workbook=03_02.xlsx&amp;sheet=A0&amp;row=725&amp;col=12&amp;number=3.079e-06&amp;sourceID=30","3.079e-06")</f>
        <v>3.079e-06</v>
      </c>
      <c r="M725" s="4" t="str">
        <f>HYPERLINK("http://141.218.60.56/~jnz1568/getInfo.php?workbook=03_02.xlsx&amp;sheet=A0&amp;row=725&amp;col=13&amp;number=1.4e-14&amp;sourceID=30","1.4e-14")</f>
        <v>1.4e-14</v>
      </c>
      <c r="N725" s="4" t="str">
        <f>HYPERLINK("http://141.218.60.56/~jnz1568/getInfo.php?workbook=03_02.xlsx&amp;sheet=A0&amp;row=725&amp;col=14&amp;number=&amp;sourceID=30","")</f>
        <v/>
      </c>
    </row>
    <row r="726" spans="1:14">
      <c r="A726" s="3">
        <v>3</v>
      </c>
      <c r="B726" s="3">
        <v>2</v>
      </c>
      <c r="C726" s="3">
        <v>42</v>
      </c>
      <c r="D726" s="3">
        <v>37</v>
      </c>
      <c r="E726" s="3">
        <f>((1/(INDEX(E0!J$4:J$52,C726,1)-INDEX(E0!J$4:J$52,D726,1))))*100000000</f>
        <v>0</v>
      </c>
      <c r="F726" s="4" t="str">
        <f>HYPERLINK("http://141.218.60.56/~jnz1568/getInfo.php?workbook=03_02.xlsx&amp;sheet=A0&amp;row=726&amp;col=6&amp;number=&amp;sourceID=27","")</f>
        <v/>
      </c>
      <c r="G726" s="4" t="str">
        <f>HYPERLINK("http://141.218.60.56/~jnz1568/getInfo.php?workbook=03_02.xlsx&amp;sheet=A0&amp;row=726&amp;col=7&amp;number=&amp;sourceID=15","")</f>
        <v/>
      </c>
      <c r="H726" s="4" t="str">
        <f>HYPERLINK("http://141.218.60.56/~jnz1568/getInfo.php?workbook=03_02.xlsx&amp;sheet=A0&amp;row=726&amp;col=8&amp;number=&amp;sourceID=15","")</f>
        <v/>
      </c>
      <c r="I726" s="4" t="str">
        <f>HYPERLINK("http://141.218.60.56/~jnz1568/getInfo.php?workbook=03_02.xlsx&amp;sheet=A0&amp;row=726&amp;col=9&amp;number=&amp;sourceID=15","")</f>
        <v/>
      </c>
      <c r="J726" s="4" t="str">
        <f>HYPERLINK("http://141.218.60.56/~jnz1568/getInfo.php?workbook=03_02.xlsx&amp;sheet=A0&amp;row=726&amp;col=10&amp;number=&amp;sourceID=15","")</f>
        <v/>
      </c>
      <c r="K726" s="4" t="str">
        <f>HYPERLINK("http://141.218.60.56/~jnz1568/getInfo.php?workbook=03_02.xlsx&amp;sheet=A0&amp;row=726&amp;col=11&amp;number=&amp;sourceID=30","")</f>
        <v/>
      </c>
      <c r="L726" s="4" t="str">
        <f>HYPERLINK("http://141.218.60.56/~jnz1568/getInfo.php?workbook=03_02.xlsx&amp;sheet=A0&amp;row=726&amp;col=12&amp;number=&amp;sourceID=30","")</f>
        <v/>
      </c>
      <c r="M726" s="4" t="str">
        <f>HYPERLINK("http://141.218.60.56/~jnz1568/getInfo.php?workbook=03_02.xlsx&amp;sheet=A0&amp;row=726&amp;col=13&amp;number=&amp;sourceID=30","")</f>
        <v/>
      </c>
      <c r="N726" s="4" t="str">
        <f>HYPERLINK("http://141.218.60.56/~jnz1568/getInfo.php?workbook=03_02.xlsx&amp;sheet=A0&amp;row=726&amp;col=14&amp;number=0&amp;sourceID=30","0")</f>
        <v>0</v>
      </c>
    </row>
    <row r="727" spans="1:14">
      <c r="A727" s="3">
        <v>3</v>
      </c>
      <c r="B727" s="3">
        <v>2</v>
      </c>
      <c r="C727" s="3">
        <v>42</v>
      </c>
      <c r="D727" s="3">
        <v>38</v>
      </c>
      <c r="E727" s="3">
        <f>((1/(INDEX(E0!J$4:J$52,C727,1)-INDEX(E0!J$4:J$52,D727,1))))*100000000</f>
        <v>0</v>
      </c>
      <c r="F727" s="4" t="str">
        <f>HYPERLINK("http://141.218.60.56/~jnz1568/getInfo.php?workbook=03_02.xlsx&amp;sheet=A0&amp;row=727&amp;col=6&amp;number=&amp;sourceID=27","")</f>
        <v/>
      </c>
      <c r="G727" s="4" t="str">
        <f>HYPERLINK("http://141.218.60.56/~jnz1568/getInfo.php?workbook=03_02.xlsx&amp;sheet=A0&amp;row=727&amp;col=7&amp;number=&amp;sourceID=15","")</f>
        <v/>
      </c>
      <c r="H727" s="4" t="str">
        <f>HYPERLINK("http://141.218.60.56/~jnz1568/getInfo.php?workbook=03_02.xlsx&amp;sheet=A0&amp;row=727&amp;col=8&amp;number=&amp;sourceID=15","")</f>
        <v/>
      </c>
      <c r="I727" s="4" t="str">
        <f>HYPERLINK("http://141.218.60.56/~jnz1568/getInfo.php?workbook=03_02.xlsx&amp;sheet=A0&amp;row=727&amp;col=9&amp;number=&amp;sourceID=15","")</f>
        <v/>
      </c>
      <c r="J727" s="4" t="str">
        <f>HYPERLINK("http://141.218.60.56/~jnz1568/getInfo.php?workbook=03_02.xlsx&amp;sheet=A0&amp;row=727&amp;col=10&amp;number=&amp;sourceID=15","")</f>
        <v/>
      </c>
      <c r="K727" s="4" t="str">
        <f>HYPERLINK("http://141.218.60.56/~jnz1568/getInfo.php?workbook=03_02.xlsx&amp;sheet=A0&amp;row=727&amp;col=11&amp;number=0.1119&amp;sourceID=30","0.1119")</f>
        <v>0.1119</v>
      </c>
      <c r="L727" s="4" t="str">
        <f>HYPERLINK("http://141.218.60.56/~jnz1568/getInfo.php?workbook=03_02.xlsx&amp;sheet=A0&amp;row=727&amp;col=12&amp;number=&amp;sourceID=30","")</f>
        <v/>
      </c>
      <c r="M727" s="4" t="str">
        <f>HYPERLINK("http://141.218.60.56/~jnz1568/getInfo.php?workbook=03_02.xlsx&amp;sheet=A0&amp;row=727&amp;col=13&amp;number=&amp;sourceID=30","")</f>
        <v/>
      </c>
      <c r="N727" s="4" t="str">
        <f>HYPERLINK("http://141.218.60.56/~jnz1568/getInfo.php?workbook=03_02.xlsx&amp;sheet=A0&amp;row=727&amp;col=14&amp;number=0&amp;sourceID=30","0")</f>
        <v>0</v>
      </c>
    </row>
    <row r="728" spans="1:14">
      <c r="A728" s="3">
        <v>3</v>
      </c>
      <c r="B728" s="3">
        <v>2</v>
      </c>
      <c r="C728" s="3">
        <v>42</v>
      </c>
      <c r="D728" s="3">
        <v>39</v>
      </c>
      <c r="E728" s="3">
        <f>((1/(INDEX(E0!J$4:J$52,C728,1)-INDEX(E0!J$4:J$52,D728,1))))*100000000</f>
        <v>0</v>
      </c>
      <c r="F728" s="4" t="str">
        <f>HYPERLINK("http://141.218.60.56/~jnz1568/getInfo.php?workbook=03_02.xlsx&amp;sheet=A0&amp;row=728&amp;col=6&amp;number=&amp;sourceID=27","")</f>
        <v/>
      </c>
      <c r="G728" s="4" t="str">
        <f>HYPERLINK("http://141.218.60.56/~jnz1568/getInfo.php?workbook=03_02.xlsx&amp;sheet=A0&amp;row=728&amp;col=7&amp;number=&amp;sourceID=15","")</f>
        <v/>
      </c>
      <c r="H728" s="4" t="str">
        <f>HYPERLINK("http://141.218.60.56/~jnz1568/getInfo.php?workbook=03_02.xlsx&amp;sheet=A0&amp;row=728&amp;col=8&amp;number=&amp;sourceID=15","")</f>
        <v/>
      </c>
      <c r="I728" s="4" t="str">
        <f>HYPERLINK("http://141.218.60.56/~jnz1568/getInfo.php?workbook=03_02.xlsx&amp;sheet=A0&amp;row=728&amp;col=9&amp;number=&amp;sourceID=15","")</f>
        <v/>
      </c>
      <c r="J728" s="4" t="str">
        <f>HYPERLINK("http://141.218.60.56/~jnz1568/getInfo.php?workbook=03_02.xlsx&amp;sheet=A0&amp;row=728&amp;col=10&amp;number=&amp;sourceID=15","")</f>
        <v/>
      </c>
      <c r="K728" s="4" t="str">
        <f>HYPERLINK("http://141.218.60.56/~jnz1568/getInfo.php?workbook=03_02.xlsx&amp;sheet=A0&amp;row=728&amp;col=11&amp;number=0.01374&amp;sourceID=30","0.01374")</f>
        <v>0.01374</v>
      </c>
      <c r="L728" s="4" t="str">
        <f>HYPERLINK("http://141.218.60.56/~jnz1568/getInfo.php?workbook=03_02.xlsx&amp;sheet=A0&amp;row=728&amp;col=12&amp;number=&amp;sourceID=30","")</f>
        <v/>
      </c>
      <c r="M728" s="4" t="str">
        <f>HYPERLINK("http://141.218.60.56/~jnz1568/getInfo.php?workbook=03_02.xlsx&amp;sheet=A0&amp;row=728&amp;col=13&amp;number=&amp;sourceID=30","")</f>
        <v/>
      </c>
      <c r="N728" s="4" t="str">
        <f>HYPERLINK("http://141.218.60.56/~jnz1568/getInfo.php?workbook=03_02.xlsx&amp;sheet=A0&amp;row=728&amp;col=14&amp;number=0&amp;sourceID=30","0")</f>
        <v>0</v>
      </c>
    </row>
    <row r="729" spans="1:14">
      <c r="A729" s="3">
        <v>3</v>
      </c>
      <c r="B729" s="3">
        <v>2</v>
      </c>
      <c r="C729" s="3">
        <v>43</v>
      </c>
      <c r="D729" s="3">
        <v>5</v>
      </c>
      <c r="E729" s="3">
        <f>((1/(INDEX(E0!J$4:J$52,C729,1)-INDEX(E0!J$4:J$52,D729,1))))*100000000</f>
        <v>0</v>
      </c>
      <c r="F729" s="4" t="str">
        <f>HYPERLINK("http://141.218.60.56/~jnz1568/getInfo.php?workbook=03_02.xlsx&amp;sheet=A0&amp;row=729&amp;col=6&amp;number=&amp;sourceID=27","")</f>
        <v/>
      </c>
      <c r="G729" s="4" t="str">
        <f>HYPERLINK("http://141.218.60.56/~jnz1568/getInfo.php?workbook=03_02.xlsx&amp;sheet=A0&amp;row=729&amp;col=7&amp;number=&amp;sourceID=15","")</f>
        <v/>
      </c>
      <c r="H729" s="4" t="str">
        <f>HYPERLINK("http://141.218.60.56/~jnz1568/getInfo.php?workbook=03_02.xlsx&amp;sheet=A0&amp;row=729&amp;col=8&amp;number=&amp;sourceID=15","")</f>
        <v/>
      </c>
      <c r="I729" s="4" t="str">
        <f>HYPERLINK("http://141.218.60.56/~jnz1568/getInfo.php?workbook=03_02.xlsx&amp;sheet=A0&amp;row=729&amp;col=9&amp;number=&amp;sourceID=15","")</f>
        <v/>
      </c>
      <c r="J729" s="4" t="str">
        <f>HYPERLINK("http://141.218.60.56/~jnz1568/getInfo.php?workbook=03_02.xlsx&amp;sheet=A0&amp;row=729&amp;col=10&amp;number=&amp;sourceID=15","")</f>
        <v/>
      </c>
      <c r="K729" s="4" t="str">
        <f>HYPERLINK("http://141.218.60.56/~jnz1568/getInfo.php?workbook=03_02.xlsx&amp;sheet=A0&amp;row=729&amp;col=11&amp;number=&amp;sourceID=30","")</f>
        <v/>
      </c>
      <c r="L729" s="4" t="str">
        <f>HYPERLINK("http://141.218.60.56/~jnz1568/getInfo.php?workbook=03_02.xlsx&amp;sheet=A0&amp;row=729&amp;col=12&amp;number=3548&amp;sourceID=30","3548")</f>
        <v>3548</v>
      </c>
      <c r="M729" s="4" t="str">
        <f>HYPERLINK("http://141.218.60.56/~jnz1568/getInfo.php?workbook=03_02.xlsx&amp;sheet=A0&amp;row=729&amp;col=13&amp;number=&amp;sourceID=30","")</f>
        <v/>
      </c>
      <c r="N729" s="4" t="str">
        <f>HYPERLINK("http://141.218.60.56/~jnz1568/getInfo.php?workbook=03_02.xlsx&amp;sheet=A0&amp;row=729&amp;col=14&amp;number=&amp;sourceID=30","")</f>
        <v/>
      </c>
    </row>
    <row r="730" spans="1:14">
      <c r="A730" s="3">
        <v>3</v>
      </c>
      <c r="B730" s="3">
        <v>2</v>
      </c>
      <c r="C730" s="3">
        <v>43</v>
      </c>
      <c r="D730" s="3">
        <v>11</v>
      </c>
      <c r="E730" s="3">
        <f>((1/(INDEX(E0!J$4:J$52,C730,1)-INDEX(E0!J$4:J$52,D730,1))))*100000000</f>
        <v>0</v>
      </c>
      <c r="F730" s="4" t="str">
        <f>HYPERLINK("http://141.218.60.56/~jnz1568/getInfo.php?workbook=03_02.xlsx&amp;sheet=A0&amp;row=730&amp;col=6&amp;number=&amp;sourceID=27","")</f>
        <v/>
      </c>
      <c r="G730" s="4" t="str">
        <f>HYPERLINK("http://141.218.60.56/~jnz1568/getInfo.php?workbook=03_02.xlsx&amp;sheet=A0&amp;row=730&amp;col=7&amp;number=&amp;sourceID=15","")</f>
        <v/>
      </c>
      <c r="H730" s="4" t="str">
        <f>HYPERLINK("http://141.218.60.56/~jnz1568/getInfo.php?workbook=03_02.xlsx&amp;sheet=A0&amp;row=730&amp;col=8&amp;number=&amp;sourceID=15","")</f>
        <v/>
      </c>
      <c r="I730" s="4" t="str">
        <f>HYPERLINK("http://141.218.60.56/~jnz1568/getInfo.php?workbook=03_02.xlsx&amp;sheet=A0&amp;row=730&amp;col=9&amp;number=&amp;sourceID=15","")</f>
        <v/>
      </c>
      <c r="J730" s="4" t="str">
        <f>HYPERLINK("http://141.218.60.56/~jnz1568/getInfo.php?workbook=03_02.xlsx&amp;sheet=A0&amp;row=730&amp;col=10&amp;number=&amp;sourceID=15","")</f>
        <v/>
      </c>
      <c r="K730" s="4" t="str">
        <f>HYPERLINK("http://141.218.60.56/~jnz1568/getInfo.php?workbook=03_02.xlsx&amp;sheet=A0&amp;row=730&amp;col=11&amp;number=&amp;sourceID=30","")</f>
        <v/>
      </c>
      <c r="L730" s="4" t="str">
        <f>HYPERLINK("http://141.218.60.56/~jnz1568/getInfo.php?workbook=03_02.xlsx&amp;sheet=A0&amp;row=730&amp;col=12&amp;number=8.293&amp;sourceID=30","8.293")</f>
        <v>8.293</v>
      </c>
      <c r="M730" s="4" t="str">
        <f>HYPERLINK("http://141.218.60.56/~jnz1568/getInfo.php?workbook=03_02.xlsx&amp;sheet=A0&amp;row=730&amp;col=13&amp;number=&amp;sourceID=30","")</f>
        <v/>
      </c>
      <c r="N730" s="4" t="str">
        <f>HYPERLINK("http://141.218.60.56/~jnz1568/getInfo.php?workbook=03_02.xlsx&amp;sheet=A0&amp;row=730&amp;col=14&amp;number=&amp;sourceID=30","")</f>
        <v/>
      </c>
    </row>
    <row r="731" spans="1:14">
      <c r="A731" s="3">
        <v>3</v>
      </c>
      <c r="B731" s="3">
        <v>2</v>
      </c>
      <c r="C731" s="3">
        <v>43</v>
      </c>
      <c r="D731" s="3">
        <v>13</v>
      </c>
      <c r="E731" s="3">
        <f>((1/(INDEX(E0!J$4:J$52,C731,1)-INDEX(E0!J$4:J$52,D731,1))))*100000000</f>
        <v>0</v>
      </c>
      <c r="F731" s="4" t="str">
        <f>HYPERLINK("http://141.218.60.56/~jnz1568/getInfo.php?workbook=03_02.xlsx&amp;sheet=A0&amp;row=731&amp;col=6&amp;number=&amp;sourceID=27","")</f>
        <v/>
      </c>
      <c r="G731" s="4" t="str">
        <f>HYPERLINK("http://141.218.60.56/~jnz1568/getInfo.php?workbook=03_02.xlsx&amp;sheet=A0&amp;row=731&amp;col=7&amp;number=&amp;sourceID=15","")</f>
        <v/>
      </c>
      <c r="H731" s="4" t="str">
        <f>HYPERLINK("http://141.218.60.56/~jnz1568/getInfo.php?workbook=03_02.xlsx&amp;sheet=A0&amp;row=731&amp;col=8&amp;number=&amp;sourceID=15","")</f>
        <v/>
      </c>
      <c r="I731" s="4" t="str">
        <f>HYPERLINK("http://141.218.60.56/~jnz1568/getInfo.php?workbook=03_02.xlsx&amp;sheet=A0&amp;row=731&amp;col=9&amp;number=&amp;sourceID=15","")</f>
        <v/>
      </c>
      <c r="J731" s="4" t="str">
        <f>HYPERLINK("http://141.218.60.56/~jnz1568/getInfo.php?workbook=03_02.xlsx&amp;sheet=A0&amp;row=731&amp;col=10&amp;number=&amp;sourceID=15","")</f>
        <v/>
      </c>
      <c r="K731" s="4" t="str">
        <f>HYPERLINK("http://141.218.60.56/~jnz1568/getInfo.php?workbook=03_02.xlsx&amp;sheet=A0&amp;row=731&amp;col=11&amp;number=&amp;sourceID=30","")</f>
        <v/>
      </c>
      <c r="L731" s="4" t="str">
        <f>HYPERLINK("http://141.218.60.56/~jnz1568/getInfo.php?workbook=03_02.xlsx&amp;sheet=A0&amp;row=731&amp;col=12&amp;number=&amp;sourceID=30","")</f>
        <v/>
      </c>
      <c r="M731" s="4" t="str">
        <f>HYPERLINK("http://141.218.60.56/~jnz1568/getInfo.php?workbook=03_02.xlsx&amp;sheet=A0&amp;row=731&amp;col=13&amp;number=&amp;sourceID=30","")</f>
        <v/>
      </c>
      <c r="N731" s="4" t="str">
        <f>HYPERLINK("http://141.218.60.56/~jnz1568/getInfo.php?workbook=03_02.xlsx&amp;sheet=A0&amp;row=731&amp;col=14&amp;number=2.558e-05&amp;sourceID=30","2.558e-05")</f>
        <v>2.558e-05</v>
      </c>
    </row>
    <row r="732" spans="1:14">
      <c r="A732" s="3">
        <v>3</v>
      </c>
      <c r="B732" s="3">
        <v>2</v>
      </c>
      <c r="C732" s="3">
        <v>43</v>
      </c>
      <c r="D732" s="3">
        <v>14</v>
      </c>
      <c r="E732" s="3">
        <f>((1/(INDEX(E0!J$4:J$52,C732,1)-INDEX(E0!J$4:J$52,D732,1))))*100000000</f>
        <v>0</v>
      </c>
      <c r="F732" s="4" t="str">
        <f>HYPERLINK("http://141.218.60.56/~jnz1568/getInfo.php?workbook=03_02.xlsx&amp;sheet=A0&amp;row=732&amp;col=6&amp;number=&amp;sourceID=27","")</f>
        <v/>
      </c>
      <c r="G732" s="4" t="str">
        <f>HYPERLINK("http://141.218.60.56/~jnz1568/getInfo.php?workbook=03_02.xlsx&amp;sheet=A0&amp;row=732&amp;col=7&amp;number=73141000&amp;sourceID=15","73141000")</f>
        <v>73141000</v>
      </c>
      <c r="H732" s="4" t="str">
        <f>HYPERLINK("http://141.218.60.56/~jnz1568/getInfo.php?workbook=03_02.xlsx&amp;sheet=A0&amp;row=732&amp;col=8&amp;number=&amp;sourceID=15","")</f>
        <v/>
      </c>
      <c r="I732" s="4" t="str">
        <f>HYPERLINK("http://141.218.60.56/~jnz1568/getInfo.php?workbook=03_02.xlsx&amp;sheet=A0&amp;row=732&amp;col=9&amp;number=&amp;sourceID=15","")</f>
        <v/>
      </c>
      <c r="J732" s="4" t="str">
        <f>HYPERLINK("http://141.218.60.56/~jnz1568/getInfo.php?workbook=03_02.xlsx&amp;sheet=A0&amp;row=732&amp;col=10&amp;number=&amp;sourceID=15","")</f>
        <v/>
      </c>
      <c r="K732" s="4" t="str">
        <f>HYPERLINK("http://141.218.60.56/~jnz1568/getInfo.php?workbook=03_02.xlsx&amp;sheet=A0&amp;row=732&amp;col=11&amp;number=72900000&amp;sourceID=30","72900000")</f>
        <v>72900000</v>
      </c>
      <c r="L732" s="4" t="str">
        <f>HYPERLINK("http://141.218.60.56/~jnz1568/getInfo.php?workbook=03_02.xlsx&amp;sheet=A0&amp;row=732&amp;col=12&amp;number=&amp;sourceID=30","")</f>
        <v/>
      </c>
      <c r="M732" s="4" t="str">
        <f>HYPERLINK("http://141.218.60.56/~jnz1568/getInfo.php?workbook=03_02.xlsx&amp;sheet=A0&amp;row=732&amp;col=13&amp;number=&amp;sourceID=30","")</f>
        <v/>
      </c>
      <c r="N732" s="4" t="str">
        <f>HYPERLINK("http://141.218.60.56/~jnz1568/getInfo.php?workbook=03_02.xlsx&amp;sheet=A0&amp;row=732&amp;col=14&amp;number=0.001425&amp;sourceID=30","0.001425")</f>
        <v>0.001425</v>
      </c>
    </row>
    <row r="733" spans="1:14">
      <c r="A733" s="3">
        <v>3</v>
      </c>
      <c r="B733" s="3">
        <v>2</v>
      </c>
      <c r="C733" s="3">
        <v>43</v>
      </c>
      <c r="D733" s="3">
        <v>16</v>
      </c>
      <c r="E733" s="3">
        <f>((1/(INDEX(E0!J$4:J$52,C733,1)-INDEX(E0!J$4:J$52,D733,1))))*100000000</f>
        <v>0</v>
      </c>
      <c r="F733" s="4" t="str">
        <f>HYPERLINK("http://141.218.60.56/~jnz1568/getInfo.php?workbook=03_02.xlsx&amp;sheet=A0&amp;row=733&amp;col=6&amp;number=&amp;sourceID=27","")</f>
        <v/>
      </c>
      <c r="G733" s="4" t="str">
        <f>HYPERLINK("http://141.218.60.56/~jnz1568/getInfo.php?workbook=03_02.xlsx&amp;sheet=A0&amp;row=733&amp;col=7&amp;number=&amp;sourceID=15","")</f>
        <v/>
      </c>
      <c r="H733" s="4" t="str">
        <f>HYPERLINK("http://141.218.60.56/~jnz1568/getInfo.php?workbook=03_02.xlsx&amp;sheet=A0&amp;row=733&amp;col=8&amp;number=&amp;sourceID=15","")</f>
        <v/>
      </c>
      <c r="I733" s="4" t="str">
        <f>HYPERLINK("http://141.218.60.56/~jnz1568/getInfo.php?workbook=03_02.xlsx&amp;sheet=A0&amp;row=733&amp;col=9&amp;number=&amp;sourceID=15","")</f>
        <v/>
      </c>
      <c r="J733" s="4" t="str">
        <f>HYPERLINK("http://141.218.60.56/~jnz1568/getInfo.php?workbook=03_02.xlsx&amp;sheet=A0&amp;row=733&amp;col=10&amp;number=&amp;sourceID=15","")</f>
        <v/>
      </c>
      <c r="K733" s="4" t="str">
        <f>HYPERLINK("http://141.218.60.56/~jnz1568/getInfo.php?workbook=03_02.xlsx&amp;sheet=A0&amp;row=733&amp;col=11&amp;number=&amp;sourceID=30","")</f>
        <v/>
      </c>
      <c r="L733" s="4" t="str">
        <f>HYPERLINK("http://141.218.60.56/~jnz1568/getInfo.php?workbook=03_02.xlsx&amp;sheet=A0&amp;row=733&amp;col=12&amp;number=&amp;sourceID=30","")</f>
        <v/>
      </c>
      <c r="M733" s="4" t="str">
        <f>HYPERLINK("http://141.218.60.56/~jnz1568/getInfo.php?workbook=03_02.xlsx&amp;sheet=A0&amp;row=733&amp;col=13&amp;number=&amp;sourceID=30","")</f>
        <v/>
      </c>
      <c r="N733" s="4" t="str">
        <f>HYPERLINK("http://141.218.60.56/~jnz1568/getInfo.php?workbook=03_02.xlsx&amp;sheet=A0&amp;row=733&amp;col=14&amp;number=0.0003102&amp;sourceID=30","0.0003102")</f>
        <v>0.0003102</v>
      </c>
    </row>
    <row r="734" spans="1:14">
      <c r="A734" s="3">
        <v>3</v>
      </c>
      <c r="B734" s="3">
        <v>2</v>
      </c>
      <c r="C734" s="3">
        <v>43</v>
      </c>
      <c r="D734" s="3">
        <v>22</v>
      </c>
      <c r="E734" s="3">
        <f>((1/(INDEX(E0!J$4:J$52,C734,1)-INDEX(E0!J$4:J$52,D734,1))))*100000000</f>
        <v>0</v>
      </c>
      <c r="F734" s="4" t="str">
        <f>HYPERLINK("http://141.218.60.56/~jnz1568/getInfo.php?workbook=03_02.xlsx&amp;sheet=A0&amp;row=734&amp;col=6&amp;number=&amp;sourceID=27","")</f>
        <v/>
      </c>
      <c r="G734" s="4" t="str">
        <f>HYPERLINK("http://141.218.60.56/~jnz1568/getInfo.php?workbook=03_02.xlsx&amp;sheet=A0&amp;row=734&amp;col=7&amp;number=&amp;sourceID=15","")</f>
        <v/>
      </c>
      <c r="H734" s="4" t="str">
        <f>HYPERLINK("http://141.218.60.56/~jnz1568/getInfo.php?workbook=03_02.xlsx&amp;sheet=A0&amp;row=734&amp;col=8&amp;number=&amp;sourceID=15","")</f>
        <v/>
      </c>
      <c r="I734" s="4" t="str">
        <f>HYPERLINK("http://141.218.60.56/~jnz1568/getInfo.php?workbook=03_02.xlsx&amp;sheet=A0&amp;row=734&amp;col=9&amp;number=&amp;sourceID=15","")</f>
        <v/>
      </c>
      <c r="J734" s="4" t="str">
        <f>HYPERLINK("http://141.218.60.56/~jnz1568/getInfo.php?workbook=03_02.xlsx&amp;sheet=A0&amp;row=734&amp;col=10&amp;number=&amp;sourceID=15","")</f>
        <v/>
      </c>
      <c r="K734" s="4" t="str">
        <f>HYPERLINK("http://141.218.60.56/~jnz1568/getInfo.php?workbook=03_02.xlsx&amp;sheet=A0&amp;row=734&amp;col=11&amp;number=&amp;sourceID=30","")</f>
        <v/>
      </c>
      <c r="L734" s="4" t="str">
        <f>HYPERLINK("http://141.218.60.56/~jnz1568/getInfo.php?workbook=03_02.xlsx&amp;sheet=A0&amp;row=734&amp;col=12&amp;number=70.2&amp;sourceID=30","70.2")</f>
        <v>70.2</v>
      </c>
      <c r="M734" s="4" t="str">
        <f>HYPERLINK("http://141.218.60.56/~jnz1568/getInfo.php?workbook=03_02.xlsx&amp;sheet=A0&amp;row=734&amp;col=13&amp;number=&amp;sourceID=30","")</f>
        <v/>
      </c>
      <c r="N734" s="4" t="str">
        <f>HYPERLINK("http://141.218.60.56/~jnz1568/getInfo.php?workbook=03_02.xlsx&amp;sheet=A0&amp;row=734&amp;col=14&amp;number=&amp;sourceID=30","")</f>
        <v/>
      </c>
    </row>
    <row r="735" spans="1:14">
      <c r="A735" s="3">
        <v>3</v>
      </c>
      <c r="B735" s="3">
        <v>2</v>
      </c>
      <c r="C735" s="3">
        <v>43</v>
      </c>
      <c r="D735" s="3">
        <v>24</v>
      </c>
      <c r="E735" s="3">
        <f>((1/(INDEX(E0!J$4:J$52,C735,1)-INDEX(E0!J$4:J$52,D735,1))))*100000000</f>
        <v>0</v>
      </c>
      <c r="F735" s="4" t="str">
        <f>HYPERLINK("http://141.218.60.56/~jnz1568/getInfo.php?workbook=03_02.xlsx&amp;sheet=A0&amp;row=735&amp;col=6&amp;number=&amp;sourceID=27","")</f>
        <v/>
      </c>
      <c r="G735" s="4" t="str">
        <f>HYPERLINK("http://141.218.60.56/~jnz1568/getInfo.php?workbook=03_02.xlsx&amp;sheet=A0&amp;row=735&amp;col=7&amp;number=&amp;sourceID=15","")</f>
        <v/>
      </c>
      <c r="H735" s="4" t="str">
        <f>HYPERLINK("http://141.218.60.56/~jnz1568/getInfo.php?workbook=03_02.xlsx&amp;sheet=A0&amp;row=735&amp;col=8&amp;number=&amp;sourceID=15","")</f>
        <v/>
      </c>
      <c r="I735" s="4" t="str">
        <f>HYPERLINK("http://141.218.60.56/~jnz1568/getInfo.php?workbook=03_02.xlsx&amp;sheet=A0&amp;row=735&amp;col=9&amp;number=&amp;sourceID=15","")</f>
        <v/>
      </c>
      <c r="J735" s="4" t="str">
        <f>HYPERLINK("http://141.218.60.56/~jnz1568/getInfo.php?workbook=03_02.xlsx&amp;sheet=A0&amp;row=735&amp;col=10&amp;number=&amp;sourceID=15","")</f>
        <v/>
      </c>
      <c r="K735" s="4" t="str">
        <f>HYPERLINK("http://141.218.60.56/~jnz1568/getInfo.php?workbook=03_02.xlsx&amp;sheet=A0&amp;row=735&amp;col=11&amp;number=&amp;sourceID=30","")</f>
        <v/>
      </c>
      <c r="L735" s="4" t="str">
        <f>HYPERLINK("http://141.218.60.56/~jnz1568/getInfo.php?workbook=03_02.xlsx&amp;sheet=A0&amp;row=735&amp;col=12&amp;number=&amp;sourceID=30","")</f>
        <v/>
      </c>
      <c r="M735" s="4" t="str">
        <f>HYPERLINK("http://141.218.60.56/~jnz1568/getInfo.php?workbook=03_02.xlsx&amp;sheet=A0&amp;row=735&amp;col=13&amp;number=&amp;sourceID=30","")</f>
        <v/>
      </c>
      <c r="N735" s="4" t="str">
        <f>HYPERLINK("http://141.218.60.56/~jnz1568/getInfo.php?workbook=03_02.xlsx&amp;sheet=A0&amp;row=735&amp;col=14&amp;number=1.42e-06&amp;sourceID=30","1.42e-06")</f>
        <v>1.42e-06</v>
      </c>
    </row>
    <row r="736" spans="1:14">
      <c r="A736" s="3">
        <v>3</v>
      </c>
      <c r="B736" s="3">
        <v>2</v>
      </c>
      <c r="C736" s="3">
        <v>43</v>
      </c>
      <c r="D736" s="3">
        <v>25</v>
      </c>
      <c r="E736" s="3">
        <f>((1/(INDEX(E0!J$4:J$52,C736,1)-INDEX(E0!J$4:J$52,D736,1))))*100000000</f>
        <v>0</v>
      </c>
      <c r="F736" s="4" t="str">
        <f>HYPERLINK("http://141.218.60.56/~jnz1568/getInfo.php?workbook=03_02.xlsx&amp;sheet=A0&amp;row=736&amp;col=6&amp;number=&amp;sourceID=27","")</f>
        <v/>
      </c>
      <c r="G736" s="4" t="str">
        <f>HYPERLINK("http://141.218.60.56/~jnz1568/getInfo.php?workbook=03_02.xlsx&amp;sheet=A0&amp;row=736&amp;col=7&amp;number=41365000&amp;sourceID=15","41365000")</f>
        <v>41365000</v>
      </c>
      <c r="H736" s="4" t="str">
        <f>HYPERLINK("http://141.218.60.56/~jnz1568/getInfo.php?workbook=03_02.xlsx&amp;sheet=A0&amp;row=736&amp;col=8&amp;number=&amp;sourceID=15","")</f>
        <v/>
      </c>
      <c r="I736" s="4" t="str">
        <f>HYPERLINK("http://141.218.60.56/~jnz1568/getInfo.php?workbook=03_02.xlsx&amp;sheet=A0&amp;row=736&amp;col=9&amp;number=&amp;sourceID=15","")</f>
        <v/>
      </c>
      <c r="J736" s="4" t="str">
        <f>HYPERLINK("http://141.218.60.56/~jnz1568/getInfo.php?workbook=03_02.xlsx&amp;sheet=A0&amp;row=736&amp;col=10&amp;number=&amp;sourceID=15","")</f>
        <v/>
      </c>
      <c r="K736" s="4" t="str">
        <f>HYPERLINK("http://141.218.60.56/~jnz1568/getInfo.php?workbook=03_02.xlsx&amp;sheet=A0&amp;row=736&amp;col=11&amp;number=41350000&amp;sourceID=30","41350000")</f>
        <v>41350000</v>
      </c>
      <c r="L736" s="4" t="str">
        <f>HYPERLINK("http://141.218.60.56/~jnz1568/getInfo.php?workbook=03_02.xlsx&amp;sheet=A0&amp;row=736&amp;col=12&amp;number=&amp;sourceID=30","")</f>
        <v/>
      </c>
      <c r="M736" s="4" t="str">
        <f>HYPERLINK("http://141.218.60.56/~jnz1568/getInfo.php?workbook=03_02.xlsx&amp;sheet=A0&amp;row=736&amp;col=13&amp;number=&amp;sourceID=30","")</f>
        <v/>
      </c>
      <c r="N736" s="4" t="str">
        <f>HYPERLINK("http://141.218.60.56/~jnz1568/getInfo.php?workbook=03_02.xlsx&amp;sheet=A0&amp;row=736&amp;col=14&amp;number=8.106e-05&amp;sourceID=30","8.106e-05")</f>
        <v>8.106e-05</v>
      </c>
    </row>
    <row r="737" spans="1:14">
      <c r="A737" s="3">
        <v>3</v>
      </c>
      <c r="B737" s="3">
        <v>2</v>
      </c>
      <c r="C737" s="3">
        <v>43</v>
      </c>
      <c r="D737" s="3">
        <v>26</v>
      </c>
      <c r="E737" s="3">
        <f>((1/(INDEX(E0!J$4:J$52,C737,1)-INDEX(E0!J$4:J$52,D737,1))))*100000000</f>
        <v>0</v>
      </c>
      <c r="F737" s="4" t="str">
        <f>HYPERLINK("http://141.218.60.56/~jnz1568/getInfo.php?workbook=03_02.xlsx&amp;sheet=A0&amp;row=737&amp;col=6&amp;number=&amp;sourceID=27","")</f>
        <v/>
      </c>
      <c r="G737" s="4" t="str">
        <f>HYPERLINK("http://141.218.60.56/~jnz1568/getInfo.php?workbook=03_02.xlsx&amp;sheet=A0&amp;row=737&amp;col=7&amp;number=&amp;sourceID=15","")</f>
        <v/>
      </c>
      <c r="H737" s="4" t="str">
        <f>HYPERLINK("http://141.218.60.56/~jnz1568/getInfo.php?workbook=03_02.xlsx&amp;sheet=A0&amp;row=737&amp;col=8&amp;number=&amp;sourceID=15","")</f>
        <v/>
      </c>
      <c r="I737" s="4" t="str">
        <f>HYPERLINK("http://141.218.60.56/~jnz1568/getInfo.php?workbook=03_02.xlsx&amp;sheet=A0&amp;row=737&amp;col=9&amp;number=&amp;sourceID=15","")</f>
        <v/>
      </c>
      <c r="J737" s="4" t="str">
        <f>HYPERLINK("http://141.218.60.56/~jnz1568/getInfo.php?workbook=03_02.xlsx&amp;sheet=A0&amp;row=737&amp;col=10&amp;number=&amp;sourceID=15","")</f>
        <v/>
      </c>
      <c r="K737" s="4" t="str">
        <f>HYPERLINK("http://141.218.60.56/~jnz1568/getInfo.php?workbook=03_02.xlsx&amp;sheet=A0&amp;row=737&amp;col=11&amp;number=&amp;sourceID=30","")</f>
        <v/>
      </c>
      <c r="L737" s="4" t="str">
        <f>HYPERLINK("http://141.218.60.56/~jnz1568/getInfo.php?workbook=03_02.xlsx&amp;sheet=A0&amp;row=737&amp;col=12&amp;number=&amp;sourceID=30","")</f>
        <v/>
      </c>
      <c r="M737" s="4" t="str">
        <f>HYPERLINK("http://141.218.60.56/~jnz1568/getInfo.php?workbook=03_02.xlsx&amp;sheet=A0&amp;row=737&amp;col=13&amp;number=&amp;sourceID=30","")</f>
        <v/>
      </c>
      <c r="N737" s="4" t="str">
        <f>HYPERLINK("http://141.218.60.56/~jnz1568/getInfo.php?workbook=03_02.xlsx&amp;sheet=A0&amp;row=737&amp;col=14&amp;number=1.771e-05&amp;sourceID=30","1.771e-05")</f>
        <v>1.771e-05</v>
      </c>
    </row>
    <row r="738" spans="1:14">
      <c r="A738" s="3">
        <v>3</v>
      </c>
      <c r="B738" s="3">
        <v>2</v>
      </c>
      <c r="C738" s="3">
        <v>43</v>
      </c>
      <c r="D738" s="3">
        <v>27</v>
      </c>
      <c r="E738" s="3">
        <f>((1/(INDEX(E0!J$4:J$52,C738,1)-INDEX(E0!J$4:J$52,D738,1))))*100000000</f>
        <v>0</v>
      </c>
      <c r="F738" s="4" t="str">
        <f>HYPERLINK("http://141.218.60.56/~jnz1568/getInfo.php?workbook=03_02.xlsx&amp;sheet=A0&amp;row=738&amp;col=6&amp;number=&amp;sourceID=27","")</f>
        <v/>
      </c>
      <c r="G738" s="4" t="str">
        <f>HYPERLINK("http://141.218.60.56/~jnz1568/getInfo.php?workbook=03_02.xlsx&amp;sheet=A0&amp;row=738&amp;col=7&amp;number=&amp;sourceID=15","")</f>
        <v/>
      </c>
      <c r="H738" s="4" t="str">
        <f>HYPERLINK("http://141.218.60.56/~jnz1568/getInfo.php?workbook=03_02.xlsx&amp;sheet=A0&amp;row=738&amp;col=8&amp;number=&amp;sourceID=15","")</f>
        <v/>
      </c>
      <c r="I738" s="4" t="str">
        <f>HYPERLINK("http://141.218.60.56/~jnz1568/getInfo.php?workbook=03_02.xlsx&amp;sheet=A0&amp;row=738&amp;col=9&amp;number=&amp;sourceID=15","")</f>
        <v/>
      </c>
      <c r="J738" s="4" t="str">
        <f>HYPERLINK("http://141.218.60.56/~jnz1568/getInfo.php?workbook=03_02.xlsx&amp;sheet=A0&amp;row=738&amp;col=10&amp;number=&amp;sourceID=15","")</f>
        <v/>
      </c>
      <c r="K738" s="4" t="str">
        <f>HYPERLINK("http://141.218.60.56/~jnz1568/getInfo.php?workbook=03_02.xlsx&amp;sheet=A0&amp;row=738&amp;col=11&amp;number=&amp;sourceID=30","")</f>
        <v/>
      </c>
      <c r="L738" s="4" t="str">
        <f>HYPERLINK("http://141.218.60.56/~jnz1568/getInfo.php?workbook=03_02.xlsx&amp;sheet=A0&amp;row=738&amp;col=12&amp;number=0.0777&amp;sourceID=30","0.0777")</f>
        <v>0.0777</v>
      </c>
      <c r="M738" s="4" t="str">
        <f>HYPERLINK("http://141.218.60.56/~jnz1568/getInfo.php?workbook=03_02.xlsx&amp;sheet=A0&amp;row=738&amp;col=13&amp;number=&amp;sourceID=30","")</f>
        <v/>
      </c>
      <c r="N738" s="4" t="str">
        <f>HYPERLINK("http://141.218.60.56/~jnz1568/getInfo.php?workbook=03_02.xlsx&amp;sheet=A0&amp;row=738&amp;col=14&amp;number=&amp;sourceID=30","")</f>
        <v/>
      </c>
    </row>
    <row r="739" spans="1:14">
      <c r="A739" s="3">
        <v>3</v>
      </c>
      <c r="B739" s="3">
        <v>2</v>
      </c>
      <c r="C739" s="3">
        <v>43</v>
      </c>
      <c r="D739" s="3">
        <v>28</v>
      </c>
      <c r="E739" s="3">
        <f>((1/(INDEX(E0!J$4:J$52,C739,1)-INDEX(E0!J$4:J$52,D739,1))))*100000000</f>
        <v>0</v>
      </c>
      <c r="F739" s="4" t="str">
        <f>HYPERLINK("http://141.218.60.56/~jnz1568/getInfo.php?workbook=03_02.xlsx&amp;sheet=A0&amp;row=739&amp;col=6&amp;number=&amp;sourceID=27","")</f>
        <v/>
      </c>
      <c r="G739" s="4" t="str">
        <f>HYPERLINK("http://141.218.60.56/~jnz1568/getInfo.php?workbook=03_02.xlsx&amp;sheet=A0&amp;row=739&amp;col=7&amp;number=&amp;sourceID=15","")</f>
        <v/>
      </c>
      <c r="H739" s="4" t="str">
        <f>HYPERLINK("http://141.218.60.56/~jnz1568/getInfo.php?workbook=03_02.xlsx&amp;sheet=A0&amp;row=739&amp;col=8&amp;number=&amp;sourceID=15","")</f>
        <v/>
      </c>
      <c r="I739" s="4" t="str">
        <f>HYPERLINK("http://141.218.60.56/~jnz1568/getInfo.php?workbook=03_02.xlsx&amp;sheet=A0&amp;row=739&amp;col=9&amp;number=&amp;sourceID=15","")</f>
        <v/>
      </c>
      <c r="J739" s="4" t="str">
        <f>HYPERLINK("http://141.218.60.56/~jnz1568/getInfo.php?workbook=03_02.xlsx&amp;sheet=A0&amp;row=739&amp;col=10&amp;number=&amp;sourceID=15","")</f>
        <v/>
      </c>
      <c r="K739" s="4" t="str">
        <f>HYPERLINK("http://141.218.60.56/~jnz1568/getInfo.php?workbook=03_02.xlsx&amp;sheet=A0&amp;row=739&amp;col=11&amp;number=&amp;sourceID=30","")</f>
        <v/>
      </c>
      <c r="L739" s="4" t="str">
        <f>HYPERLINK("http://141.218.60.56/~jnz1568/getInfo.php?workbook=03_02.xlsx&amp;sheet=A0&amp;row=739&amp;col=12&amp;number=1.339&amp;sourceID=30","1.339")</f>
        <v>1.339</v>
      </c>
      <c r="M739" s="4" t="str">
        <f>HYPERLINK("http://141.218.60.56/~jnz1568/getInfo.php?workbook=03_02.xlsx&amp;sheet=A0&amp;row=739&amp;col=13&amp;number=2.471e-10&amp;sourceID=30","2.471e-10")</f>
        <v>2.471e-10</v>
      </c>
      <c r="N739" s="4" t="str">
        <f>HYPERLINK("http://141.218.60.56/~jnz1568/getInfo.php?workbook=03_02.xlsx&amp;sheet=A0&amp;row=739&amp;col=14&amp;number=&amp;sourceID=30","")</f>
        <v/>
      </c>
    </row>
    <row r="740" spans="1:14">
      <c r="A740" s="3">
        <v>3</v>
      </c>
      <c r="B740" s="3">
        <v>2</v>
      </c>
      <c r="C740" s="3">
        <v>43</v>
      </c>
      <c r="D740" s="3">
        <v>29</v>
      </c>
      <c r="E740" s="3">
        <f>((1/(INDEX(E0!J$4:J$52,C740,1)-INDEX(E0!J$4:J$52,D740,1))))*100000000</f>
        <v>0</v>
      </c>
      <c r="F740" s="4" t="str">
        <f>HYPERLINK("http://141.218.60.56/~jnz1568/getInfo.php?workbook=03_02.xlsx&amp;sheet=A0&amp;row=740&amp;col=6&amp;number=&amp;sourceID=27","")</f>
        <v/>
      </c>
      <c r="G740" s="4" t="str">
        <f>HYPERLINK("http://141.218.60.56/~jnz1568/getInfo.php?workbook=03_02.xlsx&amp;sheet=A0&amp;row=740&amp;col=7&amp;number=&amp;sourceID=15","")</f>
        <v/>
      </c>
      <c r="H740" s="4" t="str">
        <f>HYPERLINK("http://141.218.60.56/~jnz1568/getInfo.php?workbook=03_02.xlsx&amp;sheet=A0&amp;row=740&amp;col=8&amp;number=&amp;sourceID=15","")</f>
        <v/>
      </c>
      <c r="I740" s="4" t="str">
        <f>HYPERLINK("http://141.218.60.56/~jnz1568/getInfo.php?workbook=03_02.xlsx&amp;sheet=A0&amp;row=740&amp;col=9&amp;number=&amp;sourceID=15","")</f>
        <v/>
      </c>
      <c r="J740" s="4" t="str">
        <f>HYPERLINK("http://141.218.60.56/~jnz1568/getInfo.php?workbook=03_02.xlsx&amp;sheet=A0&amp;row=740&amp;col=10&amp;number=&amp;sourceID=15","")</f>
        <v/>
      </c>
      <c r="K740" s="4" t="str">
        <f>HYPERLINK("http://141.218.60.56/~jnz1568/getInfo.php?workbook=03_02.xlsx&amp;sheet=A0&amp;row=740&amp;col=11&amp;number=&amp;sourceID=30","")</f>
        <v/>
      </c>
      <c r="L740" s="4" t="str">
        <f>HYPERLINK("http://141.218.60.56/~jnz1568/getInfo.php?workbook=03_02.xlsx&amp;sheet=A0&amp;row=740&amp;col=12&amp;number=8.014&amp;sourceID=30","8.014")</f>
        <v>8.014</v>
      </c>
      <c r="M740" s="4" t="str">
        <f>HYPERLINK("http://141.218.60.56/~jnz1568/getInfo.php?workbook=03_02.xlsx&amp;sheet=A0&amp;row=740&amp;col=13&amp;number=3.009e-09&amp;sourceID=30","3.009e-09")</f>
        <v>3.009e-09</v>
      </c>
      <c r="N740" s="4" t="str">
        <f>HYPERLINK("http://141.218.60.56/~jnz1568/getInfo.php?workbook=03_02.xlsx&amp;sheet=A0&amp;row=740&amp;col=14&amp;number=&amp;sourceID=30","")</f>
        <v/>
      </c>
    </row>
    <row r="741" spans="1:14">
      <c r="A741" s="3">
        <v>3</v>
      </c>
      <c r="B741" s="3">
        <v>2</v>
      </c>
      <c r="C741" s="3">
        <v>43</v>
      </c>
      <c r="D741" s="3">
        <v>30</v>
      </c>
      <c r="E741" s="3">
        <f>((1/(INDEX(E0!J$4:J$52,C741,1)-INDEX(E0!J$4:J$52,D741,1))))*100000000</f>
        <v>0</v>
      </c>
      <c r="F741" s="4" t="str">
        <f>HYPERLINK("http://141.218.60.56/~jnz1568/getInfo.php?workbook=03_02.xlsx&amp;sheet=A0&amp;row=741&amp;col=6&amp;number=&amp;sourceID=27","")</f>
        <v/>
      </c>
      <c r="G741" s="4" t="str">
        <f>HYPERLINK("http://141.218.60.56/~jnz1568/getInfo.php?workbook=03_02.xlsx&amp;sheet=A0&amp;row=741&amp;col=7&amp;number=&amp;sourceID=15","")</f>
        <v/>
      </c>
      <c r="H741" s="4" t="str">
        <f>HYPERLINK("http://141.218.60.56/~jnz1568/getInfo.php?workbook=03_02.xlsx&amp;sheet=A0&amp;row=741&amp;col=8&amp;number=&amp;sourceID=15","")</f>
        <v/>
      </c>
      <c r="I741" s="4" t="str">
        <f>HYPERLINK("http://141.218.60.56/~jnz1568/getInfo.php?workbook=03_02.xlsx&amp;sheet=A0&amp;row=741&amp;col=9&amp;number=&amp;sourceID=15","")</f>
        <v/>
      </c>
      <c r="J741" s="4" t="str">
        <f>HYPERLINK("http://141.218.60.56/~jnz1568/getInfo.php?workbook=03_02.xlsx&amp;sheet=A0&amp;row=741&amp;col=10&amp;number=&amp;sourceID=15","")</f>
        <v/>
      </c>
      <c r="K741" s="4" t="str">
        <f>HYPERLINK("http://141.218.60.56/~jnz1568/getInfo.php?workbook=03_02.xlsx&amp;sheet=A0&amp;row=741&amp;col=11&amp;number=&amp;sourceID=30","")</f>
        <v/>
      </c>
      <c r="L741" s="4" t="str">
        <f>HYPERLINK("http://141.218.60.56/~jnz1568/getInfo.php?workbook=03_02.xlsx&amp;sheet=A0&amp;row=741&amp;col=12&amp;number=0.3612&amp;sourceID=30","0.3612")</f>
        <v>0.3612</v>
      </c>
      <c r="M741" s="4" t="str">
        <f>HYPERLINK("http://141.218.60.56/~jnz1568/getInfo.php?workbook=03_02.xlsx&amp;sheet=A0&amp;row=741&amp;col=13&amp;number=2.101e-10&amp;sourceID=30","2.101e-10")</f>
        <v>2.101e-10</v>
      </c>
      <c r="N741" s="4" t="str">
        <f>HYPERLINK("http://141.218.60.56/~jnz1568/getInfo.php?workbook=03_02.xlsx&amp;sheet=A0&amp;row=741&amp;col=14&amp;number=&amp;sourceID=30","")</f>
        <v/>
      </c>
    </row>
    <row r="742" spans="1:14">
      <c r="A742" s="3">
        <v>3</v>
      </c>
      <c r="B742" s="3">
        <v>2</v>
      </c>
      <c r="C742" s="3">
        <v>43</v>
      </c>
      <c r="D742" s="3">
        <v>36</v>
      </c>
      <c r="E742" s="3">
        <f>((1/(INDEX(E0!J$4:J$52,C742,1)-INDEX(E0!J$4:J$52,D742,1))))*100000000</f>
        <v>0</v>
      </c>
      <c r="F742" s="4" t="str">
        <f>HYPERLINK("http://141.218.60.56/~jnz1568/getInfo.php?workbook=03_02.xlsx&amp;sheet=A0&amp;row=742&amp;col=6&amp;number=&amp;sourceID=27","")</f>
        <v/>
      </c>
      <c r="G742" s="4" t="str">
        <f>HYPERLINK("http://141.218.60.56/~jnz1568/getInfo.php?workbook=03_02.xlsx&amp;sheet=A0&amp;row=742&amp;col=7&amp;number=&amp;sourceID=15","")</f>
        <v/>
      </c>
      <c r="H742" s="4" t="str">
        <f>HYPERLINK("http://141.218.60.56/~jnz1568/getInfo.php?workbook=03_02.xlsx&amp;sheet=A0&amp;row=742&amp;col=8&amp;number=&amp;sourceID=15","")</f>
        <v/>
      </c>
      <c r="I742" s="4" t="str">
        <f>HYPERLINK("http://141.218.60.56/~jnz1568/getInfo.php?workbook=03_02.xlsx&amp;sheet=A0&amp;row=742&amp;col=9&amp;number=&amp;sourceID=15","")</f>
        <v/>
      </c>
      <c r="J742" s="4" t="str">
        <f>HYPERLINK("http://141.218.60.56/~jnz1568/getInfo.php?workbook=03_02.xlsx&amp;sheet=A0&amp;row=742&amp;col=10&amp;number=&amp;sourceID=15","")</f>
        <v/>
      </c>
      <c r="K742" s="4" t="str">
        <f>HYPERLINK("http://141.218.60.56/~jnz1568/getInfo.php?workbook=03_02.xlsx&amp;sheet=A0&amp;row=742&amp;col=11&amp;number=&amp;sourceID=30","")</f>
        <v/>
      </c>
      <c r="L742" s="4" t="str">
        <f>HYPERLINK("http://141.218.60.56/~jnz1568/getInfo.php?workbook=03_02.xlsx&amp;sheet=A0&amp;row=742&amp;col=12&amp;number=1.063e-05&amp;sourceID=30","1.063e-05")</f>
        <v>1.063e-05</v>
      </c>
      <c r="M742" s="4" t="str">
        <f>HYPERLINK("http://141.218.60.56/~jnz1568/getInfo.php?workbook=03_02.xlsx&amp;sheet=A0&amp;row=742&amp;col=13&amp;number=&amp;sourceID=30","")</f>
        <v/>
      </c>
      <c r="N742" s="4" t="str">
        <f>HYPERLINK("http://141.218.60.56/~jnz1568/getInfo.php?workbook=03_02.xlsx&amp;sheet=A0&amp;row=742&amp;col=14&amp;number=&amp;sourceID=30","")</f>
        <v/>
      </c>
    </row>
    <row r="743" spans="1:14">
      <c r="A743" s="3">
        <v>3</v>
      </c>
      <c r="B743" s="3">
        <v>2</v>
      </c>
      <c r="C743" s="3">
        <v>43</v>
      </c>
      <c r="D743" s="3">
        <v>38</v>
      </c>
      <c r="E743" s="3">
        <f>((1/(INDEX(E0!J$4:J$52,C743,1)-INDEX(E0!J$4:J$52,D743,1))))*100000000</f>
        <v>0</v>
      </c>
      <c r="F743" s="4" t="str">
        <f>HYPERLINK("http://141.218.60.56/~jnz1568/getInfo.php?workbook=03_02.xlsx&amp;sheet=A0&amp;row=743&amp;col=6&amp;number=&amp;sourceID=27","")</f>
        <v/>
      </c>
      <c r="G743" s="4" t="str">
        <f>HYPERLINK("http://141.218.60.56/~jnz1568/getInfo.php?workbook=03_02.xlsx&amp;sheet=A0&amp;row=743&amp;col=7&amp;number=&amp;sourceID=15","")</f>
        <v/>
      </c>
      <c r="H743" s="4" t="str">
        <f>HYPERLINK("http://141.218.60.56/~jnz1568/getInfo.php?workbook=03_02.xlsx&amp;sheet=A0&amp;row=743&amp;col=8&amp;number=&amp;sourceID=15","")</f>
        <v/>
      </c>
      <c r="I743" s="4" t="str">
        <f>HYPERLINK("http://141.218.60.56/~jnz1568/getInfo.php?workbook=03_02.xlsx&amp;sheet=A0&amp;row=743&amp;col=9&amp;number=&amp;sourceID=15","")</f>
        <v/>
      </c>
      <c r="J743" s="4" t="str">
        <f>HYPERLINK("http://141.218.60.56/~jnz1568/getInfo.php?workbook=03_02.xlsx&amp;sheet=A0&amp;row=743&amp;col=10&amp;number=&amp;sourceID=15","")</f>
        <v/>
      </c>
      <c r="K743" s="4" t="str">
        <f>HYPERLINK("http://141.218.60.56/~jnz1568/getInfo.php?workbook=03_02.xlsx&amp;sheet=A0&amp;row=743&amp;col=11&amp;number=&amp;sourceID=30","")</f>
        <v/>
      </c>
      <c r="L743" s="4" t="str">
        <f>HYPERLINK("http://141.218.60.56/~jnz1568/getInfo.php?workbook=03_02.xlsx&amp;sheet=A0&amp;row=743&amp;col=12&amp;number=&amp;sourceID=30","")</f>
        <v/>
      </c>
      <c r="M743" s="4" t="str">
        <f>HYPERLINK("http://141.218.60.56/~jnz1568/getInfo.php?workbook=03_02.xlsx&amp;sheet=A0&amp;row=743&amp;col=13&amp;number=&amp;sourceID=30","")</f>
        <v/>
      </c>
      <c r="N743" s="4" t="str">
        <f>HYPERLINK("http://141.218.60.56/~jnz1568/getInfo.php?workbook=03_02.xlsx&amp;sheet=A0&amp;row=743&amp;col=14&amp;number=0&amp;sourceID=30","0")</f>
        <v>0</v>
      </c>
    </row>
    <row r="744" spans="1:14">
      <c r="A744" s="3">
        <v>3</v>
      </c>
      <c r="B744" s="3">
        <v>2</v>
      </c>
      <c r="C744" s="3">
        <v>43</v>
      </c>
      <c r="D744" s="3">
        <v>39</v>
      </c>
      <c r="E744" s="3">
        <f>((1/(INDEX(E0!J$4:J$52,C744,1)-INDEX(E0!J$4:J$52,D744,1))))*100000000</f>
        <v>0</v>
      </c>
      <c r="F744" s="4" t="str">
        <f>HYPERLINK("http://141.218.60.56/~jnz1568/getInfo.php?workbook=03_02.xlsx&amp;sheet=A0&amp;row=744&amp;col=6&amp;number=&amp;sourceID=27","")</f>
        <v/>
      </c>
      <c r="G744" s="4" t="str">
        <f>HYPERLINK("http://141.218.60.56/~jnz1568/getInfo.php?workbook=03_02.xlsx&amp;sheet=A0&amp;row=744&amp;col=7&amp;number=&amp;sourceID=15","")</f>
        <v/>
      </c>
      <c r="H744" s="4" t="str">
        <f>HYPERLINK("http://141.218.60.56/~jnz1568/getInfo.php?workbook=03_02.xlsx&amp;sheet=A0&amp;row=744&amp;col=8&amp;number=&amp;sourceID=15","")</f>
        <v/>
      </c>
      <c r="I744" s="4" t="str">
        <f>HYPERLINK("http://141.218.60.56/~jnz1568/getInfo.php?workbook=03_02.xlsx&amp;sheet=A0&amp;row=744&amp;col=9&amp;number=&amp;sourceID=15","")</f>
        <v/>
      </c>
      <c r="J744" s="4" t="str">
        <f>HYPERLINK("http://141.218.60.56/~jnz1568/getInfo.php?workbook=03_02.xlsx&amp;sheet=A0&amp;row=744&amp;col=10&amp;number=&amp;sourceID=15","")</f>
        <v/>
      </c>
      <c r="K744" s="4" t="str">
        <f>HYPERLINK("http://141.218.60.56/~jnz1568/getInfo.php?workbook=03_02.xlsx&amp;sheet=A0&amp;row=744&amp;col=11&amp;number=0.1439&amp;sourceID=30","0.1439")</f>
        <v>0.1439</v>
      </c>
      <c r="L744" s="4" t="str">
        <f>HYPERLINK("http://141.218.60.56/~jnz1568/getInfo.php?workbook=03_02.xlsx&amp;sheet=A0&amp;row=744&amp;col=12&amp;number=&amp;sourceID=30","")</f>
        <v/>
      </c>
      <c r="M744" s="4" t="str">
        <f>HYPERLINK("http://141.218.60.56/~jnz1568/getInfo.php?workbook=03_02.xlsx&amp;sheet=A0&amp;row=744&amp;col=13&amp;number=&amp;sourceID=30","")</f>
        <v/>
      </c>
      <c r="N744" s="4" t="str">
        <f>HYPERLINK("http://141.218.60.56/~jnz1568/getInfo.php?workbook=03_02.xlsx&amp;sheet=A0&amp;row=744&amp;col=14&amp;number=0&amp;sourceID=30","0")</f>
        <v>0</v>
      </c>
    </row>
    <row r="745" spans="1:14">
      <c r="A745" s="3">
        <v>3</v>
      </c>
      <c r="B745" s="3">
        <v>2</v>
      </c>
      <c r="C745" s="3">
        <v>44</v>
      </c>
      <c r="D745" s="3">
        <v>2</v>
      </c>
      <c r="E745" s="3"/>
      <c r="F745" s="4" t="str">
        <f>HYPERLINK("http://141.218.60.56/~jnz1568/getInfo.php?workbook=03_02.xlsx&amp;sheet=A0&amp;row=745&amp;col=6&amp;number=&amp;sourceID=27","")</f>
        <v/>
      </c>
      <c r="G745" s="4" t="str">
        <f>HYPERLINK("http://141.218.60.56/~jnz1568/getInfo.php?workbook=03_02.xlsx&amp;sheet=A0&amp;row=745&amp;col=7&amp;number=&amp;sourceID=15","")</f>
        <v/>
      </c>
      <c r="H745" s="4" t="str">
        <f>HYPERLINK("http://141.218.60.56/~jnz1568/getInfo.php?workbook=03_02.xlsx&amp;sheet=A0&amp;row=745&amp;col=8&amp;number=&amp;sourceID=15","")</f>
        <v/>
      </c>
      <c r="I745" s="4" t="str">
        <f>HYPERLINK("http://141.218.60.56/~jnz1568/getInfo.php?workbook=03_02.xlsx&amp;sheet=A0&amp;row=745&amp;col=9&amp;number=&amp;sourceID=15","")</f>
        <v/>
      </c>
      <c r="J745" s="4" t="str">
        <f>HYPERLINK("http://141.218.60.56/~jnz1568/getInfo.php?workbook=03_02.xlsx&amp;sheet=A0&amp;row=745&amp;col=10&amp;number=&amp;sourceID=15","")</f>
        <v/>
      </c>
      <c r="K745" s="4" t="str">
        <f>HYPERLINK("http://141.218.60.56/~jnz1568/getInfo.php?workbook=03_02.xlsx&amp;sheet=A0&amp;row=745&amp;col=11&amp;number=&amp;sourceID=30","")</f>
        <v/>
      </c>
      <c r="L745" s="4" t="str">
        <f>HYPERLINK("http://141.218.60.56/~jnz1568/getInfo.php?workbook=03_02.xlsx&amp;sheet=A0&amp;row=745&amp;col=12&amp;number=2.428e-06&amp;sourceID=30","2.428e-06")</f>
        <v>2.428e-06</v>
      </c>
      <c r="M745" s="4" t="str">
        <f>HYPERLINK("http://141.218.60.56/~jnz1568/getInfo.php?workbook=03_02.xlsx&amp;sheet=A0&amp;row=745&amp;col=13&amp;number=&amp;sourceID=30","")</f>
        <v/>
      </c>
      <c r="N745" s="4" t="str">
        <f>HYPERLINK("http://141.218.60.56/~jnz1568/getInfo.php?workbook=03_02.xlsx&amp;sheet=A0&amp;row=745&amp;col=14&amp;number=&amp;sourceID=30","")</f>
        <v/>
      </c>
    </row>
    <row r="746" spans="1:14">
      <c r="A746" s="3">
        <v>3</v>
      </c>
      <c r="B746" s="3">
        <v>2</v>
      </c>
      <c r="C746" s="3">
        <v>44</v>
      </c>
      <c r="D746" s="3">
        <v>4</v>
      </c>
      <c r="E746" s="3"/>
      <c r="F746" s="4" t="str">
        <f>HYPERLINK("http://141.218.60.56/~jnz1568/getInfo.php?workbook=03_02.xlsx&amp;sheet=A0&amp;row=746&amp;col=6&amp;number=&amp;sourceID=27","")</f>
        <v/>
      </c>
      <c r="G746" s="4" t="str">
        <f>HYPERLINK("http://141.218.60.56/~jnz1568/getInfo.php?workbook=03_02.xlsx&amp;sheet=A0&amp;row=746&amp;col=7&amp;number=&amp;sourceID=15","")</f>
        <v/>
      </c>
      <c r="H746" s="4" t="str">
        <f>HYPERLINK("http://141.218.60.56/~jnz1568/getInfo.php?workbook=03_02.xlsx&amp;sheet=A0&amp;row=746&amp;col=8&amp;number=&amp;sourceID=15","")</f>
        <v/>
      </c>
      <c r="I746" s="4" t="str">
        <f>HYPERLINK("http://141.218.60.56/~jnz1568/getInfo.php?workbook=03_02.xlsx&amp;sheet=A0&amp;row=746&amp;col=9&amp;number=&amp;sourceID=15","")</f>
        <v/>
      </c>
      <c r="J746" s="4" t="str">
        <f>HYPERLINK("http://141.218.60.56/~jnz1568/getInfo.php?workbook=03_02.xlsx&amp;sheet=A0&amp;row=746&amp;col=10&amp;number=&amp;sourceID=15","")</f>
        <v/>
      </c>
      <c r="K746" s="4" t="str">
        <f>HYPERLINK("http://141.218.60.56/~jnz1568/getInfo.php?workbook=03_02.xlsx&amp;sheet=A0&amp;row=746&amp;col=11&amp;number=&amp;sourceID=30","")</f>
        <v/>
      </c>
      <c r="L746" s="4" t="str">
        <f>HYPERLINK("http://141.218.60.56/~jnz1568/getInfo.php?workbook=03_02.xlsx&amp;sheet=A0&amp;row=746&amp;col=12&amp;number=&amp;sourceID=30","")</f>
        <v/>
      </c>
      <c r="M746" s="4" t="str">
        <f>HYPERLINK("http://141.218.60.56/~jnz1568/getInfo.php?workbook=03_02.xlsx&amp;sheet=A0&amp;row=746&amp;col=13&amp;number=&amp;sourceID=30","")</f>
        <v/>
      </c>
      <c r="N746" s="4" t="str">
        <f>HYPERLINK("http://141.218.60.56/~jnz1568/getInfo.php?workbook=03_02.xlsx&amp;sheet=A0&amp;row=746&amp;col=14&amp;number=1.08e-13&amp;sourceID=30","1.08e-13")</f>
        <v>1.08e-13</v>
      </c>
    </row>
    <row r="747" spans="1:14">
      <c r="A747" s="3">
        <v>3</v>
      </c>
      <c r="B747" s="3">
        <v>2</v>
      </c>
      <c r="C747" s="3">
        <v>44</v>
      </c>
      <c r="D747" s="3">
        <v>5</v>
      </c>
      <c r="E747" s="3"/>
      <c r="F747" s="4" t="str">
        <f>HYPERLINK("http://141.218.60.56/~jnz1568/getInfo.php?workbook=03_02.xlsx&amp;sheet=A0&amp;row=747&amp;col=6&amp;number=&amp;sourceID=27","")</f>
        <v/>
      </c>
      <c r="G747" s="4" t="str">
        <f>HYPERLINK("http://141.218.60.56/~jnz1568/getInfo.php?workbook=03_02.xlsx&amp;sheet=A0&amp;row=747&amp;col=7&amp;number=&amp;sourceID=15","")</f>
        <v/>
      </c>
      <c r="H747" s="4" t="str">
        <f>HYPERLINK("http://141.218.60.56/~jnz1568/getInfo.php?workbook=03_02.xlsx&amp;sheet=A0&amp;row=747&amp;col=8&amp;number=&amp;sourceID=15","")</f>
        <v/>
      </c>
      <c r="I747" s="4" t="str">
        <f>HYPERLINK("http://141.218.60.56/~jnz1568/getInfo.php?workbook=03_02.xlsx&amp;sheet=A0&amp;row=747&amp;col=9&amp;number=&amp;sourceID=15","")</f>
        <v/>
      </c>
      <c r="J747" s="4" t="str">
        <f>HYPERLINK("http://141.218.60.56/~jnz1568/getInfo.php?workbook=03_02.xlsx&amp;sheet=A0&amp;row=747&amp;col=10&amp;number=&amp;sourceID=15","")</f>
        <v/>
      </c>
      <c r="K747" s="4" t="str">
        <f>HYPERLINK("http://141.218.60.56/~jnz1568/getInfo.php?workbook=03_02.xlsx&amp;sheet=A0&amp;row=747&amp;col=11&amp;number=1.005e-06&amp;sourceID=30","1.005e-06")</f>
        <v>1.005e-06</v>
      </c>
      <c r="L747" s="4" t="str">
        <f>HYPERLINK("http://141.218.60.56/~jnz1568/getInfo.php?workbook=03_02.xlsx&amp;sheet=A0&amp;row=747&amp;col=12&amp;number=&amp;sourceID=30","")</f>
        <v/>
      </c>
      <c r="M747" s="4" t="str">
        <f>HYPERLINK("http://141.218.60.56/~jnz1568/getInfo.php?workbook=03_02.xlsx&amp;sheet=A0&amp;row=747&amp;col=13&amp;number=&amp;sourceID=30","")</f>
        <v/>
      </c>
      <c r="N747" s="4" t="str">
        <f>HYPERLINK("http://141.218.60.56/~jnz1568/getInfo.php?workbook=03_02.xlsx&amp;sheet=A0&amp;row=747&amp;col=14&amp;number=5.9e-14&amp;sourceID=30","5.9e-14")</f>
        <v>5.9e-14</v>
      </c>
    </row>
    <row r="748" spans="1:14">
      <c r="A748" s="3">
        <v>3</v>
      </c>
      <c r="B748" s="3">
        <v>2</v>
      </c>
      <c r="C748" s="3">
        <v>44</v>
      </c>
      <c r="D748" s="3">
        <v>7</v>
      </c>
      <c r="E748" s="3"/>
      <c r="F748" s="4" t="str">
        <f>HYPERLINK("http://141.218.60.56/~jnz1568/getInfo.php?workbook=03_02.xlsx&amp;sheet=A0&amp;row=748&amp;col=6&amp;number=&amp;sourceID=27","")</f>
        <v/>
      </c>
      <c r="G748" s="4" t="str">
        <f>HYPERLINK("http://141.218.60.56/~jnz1568/getInfo.php?workbook=03_02.xlsx&amp;sheet=A0&amp;row=748&amp;col=7&amp;number=&amp;sourceID=15","")</f>
        <v/>
      </c>
      <c r="H748" s="4" t="str">
        <f>HYPERLINK("http://141.218.60.56/~jnz1568/getInfo.php?workbook=03_02.xlsx&amp;sheet=A0&amp;row=748&amp;col=8&amp;number=&amp;sourceID=15","")</f>
        <v/>
      </c>
      <c r="I748" s="4" t="str">
        <f>HYPERLINK("http://141.218.60.56/~jnz1568/getInfo.php?workbook=03_02.xlsx&amp;sheet=A0&amp;row=748&amp;col=9&amp;number=&amp;sourceID=15","")</f>
        <v/>
      </c>
      <c r="J748" s="4" t="str">
        <f>HYPERLINK("http://141.218.60.56/~jnz1568/getInfo.php?workbook=03_02.xlsx&amp;sheet=A0&amp;row=748&amp;col=10&amp;number=&amp;sourceID=15","")</f>
        <v/>
      </c>
      <c r="K748" s="4" t="str">
        <f>HYPERLINK("http://141.218.60.56/~jnz1568/getInfo.php?workbook=03_02.xlsx&amp;sheet=A0&amp;row=748&amp;col=11&amp;number=&amp;sourceID=30","")</f>
        <v/>
      </c>
      <c r="L748" s="4" t="str">
        <f>HYPERLINK("http://141.218.60.56/~jnz1568/getInfo.php?workbook=03_02.xlsx&amp;sheet=A0&amp;row=748&amp;col=12&amp;number=&amp;sourceID=30","")</f>
        <v/>
      </c>
      <c r="M748" s="4" t="str">
        <f>HYPERLINK("http://141.218.60.56/~jnz1568/getInfo.php?workbook=03_02.xlsx&amp;sheet=A0&amp;row=748&amp;col=13&amp;number=&amp;sourceID=30","")</f>
        <v/>
      </c>
      <c r="N748" s="4" t="str">
        <f>HYPERLINK("http://141.218.60.56/~jnz1568/getInfo.php?workbook=03_02.xlsx&amp;sheet=A0&amp;row=748&amp;col=14&amp;number=1.85e-13&amp;sourceID=30","1.85e-13")</f>
        <v>1.85e-13</v>
      </c>
    </row>
    <row r="749" spans="1:14">
      <c r="A749" s="3">
        <v>3</v>
      </c>
      <c r="B749" s="3">
        <v>2</v>
      </c>
      <c r="C749" s="3">
        <v>44</v>
      </c>
      <c r="D749" s="3">
        <v>8</v>
      </c>
      <c r="E749" s="3"/>
      <c r="F749" s="4" t="str">
        <f>HYPERLINK("http://141.218.60.56/~jnz1568/getInfo.php?workbook=03_02.xlsx&amp;sheet=A0&amp;row=749&amp;col=6&amp;number=&amp;sourceID=27","")</f>
        <v/>
      </c>
      <c r="G749" s="4" t="str">
        <f>HYPERLINK("http://141.218.60.56/~jnz1568/getInfo.php?workbook=03_02.xlsx&amp;sheet=A0&amp;row=749&amp;col=7&amp;number=&amp;sourceID=15","")</f>
        <v/>
      </c>
      <c r="H749" s="4" t="str">
        <f>HYPERLINK("http://141.218.60.56/~jnz1568/getInfo.php?workbook=03_02.xlsx&amp;sheet=A0&amp;row=749&amp;col=8&amp;number=&amp;sourceID=15","")</f>
        <v/>
      </c>
      <c r="I749" s="4" t="str">
        <f>HYPERLINK("http://141.218.60.56/~jnz1568/getInfo.php?workbook=03_02.xlsx&amp;sheet=A0&amp;row=749&amp;col=9&amp;number=&amp;sourceID=15","")</f>
        <v/>
      </c>
      <c r="J749" s="4" t="str">
        <f>HYPERLINK("http://141.218.60.56/~jnz1568/getInfo.php?workbook=03_02.xlsx&amp;sheet=A0&amp;row=749&amp;col=10&amp;number=&amp;sourceID=15","")</f>
        <v/>
      </c>
      <c r="K749" s="4" t="str">
        <f>HYPERLINK("http://141.218.60.56/~jnz1568/getInfo.php?workbook=03_02.xlsx&amp;sheet=A0&amp;row=749&amp;col=11&amp;number=&amp;sourceID=30","")</f>
        <v/>
      </c>
      <c r="L749" s="4" t="str">
        <f>HYPERLINK("http://141.218.60.56/~jnz1568/getInfo.php?workbook=03_02.xlsx&amp;sheet=A0&amp;row=749&amp;col=12&amp;number=1.303e-07&amp;sourceID=30","1.303e-07")</f>
        <v>1.303e-07</v>
      </c>
      <c r="M749" s="4" t="str">
        <f>HYPERLINK("http://141.218.60.56/~jnz1568/getInfo.php?workbook=03_02.xlsx&amp;sheet=A0&amp;row=749&amp;col=13&amp;number=&amp;sourceID=30","")</f>
        <v/>
      </c>
      <c r="N749" s="4" t="str">
        <f>HYPERLINK("http://141.218.60.56/~jnz1568/getInfo.php?workbook=03_02.xlsx&amp;sheet=A0&amp;row=749&amp;col=14&amp;number=&amp;sourceID=30","")</f>
        <v/>
      </c>
    </row>
    <row r="750" spans="1:14">
      <c r="A750" s="3">
        <v>3</v>
      </c>
      <c r="B750" s="3">
        <v>2</v>
      </c>
      <c r="C750" s="3">
        <v>44</v>
      </c>
      <c r="D750" s="3">
        <v>10</v>
      </c>
      <c r="E750" s="3"/>
      <c r="F750" s="4" t="str">
        <f>HYPERLINK("http://141.218.60.56/~jnz1568/getInfo.php?workbook=03_02.xlsx&amp;sheet=A0&amp;row=750&amp;col=6&amp;number=&amp;sourceID=27","")</f>
        <v/>
      </c>
      <c r="G750" s="4" t="str">
        <f>HYPERLINK("http://141.218.60.56/~jnz1568/getInfo.php?workbook=03_02.xlsx&amp;sheet=A0&amp;row=750&amp;col=7&amp;number=&amp;sourceID=15","")</f>
        <v/>
      </c>
      <c r="H750" s="4" t="str">
        <f>HYPERLINK("http://141.218.60.56/~jnz1568/getInfo.php?workbook=03_02.xlsx&amp;sheet=A0&amp;row=750&amp;col=8&amp;number=&amp;sourceID=15","")</f>
        <v/>
      </c>
      <c r="I750" s="4" t="str">
        <f>HYPERLINK("http://141.218.60.56/~jnz1568/getInfo.php?workbook=03_02.xlsx&amp;sheet=A0&amp;row=750&amp;col=9&amp;number=&amp;sourceID=15","")</f>
        <v/>
      </c>
      <c r="J750" s="4" t="str">
        <f>HYPERLINK("http://141.218.60.56/~jnz1568/getInfo.php?workbook=03_02.xlsx&amp;sheet=A0&amp;row=750&amp;col=10&amp;number=&amp;sourceID=15","")</f>
        <v/>
      </c>
      <c r="K750" s="4" t="str">
        <f>HYPERLINK("http://141.218.60.56/~jnz1568/getInfo.php?workbook=03_02.xlsx&amp;sheet=A0&amp;row=750&amp;col=11&amp;number=&amp;sourceID=30","")</f>
        <v/>
      </c>
      <c r="L750" s="4" t="str">
        <f>HYPERLINK("http://141.218.60.56/~jnz1568/getInfo.php?workbook=03_02.xlsx&amp;sheet=A0&amp;row=750&amp;col=12&amp;number=&amp;sourceID=30","")</f>
        <v/>
      </c>
      <c r="M750" s="4" t="str">
        <f>HYPERLINK("http://141.218.60.56/~jnz1568/getInfo.php?workbook=03_02.xlsx&amp;sheet=A0&amp;row=750&amp;col=13&amp;number=&amp;sourceID=30","")</f>
        <v/>
      </c>
      <c r="N750" s="4" t="str">
        <f>HYPERLINK("http://141.218.60.56/~jnz1568/getInfo.php?workbook=03_02.xlsx&amp;sheet=A0&amp;row=750&amp;col=14&amp;number=3e-15&amp;sourceID=30","3e-15")</f>
        <v>3e-15</v>
      </c>
    </row>
    <row r="751" spans="1:14">
      <c r="A751" s="3">
        <v>3</v>
      </c>
      <c r="B751" s="3">
        <v>2</v>
      </c>
      <c r="C751" s="3">
        <v>44</v>
      </c>
      <c r="D751" s="3">
        <v>11</v>
      </c>
      <c r="E751" s="3"/>
      <c r="F751" s="4" t="str">
        <f>HYPERLINK("http://141.218.60.56/~jnz1568/getInfo.php?workbook=03_02.xlsx&amp;sheet=A0&amp;row=751&amp;col=6&amp;number=&amp;sourceID=27","")</f>
        <v/>
      </c>
      <c r="G751" s="4" t="str">
        <f>HYPERLINK("http://141.218.60.56/~jnz1568/getInfo.php?workbook=03_02.xlsx&amp;sheet=A0&amp;row=751&amp;col=7&amp;number=&amp;sourceID=15","")</f>
        <v/>
      </c>
      <c r="H751" s="4" t="str">
        <f>HYPERLINK("http://141.218.60.56/~jnz1568/getInfo.php?workbook=03_02.xlsx&amp;sheet=A0&amp;row=751&amp;col=8&amp;number=&amp;sourceID=15","")</f>
        <v/>
      </c>
      <c r="I751" s="4" t="str">
        <f>HYPERLINK("http://141.218.60.56/~jnz1568/getInfo.php?workbook=03_02.xlsx&amp;sheet=A0&amp;row=751&amp;col=9&amp;number=&amp;sourceID=15","")</f>
        <v/>
      </c>
      <c r="J751" s="4" t="str">
        <f>HYPERLINK("http://141.218.60.56/~jnz1568/getInfo.php?workbook=03_02.xlsx&amp;sheet=A0&amp;row=751&amp;col=10&amp;number=&amp;sourceID=15","")</f>
        <v/>
      </c>
      <c r="K751" s="4" t="str">
        <f>HYPERLINK("http://141.218.60.56/~jnz1568/getInfo.php?workbook=03_02.xlsx&amp;sheet=A0&amp;row=751&amp;col=11&amp;number=1.629e-06&amp;sourceID=30","1.629e-06")</f>
        <v>1.629e-06</v>
      </c>
      <c r="L751" s="4" t="str">
        <f>HYPERLINK("http://141.218.60.56/~jnz1568/getInfo.php?workbook=03_02.xlsx&amp;sheet=A0&amp;row=751&amp;col=12&amp;number=&amp;sourceID=30","")</f>
        <v/>
      </c>
      <c r="M751" s="4" t="str">
        <f>HYPERLINK("http://141.218.60.56/~jnz1568/getInfo.php?workbook=03_02.xlsx&amp;sheet=A0&amp;row=751&amp;col=13&amp;number=&amp;sourceID=30","")</f>
        <v/>
      </c>
      <c r="N751" s="4" t="str">
        <f>HYPERLINK("http://141.218.60.56/~jnz1568/getInfo.php?workbook=03_02.xlsx&amp;sheet=A0&amp;row=751&amp;col=14&amp;number=4e-15&amp;sourceID=30","4e-15")</f>
        <v>4e-15</v>
      </c>
    </row>
    <row r="752" spans="1:14">
      <c r="A752" s="3">
        <v>3</v>
      </c>
      <c r="B752" s="3">
        <v>2</v>
      </c>
      <c r="C752" s="3">
        <v>44</v>
      </c>
      <c r="D752" s="3">
        <v>13</v>
      </c>
      <c r="E752" s="3"/>
      <c r="F752" s="4" t="str">
        <f>HYPERLINK("http://141.218.60.56/~jnz1568/getInfo.php?workbook=03_02.xlsx&amp;sheet=A0&amp;row=752&amp;col=6&amp;number=&amp;sourceID=27","")</f>
        <v/>
      </c>
      <c r="G752" s="4" t="str">
        <f>HYPERLINK("http://141.218.60.56/~jnz1568/getInfo.php?workbook=03_02.xlsx&amp;sheet=A0&amp;row=752&amp;col=7&amp;number=&amp;sourceID=15","")</f>
        <v/>
      </c>
      <c r="H752" s="4" t="str">
        <f>HYPERLINK("http://141.218.60.56/~jnz1568/getInfo.php?workbook=03_02.xlsx&amp;sheet=A0&amp;row=752&amp;col=8&amp;number=&amp;sourceID=15","")</f>
        <v/>
      </c>
      <c r="I752" s="4" t="str">
        <f>HYPERLINK("http://141.218.60.56/~jnz1568/getInfo.php?workbook=03_02.xlsx&amp;sheet=A0&amp;row=752&amp;col=9&amp;number=&amp;sourceID=15","")</f>
        <v/>
      </c>
      <c r="J752" s="4" t="str">
        <f>HYPERLINK("http://141.218.60.56/~jnz1568/getInfo.php?workbook=03_02.xlsx&amp;sheet=A0&amp;row=752&amp;col=10&amp;number=&amp;sourceID=15","")</f>
        <v/>
      </c>
      <c r="K752" s="4" t="str">
        <f>HYPERLINK("http://141.218.60.56/~jnz1568/getInfo.php?workbook=03_02.xlsx&amp;sheet=A0&amp;row=752&amp;col=11&amp;number=&amp;sourceID=30","")</f>
        <v/>
      </c>
      <c r="L752" s="4" t="str">
        <f>HYPERLINK("http://141.218.60.56/~jnz1568/getInfo.php?workbook=03_02.xlsx&amp;sheet=A0&amp;row=752&amp;col=12&amp;number=159.3&amp;sourceID=30","159.3")</f>
        <v>159.3</v>
      </c>
      <c r="M752" s="4" t="str">
        <f>HYPERLINK("http://141.218.60.56/~jnz1568/getInfo.php?workbook=03_02.xlsx&amp;sheet=A0&amp;row=752&amp;col=13&amp;number=9.73e-10&amp;sourceID=30","9.73e-10")</f>
        <v>9.73e-10</v>
      </c>
      <c r="N752" s="4" t="str">
        <f>HYPERLINK("http://141.218.60.56/~jnz1568/getInfo.php?workbook=03_02.xlsx&amp;sheet=A0&amp;row=752&amp;col=14&amp;number=&amp;sourceID=30","")</f>
        <v/>
      </c>
    </row>
    <row r="753" spans="1:14">
      <c r="A753" s="3">
        <v>3</v>
      </c>
      <c r="B753" s="3">
        <v>2</v>
      </c>
      <c r="C753" s="3">
        <v>44</v>
      </c>
      <c r="D753" s="3">
        <v>14</v>
      </c>
      <c r="E753" s="3"/>
      <c r="F753" s="4" t="str">
        <f>HYPERLINK("http://141.218.60.56/~jnz1568/getInfo.php?workbook=03_02.xlsx&amp;sheet=A0&amp;row=753&amp;col=6&amp;number=&amp;sourceID=27","")</f>
        <v/>
      </c>
      <c r="G753" s="4" t="str">
        <f>HYPERLINK("http://141.218.60.56/~jnz1568/getInfo.php?workbook=03_02.xlsx&amp;sheet=A0&amp;row=753&amp;col=7&amp;number=&amp;sourceID=15","")</f>
        <v/>
      </c>
      <c r="H753" s="4" t="str">
        <f>HYPERLINK("http://141.218.60.56/~jnz1568/getInfo.php?workbook=03_02.xlsx&amp;sheet=A0&amp;row=753&amp;col=8&amp;number=&amp;sourceID=15","")</f>
        <v/>
      </c>
      <c r="I753" s="4" t="str">
        <f>HYPERLINK("http://141.218.60.56/~jnz1568/getInfo.php?workbook=03_02.xlsx&amp;sheet=A0&amp;row=753&amp;col=9&amp;number=&amp;sourceID=15","")</f>
        <v/>
      </c>
      <c r="J753" s="4" t="str">
        <f>HYPERLINK("http://141.218.60.56/~jnz1568/getInfo.php?workbook=03_02.xlsx&amp;sheet=A0&amp;row=753&amp;col=10&amp;number=&amp;sourceID=15","")</f>
        <v/>
      </c>
      <c r="K753" s="4" t="str">
        <f>HYPERLINK("http://141.218.60.56/~jnz1568/getInfo.php?workbook=03_02.xlsx&amp;sheet=A0&amp;row=753&amp;col=11&amp;number=&amp;sourceID=30","")</f>
        <v/>
      </c>
      <c r="L753" s="4" t="str">
        <f>HYPERLINK("http://141.218.60.56/~jnz1568/getInfo.php?workbook=03_02.xlsx&amp;sheet=A0&amp;row=753&amp;col=12&amp;number=10.62&amp;sourceID=30","10.62")</f>
        <v>10.62</v>
      </c>
      <c r="M753" s="4" t="str">
        <f>HYPERLINK("http://141.218.60.56/~jnz1568/getInfo.php?workbook=03_02.xlsx&amp;sheet=A0&amp;row=753&amp;col=13&amp;number=8.277e-10&amp;sourceID=30","8.277e-10")</f>
        <v>8.277e-10</v>
      </c>
      <c r="N753" s="4" t="str">
        <f>HYPERLINK("http://141.218.60.56/~jnz1568/getInfo.php?workbook=03_02.xlsx&amp;sheet=A0&amp;row=753&amp;col=14&amp;number=&amp;sourceID=30","")</f>
        <v/>
      </c>
    </row>
    <row r="754" spans="1:14">
      <c r="A754" s="3">
        <v>3</v>
      </c>
      <c r="B754" s="3">
        <v>2</v>
      </c>
      <c r="C754" s="3">
        <v>44</v>
      </c>
      <c r="D754" s="3">
        <v>15</v>
      </c>
      <c r="E754" s="3"/>
      <c r="F754" s="4" t="str">
        <f>HYPERLINK("http://141.218.60.56/~jnz1568/getInfo.php?workbook=03_02.xlsx&amp;sheet=A0&amp;row=754&amp;col=6&amp;number=&amp;sourceID=27","")</f>
        <v/>
      </c>
      <c r="G754" s="4" t="str">
        <f>HYPERLINK("http://141.218.60.56/~jnz1568/getInfo.php?workbook=03_02.xlsx&amp;sheet=A0&amp;row=754&amp;col=7&amp;number=&amp;sourceID=15","")</f>
        <v/>
      </c>
      <c r="H754" s="4" t="str">
        <f>HYPERLINK("http://141.218.60.56/~jnz1568/getInfo.php?workbook=03_02.xlsx&amp;sheet=A0&amp;row=754&amp;col=8&amp;number=&amp;sourceID=15","")</f>
        <v/>
      </c>
      <c r="I754" s="4" t="str">
        <f>HYPERLINK("http://141.218.60.56/~jnz1568/getInfo.php?workbook=03_02.xlsx&amp;sheet=A0&amp;row=754&amp;col=9&amp;number=&amp;sourceID=15","")</f>
        <v/>
      </c>
      <c r="J754" s="4" t="str">
        <f>HYPERLINK("http://141.218.60.56/~jnz1568/getInfo.php?workbook=03_02.xlsx&amp;sheet=A0&amp;row=754&amp;col=10&amp;number=&amp;sourceID=15","")</f>
        <v/>
      </c>
      <c r="K754" s="4" t="str">
        <f>HYPERLINK("http://141.218.60.56/~jnz1568/getInfo.php?workbook=03_02.xlsx&amp;sheet=A0&amp;row=754&amp;col=11&amp;number=&amp;sourceID=30","")</f>
        <v/>
      </c>
      <c r="L754" s="4" t="str">
        <f>HYPERLINK("http://141.218.60.56/~jnz1568/getInfo.php?workbook=03_02.xlsx&amp;sheet=A0&amp;row=754&amp;col=12&amp;number=573.6&amp;sourceID=30","573.6")</f>
        <v>573.6</v>
      </c>
      <c r="M754" s="4" t="str">
        <f>HYPERLINK("http://141.218.60.56/~jnz1568/getInfo.php?workbook=03_02.xlsx&amp;sheet=A0&amp;row=754&amp;col=13&amp;number=&amp;sourceID=30","")</f>
        <v/>
      </c>
      <c r="N754" s="4" t="str">
        <f>HYPERLINK("http://141.218.60.56/~jnz1568/getInfo.php?workbook=03_02.xlsx&amp;sheet=A0&amp;row=754&amp;col=14&amp;number=&amp;sourceID=30","")</f>
        <v/>
      </c>
    </row>
    <row r="755" spans="1:14">
      <c r="A755" s="3">
        <v>3</v>
      </c>
      <c r="B755" s="3">
        <v>2</v>
      </c>
      <c r="C755" s="3">
        <v>44</v>
      </c>
      <c r="D755" s="3">
        <v>16</v>
      </c>
      <c r="E755" s="3"/>
      <c r="F755" s="4" t="str">
        <f>HYPERLINK("http://141.218.60.56/~jnz1568/getInfo.php?workbook=03_02.xlsx&amp;sheet=A0&amp;row=755&amp;col=6&amp;number=&amp;sourceID=27","")</f>
        <v/>
      </c>
      <c r="G755" s="4" t="str">
        <f>HYPERLINK("http://141.218.60.56/~jnz1568/getInfo.php?workbook=03_02.xlsx&amp;sheet=A0&amp;row=755&amp;col=7&amp;number=&amp;sourceID=15","")</f>
        <v/>
      </c>
      <c r="H755" s="4" t="str">
        <f>HYPERLINK("http://141.218.60.56/~jnz1568/getInfo.php?workbook=03_02.xlsx&amp;sheet=A0&amp;row=755&amp;col=8&amp;number=&amp;sourceID=15","")</f>
        <v/>
      </c>
      <c r="I755" s="4" t="str">
        <f>HYPERLINK("http://141.218.60.56/~jnz1568/getInfo.php?workbook=03_02.xlsx&amp;sheet=A0&amp;row=755&amp;col=9&amp;number=&amp;sourceID=15","")</f>
        <v/>
      </c>
      <c r="J755" s="4" t="str">
        <f>HYPERLINK("http://141.218.60.56/~jnz1568/getInfo.php?workbook=03_02.xlsx&amp;sheet=A0&amp;row=755&amp;col=10&amp;number=&amp;sourceID=15","")</f>
        <v/>
      </c>
      <c r="K755" s="4" t="str">
        <f>HYPERLINK("http://141.218.60.56/~jnz1568/getInfo.php?workbook=03_02.xlsx&amp;sheet=A0&amp;row=755&amp;col=11&amp;number=&amp;sourceID=30","")</f>
        <v/>
      </c>
      <c r="L755" s="4" t="str">
        <f>HYPERLINK("http://141.218.60.56/~jnz1568/getInfo.php?workbook=03_02.xlsx&amp;sheet=A0&amp;row=755&amp;col=12&amp;number=0.02755&amp;sourceID=30","0.02755")</f>
        <v>0.02755</v>
      </c>
      <c r="M755" s="4" t="str">
        <f>HYPERLINK("http://141.218.60.56/~jnz1568/getInfo.php?workbook=03_02.xlsx&amp;sheet=A0&amp;row=755&amp;col=13&amp;number=8.372e-10&amp;sourceID=30","8.372e-10")</f>
        <v>8.372e-10</v>
      </c>
      <c r="N755" s="4" t="str">
        <f>HYPERLINK("http://141.218.60.56/~jnz1568/getInfo.php?workbook=03_02.xlsx&amp;sheet=A0&amp;row=755&amp;col=14&amp;number=&amp;sourceID=30","")</f>
        <v/>
      </c>
    </row>
    <row r="756" spans="1:14">
      <c r="A756" s="3">
        <v>3</v>
      </c>
      <c r="B756" s="3">
        <v>2</v>
      </c>
      <c r="C756" s="3">
        <v>44</v>
      </c>
      <c r="D756" s="3">
        <v>17</v>
      </c>
      <c r="E756" s="3"/>
      <c r="F756" s="4" t="str">
        <f>HYPERLINK("http://141.218.60.56/~jnz1568/getInfo.php?workbook=03_02.xlsx&amp;sheet=A0&amp;row=756&amp;col=6&amp;number=&amp;sourceID=27","")</f>
        <v/>
      </c>
      <c r="G756" s="4" t="str">
        <f>HYPERLINK("http://141.218.60.56/~jnz1568/getInfo.php?workbook=03_02.xlsx&amp;sheet=A0&amp;row=756&amp;col=7&amp;number=&amp;sourceID=15","")</f>
        <v/>
      </c>
      <c r="H756" s="4" t="str">
        <f>HYPERLINK("http://141.218.60.56/~jnz1568/getInfo.php?workbook=03_02.xlsx&amp;sheet=A0&amp;row=756&amp;col=8&amp;number=&amp;sourceID=15","")</f>
        <v/>
      </c>
      <c r="I756" s="4" t="str">
        <f>HYPERLINK("http://141.218.60.56/~jnz1568/getInfo.php?workbook=03_02.xlsx&amp;sheet=A0&amp;row=756&amp;col=9&amp;number=&amp;sourceID=15","")</f>
        <v/>
      </c>
      <c r="J756" s="4" t="str">
        <f>HYPERLINK("http://141.218.60.56/~jnz1568/getInfo.php?workbook=03_02.xlsx&amp;sheet=A0&amp;row=756&amp;col=10&amp;number=&amp;sourceID=15","")</f>
        <v/>
      </c>
      <c r="K756" s="4" t="str">
        <f>HYPERLINK("http://141.218.60.56/~jnz1568/getInfo.php?workbook=03_02.xlsx&amp;sheet=A0&amp;row=756&amp;col=11&amp;number=&amp;sourceID=30","")</f>
        <v/>
      </c>
      <c r="L756" s="4" t="str">
        <f>HYPERLINK("http://141.218.60.56/~jnz1568/getInfo.php?workbook=03_02.xlsx&amp;sheet=A0&amp;row=756&amp;col=12&amp;number=&amp;sourceID=30","")</f>
        <v/>
      </c>
      <c r="M756" s="4" t="str">
        <f>HYPERLINK("http://141.218.60.56/~jnz1568/getInfo.php?workbook=03_02.xlsx&amp;sheet=A0&amp;row=756&amp;col=13&amp;number=&amp;sourceID=30","")</f>
        <v/>
      </c>
      <c r="N756" s="4" t="str">
        <f>HYPERLINK("http://141.218.60.56/~jnz1568/getInfo.php?workbook=03_02.xlsx&amp;sheet=A0&amp;row=756&amp;col=14&amp;number=1e-15&amp;sourceID=30","1e-15")</f>
        <v>1e-15</v>
      </c>
    </row>
    <row r="757" spans="1:14">
      <c r="A757" s="3">
        <v>3</v>
      </c>
      <c r="B757" s="3">
        <v>2</v>
      </c>
      <c r="C757" s="3">
        <v>44</v>
      </c>
      <c r="D757" s="3">
        <v>18</v>
      </c>
      <c r="E757" s="3"/>
      <c r="F757" s="4" t="str">
        <f>HYPERLINK("http://141.218.60.56/~jnz1568/getInfo.php?workbook=03_02.xlsx&amp;sheet=A0&amp;row=757&amp;col=6&amp;number=&amp;sourceID=27","")</f>
        <v/>
      </c>
      <c r="G757" s="4" t="str">
        <f>HYPERLINK("http://141.218.60.56/~jnz1568/getInfo.php?workbook=03_02.xlsx&amp;sheet=A0&amp;row=757&amp;col=7&amp;number=&amp;sourceID=15","")</f>
        <v/>
      </c>
      <c r="H757" s="4" t="str">
        <f>HYPERLINK("http://141.218.60.56/~jnz1568/getInfo.php?workbook=03_02.xlsx&amp;sheet=A0&amp;row=757&amp;col=8&amp;number=&amp;sourceID=15","")</f>
        <v/>
      </c>
      <c r="I757" s="4" t="str">
        <f>HYPERLINK("http://141.218.60.56/~jnz1568/getInfo.php?workbook=03_02.xlsx&amp;sheet=A0&amp;row=757&amp;col=9&amp;number=&amp;sourceID=15","")</f>
        <v/>
      </c>
      <c r="J757" s="4" t="str">
        <f>HYPERLINK("http://141.218.60.56/~jnz1568/getInfo.php?workbook=03_02.xlsx&amp;sheet=A0&amp;row=757&amp;col=10&amp;number=&amp;sourceID=15","")</f>
        <v/>
      </c>
      <c r="K757" s="4" t="str">
        <f>HYPERLINK("http://141.218.60.56/~jnz1568/getInfo.php?workbook=03_02.xlsx&amp;sheet=A0&amp;row=757&amp;col=11&amp;number=&amp;sourceID=30","")</f>
        <v/>
      </c>
      <c r="L757" s="4" t="str">
        <f>HYPERLINK("http://141.218.60.56/~jnz1568/getInfo.php?workbook=03_02.xlsx&amp;sheet=A0&amp;row=757&amp;col=12&amp;number=2.027e-08&amp;sourceID=30","2.027e-08")</f>
        <v>2.027e-08</v>
      </c>
      <c r="M757" s="4" t="str">
        <f>HYPERLINK("http://141.218.60.56/~jnz1568/getInfo.php?workbook=03_02.xlsx&amp;sheet=A0&amp;row=757&amp;col=13&amp;number=&amp;sourceID=30","")</f>
        <v/>
      </c>
      <c r="N757" s="4" t="str">
        <f>HYPERLINK("http://141.218.60.56/~jnz1568/getInfo.php?workbook=03_02.xlsx&amp;sheet=A0&amp;row=757&amp;col=14&amp;number=&amp;sourceID=30","")</f>
        <v/>
      </c>
    </row>
    <row r="758" spans="1:14">
      <c r="A758" s="3">
        <v>3</v>
      </c>
      <c r="B758" s="3">
        <v>2</v>
      </c>
      <c r="C758" s="3">
        <v>44</v>
      </c>
      <c r="D758" s="3">
        <v>21</v>
      </c>
      <c r="E758" s="3"/>
      <c r="F758" s="4" t="str">
        <f>HYPERLINK("http://141.218.60.56/~jnz1568/getInfo.php?workbook=03_02.xlsx&amp;sheet=A0&amp;row=758&amp;col=6&amp;number=&amp;sourceID=27","")</f>
        <v/>
      </c>
      <c r="G758" s="4" t="str">
        <f>HYPERLINK("http://141.218.60.56/~jnz1568/getInfo.php?workbook=03_02.xlsx&amp;sheet=A0&amp;row=758&amp;col=7&amp;number=&amp;sourceID=15","")</f>
        <v/>
      </c>
      <c r="H758" s="4" t="str">
        <f>HYPERLINK("http://141.218.60.56/~jnz1568/getInfo.php?workbook=03_02.xlsx&amp;sheet=A0&amp;row=758&amp;col=8&amp;number=&amp;sourceID=15","")</f>
        <v/>
      </c>
      <c r="I758" s="4" t="str">
        <f>HYPERLINK("http://141.218.60.56/~jnz1568/getInfo.php?workbook=03_02.xlsx&amp;sheet=A0&amp;row=758&amp;col=9&amp;number=&amp;sourceID=15","")</f>
        <v/>
      </c>
      <c r="J758" s="4" t="str">
        <f>HYPERLINK("http://141.218.60.56/~jnz1568/getInfo.php?workbook=03_02.xlsx&amp;sheet=A0&amp;row=758&amp;col=10&amp;number=&amp;sourceID=15","")</f>
        <v/>
      </c>
      <c r="K758" s="4" t="str">
        <f>HYPERLINK("http://141.218.60.56/~jnz1568/getInfo.php?workbook=03_02.xlsx&amp;sheet=A0&amp;row=758&amp;col=11&amp;number=&amp;sourceID=30","")</f>
        <v/>
      </c>
      <c r="L758" s="4" t="str">
        <f>HYPERLINK("http://141.218.60.56/~jnz1568/getInfo.php?workbook=03_02.xlsx&amp;sheet=A0&amp;row=758&amp;col=12&amp;number=&amp;sourceID=30","")</f>
        <v/>
      </c>
      <c r="M758" s="4" t="str">
        <f>HYPERLINK("http://141.218.60.56/~jnz1568/getInfo.php?workbook=03_02.xlsx&amp;sheet=A0&amp;row=758&amp;col=13&amp;number=&amp;sourceID=30","")</f>
        <v/>
      </c>
      <c r="N758" s="4" t="str">
        <f>HYPERLINK("http://141.218.60.56/~jnz1568/getInfo.php?workbook=03_02.xlsx&amp;sheet=A0&amp;row=758&amp;col=14&amp;number=0&amp;sourceID=30","0")</f>
        <v>0</v>
      </c>
    </row>
    <row r="759" spans="1:14">
      <c r="A759" s="3">
        <v>3</v>
      </c>
      <c r="B759" s="3">
        <v>2</v>
      </c>
      <c r="C759" s="3">
        <v>44</v>
      </c>
      <c r="D759" s="3">
        <v>22</v>
      </c>
      <c r="E759" s="3"/>
      <c r="F759" s="4" t="str">
        <f>HYPERLINK("http://141.218.60.56/~jnz1568/getInfo.php?workbook=03_02.xlsx&amp;sheet=A0&amp;row=759&amp;col=6&amp;number=&amp;sourceID=27","")</f>
        <v/>
      </c>
      <c r="G759" s="4" t="str">
        <f>HYPERLINK("http://141.218.60.56/~jnz1568/getInfo.php?workbook=03_02.xlsx&amp;sheet=A0&amp;row=759&amp;col=7&amp;number=&amp;sourceID=15","")</f>
        <v/>
      </c>
      <c r="H759" s="4" t="str">
        <f>HYPERLINK("http://141.218.60.56/~jnz1568/getInfo.php?workbook=03_02.xlsx&amp;sheet=A0&amp;row=759&amp;col=8&amp;number=&amp;sourceID=15","")</f>
        <v/>
      </c>
      <c r="I759" s="4" t="str">
        <f>HYPERLINK("http://141.218.60.56/~jnz1568/getInfo.php?workbook=03_02.xlsx&amp;sheet=A0&amp;row=759&amp;col=9&amp;number=&amp;sourceID=15","")</f>
        <v/>
      </c>
      <c r="J759" s="4" t="str">
        <f>HYPERLINK("http://141.218.60.56/~jnz1568/getInfo.php?workbook=03_02.xlsx&amp;sheet=A0&amp;row=759&amp;col=10&amp;number=&amp;sourceID=15","")</f>
        <v/>
      </c>
      <c r="K759" s="4" t="str">
        <f>HYPERLINK("http://141.218.60.56/~jnz1568/getInfo.php?workbook=03_02.xlsx&amp;sheet=A0&amp;row=759&amp;col=11&amp;number=0.000274&amp;sourceID=30","0.000274")</f>
        <v>0.000274</v>
      </c>
      <c r="L759" s="4" t="str">
        <f>HYPERLINK("http://141.218.60.56/~jnz1568/getInfo.php?workbook=03_02.xlsx&amp;sheet=A0&amp;row=759&amp;col=12&amp;number=&amp;sourceID=30","")</f>
        <v/>
      </c>
      <c r="M759" s="4" t="str">
        <f>HYPERLINK("http://141.218.60.56/~jnz1568/getInfo.php?workbook=03_02.xlsx&amp;sheet=A0&amp;row=759&amp;col=13&amp;number=&amp;sourceID=30","")</f>
        <v/>
      </c>
      <c r="N759" s="4" t="str">
        <f>HYPERLINK("http://141.218.60.56/~jnz1568/getInfo.php?workbook=03_02.xlsx&amp;sheet=A0&amp;row=759&amp;col=14&amp;number=0&amp;sourceID=30","0")</f>
        <v>0</v>
      </c>
    </row>
    <row r="760" spans="1:14">
      <c r="A760" s="3">
        <v>3</v>
      </c>
      <c r="B760" s="3">
        <v>2</v>
      </c>
      <c r="C760" s="3">
        <v>44</v>
      </c>
      <c r="D760" s="3">
        <v>23</v>
      </c>
      <c r="E760" s="3"/>
      <c r="F760" s="4" t="str">
        <f>HYPERLINK("http://141.218.60.56/~jnz1568/getInfo.php?workbook=03_02.xlsx&amp;sheet=A0&amp;row=760&amp;col=6&amp;number=&amp;sourceID=27","")</f>
        <v/>
      </c>
      <c r="G760" s="4" t="str">
        <f>HYPERLINK("http://141.218.60.56/~jnz1568/getInfo.php?workbook=03_02.xlsx&amp;sheet=A0&amp;row=760&amp;col=7&amp;number=&amp;sourceID=15","")</f>
        <v/>
      </c>
      <c r="H760" s="4" t="str">
        <f>HYPERLINK("http://141.218.60.56/~jnz1568/getInfo.php?workbook=03_02.xlsx&amp;sheet=A0&amp;row=760&amp;col=8&amp;number=&amp;sourceID=15","")</f>
        <v/>
      </c>
      <c r="I760" s="4" t="str">
        <f>HYPERLINK("http://141.218.60.56/~jnz1568/getInfo.php?workbook=03_02.xlsx&amp;sheet=A0&amp;row=760&amp;col=9&amp;number=&amp;sourceID=15","")</f>
        <v/>
      </c>
      <c r="J760" s="4" t="str">
        <f>HYPERLINK("http://141.218.60.56/~jnz1568/getInfo.php?workbook=03_02.xlsx&amp;sheet=A0&amp;row=760&amp;col=10&amp;number=&amp;sourceID=15","")</f>
        <v/>
      </c>
      <c r="K760" s="4" t="str">
        <f>HYPERLINK("http://141.218.60.56/~jnz1568/getInfo.php?workbook=03_02.xlsx&amp;sheet=A0&amp;row=760&amp;col=11&amp;number=&amp;sourceID=30","")</f>
        <v/>
      </c>
      <c r="L760" s="4" t="str">
        <f>HYPERLINK("http://141.218.60.56/~jnz1568/getInfo.php?workbook=03_02.xlsx&amp;sheet=A0&amp;row=760&amp;col=12&amp;number=49.63&amp;sourceID=30","49.63")</f>
        <v>49.63</v>
      </c>
      <c r="M760" s="4" t="str">
        <f>HYPERLINK("http://141.218.60.56/~jnz1568/getInfo.php?workbook=03_02.xlsx&amp;sheet=A0&amp;row=760&amp;col=13&amp;number=&amp;sourceID=30","")</f>
        <v/>
      </c>
      <c r="N760" s="4" t="str">
        <f>HYPERLINK("http://141.218.60.56/~jnz1568/getInfo.php?workbook=03_02.xlsx&amp;sheet=A0&amp;row=760&amp;col=14&amp;number=&amp;sourceID=30","")</f>
        <v/>
      </c>
    </row>
    <row r="761" spans="1:14">
      <c r="A761" s="3">
        <v>3</v>
      </c>
      <c r="B761" s="3">
        <v>2</v>
      </c>
      <c r="C761" s="3">
        <v>44</v>
      </c>
      <c r="D761" s="3">
        <v>24</v>
      </c>
      <c r="E761" s="3"/>
      <c r="F761" s="4" t="str">
        <f>HYPERLINK("http://141.218.60.56/~jnz1568/getInfo.php?workbook=03_02.xlsx&amp;sheet=A0&amp;row=761&amp;col=6&amp;number=&amp;sourceID=27","")</f>
        <v/>
      </c>
      <c r="G761" s="4" t="str">
        <f>HYPERLINK("http://141.218.60.56/~jnz1568/getInfo.php?workbook=03_02.xlsx&amp;sheet=A0&amp;row=761&amp;col=7&amp;number=&amp;sourceID=15","")</f>
        <v/>
      </c>
      <c r="H761" s="4" t="str">
        <f>HYPERLINK("http://141.218.60.56/~jnz1568/getInfo.php?workbook=03_02.xlsx&amp;sheet=A0&amp;row=761&amp;col=8&amp;number=&amp;sourceID=15","")</f>
        <v/>
      </c>
      <c r="I761" s="4" t="str">
        <f>HYPERLINK("http://141.218.60.56/~jnz1568/getInfo.php?workbook=03_02.xlsx&amp;sheet=A0&amp;row=761&amp;col=9&amp;number=&amp;sourceID=15","")</f>
        <v/>
      </c>
      <c r="J761" s="4" t="str">
        <f>HYPERLINK("http://141.218.60.56/~jnz1568/getInfo.php?workbook=03_02.xlsx&amp;sheet=A0&amp;row=761&amp;col=10&amp;number=&amp;sourceID=15","")</f>
        <v/>
      </c>
      <c r="K761" s="4" t="str">
        <f>HYPERLINK("http://141.218.60.56/~jnz1568/getInfo.php?workbook=03_02.xlsx&amp;sheet=A0&amp;row=761&amp;col=11&amp;number=&amp;sourceID=30","")</f>
        <v/>
      </c>
      <c r="L761" s="4" t="str">
        <f>HYPERLINK("http://141.218.60.56/~jnz1568/getInfo.php?workbook=03_02.xlsx&amp;sheet=A0&amp;row=761&amp;col=12&amp;number=13.78&amp;sourceID=30","13.78")</f>
        <v>13.78</v>
      </c>
      <c r="M761" s="4" t="str">
        <f>HYPERLINK("http://141.218.60.56/~jnz1568/getInfo.php?workbook=03_02.xlsx&amp;sheet=A0&amp;row=761&amp;col=13&amp;number=3.197e-11&amp;sourceID=30","3.197e-11")</f>
        <v>3.197e-11</v>
      </c>
      <c r="N761" s="4" t="str">
        <f>HYPERLINK("http://141.218.60.56/~jnz1568/getInfo.php?workbook=03_02.xlsx&amp;sheet=A0&amp;row=761&amp;col=14&amp;number=&amp;sourceID=30","")</f>
        <v/>
      </c>
    </row>
    <row r="762" spans="1:14">
      <c r="A762" s="3">
        <v>3</v>
      </c>
      <c r="B762" s="3">
        <v>2</v>
      </c>
      <c r="C762" s="3">
        <v>44</v>
      </c>
      <c r="D762" s="3">
        <v>25</v>
      </c>
      <c r="E762" s="3"/>
      <c r="F762" s="4" t="str">
        <f>HYPERLINK("http://141.218.60.56/~jnz1568/getInfo.php?workbook=03_02.xlsx&amp;sheet=A0&amp;row=762&amp;col=6&amp;number=&amp;sourceID=27","")</f>
        <v/>
      </c>
      <c r="G762" s="4" t="str">
        <f>HYPERLINK("http://141.218.60.56/~jnz1568/getInfo.php?workbook=03_02.xlsx&amp;sheet=A0&amp;row=762&amp;col=7&amp;number=&amp;sourceID=15","")</f>
        <v/>
      </c>
      <c r="H762" s="4" t="str">
        <f>HYPERLINK("http://141.218.60.56/~jnz1568/getInfo.php?workbook=03_02.xlsx&amp;sheet=A0&amp;row=762&amp;col=8&amp;number=&amp;sourceID=15","")</f>
        <v/>
      </c>
      <c r="I762" s="4" t="str">
        <f>HYPERLINK("http://141.218.60.56/~jnz1568/getInfo.php?workbook=03_02.xlsx&amp;sheet=A0&amp;row=762&amp;col=9&amp;number=&amp;sourceID=15","")</f>
        <v/>
      </c>
      <c r="J762" s="4" t="str">
        <f>HYPERLINK("http://141.218.60.56/~jnz1568/getInfo.php?workbook=03_02.xlsx&amp;sheet=A0&amp;row=762&amp;col=10&amp;number=&amp;sourceID=15","")</f>
        <v/>
      </c>
      <c r="K762" s="4" t="str">
        <f>HYPERLINK("http://141.218.60.56/~jnz1568/getInfo.php?workbook=03_02.xlsx&amp;sheet=A0&amp;row=762&amp;col=11&amp;number=&amp;sourceID=30","")</f>
        <v/>
      </c>
      <c r="L762" s="4" t="str">
        <f>HYPERLINK("http://141.218.60.56/~jnz1568/getInfo.php?workbook=03_02.xlsx&amp;sheet=A0&amp;row=762&amp;col=12&amp;number=0.919&amp;sourceID=30","0.919")</f>
        <v>0.919</v>
      </c>
      <c r="M762" s="4" t="str">
        <f>HYPERLINK("http://141.218.60.56/~jnz1568/getInfo.php?workbook=03_02.xlsx&amp;sheet=A0&amp;row=762&amp;col=13&amp;number=1.941e-11&amp;sourceID=30","1.941e-11")</f>
        <v>1.941e-11</v>
      </c>
      <c r="N762" s="4" t="str">
        <f>HYPERLINK("http://141.218.60.56/~jnz1568/getInfo.php?workbook=03_02.xlsx&amp;sheet=A0&amp;row=762&amp;col=14&amp;number=&amp;sourceID=30","")</f>
        <v/>
      </c>
    </row>
    <row r="763" spans="1:14">
      <c r="A763" s="3">
        <v>3</v>
      </c>
      <c r="B763" s="3">
        <v>2</v>
      </c>
      <c r="C763" s="3">
        <v>44</v>
      </c>
      <c r="D763" s="3">
        <v>26</v>
      </c>
      <c r="E763" s="3"/>
      <c r="F763" s="4" t="str">
        <f>HYPERLINK("http://141.218.60.56/~jnz1568/getInfo.php?workbook=03_02.xlsx&amp;sheet=A0&amp;row=763&amp;col=6&amp;number=&amp;sourceID=27","")</f>
        <v/>
      </c>
      <c r="G763" s="4" t="str">
        <f>HYPERLINK("http://141.218.60.56/~jnz1568/getInfo.php?workbook=03_02.xlsx&amp;sheet=A0&amp;row=763&amp;col=7&amp;number=&amp;sourceID=15","")</f>
        <v/>
      </c>
      <c r="H763" s="4" t="str">
        <f>HYPERLINK("http://141.218.60.56/~jnz1568/getInfo.php?workbook=03_02.xlsx&amp;sheet=A0&amp;row=763&amp;col=8&amp;number=&amp;sourceID=15","")</f>
        <v/>
      </c>
      <c r="I763" s="4" t="str">
        <f>HYPERLINK("http://141.218.60.56/~jnz1568/getInfo.php?workbook=03_02.xlsx&amp;sheet=A0&amp;row=763&amp;col=9&amp;number=&amp;sourceID=15","")</f>
        <v/>
      </c>
      <c r="J763" s="4" t="str">
        <f>HYPERLINK("http://141.218.60.56/~jnz1568/getInfo.php?workbook=03_02.xlsx&amp;sheet=A0&amp;row=763&amp;col=10&amp;number=&amp;sourceID=15","")</f>
        <v/>
      </c>
      <c r="K763" s="4" t="str">
        <f>HYPERLINK("http://141.218.60.56/~jnz1568/getInfo.php?workbook=03_02.xlsx&amp;sheet=A0&amp;row=763&amp;col=11&amp;number=&amp;sourceID=30","")</f>
        <v/>
      </c>
      <c r="L763" s="4" t="str">
        <f>HYPERLINK("http://141.218.60.56/~jnz1568/getInfo.php?workbook=03_02.xlsx&amp;sheet=A0&amp;row=763&amp;col=12&amp;number=0.001308&amp;sourceID=30","0.001308")</f>
        <v>0.001308</v>
      </c>
      <c r="M763" s="4" t="str">
        <f>HYPERLINK("http://141.218.60.56/~jnz1568/getInfo.php?workbook=03_02.xlsx&amp;sheet=A0&amp;row=763&amp;col=13&amp;number=3.184e-11&amp;sourceID=30","3.184e-11")</f>
        <v>3.184e-11</v>
      </c>
      <c r="N763" s="4" t="str">
        <f>HYPERLINK("http://141.218.60.56/~jnz1568/getInfo.php?workbook=03_02.xlsx&amp;sheet=A0&amp;row=763&amp;col=14&amp;number=&amp;sourceID=30","")</f>
        <v/>
      </c>
    </row>
    <row r="764" spans="1:14">
      <c r="A764" s="3">
        <v>3</v>
      </c>
      <c r="B764" s="3">
        <v>2</v>
      </c>
      <c r="C764" s="3">
        <v>44</v>
      </c>
      <c r="D764" s="3">
        <v>27</v>
      </c>
      <c r="E764" s="3"/>
      <c r="F764" s="4" t="str">
        <f>HYPERLINK("http://141.218.60.56/~jnz1568/getInfo.php?workbook=03_02.xlsx&amp;sheet=A0&amp;row=764&amp;col=6&amp;number=&amp;sourceID=27","")</f>
        <v/>
      </c>
      <c r="G764" s="4" t="str">
        <f>HYPERLINK("http://141.218.60.56/~jnz1568/getInfo.php?workbook=03_02.xlsx&amp;sheet=A0&amp;row=764&amp;col=7&amp;number=&amp;sourceID=15","")</f>
        <v/>
      </c>
      <c r="H764" s="4" t="str">
        <f>HYPERLINK("http://141.218.60.56/~jnz1568/getInfo.php?workbook=03_02.xlsx&amp;sheet=A0&amp;row=764&amp;col=8&amp;number=&amp;sourceID=15","")</f>
        <v/>
      </c>
      <c r="I764" s="4" t="str">
        <f>HYPERLINK("http://141.218.60.56/~jnz1568/getInfo.php?workbook=03_02.xlsx&amp;sheet=A0&amp;row=764&amp;col=9&amp;number=&amp;sourceID=15","")</f>
        <v/>
      </c>
      <c r="J764" s="4" t="str">
        <f>HYPERLINK("http://141.218.60.56/~jnz1568/getInfo.php?workbook=03_02.xlsx&amp;sheet=A0&amp;row=764&amp;col=10&amp;number=&amp;sourceID=15","")</f>
        <v/>
      </c>
      <c r="K764" s="4" t="str">
        <f>HYPERLINK("http://141.218.60.56/~jnz1568/getInfo.php?workbook=03_02.xlsx&amp;sheet=A0&amp;row=764&amp;col=11&amp;number=62540000&amp;sourceID=30","62540000")</f>
        <v>62540000</v>
      </c>
      <c r="L764" s="4" t="str">
        <f>HYPERLINK("http://141.218.60.56/~jnz1568/getInfo.php?workbook=03_02.xlsx&amp;sheet=A0&amp;row=764&amp;col=12&amp;number=&amp;sourceID=30","")</f>
        <v/>
      </c>
      <c r="M764" s="4" t="str">
        <f>HYPERLINK("http://141.218.60.56/~jnz1568/getInfo.php?workbook=03_02.xlsx&amp;sheet=A0&amp;row=764&amp;col=13&amp;number=&amp;sourceID=30","")</f>
        <v/>
      </c>
      <c r="N764" s="4" t="str">
        <f>HYPERLINK("http://141.218.60.56/~jnz1568/getInfo.php?workbook=03_02.xlsx&amp;sheet=A0&amp;row=764&amp;col=14&amp;number=3.666e-05&amp;sourceID=30","3.666e-05")</f>
        <v>3.666e-05</v>
      </c>
    </row>
    <row r="765" spans="1:14">
      <c r="A765" s="3">
        <v>3</v>
      </c>
      <c r="B765" s="3">
        <v>2</v>
      </c>
      <c r="C765" s="3">
        <v>44</v>
      </c>
      <c r="D765" s="3">
        <v>28</v>
      </c>
      <c r="E765" s="3"/>
      <c r="F765" s="4" t="str">
        <f>HYPERLINK("http://141.218.60.56/~jnz1568/getInfo.php?workbook=03_02.xlsx&amp;sheet=A0&amp;row=765&amp;col=6&amp;number=&amp;sourceID=27","")</f>
        <v/>
      </c>
      <c r="G765" s="4" t="str">
        <f>HYPERLINK("http://141.218.60.56/~jnz1568/getInfo.php?workbook=03_02.xlsx&amp;sheet=A0&amp;row=765&amp;col=7&amp;number=&amp;sourceID=15","")</f>
        <v/>
      </c>
      <c r="H765" s="4" t="str">
        <f>HYPERLINK("http://141.218.60.56/~jnz1568/getInfo.php?workbook=03_02.xlsx&amp;sheet=A0&amp;row=765&amp;col=8&amp;number=&amp;sourceID=15","")</f>
        <v/>
      </c>
      <c r="I765" s="4" t="str">
        <f>HYPERLINK("http://141.218.60.56/~jnz1568/getInfo.php?workbook=03_02.xlsx&amp;sheet=A0&amp;row=765&amp;col=9&amp;number=&amp;sourceID=15","")</f>
        <v/>
      </c>
      <c r="J765" s="4" t="str">
        <f>HYPERLINK("http://141.218.60.56/~jnz1568/getInfo.php?workbook=03_02.xlsx&amp;sheet=A0&amp;row=765&amp;col=10&amp;number=&amp;sourceID=15","")</f>
        <v/>
      </c>
      <c r="K765" s="4" t="str">
        <f>HYPERLINK("http://141.218.60.56/~jnz1568/getInfo.php?workbook=03_02.xlsx&amp;sheet=A0&amp;row=765&amp;col=11&amp;number=4310000&amp;sourceID=30","4310000")</f>
        <v>4310000</v>
      </c>
      <c r="L765" s="4" t="str">
        <f>HYPERLINK("http://141.218.60.56/~jnz1568/getInfo.php?workbook=03_02.xlsx&amp;sheet=A0&amp;row=765&amp;col=12&amp;number=&amp;sourceID=30","")</f>
        <v/>
      </c>
      <c r="M765" s="4" t="str">
        <f>HYPERLINK("http://141.218.60.56/~jnz1568/getInfo.php?workbook=03_02.xlsx&amp;sheet=A0&amp;row=765&amp;col=13&amp;number=&amp;sourceID=30","")</f>
        <v/>
      </c>
      <c r="N765" s="4" t="str">
        <f>HYPERLINK("http://141.218.60.56/~jnz1568/getInfo.php?workbook=03_02.xlsx&amp;sheet=A0&amp;row=765&amp;col=14&amp;number=5.781e-06&amp;sourceID=30","5.781e-06")</f>
        <v>5.781e-06</v>
      </c>
    </row>
    <row r="766" spans="1:14">
      <c r="A766" s="3">
        <v>3</v>
      </c>
      <c r="B766" s="3">
        <v>2</v>
      </c>
      <c r="C766" s="3">
        <v>44</v>
      </c>
      <c r="D766" s="3">
        <v>29</v>
      </c>
      <c r="E766" s="3"/>
      <c r="F766" s="4" t="str">
        <f>HYPERLINK("http://141.218.60.56/~jnz1568/getInfo.php?workbook=03_02.xlsx&amp;sheet=A0&amp;row=766&amp;col=6&amp;number=&amp;sourceID=27","")</f>
        <v/>
      </c>
      <c r="G766" s="4" t="str">
        <f>HYPERLINK("http://141.218.60.56/~jnz1568/getInfo.php?workbook=03_02.xlsx&amp;sheet=A0&amp;row=766&amp;col=7&amp;number=&amp;sourceID=15","")</f>
        <v/>
      </c>
      <c r="H766" s="4" t="str">
        <f>HYPERLINK("http://141.218.60.56/~jnz1568/getInfo.php?workbook=03_02.xlsx&amp;sheet=A0&amp;row=766&amp;col=8&amp;number=&amp;sourceID=15","")</f>
        <v/>
      </c>
      <c r="I766" s="4" t="str">
        <f>HYPERLINK("http://141.218.60.56/~jnz1568/getInfo.php?workbook=03_02.xlsx&amp;sheet=A0&amp;row=766&amp;col=9&amp;number=&amp;sourceID=15","")</f>
        <v/>
      </c>
      <c r="J766" s="4" t="str">
        <f>HYPERLINK("http://141.218.60.56/~jnz1568/getInfo.php?workbook=03_02.xlsx&amp;sheet=A0&amp;row=766&amp;col=10&amp;number=&amp;sourceID=15","")</f>
        <v/>
      </c>
      <c r="K766" s="4" t="str">
        <f>HYPERLINK("http://141.218.60.56/~jnz1568/getInfo.php?workbook=03_02.xlsx&amp;sheet=A0&amp;row=766&amp;col=11&amp;number=86870&amp;sourceID=30","86870")</f>
        <v>86870</v>
      </c>
      <c r="L766" s="4" t="str">
        <f>HYPERLINK("http://141.218.60.56/~jnz1568/getInfo.php?workbook=03_02.xlsx&amp;sheet=A0&amp;row=766&amp;col=12&amp;number=&amp;sourceID=30","")</f>
        <v/>
      </c>
      <c r="M766" s="4" t="str">
        <f>HYPERLINK("http://141.218.60.56/~jnz1568/getInfo.php?workbook=03_02.xlsx&amp;sheet=A0&amp;row=766&amp;col=13&amp;number=&amp;sourceID=30","")</f>
        <v/>
      </c>
      <c r="N766" s="4" t="str">
        <f>HYPERLINK("http://141.218.60.56/~jnz1568/getInfo.php?workbook=03_02.xlsx&amp;sheet=A0&amp;row=766&amp;col=14&amp;number=0&amp;sourceID=30","0")</f>
        <v>0</v>
      </c>
    </row>
    <row r="767" spans="1:14">
      <c r="A767" s="3">
        <v>3</v>
      </c>
      <c r="B767" s="3">
        <v>2</v>
      </c>
      <c r="C767" s="3">
        <v>44</v>
      </c>
      <c r="D767" s="3">
        <v>30</v>
      </c>
      <c r="E767" s="3"/>
      <c r="F767" s="4" t="str">
        <f>HYPERLINK("http://141.218.60.56/~jnz1568/getInfo.php?workbook=03_02.xlsx&amp;sheet=A0&amp;row=767&amp;col=6&amp;number=&amp;sourceID=27","")</f>
        <v/>
      </c>
      <c r="G767" s="4" t="str">
        <f>HYPERLINK("http://141.218.60.56/~jnz1568/getInfo.php?workbook=03_02.xlsx&amp;sheet=A0&amp;row=767&amp;col=7&amp;number=&amp;sourceID=15","")</f>
        <v/>
      </c>
      <c r="H767" s="4" t="str">
        <f>HYPERLINK("http://141.218.60.56/~jnz1568/getInfo.php?workbook=03_02.xlsx&amp;sheet=A0&amp;row=767&amp;col=8&amp;number=&amp;sourceID=15","")</f>
        <v/>
      </c>
      <c r="I767" s="4" t="str">
        <f>HYPERLINK("http://141.218.60.56/~jnz1568/getInfo.php?workbook=03_02.xlsx&amp;sheet=A0&amp;row=767&amp;col=9&amp;number=&amp;sourceID=15","")</f>
        <v/>
      </c>
      <c r="J767" s="4" t="str">
        <f>HYPERLINK("http://141.218.60.56/~jnz1568/getInfo.php?workbook=03_02.xlsx&amp;sheet=A0&amp;row=767&amp;col=10&amp;number=&amp;sourceID=15","")</f>
        <v/>
      </c>
      <c r="K767" s="4" t="str">
        <f>HYPERLINK("http://141.218.60.56/~jnz1568/getInfo.php?workbook=03_02.xlsx&amp;sheet=A0&amp;row=767&amp;col=11&amp;number=1163000&amp;sourceID=30","1163000")</f>
        <v>1163000</v>
      </c>
      <c r="L767" s="4" t="str">
        <f>HYPERLINK("http://141.218.60.56/~jnz1568/getInfo.php?workbook=03_02.xlsx&amp;sheet=A0&amp;row=767&amp;col=12&amp;number=&amp;sourceID=30","")</f>
        <v/>
      </c>
      <c r="M767" s="4" t="str">
        <f>HYPERLINK("http://141.218.60.56/~jnz1568/getInfo.php?workbook=03_02.xlsx&amp;sheet=A0&amp;row=767&amp;col=13&amp;number=&amp;sourceID=30","")</f>
        <v/>
      </c>
      <c r="N767" s="4" t="str">
        <f>HYPERLINK("http://141.218.60.56/~jnz1568/getInfo.php?workbook=03_02.xlsx&amp;sheet=A0&amp;row=767&amp;col=14&amp;number=3.303e-07&amp;sourceID=30","3.303e-07")</f>
        <v>3.303e-07</v>
      </c>
    </row>
    <row r="768" spans="1:14">
      <c r="A768" s="3">
        <v>3</v>
      </c>
      <c r="B768" s="3">
        <v>2</v>
      </c>
      <c r="C768" s="3">
        <v>44</v>
      </c>
      <c r="D768" s="3">
        <v>31</v>
      </c>
      <c r="E768" s="3"/>
      <c r="F768" s="4" t="str">
        <f>HYPERLINK("http://141.218.60.56/~jnz1568/getInfo.php?workbook=03_02.xlsx&amp;sheet=A0&amp;row=768&amp;col=6&amp;number=&amp;sourceID=27","")</f>
        <v/>
      </c>
      <c r="G768" s="4" t="str">
        <f>HYPERLINK("http://141.218.60.56/~jnz1568/getInfo.php?workbook=03_02.xlsx&amp;sheet=A0&amp;row=768&amp;col=7&amp;number=&amp;sourceID=15","")</f>
        <v/>
      </c>
      <c r="H768" s="4" t="str">
        <f>HYPERLINK("http://141.218.60.56/~jnz1568/getInfo.php?workbook=03_02.xlsx&amp;sheet=A0&amp;row=768&amp;col=8&amp;number=&amp;sourceID=15","")</f>
        <v/>
      </c>
      <c r="I768" s="4" t="str">
        <f>HYPERLINK("http://141.218.60.56/~jnz1568/getInfo.php?workbook=03_02.xlsx&amp;sheet=A0&amp;row=768&amp;col=9&amp;number=&amp;sourceID=15","")</f>
        <v/>
      </c>
      <c r="J768" s="4" t="str">
        <f>HYPERLINK("http://141.218.60.56/~jnz1568/getInfo.php?workbook=03_02.xlsx&amp;sheet=A0&amp;row=768&amp;col=10&amp;number=&amp;sourceID=15","")</f>
        <v/>
      </c>
      <c r="K768" s="4" t="str">
        <f>HYPERLINK("http://141.218.60.56/~jnz1568/getInfo.php?workbook=03_02.xlsx&amp;sheet=A0&amp;row=768&amp;col=11&amp;number=&amp;sourceID=30","")</f>
        <v/>
      </c>
      <c r="L768" s="4" t="str">
        <f>HYPERLINK("http://141.218.60.56/~jnz1568/getInfo.php?workbook=03_02.xlsx&amp;sheet=A0&amp;row=768&amp;col=12&amp;number=&amp;sourceID=30","")</f>
        <v/>
      </c>
      <c r="M768" s="4" t="str">
        <f>HYPERLINK("http://141.218.60.56/~jnz1568/getInfo.php?workbook=03_02.xlsx&amp;sheet=A0&amp;row=768&amp;col=13&amp;number=&amp;sourceID=30","")</f>
        <v/>
      </c>
      <c r="N768" s="4" t="str">
        <f>HYPERLINK("http://141.218.60.56/~jnz1568/getInfo.php?workbook=03_02.xlsx&amp;sheet=A0&amp;row=768&amp;col=14&amp;number=0&amp;sourceID=30","0")</f>
        <v>0</v>
      </c>
    </row>
    <row r="769" spans="1:14">
      <c r="A769" s="3">
        <v>3</v>
      </c>
      <c r="B769" s="3">
        <v>2</v>
      </c>
      <c r="C769" s="3">
        <v>44</v>
      </c>
      <c r="D769" s="3">
        <v>32</v>
      </c>
      <c r="E769" s="3"/>
      <c r="F769" s="4" t="str">
        <f>HYPERLINK("http://141.218.60.56/~jnz1568/getInfo.php?workbook=03_02.xlsx&amp;sheet=A0&amp;row=769&amp;col=6&amp;number=&amp;sourceID=27","")</f>
        <v/>
      </c>
      <c r="G769" s="4" t="str">
        <f>HYPERLINK("http://141.218.60.56/~jnz1568/getInfo.php?workbook=03_02.xlsx&amp;sheet=A0&amp;row=769&amp;col=7&amp;number=&amp;sourceID=15","")</f>
        <v/>
      </c>
      <c r="H769" s="4" t="str">
        <f>HYPERLINK("http://141.218.60.56/~jnz1568/getInfo.php?workbook=03_02.xlsx&amp;sheet=A0&amp;row=769&amp;col=8&amp;number=&amp;sourceID=15","")</f>
        <v/>
      </c>
      <c r="I769" s="4" t="str">
        <f>HYPERLINK("http://141.218.60.56/~jnz1568/getInfo.php?workbook=03_02.xlsx&amp;sheet=A0&amp;row=769&amp;col=9&amp;number=&amp;sourceID=15","")</f>
        <v/>
      </c>
      <c r="J769" s="4" t="str">
        <f>HYPERLINK("http://141.218.60.56/~jnz1568/getInfo.php?workbook=03_02.xlsx&amp;sheet=A0&amp;row=769&amp;col=10&amp;number=&amp;sourceID=15","")</f>
        <v/>
      </c>
      <c r="K769" s="4" t="str">
        <f>HYPERLINK("http://141.218.60.56/~jnz1568/getInfo.php?workbook=03_02.xlsx&amp;sheet=A0&amp;row=769&amp;col=11&amp;number=&amp;sourceID=30","")</f>
        <v/>
      </c>
      <c r="L769" s="4" t="str">
        <f>HYPERLINK("http://141.218.60.56/~jnz1568/getInfo.php?workbook=03_02.xlsx&amp;sheet=A0&amp;row=769&amp;col=12&amp;number=8.1e-13&amp;sourceID=30","8.1e-13")</f>
        <v>8.1e-13</v>
      </c>
      <c r="M769" s="4" t="str">
        <f>HYPERLINK("http://141.218.60.56/~jnz1568/getInfo.php?workbook=03_02.xlsx&amp;sheet=A0&amp;row=769&amp;col=13&amp;number=&amp;sourceID=30","")</f>
        <v/>
      </c>
      <c r="N769" s="4" t="str">
        <f>HYPERLINK("http://141.218.60.56/~jnz1568/getInfo.php?workbook=03_02.xlsx&amp;sheet=A0&amp;row=769&amp;col=14&amp;number=&amp;sourceID=30","")</f>
        <v/>
      </c>
    </row>
    <row r="770" spans="1:14">
      <c r="A770" s="3">
        <v>3</v>
      </c>
      <c r="B770" s="3">
        <v>2</v>
      </c>
      <c r="C770" s="3">
        <v>44</v>
      </c>
      <c r="D770" s="3">
        <v>35</v>
      </c>
      <c r="E770" s="3"/>
      <c r="F770" s="4" t="str">
        <f>HYPERLINK("http://141.218.60.56/~jnz1568/getInfo.php?workbook=03_02.xlsx&amp;sheet=A0&amp;row=770&amp;col=6&amp;number=&amp;sourceID=27","")</f>
        <v/>
      </c>
      <c r="G770" s="4" t="str">
        <f>HYPERLINK("http://141.218.60.56/~jnz1568/getInfo.php?workbook=03_02.xlsx&amp;sheet=A0&amp;row=770&amp;col=7&amp;number=&amp;sourceID=15","")</f>
        <v/>
      </c>
      <c r="H770" s="4" t="str">
        <f>HYPERLINK("http://141.218.60.56/~jnz1568/getInfo.php?workbook=03_02.xlsx&amp;sheet=A0&amp;row=770&amp;col=8&amp;number=&amp;sourceID=15","")</f>
        <v/>
      </c>
      <c r="I770" s="4" t="str">
        <f>HYPERLINK("http://141.218.60.56/~jnz1568/getInfo.php?workbook=03_02.xlsx&amp;sheet=A0&amp;row=770&amp;col=9&amp;number=&amp;sourceID=15","")</f>
        <v/>
      </c>
      <c r="J770" s="4" t="str">
        <f>HYPERLINK("http://141.218.60.56/~jnz1568/getInfo.php?workbook=03_02.xlsx&amp;sheet=A0&amp;row=770&amp;col=10&amp;number=&amp;sourceID=15","")</f>
        <v/>
      </c>
      <c r="K770" s="4" t="str">
        <f>HYPERLINK("http://141.218.60.56/~jnz1568/getInfo.php?workbook=03_02.xlsx&amp;sheet=A0&amp;row=770&amp;col=11&amp;number=&amp;sourceID=30","")</f>
        <v/>
      </c>
      <c r="L770" s="4" t="str">
        <f>HYPERLINK("http://141.218.60.56/~jnz1568/getInfo.php?workbook=03_02.xlsx&amp;sheet=A0&amp;row=770&amp;col=12&amp;number=&amp;sourceID=30","")</f>
        <v/>
      </c>
      <c r="M770" s="4" t="str">
        <f>HYPERLINK("http://141.218.60.56/~jnz1568/getInfo.php?workbook=03_02.xlsx&amp;sheet=A0&amp;row=770&amp;col=13&amp;number=&amp;sourceID=30","")</f>
        <v/>
      </c>
      <c r="N770" s="4" t="str">
        <f>HYPERLINK("http://141.218.60.56/~jnz1568/getInfo.php?workbook=03_02.xlsx&amp;sheet=A0&amp;row=770&amp;col=14&amp;number=0&amp;sourceID=30","0")</f>
        <v>0</v>
      </c>
    </row>
    <row r="771" spans="1:14">
      <c r="A771" s="3">
        <v>3</v>
      </c>
      <c r="B771" s="3">
        <v>2</v>
      </c>
      <c r="C771" s="3">
        <v>44</v>
      </c>
      <c r="D771" s="3">
        <v>36</v>
      </c>
      <c r="E771" s="3"/>
      <c r="F771" s="4" t="str">
        <f>HYPERLINK("http://141.218.60.56/~jnz1568/getInfo.php?workbook=03_02.xlsx&amp;sheet=A0&amp;row=771&amp;col=6&amp;number=&amp;sourceID=27","")</f>
        <v/>
      </c>
      <c r="G771" s="4" t="str">
        <f>HYPERLINK("http://141.218.60.56/~jnz1568/getInfo.php?workbook=03_02.xlsx&amp;sheet=A0&amp;row=771&amp;col=7&amp;number=&amp;sourceID=15","")</f>
        <v/>
      </c>
      <c r="H771" s="4" t="str">
        <f>HYPERLINK("http://141.218.60.56/~jnz1568/getInfo.php?workbook=03_02.xlsx&amp;sheet=A0&amp;row=771&amp;col=8&amp;number=&amp;sourceID=15","")</f>
        <v/>
      </c>
      <c r="I771" s="4" t="str">
        <f>HYPERLINK("http://141.218.60.56/~jnz1568/getInfo.php?workbook=03_02.xlsx&amp;sheet=A0&amp;row=771&amp;col=9&amp;number=&amp;sourceID=15","")</f>
        <v/>
      </c>
      <c r="J771" s="4" t="str">
        <f>HYPERLINK("http://141.218.60.56/~jnz1568/getInfo.php?workbook=03_02.xlsx&amp;sheet=A0&amp;row=771&amp;col=10&amp;number=&amp;sourceID=15","")</f>
        <v/>
      </c>
      <c r="K771" s="4" t="str">
        <f>HYPERLINK("http://141.218.60.56/~jnz1568/getInfo.php?workbook=03_02.xlsx&amp;sheet=A0&amp;row=771&amp;col=11&amp;number=1.682e-08&amp;sourceID=30","1.682e-08")</f>
        <v>1.682e-08</v>
      </c>
      <c r="L771" s="4" t="str">
        <f>HYPERLINK("http://141.218.60.56/~jnz1568/getInfo.php?workbook=03_02.xlsx&amp;sheet=A0&amp;row=771&amp;col=12&amp;number=&amp;sourceID=30","")</f>
        <v/>
      </c>
      <c r="M771" s="4" t="str">
        <f>HYPERLINK("http://141.218.60.56/~jnz1568/getInfo.php?workbook=03_02.xlsx&amp;sheet=A0&amp;row=771&amp;col=13&amp;number=&amp;sourceID=30","")</f>
        <v/>
      </c>
      <c r="N771" s="4" t="str">
        <f>HYPERLINK("http://141.218.60.56/~jnz1568/getInfo.php?workbook=03_02.xlsx&amp;sheet=A0&amp;row=771&amp;col=14&amp;number=0&amp;sourceID=30","0")</f>
        <v>0</v>
      </c>
    </row>
    <row r="772" spans="1:14">
      <c r="A772" s="3">
        <v>3</v>
      </c>
      <c r="B772" s="3">
        <v>2</v>
      </c>
      <c r="C772" s="3">
        <v>44</v>
      </c>
      <c r="D772" s="3">
        <v>37</v>
      </c>
      <c r="E772" s="3"/>
      <c r="F772" s="4" t="str">
        <f>HYPERLINK("http://141.218.60.56/~jnz1568/getInfo.php?workbook=03_02.xlsx&amp;sheet=A0&amp;row=772&amp;col=6&amp;number=&amp;sourceID=27","")</f>
        <v/>
      </c>
      <c r="G772" s="4" t="str">
        <f>HYPERLINK("http://141.218.60.56/~jnz1568/getInfo.php?workbook=03_02.xlsx&amp;sheet=A0&amp;row=772&amp;col=7&amp;number=&amp;sourceID=15","")</f>
        <v/>
      </c>
      <c r="H772" s="4" t="str">
        <f>HYPERLINK("http://141.218.60.56/~jnz1568/getInfo.php?workbook=03_02.xlsx&amp;sheet=A0&amp;row=772&amp;col=8&amp;number=&amp;sourceID=15","")</f>
        <v/>
      </c>
      <c r="I772" s="4" t="str">
        <f>HYPERLINK("http://141.218.60.56/~jnz1568/getInfo.php?workbook=03_02.xlsx&amp;sheet=A0&amp;row=772&amp;col=9&amp;number=&amp;sourceID=15","")</f>
        <v/>
      </c>
      <c r="J772" s="4" t="str">
        <f>HYPERLINK("http://141.218.60.56/~jnz1568/getInfo.php?workbook=03_02.xlsx&amp;sheet=A0&amp;row=772&amp;col=10&amp;number=&amp;sourceID=15","")</f>
        <v/>
      </c>
      <c r="K772" s="4" t="str">
        <f>HYPERLINK("http://141.218.60.56/~jnz1568/getInfo.php?workbook=03_02.xlsx&amp;sheet=A0&amp;row=772&amp;col=11&amp;number=&amp;sourceID=30","")</f>
        <v/>
      </c>
      <c r="L772" s="4" t="str">
        <f>HYPERLINK("http://141.218.60.56/~jnz1568/getInfo.php?workbook=03_02.xlsx&amp;sheet=A0&amp;row=772&amp;col=12&amp;number=5.5e-14&amp;sourceID=30","5.5e-14")</f>
        <v>5.5e-14</v>
      </c>
      <c r="M772" s="4" t="str">
        <f>HYPERLINK("http://141.218.60.56/~jnz1568/getInfo.php?workbook=03_02.xlsx&amp;sheet=A0&amp;row=772&amp;col=13&amp;number=&amp;sourceID=30","")</f>
        <v/>
      </c>
      <c r="N772" s="4" t="str">
        <f>HYPERLINK("http://141.218.60.56/~jnz1568/getInfo.php?workbook=03_02.xlsx&amp;sheet=A0&amp;row=772&amp;col=14&amp;number=&amp;sourceID=30","")</f>
        <v/>
      </c>
    </row>
    <row r="773" spans="1:14">
      <c r="A773" s="3">
        <v>3</v>
      </c>
      <c r="B773" s="3">
        <v>2</v>
      </c>
      <c r="C773" s="3">
        <v>44</v>
      </c>
      <c r="D773" s="3">
        <v>38</v>
      </c>
      <c r="E773" s="3"/>
      <c r="F773" s="4" t="str">
        <f>HYPERLINK("http://141.218.60.56/~jnz1568/getInfo.php?workbook=03_02.xlsx&amp;sheet=A0&amp;row=773&amp;col=6&amp;number=&amp;sourceID=27","")</f>
        <v/>
      </c>
      <c r="G773" s="4" t="str">
        <f>HYPERLINK("http://141.218.60.56/~jnz1568/getInfo.php?workbook=03_02.xlsx&amp;sheet=A0&amp;row=773&amp;col=7&amp;number=&amp;sourceID=15","")</f>
        <v/>
      </c>
      <c r="H773" s="4" t="str">
        <f>HYPERLINK("http://141.218.60.56/~jnz1568/getInfo.php?workbook=03_02.xlsx&amp;sheet=A0&amp;row=773&amp;col=8&amp;number=&amp;sourceID=15","")</f>
        <v/>
      </c>
      <c r="I773" s="4" t="str">
        <f>HYPERLINK("http://141.218.60.56/~jnz1568/getInfo.php?workbook=03_02.xlsx&amp;sheet=A0&amp;row=773&amp;col=9&amp;number=&amp;sourceID=15","")</f>
        <v/>
      </c>
      <c r="J773" s="4" t="str">
        <f>HYPERLINK("http://141.218.60.56/~jnz1568/getInfo.php?workbook=03_02.xlsx&amp;sheet=A0&amp;row=773&amp;col=10&amp;number=&amp;sourceID=15","")</f>
        <v/>
      </c>
      <c r="K773" s="4" t="str">
        <f>HYPERLINK("http://141.218.60.56/~jnz1568/getInfo.php?workbook=03_02.xlsx&amp;sheet=A0&amp;row=773&amp;col=11&amp;number=&amp;sourceID=30","")</f>
        <v/>
      </c>
      <c r="L773" s="4" t="str">
        <f>HYPERLINK("http://141.218.60.56/~jnz1568/getInfo.php?workbook=03_02.xlsx&amp;sheet=A0&amp;row=773&amp;col=12&amp;number=1.6e-14&amp;sourceID=30","1.6e-14")</f>
        <v>1.6e-14</v>
      </c>
      <c r="M773" s="4" t="str">
        <f>HYPERLINK("http://141.218.60.56/~jnz1568/getInfo.php?workbook=03_02.xlsx&amp;sheet=A0&amp;row=773&amp;col=13&amp;number=0&amp;sourceID=30","0")</f>
        <v>0</v>
      </c>
      <c r="N773" s="4" t="str">
        <f>HYPERLINK("http://141.218.60.56/~jnz1568/getInfo.php?workbook=03_02.xlsx&amp;sheet=A0&amp;row=773&amp;col=14&amp;number=&amp;sourceID=30","")</f>
        <v/>
      </c>
    </row>
    <row r="774" spans="1:14">
      <c r="A774" s="3">
        <v>3</v>
      </c>
      <c r="B774" s="3">
        <v>2</v>
      </c>
      <c r="C774" s="3">
        <v>44</v>
      </c>
      <c r="D774" s="3">
        <v>39</v>
      </c>
      <c r="E774" s="3"/>
      <c r="F774" s="4" t="str">
        <f>HYPERLINK("http://141.218.60.56/~jnz1568/getInfo.php?workbook=03_02.xlsx&amp;sheet=A0&amp;row=774&amp;col=6&amp;number=&amp;sourceID=27","")</f>
        <v/>
      </c>
      <c r="G774" s="4" t="str">
        <f>HYPERLINK("http://141.218.60.56/~jnz1568/getInfo.php?workbook=03_02.xlsx&amp;sheet=A0&amp;row=774&amp;col=7&amp;number=&amp;sourceID=15","")</f>
        <v/>
      </c>
      <c r="H774" s="4" t="str">
        <f>HYPERLINK("http://141.218.60.56/~jnz1568/getInfo.php?workbook=03_02.xlsx&amp;sheet=A0&amp;row=774&amp;col=8&amp;number=&amp;sourceID=15","")</f>
        <v/>
      </c>
      <c r="I774" s="4" t="str">
        <f>HYPERLINK("http://141.218.60.56/~jnz1568/getInfo.php?workbook=03_02.xlsx&amp;sheet=A0&amp;row=774&amp;col=9&amp;number=&amp;sourceID=15","")</f>
        <v/>
      </c>
      <c r="J774" s="4" t="str">
        <f>HYPERLINK("http://141.218.60.56/~jnz1568/getInfo.php?workbook=03_02.xlsx&amp;sheet=A0&amp;row=774&amp;col=10&amp;number=&amp;sourceID=15","")</f>
        <v/>
      </c>
      <c r="K774" s="4" t="str">
        <f>HYPERLINK("http://141.218.60.56/~jnz1568/getInfo.php?workbook=03_02.xlsx&amp;sheet=A0&amp;row=774&amp;col=11&amp;number=&amp;sourceID=30","")</f>
        <v/>
      </c>
      <c r="L774" s="4" t="str">
        <f>HYPERLINK("http://141.218.60.56/~jnz1568/getInfo.php?workbook=03_02.xlsx&amp;sheet=A0&amp;row=774&amp;col=12&amp;number=1e-15&amp;sourceID=30","1e-15")</f>
        <v>1e-15</v>
      </c>
      <c r="M774" s="4" t="str">
        <f>HYPERLINK("http://141.218.60.56/~jnz1568/getInfo.php?workbook=03_02.xlsx&amp;sheet=A0&amp;row=774&amp;col=13&amp;number=0&amp;sourceID=30","0")</f>
        <v>0</v>
      </c>
      <c r="N774" s="4" t="str">
        <f>HYPERLINK("http://141.218.60.56/~jnz1568/getInfo.php?workbook=03_02.xlsx&amp;sheet=A0&amp;row=774&amp;col=14&amp;number=&amp;sourceID=30","")</f>
        <v/>
      </c>
    </row>
    <row r="775" spans="1:14">
      <c r="A775" s="3">
        <v>3</v>
      </c>
      <c r="B775" s="3">
        <v>2</v>
      </c>
      <c r="C775" s="3">
        <v>44</v>
      </c>
      <c r="D775" s="3">
        <v>41</v>
      </c>
      <c r="E775" s="3"/>
      <c r="F775" s="4" t="str">
        <f>HYPERLINK("http://141.218.60.56/~jnz1568/getInfo.php?workbook=03_02.xlsx&amp;sheet=A0&amp;row=775&amp;col=6&amp;number=&amp;sourceID=27","")</f>
        <v/>
      </c>
      <c r="G775" s="4" t="str">
        <f>HYPERLINK("http://141.218.60.56/~jnz1568/getInfo.php?workbook=03_02.xlsx&amp;sheet=A0&amp;row=775&amp;col=7&amp;number=&amp;sourceID=15","")</f>
        <v/>
      </c>
      <c r="H775" s="4" t="str">
        <f>HYPERLINK("http://141.218.60.56/~jnz1568/getInfo.php?workbook=03_02.xlsx&amp;sheet=A0&amp;row=775&amp;col=8&amp;number=&amp;sourceID=15","")</f>
        <v/>
      </c>
      <c r="I775" s="4" t="str">
        <f>HYPERLINK("http://141.218.60.56/~jnz1568/getInfo.php?workbook=03_02.xlsx&amp;sheet=A0&amp;row=775&amp;col=9&amp;number=&amp;sourceID=15","")</f>
        <v/>
      </c>
      <c r="J775" s="4" t="str">
        <f>HYPERLINK("http://141.218.60.56/~jnz1568/getInfo.php?workbook=03_02.xlsx&amp;sheet=A0&amp;row=775&amp;col=10&amp;number=&amp;sourceID=15","")</f>
        <v/>
      </c>
      <c r="K775" s="4" t="str">
        <f>HYPERLINK("http://141.218.60.56/~jnz1568/getInfo.php?workbook=03_02.xlsx&amp;sheet=A0&amp;row=775&amp;col=11&amp;number=2.006e-07&amp;sourceID=30","2.006e-07")</f>
        <v>2.006e-07</v>
      </c>
      <c r="L775" s="4" t="str">
        <f>HYPERLINK("http://141.218.60.56/~jnz1568/getInfo.php?workbook=03_02.xlsx&amp;sheet=A0&amp;row=775&amp;col=12&amp;number=&amp;sourceID=30","")</f>
        <v/>
      </c>
      <c r="M775" s="4" t="str">
        <f>HYPERLINK("http://141.218.60.56/~jnz1568/getInfo.php?workbook=03_02.xlsx&amp;sheet=A0&amp;row=775&amp;col=13&amp;number=&amp;sourceID=30","")</f>
        <v/>
      </c>
      <c r="N775" s="4" t="str">
        <f>HYPERLINK("http://141.218.60.56/~jnz1568/getInfo.php?workbook=03_02.xlsx&amp;sheet=A0&amp;row=775&amp;col=14&amp;number=0&amp;sourceID=30","0")</f>
        <v>0</v>
      </c>
    </row>
    <row r="776" spans="1:14">
      <c r="A776" s="3">
        <v>3</v>
      </c>
      <c r="B776" s="3">
        <v>2</v>
      </c>
      <c r="C776" s="3">
        <v>44</v>
      </c>
      <c r="D776" s="3">
        <v>42</v>
      </c>
      <c r="E776" s="3"/>
      <c r="F776" s="4" t="str">
        <f>HYPERLINK("http://141.218.60.56/~jnz1568/getInfo.php?workbook=03_02.xlsx&amp;sheet=A0&amp;row=776&amp;col=6&amp;number=&amp;sourceID=27","")</f>
        <v/>
      </c>
      <c r="G776" s="4" t="str">
        <f>HYPERLINK("http://141.218.60.56/~jnz1568/getInfo.php?workbook=03_02.xlsx&amp;sheet=A0&amp;row=776&amp;col=7&amp;number=&amp;sourceID=15","")</f>
        <v/>
      </c>
      <c r="H776" s="4" t="str">
        <f>HYPERLINK("http://141.218.60.56/~jnz1568/getInfo.php?workbook=03_02.xlsx&amp;sheet=A0&amp;row=776&amp;col=8&amp;number=&amp;sourceID=15","")</f>
        <v/>
      </c>
      <c r="I776" s="4" t="str">
        <f>HYPERLINK("http://141.218.60.56/~jnz1568/getInfo.php?workbook=03_02.xlsx&amp;sheet=A0&amp;row=776&amp;col=9&amp;number=&amp;sourceID=15","")</f>
        <v/>
      </c>
      <c r="J776" s="4" t="str">
        <f>HYPERLINK("http://141.218.60.56/~jnz1568/getInfo.php?workbook=03_02.xlsx&amp;sheet=A0&amp;row=776&amp;col=10&amp;number=&amp;sourceID=15","")</f>
        <v/>
      </c>
      <c r="K776" s="4" t="str">
        <f>HYPERLINK("http://141.218.60.56/~jnz1568/getInfo.php?workbook=03_02.xlsx&amp;sheet=A0&amp;row=776&amp;col=11&amp;number=3.522e-08&amp;sourceID=30","3.522e-08")</f>
        <v>3.522e-08</v>
      </c>
      <c r="L776" s="4" t="str">
        <f>HYPERLINK("http://141.218.60.56/~jnz1568/getInfo.php?workbook=03_02.xlsx&amp;sheet=A0&amp;row=776&amp;col=12&amp;number=&amp;sourceID=30","")</f>
        <v/>
      </c>
      <c r="M776" s="4" t="str">
        <f>HYPERLINK("http://141.218.60.56/~jnz1568/getInfo.php?workbook=03_02.xlsx&amp;sheet=A0&amp;row=776&amp;col=13&amp;number=&amp;sourceID=30","")</f>
        <v/>
      </c>
      <c r="N776" s="4" t="str">
        <f>HYPERLINK("http://141.218.60.56/~jnz1568/getInfo.php?workbook=03_02.xlsx&amp;sheet=A0&amp;row=776&amp;col=14&amp;number=0&amp;sourceID=30","0")</f>
        <v>0</v>
      </c>
    </row>
    <row r="777" spans="1:14">
      <c r="A777" s="3">
        <v>3</v>
      </c>
      <c r="B777" s="3">
        <v>2</v>
      </c>
      <c r="C777" s="3">
        <v>44</v>
      </c>
      <c r="D777" s="3">
        <v>43</v>
      </c>
      <c r="E777" s="3"/>
      <c r="F777" s="4" t="str">
        <f>HYPERLINK("http://141.218.60.56/~jnz1568/getInfo.php?workbook=03_02.xlsx&amp;sheet=A0&amp;row=777&amp;col=6&amp;number=&amp;sourceID=27","")</f>
        <v/>
      </c>
      <c r="G777" s="4" t="str">
        <f>HYPERLINK("http://141.218.60.56/~jnz1568/getInfo.php?workbook=03_02.xlsx&amp;sheet=A0&amp;row=777&amp;col=7&amp;number=&amp;sourceID=15","")</f>
        <v/>
      </c>
      <c r="H777" s="4" t="str">
        <f>HYPERLINK("http://141.218.60.56/~jnz1568/getInfo.php?workbook=03_02.xlsx&amp;sheet=A0&amp;row=777&amp;col=8&amp;number=&amp;sourceID=15","")</f>
        <v/>
      </c>
      <c r="I777" s="4" t="str">
        <f>HYPERLINK("http://141.218.60.56/~jnz1568/getInfo.php?workbook=03_02.xlsx&amp;sheet=A0&amp;row=777&amp;col=9&amp;number=&amp;sourceID=15","")</f>
        <v/>
      </c>
      <c r="J777" s="4" t="str">
        <f>HYPERLINK("http://141.218.60.56/~jnz1568/getInfo.php?workbook=03_02.xlsx&amp;sheet=A0&amp;row=777&amp;col=10&amp;number=&amp;sourceID=15","")</f>
        <v/>
      </c>
      <c r="K777" s="4" t="str">
        <f>HYPERLINK("http://141.218.60.56/~jnz1568/getInfo.php?workbook=03_02.xlsx&amp;sheet=A0&amp;row=777&amp;col=11&amp;number=3.077e-10&amp;sourceID=30","3.077e-10")</f>
        <v>3.077e-10</v>
      </c>
      <c r="L777" s="4" t="str">
        <f>HYPERLINK("http://141.218.60.56/~jnz1568/getInfo.php?workbook=03_02.xlsx&amp;sheet=A0&amp;row=777&amp;col=12&amp;number=&amp;sourceID=30","")</f>
        <v/>
      </c>
      <c r="M777" s="4" t="str">
        <f>HYPERLINK("http://141.218.60.56/~jnz1568/getInfo.php?workbook=03_02.xlsx&amp;sheet=A0&amp;row=777&amp;col=13&amp;number=&amp;sourceID=30","")</f>
        <v/>
      </c>
      <c r="N777" s="4" t="str">
        <f>HYPERLINK("http://141.218.60.56/~jnz1568/getInfo.php?workbook=03_02.xlsx&amp;sheet=A0&amp;row=777&amp;col=14&amp;number=0&amp;sourceID=30","0")</f>
        <v>0</v>
      </c>
    </row>
    <row r="778" spans="1:14">
      <c r="A778" s="3">
        <v>3</v>
      </c>
      <c r="B778" s="3">
        <v>2</v>
      </c>
      <c r="C778" s="3">
        <v>45</v>
      </c>
      <c r="D778" s="3">
        <v>5</v>
      </c>
      <c r="E778" s="3"/>
      <c r="F778" s="4" t="str">
        <f>HYPERLINK("http://141.218.60.56/~jnz1568/getInfo.php?workbook=03_02.xlsx&amp;sheet=A0&amp;row=778&amp;col=6&amp;number=&amp;sourceID=27","")</f>
        <v/>
      </c>
      <c r="G778" s="4" t="str">
        <f>HYPERLINK("http://141.218.60.56/~jnz1568/getInfo.php?workbook=03_02.xlsx&amp;sheet=A0&amp;row=778&amp;col=7&amp;number=&amp;sourceID=15","")</f>
        <v/>
      </c>
      <c r="H778" s="4" t="str">
        <f>HYPERLINK("http://141.218.60.56/~jnz1568/getInfo.php?workbook=03_02.xlsx&amp;sheet=A0&amp;row=778&amp;col=8&amp;number=&amp;sourceID=15","")</f>
        <v/>
      </c>
      <c r="I778" s="4" t="str">
        <f>HYPERLINK("http://141.218.60.56/~jnz1568/getInfo.php?workbook=03_02.xlsx&amp;sheet=A0&amp;row=778&amp;col=9&amp;number=&amp;sourceID=15","")</f>
        <v/>
      </c>
      <c r="J778" s="4" t="str">
        <f>HYPERLINK("http://141.218.60.56/~jnz1568/getInfo.php?workbook=03_02.xlsx&amp;sheet=A0&amp;row=778&amp;col=10&amp;number=&amp;sourceID=15","")</f>
        <v/>
      </c>
      <c r="K778" s="4" t="str">
        <f>HYPERLINK("http://141.218.60.56/~jnz1568/getInfo.php?workbook=03_02.xlsx&amp;sheet=A0&amp;row=778&amp;col=11&amp;number=&amp;sourceID=30","")</f>
        <v/>
      </c>
      <c r="L778" s="4" t="str">
        <f>HYPERLINK("http://141.218.60.56/~jnz1568/getInfo.php?workbook=03_02.xlsx&amp;sheet=A0&amp;row=778&amp;col=12&amp;number=&amp;sourceID=30","")</f>
        <v/>
      </c>
      <c r="M778" s="4" t="str">
        <f>HYPERLINK("http://141.218.60.56/~jnz1568/getInfo.php?workbook=03_02.xlsx&amp;sheet=A0&amp;row=778&amp;col=13&amp;number=&amp;sourceID=30","")</f>
        <v/>
      </c>
      <c r="N778" s="4" t="str">
        <f>HYPERLINK("http://141.218.60.56/~jnz1568/getInfo.php?workbook=03_02.xlsx&amp;sheet=A0&amp;row=778&amp;col=14&amp;number=3.75e-13&amp;sourceID=30","3.75e-13")</f>
        <v>3.75e-13</v>
      </c>
    </row>
    <row r="779" spans="1:14">
      <c r="A779" s="3">
        <v>3</v>
      </c>
      <c r="B779" s="3">
        <v>2</v>
      </c>
      <c r="C779" s="3">
        <v>45</v>
      </c>
      <c r="D779" s="3">
        <v>11</v>
      </c>
      <c r="E779" s="3"/>
      <c r="F779" s="4" t="str">
        <f>HYPERLINK("http://141.218.60.56/~jnz1568/getInfo.php?workbook=03_02.xlsx&amp;sheet=A0&amp;row=779&amp;col=6&amp;number=&amp;sourceID=27","")</f>
        <v/>
      </c>
      <c r="G779" s="4" t="str">
        <f>HYPERLINK("http://141.218.60.56/~jnz1568/getInfo.php?workbook=03_02.xlsx&amp;sheet=A0&amp;row=779&amp;col=7&amp;number=&amp;sourceID=15","")</f>
        <v/>
      </c>
      <c r="H779" s="4" t="str">
        <f>HYPERLINK("http://141.218.60.56/~jnz1568/getInfo.php?workbook=03_02.xlsx&amp;sheet=A0&amp;row=779&amp;col=8&amp;number=&amp;sourceID=15","")</f>
        <v/>
      </c>
      <c r="I779" s="4" t="str">
        <f>HYPERLINK("http://141.218.60.56/~jnz1568/getInfo.php?workbook=03_02.xlsx&amp;sheet=A0&amp;row=779&amp;col=9&amp;number=&amp;sourceID=15","")</f>
        <v/>
      </c>
      <c r="J779" s="4" t="str">
        <f>HYPERLINK("http://141.218.60.56/~jnz1568/getInfo.php?workbook=03_02.xlsx&amp;sheet=A0&amp;row=779&amp;col=10&amp;number=&amp;sourceID=15","")</f>
        <v/>
      </c>
      <c r="K779" s="4" t="str">
        <f>HYPERLINK("http://141.218.60.56/~jnz1568/getInfo.php?workbook=03_02.xlsx&amp;sheet=A0&amp;row=779&amp;col=11&amp;number=&amp;sourceID=30","")</f>
        <v/>
      </c>
      <c r="L779" s="4" t="str">
        <f>HYPERLINK("http://141.218.60.56/~jnz1568/getInfo.php?workbook=03_02.xlsx&amp;sheet=A0&amp;row=779&amp;col=12&amp;number=&amp;sourceID=30","")</f>
        <v/>
      </c>
      <c r="M779" s="4" t="str">
        <f>HYPERLINK("http://141.218.60.56/~jnz1568/getInfo.php?workbook=03_02.xlsx&amp;sheet=A0&amp;row=779&amp;col=13&amp;number=&amp;sourceID=30","")</f>
        <v/>
      </c>
      <c r="N779" s="4" t="str">
        <f>HYPERLINK("http://141.218.60.56/~jnz1568/getInfo.php?workbook=03_02.xlsx&amp;sheet=A0&amp;row=779&amp;col=14&amp;number=1.1e-14&amp;sourceID=30","1.1e-14")</f>
        <v>1.1e-14</v>
      </c>
    </row>
    <row r="780" spans="1:14">
      <c r="A780" s="3">
        <v>3</v>
      </c>
      <c r="B780" s="3">
        <v>2</v>
      </c>
      <c r="C780" s="3">
        <v>45</v>
      </c>
      <c r="D780" s="3">
        <v>13</v>
      </c>
      <c r="E780" s="3"/>
      <c r="F780" s="4" t="str">
        <f>HYPERLINK("http://141.218.60.56/~jnz1568/getInfo.php?workbook=03_02.xlsx&amp;sheet=A0&amp;row=780&amp;col=6&amp;number=&amp;sourceID=27","")</f>
        <v/>
      </c>
      <c r="G780" s="4" t="str">
        <f>HYPERLINK("http://141.218.60.56/~jnz1568/getInfo.php?workbook=03_02.xlsx&amp;sheet=A0&amp;row=780&amp;col=7&amp;number=&amp;sourceID=15","")</f>
        <v/>
      </c>
      <c r="H780" s="4" t="str">
        <f>HYPERLINK("http://141.218.60.56/~jnz1568/getInfo.php?workbook=03_02.xlsx&amp;sheet=A0&amp;row=780&amp;col=8&amp;number=&amp;sourceID=15","")</f>
        <v/>
      </c>
      <c r="I780" s="4" t="str">
        <f>HYPERLINK("http://141.218.60.56/~jnz1568/getInfo.php?workbook=03_02.xlsx&amp;sheet=A0&amp;row=780&amp;col=9&amp;number=&amp;sourceID=15","")</f>
        <v/>
      </c>
      <c r="J780" s="4" t="str">
        <f>HYPERLINK("http://141.218.60.56/~jnz1568/getInfo.php?workbook=03_02.xlsx&amp;sheet=A0&amp;row=780&amp;col=10&amp;number=&amp;sourceID=15","")</f>
        <v/>
      </c>
      <c r="K780" s="4" t="str">
        <f>HYPERLINK("http://141.218.60.56/~jnz1568/getInfo.php?workbook=03_02.xlsx&amp;sheet=A0&amp;row=780&amp;col=11&amp;number=&amp;sourceID=30","")</f>
        <v/>
      </c>
      <c r="L780" s="4" t="str">
        <f>HYPERLINK("http://141.218.60.56/~jnz1568/getInfo.php?workbook=03_02.xlsx&amp;sheet=A0&amp;row=780&amp;col=12&amp;number=337.6&amp;sourceID=30","337.6")</f>
        <v>337.6</v>
      </c>
      <c r="M780" s="4" t="str">
        <f>HYPERLINK("http://141.218.60.56/~jnz1568/getInfo.php?workbook=03_02.xlsx&amp;sheet=A0&amp;row=780&amp;col=13&amp;number=&amp;sourceID=30","")</f>
        <v/>
      </c>
      <c r="N780" s="4" t="str">
        <f>HYPERLINK("http://141.218.60.56/~jnz1568/getInfo.php?workbook=03_02.xlsx&amp;sheet=A0&amp;row=780&amp;col=14&amp;number=&amp;sourceID=30","")</f>
        <v/>
      </c>
    </row>
    <row r="781" spans="1:14">
      <c r="A781" s="3">
        <v>3</v>
      </c>
      <c r="B781" s="3">
        <v>2</v>
      </c>
      <c r="C781" s="3">
        <v>45</v>
      </c>
      <c r="D781" s="3">
        <v>14</v>
      </c>
      <c r="E781" s="3"/>
      <c r="F781" s="4" t="str">
        <f>HYPERLINK("http://141.218.60.56/~jnz1568/getInfo.php?workbook=03_02.xlsx&amp;sheet=A0&amp;row=781&amp;col=6&amp;number=&amp;sourceID=27","")</f>
        <v/>
      </c>
      <c r="G781" s="4" t="str">
        <f>HYPERLINK("http://141.218.60.56/~jnz1568/getInfo.php?workbook=03_02.xlsx&amp;sheet=A0&amp;row=781&amp;col=7&amp;number=&amp;sourceID=15","")</f>
        <v/>
      </c>
      <c r="H781" s="4" t="str">
        <f>HYPERLINK("http://141.218.60.56/~jnz1568/getInfo.php?workbook=03_02.xlsx&amp;sheet=A0&amp;row=781&amp;col=8&amp;number=&amp;sourceID=15","")</f>
        <v/>
      </c>
      <c r="I781" s="4" t="str">
        <f>HYPERLINK("http://141.218.60.56/~jnz1568/getInfo.php?workbook=03_02.xlsx&amp;sheet=A0&amp;row=781&amp;col=9&amp;number=&amp;sourceID=15","")</f>
        <v/>
      </c>
      <c r="J781" s="4" t="str">
        <f>HYPERLINK("http://141.218.60.56/~jnz1568/getInfo.php?workbook=03_02.xlsx&amp;sheet=A0&amp;row=781&amp;col=10&amp;number=&amp;sourceID=15","")</f>
        <v/>
      </c>
      <c r="K781" s="4" t="str">
        <f>HYPERLINK("http://141.218.60.56/~jnz1568/getInfo.php?workbook=03_02.xlsx&amp;sheet=A0&amp;row=781&amp;col=11&amp;number=&amp;sourceID=30","")</f>
        <v/>
      </c>
      <c r="L781" s="4" t="str">
        <f>HYPERLINK("http://141.218.60.56/~jnz1568/getInfo.php?workbook=03_02.xlsx&amp;sheet=A0&amp;row=781&amp;col=12&amp;number=65.73&amp;sourceID=30","65.73")</f>
        <v>65.73</v>
      </c>
      <c r="M781" s="4" t="str">
        <f>HYPERLINK("http://141.218.60.56/~jnz1568/getInfo.php?workbook=03_02.xlsx&amp;sheet=A0&amp;row=781&amp;col=13&amp;number=9.236e-10&amp;sourceID=30","9.236e-10")</f>
        <v>9.236e-10</v>
      </c>
      <c r="N781" s="4" t="str">
        <f>HYPERLINK("http://141.218.60.56/~jnz1568/getInfo.php?workbook=03_02.xlsx&amp;sheet=A0&amp;row=781&amp;col=14&amp;number=&amp;sourceID=30","")</f>
        <v/>
      </c>
    </row>
    <row r="782" spans="1:14">
      <c r="A782" s="3">
        <v>3</v>
      </c>
      <c r="B782" s="3">
        <v>2</v>
      </c>
      <c r="C782" s="3">
        <v>45</v>
      </c>
      <c r="D782" s="3">
        <v>16</v>
      </c>
      <c r="E782" s="3"/>
      <c r="F782" s="4" t="str">
        <f>HYPERLINK("http://141.218.60.56/~jnz1568/getInfo.php?workbook=03_02.xlsx&amp;sheet=A0&amp;row=782&amp;col=6&amp;number=&amp;sourceID=27","")</f>
        <v/>
      </c>
      <c r="G782" s="4" t="str">
        <f>HYPERLINK("http://141.218.60.56/~jnz1568/getInfo.php?workbook=03_02.xlsx&amp;sheet=A0&amp;row=782&amp;col=7&amp;number=&amp;sourceID=15","")</f>
        <v/>
      </c>
      <c r="H782" s="4" t="str">
        <f>HYPERLINK("http://141.218.60.56/~jnz1568/getInfo.php?workbook=03_02.xlsx&amp;sheet=A0&amp;row=782&amp;col=8&amp;number=&amp;sourceID=15","")</f>
        <v/>
      </c>
      <c r="I782" s="4" t="str">
        <f>HYPERLINK("http://141.218.60.56/~jnz1568/getInfo.php?workbook=03_02.xlsx&amp;sheet=A0&amp;row=782&amp;col=9&amp;number=&amp;sourceID=15","")</f>
        <v/>
      </c>
      <c r="J782" s="4" t="str">
        <f>HYPERLINK("http://141.218.60.56/~jnz1568/getInfo.php?workbook=03_02.xlsx&amp;sheet=A0&amp;row=782&amp;col=10&amp;number=&amp;sourceID=15","")</f>
        <v/>
      </c>
      <c r="K782" s="4" t="str">
        <f>HYPERLINK("http://141.218.60.56/~jnz1568/getInfo.php?workbook=03_02.xlsx&amp;sheet=A0&amp;row=782&amp;col=11&amp;number=&amp;sourceID=30","")</f>
        <v/>
      </c>
      <c r="L782" s="4" t="str">
        <f>HYPERLINK("http://141.218.60.56/~jnz1568/getInfo.php?workbook=03_02.xlsx&amp;sheet=A0&amp;row=782&amp;col=12&amp;number=339.8&amp;sourceID=30","339.8")</f>
        <v>339.8</v>
      </c>
      <c r="M782" s="4" t="str">
        <f>HYPERLINK("http://141.218.60.56/~jnz1568/getInfo.php?workbook=03_02.xlsx&amp;sheet=A0&amp;row=782&amp;col=13&amp;number=&amp;sourceID=30","")</f>
        <v/>
      </c>
      <c r="N782" s="4" t="str">
        <f>HYPERLINK("http://141.218.60.56/~jnz1568/getInfo.php?workbook=03_02.xlsx&amp;sheet=A0&amp;row=782&amp;col=14&amp;number=&amp;sourceID=30","")</f>
        <v/>
      </c>
    </row>
    <row r="783" spans="1:14">
      <c r="A783" s="3">
        <v>3</v>
      </c>
      <c r="B783" s="3">
        <v>2</v>
      </c>
      <c r="C783" s="3">
        <v>45</v>
      </c>
      <c r="D783" s="3">
        <v>22</v>
      </c>
      <c r="E783" s="3"/>
      <c r="F783" s="4" t="str">
        <f>HYPERLINK("http://141.218.60.56/~jnz1568/getInfo.php?workbook=03_02.xlsx&amp;sheet=A0&amp;row=783&amp;col=6&amp;number=&amp;sourceID=27","")</f>
        <v/>
      </c>
      <c r="G783" s="4" t="str">
        <f>HYPERLINK("http://141.218.60.56/~jnz1568/getInfo.php?workbook=03_02.xlsx&amp;sheet=A0&amp;row=783&amp;col=7&amp;number=&amp;sourceID=15","")</f>
        <v/>
      </c>
      <c r="H783" s="4" t="str">
        <f>HYPERLINK("http://141.218.60.56/~jnz1568/getInfo.php?workbook=03_02.xlsx&amp;sheet=A0&amp;row=783&amp;col=8&amp;number=&amp;sourceID=15","")</f>
        <v/>
      </c>
      <c r="I783" s="4" t="str">
        <f>HYPERLINK("http://141.218.60.56/~jnz1568/getInfo.php?workbook=03_02.xlsx&amp;sheet=A0&amp;row=783&amp;col=9&amp;number=&amp;sourceID=15","")</f>
        <v/>
      </c>
      <c r="J783" s="4" t="str">
        <f>HYPERLINK("http://141.218.60.56/~jnz1568/getInfo.php?workbook=03_02.xlsx&amp;sheet=A0&amp;row=783&amp;col=10&amp;number=&amp;sourceID=15","")</f>
        <v/>
      </c>
      <c r="K783" s="4" t="str">
        <f>HYPERLINK("http://141.218.60.56/~jnz1568/getInfo.php?workbook=03_02.xlsx&amp;sheet=A0&amp;row=783&amp;col=11&amp;number=&amp;sourceID=30","")</f>
        <v/>
      </c>
      <c r="L783" s="4" t="str">
        <f>HYPERLINK("http://141.218.60.56/~jnz1568/getInfo.php?workbook=03_02.xlsx&amp;sheet=A0&amp;row=783&amp;col=12&amp;number=&amp;sourceID=30","")</f>
        <v/>
      </c>
      <c r="M783" s="4" t="str">
        <f>HYPERLINK("http://141.218.60.56/~jnz1568/getInfo.php?workbook=03_02.xlsx&amp;sheet=A0&amp;row=783&amp;col=13&amp;number=&amp;sourceID=30","")</f>
        <v/>
      </c>
      <c r="N783" s="4" t="str">
        <f>HYPERLINK("http://141.218.60.56/~jnz1568/getInfo.php?workbook=03_02.xlsx&amp;sheet=A0&amp;row=783&amp;col=14&amp;number=0&amp;sourceID=30","0")</f>
        <v>0</v>
      </c>
    </row>
    <row r="784" spans="1:14">
      <c r="A784" s="3">
        <v>3</v>
      </c>
      <c r="B784" s="3">
        <v>2</v>
      </c>
      <c r="C784" s="3">
        <v>45</v>
      </c>
      <c r="D784" s="3">
        <v>24</v>
      </c>
      <c r="E784" s="3"/>
      <c r="F784" s="4" t="str">
        <f>HYPERLINK("http://141.218.60.56/~jnz1568/getInfo.php?workbook=03_02.xlsx&amp;sheet=A0&amp;row=784&amp;col=6&amp;number=&amp;sourceID=27","")</f>
        <v/>
      </c>
      <c r="G784" s="4" t="str">
        <f>HYPERLINK("http://141.218.60.56/~jnz1568/getInfo.php?workbook=03_02.xlsx&amp;sheet=A0&amp;row=784&amp;col=7&amp;number=&amp;sourceID=15","")</f>
        <v/>
      </c>
      <c r="H784" s="4" t="str">
        <f>HYPERLINK("http://141.218.60.56/~jnz1568/getInfo.php?workbook=03_02.xlsx&amp;sheet=A0&amp;row=784&amp;col=8&amp;number=&amp;sourceID=15","")</f>
        <v/>
      </c>
      <c r="I784" s="4" t="str">
        <f>HYPERLINK("http://141.218.60.56/~jnz1568/getInfo.php?workbook=03_02.xlsx&amp;sheet=A0&amp;row=784&amp;col=9&amp;number=&amp;sourceID=15","")</f>
        <v/>
      </c>
      <c r="J784" s="4" t="str">
        <f>HYPERLINK("http://141.218.60.56/~jnz1568/getInfo.php?workbook=03_02.xlsx&amp;sheet=A0&amp;row=784&amp;col=10&amp;number=&amp;sourceID=15","")</f>
        <v/>
      </c>
      <c r="K784" s="4" t="str">
        <f>HYPERLINK("http://141.218.60.56/~jnz1568/getInfo.php?workbook=03_02.xlsx&amp;sheet=A0&amp;row=784&amp;col=11&amp;number=&amp;sourceID=30","")</f>
        <v/>
      </c>
      <c r="L784" s="4" t="str">
        <f>HYPERLINK("http://141.218.60.56/~jnz1568/getInfo.php?workbook=03_02.xlsx&amp;sheet=A0&amp;row=784&amp;col=12&amp;number=29&amp;sourceID=30","29")</f>
        <v>29</v>
      </c>
      <c r="M784" s="4" t="str">
        <f>HYPERLINK("http://141.218.60.56/~jnz1568/getInfo.php?workbook=03_02.xlsx&amp;sheet=A0&amp;row=784&amp;col=13&amp;number=&amp;sourceID=30","")</f>
        <v/>
      </c>
      <c r="N784" s="4" t="str">
        <f>HYPERLINK("http://141.218.60.56/~jnz1568/getInfo.php?workbook=03_02.xlsx&amp;sheet=A0&amp;row=784&amp;col=14&amp;number=&amp;sourceID=30","")</f>
        <v/>
      </c>
    </row>
    <row r="785" spans="1:14">
      <c r="A785" s="3">
        <v>3</v>
      </c>
      <c r="B785" s="3">
        <v>2</v>
      </c>
      <c r="C785" s="3">
        <v>45</v>
      </c>
      <c r="D785" s="3">
        <v>25</v>
      </c>
      <c r="E785" s="3"/>
      <c r="F785" s="4" t="str">
        <f>HYPERLINK("http://141.218.60.56/~jnz1568/getInfo.php?workbook=03_02.xlsx&amp;sheet=A0&amp;row=785&amp;col=6&amp;number=&amp;sourceID=27","")</f>
        <v/>
      </c>
      <c r="G785" s="4" t="str">
        <f>HYPERLINK("http://141.218.60.56/~jnz1568/getInfo.php?workbook=03_02.xlsx&amp;sheet=A0&amp;row=785&amp;col=7&amp;number=&amp;sourceID=15","")</f>
        <v/>
      </c>
      <c r="H785" s="4" t="str">
        <f>HYPERLINK("http://141.218.60.56/~jnz1568/getInfo.php?workbook=03_02.xlsx&amp;sheet=A0&amp;row=785&amp;col=8&amp;number=&amp;sourceID=15","")</f>
        <v/>
      </c>
      <c r="I785" s="4" t="str">
        <f>HYPERLINK("http://141.218.60.56/~jnz1568/getInfo.php?workbook=03_02.xlsx&amp;sheet=A0&amp;row=785&amp;col=9&amp;number=&amp;sourceID=15","")</f>
        <v/>
      </c>
      <c r="J785" s="4" t="str">
        <f>HYPERLINK("http://141.218.60.56/~jnz1568/getInfo.php?workbook=03_02.xlsx&amp;sheet=A0&amp;row=785&amp;col=10&amp;number=&amp;sourceID=15","")</f>
        <v/>
      </c>
      <c r="K785" s="4" t="str">
        <f>HYPERLINK("http://141.218.60.56/~jnz1568/getInfo.php?workbook=03_02.xlsx&amp;sheet=A0&amp;row=785&amp;col=11&amp;number=&amp;sourceID=30","")</f>
        <v/>
      </c>
      <c r="L785" s="4" t="str">
        <f>HYPERLINK("http://141.218.60.56/~jnz1568/getInfo.php?workbook=03_02.xlsx&amp;sheet=A0&amp;row=785&amp;col=12&amp;number=5.686&amp;sourceID=30","5.686")</f>
        <v>5.686</v>
      </c>
      <c r="M785" s="4" t="str">
        <f>HYPERLINK("http://141.218.60.56/~jnz1568/getInfo.php?workbook=03_02.xlsx&amp;sheet=A0&amp;row=785&amp;col=13&amp;number=4.143e-11&amp;sourceID=30","4.143e-11")</f>
        <v>4.143e-11</v>
      </c>
      <c r="N785" s="4" t="str">
        <f>HYPERLINK("http://141.218.60.56/~jnz1568/getInfo.php?workbook=03_02.xlsx&amp;sheet=A0&amp;row=785&amp;col=14&amp;number=&amp;sourceID=30","")</f>
        <v/>
      </c>
    </row>
    <row r="786" spans="1:14">
      <c r="A786" s="3">
        <v>3</v>
      </c>
      <c r="B786" s="3">
        <v>2</v>
      </c>
      <c r="C786" s="3">
        <v>45</v>
      </c>
      <c r="D786" s="3">
        <v>26</v>
      </c>
      <c r="E786" s="3"/>
      <c r="F786" s="4" t="str">
        <f>HYPERLINK("http://141.218.60.56/~jnz1568/getInfo.php?workbook=03_02.xlsx&amp;sheet=A0&amp;row=786&amp;col=6&amp;number=&amp;sourceID=27","")</f>
        <v/>
      </c>
      <c r="G786" s="4" t="str">
        <f>HYPERLINK("http://141.218.60.56/~jnz1568/getInfo.php?workbook=03_02.xlsx&amp;sheet=A0&amp;row=786&amp;col=7&amp;number=&amp;sourceID=15","")</f>
        <v/>
      </c>
      <c r="H786" s="4" t="str">
        <f>HYPERLINK("http://141.218.60.56/~jnz1568/getInfo.php?workbook=03_02.xlsx&amp;sheet=A0&amp;row=786&amp;col=8&amp;number=&amp;sourceID=15","")</f>
        <v/>
      </c>
      <c r="I786" s="4" t="str">
        <f>HYPERLINK("http://141.218.60.56/~jnz1568/getInfo.php?workbook=03_02.xlsx&amp;sheet=A0&amp;row=786&amp;col=9&amp;number=&amp;sourceID=15","")</f>
        <v/>
      </c>
      <c r="J786" s="4" t="str">
        <f>HYPERLINK("http://141.218.60.56/~jnz1568/getInfo.php?workbook=03_02.xlsx&amp;sheet=A0&amp;row=786&amp;col=10&amp;number=&amp;sourceID=15","")</f>
        <v/>
      </c>
      <c r="K786" s="4" t="str">
        <f>HYPERLINK("http://141.218.60.56/~jnz1568/getInfo.php?workbook=03_02.xlsx&amp;sheet=A0&amp;row=786&amp;col=11&amp;number=&amp;sourceID=30","")</f>
        <v/>
      </c>
      <c r="L786" s="4" t="str">
        <f>HYPERLINK("http://141.218.60.56/~jnz1568/getInfo.php?workbook=03_02.xlsx&amp;sheet=A0&amp;row=786&amp;col=12&amp;number=29.4&amp;sourceID=30","29.4")</f>
        <v>29.4</v>
      </c>
      <c r="M786" s="4" t="str">
        <f>HYPERLINK("http://141.218.60.56/~jnz1568/getInfo.php?workbook=03_02.xlsx&amp;sheet=A0&amp;row=786&amp;col=13&amp;number=&amp;sourceID=30","")</f>
        <v/>
      </c>
      <c r="N786" s="4" t="str">
        <f>HYPERLINK("http://141.218.60.56/~jnz1568/getInfo.php?workbook=03_02.xlsx&amp;sheet=A0&amp;row=786&amp;col=14&amp;number=&amp;sourceID=30","")</f>
        <v/>
      </c>
    </row>
    <row r="787" spans="1:14">
      <c r="A787" s="3">
        <v>3</v>
      </c>
      <c r="B787" s="3">
        <v>2</v>
      </c>
      <c r="C787" s="3">
        <v>45</v>
      </c>
      <c r="D787" s="3">
        <v>27</v>
      </c>
      <c r="E787" s="3"/>
      <c r="F787" s="4" t="str">
        <f>HYPERLINK("http://141.218.60.56/~jnz1568/getInfo.php?workbook=03_02.xlsx&amp;sheet=A0&amp;row=787&amp;col=6&amp;number=&amp;sourceID=27","")</f>
        <v/>
      </c>
      <c r="G787" s="4" t="str">
        <f>HYPERLINK("http://141.218.60.56/~jnz1568/getInfo.php?workbook=03_02.xlsx&amp;sheet=A0&amp;row=787&amp;col=7&amp;number=&amp;sourceID=15","")</f>
        <v/>
      </c>
      <c r="H787" s="4" t="str">
        <f>HYPERLINK("http://141.218.60.56/~jnz1568/getInfo.php?workbook=03_02.xlsx&amp;sheet=A0&amp;row=787&amp;col=8&amp;number=&amp;sourceID=15","")</f>
        <v/>
      </c>
      <c r="I787" s="4" t="str">
        <f>HYPERLINK("http://141.218.60.56/~jnz1568/getInfo.php?workbook=03_02.xlsx&amp;sheet=A0&amp;row=787&amp;col=9&amp;number=&amp;sourceID=15","")</f>
        <v/>
      </c>
      <c r="J787" s="4" t="str">
        <f>HYPERLINK("http://141.218.60.56/~jnz1568/getInfo.php?workbook=03_02.xlsx&amp;sheet=A0&amp;row=787&amp;col=10&amp;number=&amp;sourceID=15","")</f>
        <v/>
      </c>
      <c r="K787" s="4" t="str">
        <f>HYPERLINK("http://141.218.60.56/~jnz1568/getInfo.php?workbook=03_02.xlsx&amp;sheet=A0&amp;row=787&amp;col=11&amp;number=&amp;sourceID=30","")</f>
        <v/>
      </c>
      <c r="L787" s="4" t="str">
        <f>HYPERLINK("http://141.218.60.56/~jnz1568/getInfo.php?workbook=03_02.xlsx&amp;sheet=A0&amp;row=787&amp;col=12&amp;number=&amp;sourceID=30","")</f>
        <v/>
      </c>
      <c r="M787" s="4" t="str">
        <f>HYPERLINK("http://141.218.60.56/~jnz1568/getInfo.php?workbook=03_02.xlsx&amp;sheet=A0&amp;row=787&amp;col=13&amp;number=&amp;sourceID=30","")</f>
        <v/>
      </c>
      <c r="N787" s="4" t="str">
        <f>HYPERLINK("http://141.218.60.56/~jnz1568/getInfo.php?workbook=03_02.xlsx&amp;sheet=A0&amp;row=787&amp;col=14&amp;number=3.59e-06&amp;sourceID=30","3.59e-06")</f>
        <v>3.59e-06</v>
      </c>
    </row>
    <row r="788" spans="1:14">
      <c r="A788" s="3">
        <v>3</v>
      </c>
      <c r="B788" s="3">
        <v>2</v>
      </c>
      <c r="C788" s="3">
        <v>45</v>
      </c>
      <c r="D788" s="3">
        <v>28</v>
      </c>
      <c r="E788" s="3"/>
      <c r="F788" s="4" t="str">
        <f>HYPERLINK("http://141.218.60.56/~jnz1568/getInfo.php?workbook=03_02.xlsx&amp;sheet=A0&amp;row=788&amp;col=6&amp;number=&amp;sourceID=27","")</f>
        <v/>
      </c>
      <c r="G788" s="4" t="str">
        <f>HYPERLINK("http://141.218.60.56/~jnz1568/getInfo.php?workbook=03_02.xlsx&amp;sheet=A0&amp;row=788&amp;col=7&amp;number=&amp;sourceID=15","")</f>
        <v/>
      </c>
      <c r="H788" s="4" t="str">
        <f>HYPERLINK("http://141.218.60.56/~jnz1568/getInfo.php?workbook=03_02.xlsx&amp;sheet=A0&amp;row=788&amp;col=8&amp;number=&amp;sourceID=15","")</f>
        <v/>
      </c>
      <c r="I788" s="4" t="str">
        <f>HYPERLINK("http://141.218.60.56/~jnz1568/getInfo.php?workbook=03_02.xlsx&amp;sheet=A0&amp;row=788&amp;col=9&amp;number=&amp;sourceID=15","")</f>
        <v/>
      </c>
      <c r="J788" s="4" t="str">
        <f>HYPERLINK("http://141.218.60.56/~jnz1568/getInfo.php?workbook=03_02.xlsx&amp;sheet=A0&amp;row=788&amp;col=10&amp;number=&amp;sourceID=15","")</f>
        <v/>
      </c>
      <c r="K788" s="4" t="str">
        <f>HYPERLINK("http://141.218.60.56/~jnz1568/getInfo.php?workbook=03_02.xlsx&amp;sheet=A0&amp;row=788&amp;col=11&amp;number=60390000&amp;sourceID=30","60390000")</f>
        <v>60390000</v>
      </c>
      <c r="L788" s="4" t="str">
        <f>HYPERLINK("http://141.218.60.56/~jnz1568/getInfo.php?workbook=03_02.xlsx&amp;sheet=A0&amp;row=788&amp;col=12&amp;number=&amp;sourceID=30","")</f>
        <v/>
      </c>
      <c r="M788" s="4" t="str">
        <f>HYPERLINK("http://141.218.60.56/~jnz1568/getInfo.php?workbook=03_02.xlsx&amp;sheet=A0&amp;row=788&amp;col=13&amp;number=&amp;sourceID=30","")</f>
        <v/>
      </c>
      <c r="N788" s="4" t="str">
        <f>HYPERLINK("http://141.218.60.56/~jnz1568/getInfo.php?workbook=03_02.xlsx&amp;sheet=A0&amp;row=788&amp;col=14&amp;number=3.607e-05&amp;sourceID=30","3.607e-05")</f>
        <v>3.607e-05</v>
      </c>
    </row>
    <row r="789" spans="1:14">
      <c r="A789" s="3">
        <v>3</v>
      </c>
      <c r="B789" s="3">
        <v>2</v>
      </c>
      <c r="C789" s="3">
        <v>45</v>
      </c>
      <c r="D789" s="3">
        <v>29</v>
      </c>
      <c r="E789" s="3"/>
      <c r="F789" s="4" t="str">
        <f>HYPERLINK("http://141.218.60.56/~jnz1568/getInfo.php?workbook=03_02.xlsx&amp;sheet=A0&amp;row=789&amp;col=6&amp;number=&amp;sourceID=27","")</f>
        <v/>
      </c>
      <c r="G789" s="4" t="str">
        <f>HYPERLINK("http://141.218.60.56/~jnz1568/getInfo.php?workbook=03_02.xlsx&amp;sheet=A0&amp;row=789&amp;col=7&amp;number=&amp;sourceID=15","")</f>
        <v/>
      </c>
      <c r="H789" s="4" t="str">
        <f>HYPERLINK("http://141.218.60.56/~jnz1568/getInfo.php?workbook=03_02.xlsx&amp;sheet=A0&amp;row=789&amp;col=8&amp;number=&amp;sourceID=15","")</f>
        <v/>
      </c>
      <c r="I789" s="4" t="str">
        <f>HYPERLINK("http://141.218.60.56/~jnz1568/getInfo.php?workbook=03_02.xlsx&amp;sheet=A0&amp;row=789&amp;col=9&amp;number=&amp;sourceID=15","")</f>
        <v/>
      </c>
      <c r="J789" s="4" t="str">
        <f>HYPERLINK("http://141.218.60.56/~jnz1568/getInfo.php?workbook=03_02.xlsx&amp;sheet=A0&amp;row=789&amp;col=10&amp;number=&amp;sourceID=15","")</f>
        <v/>
      </c>
      <c r="K789" s="4" t="str">
        <f>HYPERLINK("http://141.218.60.56/~jnz1568/getInfo.php?workbook=03_02.xlsx&amp;sheet=A0&amp;row=789&amp;col=11&amp;number=2257000&amp;sourceID=30","2257000")</f>
        <v>2257000</v>
      </c>
      <c r="L789" s="4" t="str">
        <f>HYPERLINK("http://141.218.60.56/~jnz1568/getInfo.php?workbook=03_02.xlsx&amp;sheet=A0&amp;row=789&amp;col=12&amp;number=&amp;sourceID=30","")</f>
        <v/>
      </c>
      <c r="M789" s="4" t="str">
        <f>HYPERLINK("http://141.218.60.56/~jnz1568/getInfo.php?workbook=03_02.xlsx&amp;sheet=A0&amp;row=789&amp;col=13&amp;number=&amp;sourceID=30","")</f>
        <v/>
      </c>
      <c r="N789" s="4" t="str">
        <f>HYPERLINK("http://141.218.60.56/~jnz1568/getInfo.php?workbook=03_02.xlsx&amp;sheet=A0&amp;row=789&amp;col=14&amp;number=1.108e-08&amp;sourceID=30","1.108e-08")</f>
        <v>1.108e-08</v>
      </c>
    </row>
    <row r="790" spans="1:14">
      <c r="A790" s="3">
        <v>3</v>
      </c>
      <c r="B790" s="3">
        <v>2</v>
      </c>
      <c r="C790" s="3">
        <v>45</v>
      </c>
      <c r="D790" s="3">
        <v>30</v>
      </c>
      <c r="E790" s="3"/>
      <c r="F790" s="4" t="str">
        <f>HYPERLINK("http://141.218.60.56/~jnz1568/getInfo.php?workbook=03_02.xlsx&amp;sheet=A0&amp;row=790&amp;col=6&amp;number=&amp;sourceID=27","")</f>
        <v/>
      </c>
      <c r="G790" s="4" t="str">
        <f>HYPERLINK("http://141.218.60.56/~jnz1568/getInfo.php?workbook=03_02.xlsx&amp;sheet=A0&amp;row=790&amp;col=7&amp;number=&amp;sourceID=15","")</f>
        <v/>
      </c>
      <c r="H790" s="4" t="str">
        <f>HYPERLINK("http://141.218.60.56/~jnz1568/getInfo.php?workbook=03_02.xlsx&amp;sheet=A0&amp;row=790&amp;col=8&amp;number=&amp;sourceID=15","")</f>
        <v/>
      </c>
      <c r="I790" s="4" t="str">
        <f>HYPERLINK("http://141.218.60.56/~jnz1568/getInfo.php?workbook=03_02.xlsx&amp;sheet=A0&amp;row=790&amp;col=9&amp;number=&amp;sourceID=15","")</f>
        <v/>
      </c>
      <c r="J790" s="4" t="str">
        <f>HYPERLINK("http://141.218.60.56/~jnz1568/getInfo.php?workbook=03_02.xlsx&amp;sheet=A0&amp;row=790&amp;col=10&amp;number=&amp;sourceID=15","")</f>
        <v/>
      </c>
      <c r="K790" s="4" t="str">
        <f>HYPERLINK("http://141.218.60.56/~jnz1568/getInfo.php?workbook=03_02.xlsx&amp;sheet=A0&amp;row=790&amp;col=11&amp;number=5460000&amp;sourceID=30","5460000")</f>
        <v>5460000</v>
      </c>
      <c r="L790" s="4" t="str">
        <f>HYPERLINK("http://141.218.60.56/~jnz1568/getInfo.php?workbook=03_02.xlsx&amp;sheet=A0&amp;row=790&amp;col=12&amp;number=&amp;sourceID=30","")</f>
        <v/>
      </c>
      <c r="M790" s="4" t="str">
        <f>HYPERLINK("http://141.218.60.56/~jnz1568/getInfo.php?workbook=03_02.xlsx&amp;sheet=A0&amp;row=790&amp;col=13&amp;number=&amp;sourceID=30","")</f>
        <v/>
      </c>
      <c r="N790" s="4" t="str">
        <f>HYPERLINK("http://141.218.60.56/~jnz1568/getInfo.php?workbook=03_02.xlsx&amp;sheet=A0&amp;row=790&amp;col=14&amp;number=3.221e-06&amp;sourceID=30","3.221e-06")</f>
        <v>3.221e-06</v>
      </c>
    </row>
    <row r="791" spans="1:14">
      <c r="A791" s="3">
        <v>3</v>
      </c>
      <c r="B791" s="3">
        <v>2</v>
      </c>
      <c r="C791" s="3">
        <v>45</v>
      </c>
      <c r="D791" s="3">
        <v>36</v>
      </c>
      <c r="E791" s="3"/>
      <c r="F791" s="4" t="str">
        <f>HYPERLINK("http://141.218.60.56/~jnz1568/getInfo.php?workbook=03_02.xlsx&amp;sheet=A0&amp;row=791&amp;col=6&amp;number=&amp;sourceID=27","")</f>
        <v/>
      </c>
      <c r="G791" s="4" t="str">
        <f>HYPERLINK("http://141.218.60.56/~jnz1568/getInfo.php?workbook=03_02.xlsx&amp;sheet=A0&amp;row=791&amp;col=7&amp;number=&amp;sourceID=15","")</f>
        <v/>
      </c>
      <c r="H791" s="4" t="str">
        <f>HYPERLINK("http://141.218.60.56/~jnz1568/getInfo.php?workbook=03_02.xlsx&amp;sheet=A0&amp;row=791&amp;col=8&amp;number=&amp;sourceID=15","")</f>
        <v/>
      </c>
      <c r="I791" s="4" t="str">
        <f>HYPERLINK("http://141.218.60.56/~jnz1568/getInfo.php?workbook=03_02.xlsx&amp;sheet=A0&amp;row=791&amp;col=9&amp;number=&amp;sourceID=15","")</f>
        <v/>
      </c>
      <c r="J791" s="4" t="str">
        <f>HYPERLINK("http://141.218.60.56/~jnz1568/getInfo.php?workbook=03_02.xlsx&amp;sheet=A0&amp;row=791&amp;col=10&amp;number=&amp;sourceID=15","")</f>
        <v/>
      </c>
      <c r="K791" s="4" t="str">
        <f>HYPERLINK("http://141.218.60.56/~jnz1568/getInfo.php?workbook=03_02.xlsx&amp;sheet=A0&amp;row=791&amp;col=11&amp;number=&amp;sourceID=30","")</f>
        <v/>
      </c>
      <c r="L791" s="4" t="str">
        <f>HYPERLINK("http://141.218.60.56/~jnz1568/getInfo.php?workbook=03_02.xlsx&amp;sheet=A0&amp;row=791&amp;col=12&amp;number=&amp;sourceID=30","")</f>
        <v/>
      </c>
      <c r="M791" s="4" t="str">
        <f>HYPERLINK("http://141.218.60.56/~jnz1568/getInfo.php?workbook=03_02.xlsx&amp;sheet=A0&amp;row=791&amp;col=13&amp;number=&amp;sourceID=30","")</f>
        <v/>
      </c>
      <c r="N791" s="4" t="str">
        <f>HYPERLINK("http://141.218.60.56/~jnz1568/getInfo.php?workbook=03_02.xlsx&amp;sheet=A0&amp;row=791&amp;col=14&amp;number=0&amp;sourceID=30","0")</f>
        <v>0</v>
      </c>
    </row>
    <row r="792" spans="1:14">
      <c r="A792" s="3">
        <v>3</v>
      </c>
      <c r="B792" s="3">
        <v>2</v>
      </c>
      <c r="C792" s="3">
        <v>45</v>
      </c>
      <c r="D792" s="3">
        <v>38</v>
      </c>
      <c r="E792" s="3"/>
      <c r="F792" s="4" t="str">
        <f>HYPERLINK("http://141.218.60.56/~jnz1568/getInfo.php?workbook=03_02.xlsx&amp;sheet=A0&amp;row=792&amp;col=6&amp;number=&amp;sourceID=27","")</f>
        <v/>
      </c>
      <c r="G792" s="4" t="str">
        <f>HYPERLINK("http://141.218.60.56/~jnz1568/getInfo.php?workbook=03_02.xlsx&amp;sheet=A0&amp;row=792&amp;col=7&amp;number=&amp;sourceID=15","")</f>
        <v/>
      </c>
      <c r="H792" s="4" t="str">
        <f>HYPERLINK("http://141.218.60.56/~jnz1568/getInfo.php?workbook=03_02.xlsx&amp;sheet=A0&amp;row=792&amp;col=8&amp;number=&amp;sourceID=15","")</f>
        <v/>
      </c>
      <c r="I792" s="4" t="str">
        <f>HYPERLINK("http://141.218.60.56/~jnz1568/getInfo.php?workbook=03_02.xlsx&amp;sheet=A0&amp;row=792&amp;col=9&amp;number=&amp;sourceID=15","")</f>
        <v/>
      </c>
      <c r="J792" s="4" t="str">
        <f>HYPERLINK("http://141.218.60.56/~jnz1568/getInfo.php?workbook=03_02.xlsx&amp;sheet=A0&amp;row=792&amp;col=10&amp;number=&amp;sourceID=15","")</f>
        <v/>
      </c>
      <c r="K792" s="4" t="str">
        <f>HYPERLINK("http://141.218.60.56/~jnz1568/getInfo.php?workbook=03_02.xlsx&amp;sheet=A0&amp;row=792&amp;col=11&amp;number=&amp;sourceID=30","")</f>
        <v/>
      </c>
      <c r="L792" s="4" t="str">
        <f>HYPERLINK("http://141.218.60.56/~jnz1568/getInfo.php?workbook=03_02.xlsx&amp;sheet=A0&amp;row=792&amp;col=12&amp;number=3.2e-14&amp;sourceID=30","3.2e-14")</f>
        <v>3.2e-14</v>
      </c>
      <c r="M792" s="4" t="str">
        <f>HYPERLINK("http://141.218.60.56/~jnz1568/getInfo.php?workbook=03_02.xlsx&amp;sheet=A0&amp;row=792&amp;col=13&amp;number=&amp;sourceID=30","")</f>
        <v/>
      </c>
      <c r="N792" s="4" t="str">
        <f>HYPERLINK("http://141.218.60.56/~jnz1568/getInfo.php?workbook=03_02.xlsx&amp;sheet=A0&amp;row=792&amp;col=14&amp;number=&amp;sourceID=30","")</f>
        <v/>
      </c>
    </row>
    <row r="793" spans="1:14">
      <c r="A793" s="3">
        <v>3</v>
      </c>
      <c r="B793" s="3">
        <v>2</v>
      </c>
      <c r="C793" s="3">
        <v>45</v>
      </c>
      <c r="D793" s="3">
        <v>39</v>
      </c>
      <c r="E793" s="3"/>
      <c r="F793" s="4" t="str">
        <f>HYPERLINK("http://141.218.60.56/~jnz1568/getInfo.php?workbook=03_02.xlsx&amp;sheet=A0&amp;row=793&amp;col=6&amp;number=&amp;sourceID=27","")</f>
        <v/>
      </c>
      <c r="G793" s="4" t="str">
        <f>HYPERLINK("http://141.218.60.56/~jnz1568/getInfo.php?workbook=03_02.xlsx&amp;sheet=A0&amp;row=793&amp;col=7&amp;number=&amp;sourceID=15","")</f>
        <v/>
      </c>
      <c r="H793" s="4" t="str">
        <f>HYPERLINK("http://141.218.60.56/~jnz1568/getInfo.php?workbook=03_02.xlsx&amp;sheet=A0&amp;row=793&amp;col=8&amp;number=&amp;sourceID=15","")</f>
        <v/>
      </c>
      <c r="I793" s="4" t="str">
        <f>HYPERLINK("http://141.218.60.56/~jnz1568/getInfo.php?workbook=03_02.xlsx&amp;sheet=A0&amp;row=793&amp;col=9&amp;number=&amp;sourceID=15","")</f>
        <v/>
      </c>
      <c r="J793" s="4" t="str">
        <f>HYPERLINK("http://141.218.60.56/~jnz1568/getInfo.php?workbook=03_02.xlsx&amp;sheet=A0&amp;row=793&amp;col=10&amp;number=&amp;sourceID=15","")</f>
        <v/>
      </c>
      <c r="K793" s="4" t="str">
        <f>HYPERLINK("http://141.218.60.56/~jnz1568/getInfo.php?workbook=03_02.xlsx&amp;sheet=A0&amp;row=793&amp;col=11&amp;number=&amp;sourceID=30","")</f>
        <v/>
      </c>
      <c r="L793" s="4" t="str">
        <f>HYPERLINK("http://141.218.60.56/~jnz1568/getInfo.php?workbook=03_02.xlsx&amp;sheet=A0&amp;row=793&amp;col=12&amp;number=6e-15&amp;sourceID=30","6e-15")</f>
        <v>6e-15</v>
      </c>
      <c r="M793" s="4" t="str">
        <f>HYPERLINK("http://141.218.60.56/~jnz1568/getInfo.php?workbook=03_02.xlsx&amp;sheet=A0&amp;row=793&amp;col=13&amp;number=0&amp;sourceID=30","0")</f>
        <v>0</v>
      </c>
      <c r="N793" s="4" t="str">
        <f>HYPERLINK("http://141.218.60.56/~jnz1568/getInfo.php?workbook=03_02.xlsx&amp;sheet=A0&amp;row=793&amp;col=14&amp;number=&amp;sourceID=30","")</f>
        <v/>
      </c>
    </row>
    <row r="794" spans="1:14">
      <c r="A794" s="3">
        <v>3</v>
      </c>
      <c r="B794" s="3">
        <v>2</v>
      </c>
      <c r="C794" s="3">
        <v>45</v>
      </c>
      <c r="D794" s="3">
        <v>41</v>
      </c>
      <c r="E794" s="3"/>
      <c r="F794" s="4" t="str">
        <f>HYPERLINK("http://141.218.60.56/~jnz1568/getInfo.php?workbook=03_02.xlsx&amp;sheet=A0&amp;row=794&amp;col=6&amp;number=&amp;sourceID=27","")</f>
        <v/>
      </c>
      <c r="G794" s="4" t="str">
        <f>HYPERLINK("http://141.218.60.56/~jnz1568/getInfo.php?workbook=03_02.xlsx&amp;sheet=A0&amp;row=794&amp;col=7&amp;number=&amp;sourceID=15","")</f>
        <v/>
      </c>
      <c r="H794" s="4" t="str">
        <f>HYPERLINK("http://141.218.60.56/~jnz1568/getInfo.php?workbook=03_02.xlsx&amp;sheet=A0&amp;row=794&amp;col=8&amp;number=&amp;sourceID=15","")</f>
        <v/>
      </c>
      <c r="I794" s="4" t="str">
        <f>HYPERLINK("http://141.218.60.56/~jnz1568/getInfo.php?workbook=03_02.xlsx&amp;sheet=A0&amp;row=794&amp;col=9&amp;number=&amp;sourceID=15","")</f>
        <v/>
      </c>
      <c r="J794" s="4" t="str">
        <f>HYPERLINK("http://141.218.60.56/~jnz1568/getInfo.php?workbook=03_02.xlsx&amp;sheet=A0&amp;row=794&amp;col=10&amp;number=&amp;sourceID=15","")</f>
        <v/>
      </c>
      <c r="K794" s="4" t="str">
        <f>HYPERLINK("http://141.218.60.56/~jnz1568/getInfo.php?workbook=03_02.xlsx&amp;sheet=A0&amp;row=794&amp;col=11&amp;number=&amp;sourceID=30","")</f>
        <v/>
      </c>
      <c r="L794" s="4" t="str">
        <f>HYPERLINK("http://141.218.60.56/~jnz1568/getInfo.php?workbook=03_02.xlsx&amp;sheet=A0&amp;row=794&amp;col=12&amp;number=&amp;sourceID=30","")</f>
        <v/>
      </c>
      <c r="M794" s="4" t="str">
        <f>HYPERLINK("http://141.218.60.56/~jnz1568/getInfo.php?workbook=03_02.xlsx&amp;sheet=A0&amp;row=794&amp;col=13&amp;number=&amp;sourceID=30","")</f>
        <v/>
      </c>
      <c r="N794" s="4" t="str">
        <f>HYPERLINK("http://141.218.60.56/~jnz1568/getInfo.php?workbook=03_02.xlsx&amp;sheet=A0&amp;row=794&amp;col=14&amp;number=0&amp;sourceID=30","0")</f>
        <v>0</v>
      </c>
    </row>
    <row r="795" spans="1:14">
      <c r="A795" s="3">
        <v>3</v>
      </c>
      <c r="B795" s="3">
        <v>2</v>
      </c>
      <c r="C795" s="3">
        <v>45</v>
      </c>
      <c r="D795" s="3">
        <v>42</v>
      </c>
      <c r="E795" s="3"/>
      <c r="F795" s="4" t="str">
        <f>HYPERLINK("http://141.218.60.56/~jnz1568/getInfo.php?workbook=03_02.xlsx&amp;sheet=A0&amp;row=795&amp;col=6&amp;number=&amp;sourceID=27","")</f>
        <v/>
      </c>
      <c r="G795" s="4" t="str">
        <f>HYPERLINK("http://141.218.60.56/~jnz1568/getInfo.php?workbook=03_02.xlsx&amp;sheet=A0&amp;row=795&amp;col=7&amp;number=&amp;sourceID=15","")</f>
        <v/>
      </c>
      <c r="H795" s="4" t="str">
        <f>HYPERLINK("http://141.218.60.56/~jnz1568/getInfo.php?workbook=03_02.xlsx&amp;sheet=A0&amp;row=795&amp;col=8&amp;number=&amp;sourceID=15","")</f>
        <v/>
      </c>
      <c r="I795" s="4" t="str">
        <f>HYPERLINK("http://141.218.60.56/~jnz1568/getInfo.php?workbook=03_02.xlsx&amp;sheet=A0&amp;row=795&amp;col=9&amp;number=&amp;sourceID=15","")</f>
        <v/>
      </c>
      <c r="J795" s="4" t="str">
        <f>HYPERLINK("http://141.218.60.56/~jnz1568/getInfo.php?workbook=03_02.xlsx&amp;sheet=A0&amp;row=795&amp;col=10&amp;number=&amp;sourceID=15","")</f>
        <v/>
      </c>
      <c r="K795" s="4" t="str">
        <f>HYPERLINK("http://141.218.60.56/~jnz1568/getInfo.php?workbook=03_02.xlsx&amp;sheet=A0&amp;row=795&amp;col=11&amp;number=1.697e-07&amp;sourceID=30","1.697e-07")</f>
        <v>1.697e-07</v>
      </c>
      <c r="L795" s="4" t="str">
        <f>HYPERLINK("http://141.218.60.56/~jnz1568/getInfo.php?workbook=03_02.xlsx&amp;sheet=A0&amp;row=795&amp;col=12&amp;number=&amp;sourceID=30","")</f>
        <v/>
      </c>
      <c r="M795" s="4" t="str">
        <f>HYPERLINK("http://141.218.60.56/~jnz1568/getInfo.php?workbook=03_02.xlsx&amp;sheet=A0&amp;row=795&amp;col=13&amp;number=&amp;sourceID=30","")</f>
        <v/>
      </c>
      <c r="N795" s="4" t="str">
        <f>HYPERLINK("http://141.218.60.56/~jnz1568/getInfo.php?workbook=03_02.xlsx&amp;sheet=A0&amp;row=795&amp;col=14&amp;number=0&amp;sourceID=30","0")</f>
        <v>0</v>
      </c>
    </row>
    <row r="796" spans="1:14">
      <c r="A796" s="3">
        <v>3</v>
      </c>
      <c r="B796" s="3">
        <v>2</v>
      </c>
      <c r="C796" s="3">
        <v>45</v>
      </c>
      <c r="D796" s="3">
        <v>43</v>
      </c>
      <c r="E796" s="3"/>
      <c r="F796" s="4" t="str">
        <f>HYPERLINK("http://141.218.60.56/~jnz1568/getInfo.php?workbook=03_02.xlsx&amp;sheet=A0&amp;row=796&amp;col=6&amp;number=&amp;sourceID=27","")</f>
        <v/>
      </c>
      <c r="G796" s="4" t="str">
        <f>HYPERLINK("http://141.218.60.56/~jnz1568/getInfo.php?workbook=03_02.xlsx&amp;sheet=A0&amp;row=796&amp;col=7&amp;number=&amp;sourceID=15","")</f>
        <v/>
      </c>
      <c r="H796" s="4" t="str">
        <f>HYPERLINK("http://141.218.60.56/~jnz1568/getInfo.php?workbook=03_02.xlsx&amp;sheet=A0&amp;row=796&amp;col=8&amp;number=&amp;sourceID=15","")</f>
        <v/>
      </c>
      <c r="I796" s="4" t="str">
        <f>HYPERLINK("http://141.218.60.56/~jnz1568/getInfo.php?workbook=03_02.xlsx&amp;sheet=A0&amp;row=796&amp;col=9&amp;number=&amp;sourceID=15","")</f>
        <v/>
      </c>
      <c r="J796" s="4" t="str">
        <f>HYPERLINK("http://141.218.60.56/~jnz1568/getInfo.php?workbook=03_02.xlsx&amp;sheet=A0&amp;row=796&amp;col=10&amp;number=&amp;sourceID=15","")</f>
        <v/>
      </c>
      <c r="K796" s="4" t="str">
        <f>HYPERLINK("http://141.218.60.56/~jnz1568/getInfo.php?workbook=03_02.xlsx&amp;sheet=A0&amp;row=796&amp;col=11&amp;number=2.429e-09&amp;sourceID=30","2.429e-09")</f>
        <v>2.429e-09</v>
      </c>
      <c r="L796" s="4" t="str">
        <f>HYPERLINK("http://141.218.60.56/~jnz1568/getInfo.php?workbook=03_02.xlsx&amp;sheet=A0&amp;row=796&amp;col=12&amp;number=&amp;sourceID=30","")</f>
        <v/>
      </c>
      <c r="M796" s="4" t="str">
        <f>HYPERLINK("http://141.218.60.56/~jnz1568/getInfo.php?workbook=03_02.xlsx&amp;sheet=A0&amp;row=796&amp;col=13&amp;number=&amp;sourceID=30","")</f>
        <v/>
      </c>
      <c r="N796" s="4" t="str">
        <f>HYPERLINK("http://141.218.60.56/~jnz1568/getInfo.php?workbook=03_02.xlsx&amp;sheet=A0&amp;row=796&amp;col=14&amp;number=0&amp;sourceID=30","0")</f>
        <v>0</v>
      </c>
    </row>
    <row r="797" spans="1:14">
      <c r="A797" s="3">
        <v>3</v>
      </c>
      <c r="B797" s="3">
        <v>2</v>
      </c>
      <c r="C797" s="3">
        <v>45</v>
      </c>
      <c r="D797" s="3">
        <v>44</v>
      </c>
      <c r="E797" s="3"/>
      <c r="F797" s="4" t="str">
        <f>HYPERLINK("http://141.218.60.56/~jnz1568/getInfo.php?workbook=03_02.xlsx&amp;sheet=A0&amp;row=797&amp;col=6&amp;number=&amp;sourceID=27","")</f>
        <v/>
      </c>
      <c r="G797" s="4" t="str">
        <f>HYPERLINK("http://141.218.60.56/~jnz1568/getInfo.php?workbook=03_02.xlsx&amp;sheet=A0&amp;row=797&amp;col=7&amp;number=&amp;sourceID=15","")</f>
        <v/>
      </c>
      <c r="H797" s="4" t="str">
        <f>HYPERLINK("http://141.218.60.56/~jnz1568/getInfo.php?workbook=03_02.xlsx&amp;sheet=A0&amp;row=797&amp;col=8&amp;number=&amp;sourceID=15","")</f>
        <v/>
      </c>
      <c r="I797" s="4" t="str">
        <f>HYPERLINK("http://141.218.60.56/~jnz1568/getInfo.php?workbook=03_02.xlsx&amp;sheet=A0&amp;row=797&amp;col=9&amp;number=&amp;sourceID=15","")</f>
        <v/>
      </c>
      <c r="J797" s="4" t="str">
        <f>HYPERLINK("http://141.218.60.56/~jnz1568/getInfo.php?workbook=03_02.xlsx&amp;sheet=A0&amp;row=797&amp;col=10&amp;number=&amp;sourceID=15","")</f>
        <v/>
      </c>
      <c r="K797" s="4" t="str">
        <f>HYPERLINK("http://141.218.60.56/~jnz1568/getInfo.php?workbook=03_02.xlsx&amp;sheet=A0&amp;row=797&amp;col=11&amp;number=&amp;sourceID=30","")</f>
        <v/>
      </c>
      <c r="L797" s="4" t="str">
        <f>HYPERLINK("http://141.218.60.56/~jnz1568/getInfo.php?workbook=03_02.xlsx&amp;sheet=A0&amp;row=797&amp;col=12&amp;number=0&amp;sourceID=30","0")</f>
        <v>0</v>
      </c>
      <c r="M797" s="4" t="str">
        <f>HYPERLINK("http://141.218.60.56/~jnz1568/getInfo.php?workbook=03_02.xlsx&amp;sheet=A0&amp;row=797&amp;col=13&amp;number=1e-15&amp;sourceID=30","1e-15")</f>
        <v>1e-15</v>
      </c>
      <c r="N797" s="4" t="str">
        <f>HYPERLINK("http://141.218.60.56/~jnz1568/getInfo.php?workbook=03_02.xlsx&amp;sheet=A0&amp;row=797&amp;col=14&amp;number=&amp;sourceID=30","")</f>
        <v/>
      </c>
    </row>
    <row r="798" spans="1:14">
      <c r="A798" s="3">
        <v>3</v>
      </c>
      <c r="B798" s="3">
        <v>2</v>
      </c>
      <c r="C798" s="3">
        <v>46</v>
      </c>
      <c r="D798" s="3">
        <v>14</v>
      </c>
      <c r="E798" s="3"/>
      <c r="F798" s="4" t="str">
        <f>HYPERLINK("http://141.218.60.56/~jnz1568/getInfo.php?workbook=03_02.xlsx&amp;sheet=A0&amp;row=798&amp;col=6&amp;number=&amp;sourceID=27","")</f>
        <v/>
      </c>
      <c r="G798" s="4" t="str">
        <f>HYPERLINK("http://141.218.60.56/~jnz1568/getInfo.php?workbook=03_02.xlsx&amp;sheet=A0&amp;row=798&amp;col=7&amp;number=&amp;sourceID=15","")</f>
        <v/>
      </c>
      <c r="H798" s="4" t="str">
        <f>HYPERLINK("http://141.218.60.56/~jnz1568/getInfo.php?workbook=03_02.xlsx&amp;sheet=A0&amp;row=798&amp;col=8&amp;number=&amp;sourceID=15","")</f>
        <v/>
      </c>
      <c r="I798" s="4" t="str">
        <f>HYPERLINK("http://141.218.60.56/~jnz1568/getInfo.php?workbook=03_02.xlsx&amp;sheet=A0&amp;row=798&amp;col=9&amp;number=&amp;sourceID=15","")</f>
        <v/>
      </c>
      <c r="J798" s="4" t="str">
        <f>HYPERLINK("http://141.218.60.56/~jnz1568/getInfo.php?workbook=03_02.xlsx&amp;sheet=A0&amp;row=798&amp;col=10&amp;number=&amp;sourceID=15","")</f>
        <v/>
      </c>
      <c r="K798" s="4" t="str">
        <f>HYPERLINK("http://141.218.60.56/~jnz1568/getInfo.php?workbook=03_02.xlsx&amp;sheet=A0&amp;row=798&amp;col=11&amp;number=&amp;sourceID=30","")</f>
        <v/>
      </c>
      <c r="L798" s="4" t="str">
        <f>HYPERLINK("http://141.218.60.56/~jnz1568/getInfo.php?workbook=03_02.xlsx&amp;sheet=A0&amp;row=798&amp;col=12&amp;number=743.6&amp;sourceID=30","743.6")</f>
        <v>743.6</v>
      </c>
      <c r="M798" s="4" t="str">
        <f>HYPERLINK("http://141.218.60.56/~jnz1568/getInfo.php?workbook=03_02.xlsx&amp;sheet=A0&amp;row=798&amp;col=13&amp;number=&amp;sourceID=30","")</f>
        <v/>
      </c>
      <c r="N798" s="4" t="str">
        <f>HYPERLINK("http://141.218.60.56/~jnz1568/getInfo.php?workbook=03_02.xlsx&amp;sheet=A0&amp;row=798&amp;col=14&amp;number=&amp;sourceID=30","")</f>
        <v/>
      </c>
    </row>
    <row r="799" spans="1:14">
      <c r="A799" s="3">
        <v>3</v>
      </c>
      <c r="B799" s="3">
        <v>2</v>
      </c>
      <c r="C799" s="3">
        <v>46</v>
      </c>
      <c r="D799" s="3">
        <v>25</v>
      </c>
      <c r="E799" s="3"/>
      <c r="F799" s="4" t="str">
        <f>HYPERLINK("http://141.218.60.56/~jnz1568/getInfo.php?workbook=03_02.xlsx&amp;sheet=A0&amp;row=799&amp;col=6&amp;number=&amp;sourceID=27","")</f>
        <v/>
      </c>
      <c r="G799" s="4" t="str">
        <f>HYPERLINK("http://141.218.60.56/~jnz1568/getInfo.php?workbook=03_02.xlsx&amp;sheet=A0&amp;row=799&amp;col=7&amp;number=&amp;sourceID=15","")</f>
        <v/>
      </c>
      <c r="H799" s="4" t="str">
        <f>HYPERLINK("http://141.218.60.56/~jnz1568/getInfo.php?workbook=03_02.xlsx&amp;sheet=A0&amp;row=799&amp;col=8&amp;number=&amp;sourceID=15","")</f>
        <v/>
      </c>
      <c r="I799" s="4" t="str">
        <f>HYPERLINK("http://141.218.60.56/~jnz1568/getInfo.php?workbook=03_02.xlsx&amp;sheet=A0&amp;row=799&amp;col=9&amp;number=&amp;sourceID=15","")</f>
        <v/>
      </c>
      <c r="J799" s="4" t="str">
        <f>HYPERLINK("http://141.218.60.56/~jnz1568/getInfo.php?workbook=03_02.xlsx&amp;sheet=A0&amp;row=799&amp;col=10&amp;number=&amp;sourceID=15","")</f>
        <v/>
      </c>
      <c r="K799" s="4" t="str">
        <f>HYPERLINK("http://141.218.60.56/~jnz1568/getInfo.php?workbook=03_02.xlsx&amp;sheet=A0&amp;row=799&amp;col=11&amp;number=&amp;sourceID=30","")</f>
        <v/>
      </c>
      <c r="L799" s="4" t="str">
        <f>HYPERLINK("http://141.218.60.56/~jnz1568/getInfo.php?workbook=03_02.xlsx&amp;sheet=A0&amp;row=799&amp;col=12&amp;number=64.33&amp;sourceID=30","64.33")</f>
        <v>64.33</v>
      </c>
      <c r="M799" s="4" t="str">
        <f>HYPERLINK("http://141.218.60.56/~jnz1568/getInfo.php?workbook=03_02.xlsx&amp;sheet=A0&amp;row=799&amp;col=13&amp;number=&amp;sourceID=30","")</f>
        <v/>
      </c>
      <c r="N799" s="4" t="str">
        <f>HYPERLINK("http://141.218.60.56/~jnz1568/getInfo.php?workbook=03_02.xlsx&amp;sheet=A0&amp;row=799&amp;col=14&amp;number=&amp;sourceID=30","")</f>
        <v/>
      </c>
    </row>
    <row r="800" spans="1:14">
      <c r="A800" s="3">
        <v>3</v>
      </c>
      <c r="B800" s="3">
        <v>2</v>
      </c>
      <c r="C800" s="3">
        <v>46</v>
      </c>
      <c r="D800" s="3">
        <v>28</v>
      </c>
      <c r="E800" s="3"/>
      <c r="F800" s="4" t="str">
        <f>HYPERLINK("http://141.218.60.56/~jnz1568/getInfo.php?workbook=03_02.xlsx&amp;sheet=A0&amp;row=800&amp;col=6&amp;number=&amp;sourceID=27","")</f>
        <v/>
      </c>
      <c r="G800" s="4" t="str">
        <f>HYPERLINK("http://141.218.60.56/~jnz1568/getInfo.php?workbook=03_02.xlsx&amp;sheet=A0&amp;row=800&amp;col=7&amp;number=&amp;sourceID=15","")</f>
        <v/>
      </c>
      <c r="H800" s="4" t="str">
        <f>HYPERLINK("http://141.218.60.56/~jnz1568/getInfo.php?workbook=03_02.xlsx&amp;sheet=A0&amp;row=800&amp;col=8&amp;number=&amp;sourceID=15","")</f>
        <v/>
      </c>
      <c r="I800" s="4" t="str">
        <f>HYPERLINK("http://141.218.60.56/~jnz1568/getInfo.php?workbook=03_02.xlsx&amp;sheet=A0&amp;row=800&amp;col=9&amp;number=&amp;sourceID=15","")</f>
        <v/>
      </c>
      <c r="J800" s="4" t="str">
        <f>HYPERLINK("http://141.218.60.56/~jnz1568/getInfo.php?workbook=03_02.xlsx&amp;sheet=A0&amp;row=800&amp;col=10&amp;number=&amp;sourceID=15","")</f>
        <v/>
      </c>
      <c r="K800" s="4" t="str">
        <f>HYPERLINK("http://141.218.60.56/~jnz1568/getInfo.php?workbook=03_02.xlsx&amp;sheet=A0&amp;row=800&amp;col=11&amp;number=&amp;sourceID=30","")</f>
        <v/>
      </c>
      <c r="L800" s="4" t="str">
        <f>HYPERLINK("http://141.218.60.56/~jnz1568/getInfo.php?workbook=03_02.xlsx&amp;sheet=A0&amp;row=800&amp;col=12&amp;number=&amp;sourceID=30","")</f>
        <v/>
      </c>
      <c r="M800" s="4" t="str">
        <f>HYPERLINK("http://141.218.60.56/~jnz1568/getInfo.php?workbook=03_02.xlsx&amp;sheet=A0&amp;row=800&amp;col=13&amp;number=&amp;sourceID=30","")</f>
        <v/>
      </c>
      <c r="N800" s="4" t="str">
        <f>HYPERLINK("http://141.218.60.56/~jnz1568/getInfo.php?workbook=03_02.xlsx&amp;sheet=A0&amp;row=800&amp;col=14&amp;number=1.509e-05&amp;sourceID=30","1.509e-05")</f>
        <v>1.509e-05</v>
      </c>
    </row>
    <row r="801" spans="1:14">
      <c r="A801" s="3">
        <v>3</v>
      </c>
      <c r="B801" s="3">
        <v>2</v>
      </c>
      <c r="C801" s="3">
        <v>46</v>
      </c>
      <c r="D801" s="3">
        <v>29</v>
      </c>
      <c r="E801" s="3"/>
      <c r="F801" s="4" t="str">
        <f>HYPERLINK("http://141.218.60.56/~jnz1568/getInfo.php?workbook=03_02.xlsx&amp;sheet=A0&amp;row=801&amp;col=6&amp;number=&amp;sourceID=27","")</f>
        <v/>
      </c>
      <c r="G801" s="4" t="str">
        <f>HYPERLINK("http://141.218.60.56/~jnz1568/getInfo.php?workbook=03_02.xlsx&amp;sheet=A0&amp;row=801&amp;col=7&amp;number=&amp;sourceID=15","")</f>
        <v/>
      </c>
      <c r="H801" s="4" t="str">
        <f>HYPERLINK("http://141.218.60.56/~jnz1568/getInfo.php?workbook=03_02.xlsx&amp;sheet=A0&amp;row=801&amp;col=8&amp;number=&amp;sourceID=15","")</f>
        <v/>
      </c>
      <c r="I801" s="4" t="str">
        <f>HYPERLINK("http://141.218.60.56/~jnz1568/getInfo.php?workbook=03_02.xlsx&amp;sheet=A0&amp;row=801&amp;col=9&amp;number=&amp;sourceID=15","")</f>
        <v/>
      </c>
      <c r="J801" s="4" t="str">
        <f>HYPERLINK("http://141.218.60.56/~jnz1568/getInfo.php?workbook=03_02.xlsx&amp;sheet=A0&amp;row=801&amp;col=10&amp;number=&amp;sourceID=15","")</f>
        <v/>
      </c>
      <c r="K801" s="4" t="str">
        <f>HYPERLINK("http://141.218.60.56/~jnz1568/getInfo.php?workbook=03_02.xlsx&amp;sheet=A0&amp;row=801&amp;col=11&amp;number=68100000&amp;sourceID=30","68100000")</f>
        <v>68100000</v>
      </c>
      <c r="L801" s="4" t="str">
        <f>HYPERLINK("http://141.218.60.56/~jnz1568/getInfo.php?workbook=03_02.xlsx&amp;sheet=A0&amp;row=801&amp;col=12&amp;number=&amp;sourceID=30","")</f>
        <v/>
      </c>
      <c r="M801" s="4" t="str">
        <f>HYPERLINK("http://141.218.60.56/~jnz1568/getInfo.php?workbook=03_02.xlsx&amp;sheet=A0&amp;row=801&amp;col=13&amp;number=&amp;sourceID=30","")</f>
        <v/>
      </c>
      <c r="N801" s="4" t="str">
        <f>HYPERLINK("http://141.218.60.56/~jnz1568/getInfo.php?workbook=03_02.xlsx&amp;sheet=A0&amp;row=801&amp;col=14&amp;number=0.000198&amp;sourceID=30","0.000198")</f>
        <v>0.000198</v>
      </c>
    </row>
    <row r="802" spans="1:14">
      <c r="A802" s="3">
        <v>3</v>
      </c>
      <c r="B802" s="3">
        <v>2</v>
      </c>
      <c r="C802" s="3">
        <v>46</v>
      </c>
      <c r="D802" s="3">
        <v>30</v>
      </c>
      <c r="E802" s="3"/>
      <c r="F802" s="4" t="str">
        <f>HYPERLINK("http://141.218.60.56/~jnz1568/getInfo.php?workbook=03_02.xlsx&amp;sheet=A0&amp;row=802&amp;col=6&amp;number=&amp;sourceID=27","")</f>
        <v/>
      </c>
      <c r="G802" s="4" t="str">
        <f>HYPERLINK("http://141.218.60.56/~jnz1568/getInfo.php?workbook=03_02.xlsx&amp;sheet=A0&amp;row=802&amp;col=7&amp;number=&amp;sourceID=15","")</f>
        <v/>
      </c>
      <c r="H802" s="4" t="str">
        <f>HYPERLINK("http://141.218.60.56/~jnz1568/getInfo.php?workbook=03_02.xlsx&amp;sheet=A0&amp;row=802&amp;col=8&amp;number=&amp;sourceID=15","")</f>
        <v/>
      </c>
      <c r="I802" s="4" t="str">
        <f>HYPERLINK("http://141.218.60.56/~jnz1568/getInfo.php?workbook=03_02.xlsx&amp;sheet=A0&amp;row=802&amp;col=9&amp;number=&amp;sourceID=15","")</f>
        <v/>
      </c>
      <c r="J802" s="4" t="str">
        <f>HYPERLINK("http://141.218.60.56/~jnz1568/getInfo.php?workbook=03_02.xlsx&amp;sheet=A0&amp;row=802&amp;col=10&amp;number=&amp;sourceID=15","")</f>
        <v/>
      </c>
      <c r="K802" s="4" t="str">
        <f>HYPERLINK("http://141.218.60.56/~jnz1568/getInfo.php?workbook=03_02.xlsx&amp;sheet=A0&amp;row=802&amp;col=11&amp;number=&amp;sourceID=30","")</f>
        <v/>
      </c>
      <c r="L802" s="4" t="str">
        <f>HYPERLINK("http://141.218.60.56/~jnz1568/getInfo.php?workbook=03_02.xlsx&amp;sheet=A0&amp;row=802&amp;col=12&amp;number=&amp;sourceID=30","")</f>
        <v/>
      </c>
      <c r="M802" s="4" t="str">
        <f>HYPERLINK("http://141.218.60.56/~jnz1568/getInfo.php?workbook=03_02.xlsx&amp;sheet=A0&amp;row=802&amp;col=13&amp;number=&amp;sourceID=30","")</f>
        <v/>
      </c>
      <c r="N802" s="4" t="str">
        <f>HYPERLINK("http://141.218.60.56/~jnz1568/getInfo.php?workbook=03_02.xlsx&amp;sheet=A0&amp;row=802&amp;col=14&amp;number=1.669e-05&amp;sourceID=30","1.669e-05")</f>
        <v>1.669e-05</v>
      </c>
    </row>
    <row r="803" spans="1:14">
      <c r="A803" s="3">
        <v>3</v>
      </c>
      <c r="B803" s="3">
        <v>2</v>
      </c>
      <c r="C803" s="3">
        <v>46</v>
      </c>
      <c r="D803" s="3">
        <v>39</v>
      </c>
      <c r="E803" s="3"/>
      <c r="F803" s="4" t="str">
        <f>HYPERLINK("http://141.218.60.56/~jnz1568/getInfo.php?workbook=03_02.xlsx&amp;sheet=A0&amp;row=803&amp;col=6&amp;number=&amp;sourceID=27","")</f>
        <v/>
      </c>
      <c r="G803" s="4" t="str">
        <f>HYPERLINK("http://141.218.60.56/~jnz1568/getInfo.php?workbook=03_02.xlsx&amp;sheet=A0&amp;row=803&amp;col=7&amp;number=&amp;sourceID=15","")</f>
        <v/>
      </c>
      <c r="H803" s="4" t="str">
        <f>HYPERLINK("http://141.218.60.56/~jnz1568/getInfo.php?workbook=03_02.xlsx&amp;sheet=A0&amp;row=803&amp;col=8&amp;number=&amp;sourceID=15","")</f>
        <v/>
      </c>
      <c r="I803" s="4" t="str">
        <f>HYPERLINK("http://141.218.60.56/~jnz1568/getInfo.php?workbook=03_02.xlsx&amp;sheet=A0&amp;row=803&amp;col=9&amp;number=&amp;sourceID=15","")</f>
        <v/>
      </c>
      <c r="J803" s="4" t="str">
        <f>HYPERLINK("http://141.218.60.56/~jnz1568/getInfo.php?workbook=03_02.xlsx&amp;sheet=A0&amp;row=803&amp;col=10&amp;number=&amp;sourceID=15","")</f>
        <v/>
      </c>
      <c r="K803" s="4" t="str">
        <f>HYPERLINK("http://141.218.60.56/~jnz1568/getInfo.php?workbook=03_02.xlsx&amp;sheet=A0&amp;row=803&amp;col=11&amp;number=&amp;sourceID=30","")</f>
        <v/>
      </c>
      <c r="L803" s="4" t="str">
        <f>HYPERLINK("http://141.218.60.56/~jnz1568/getInfo.php?workbook=03_02.xlsx&amp;sheet=A0&amp;row=803&amp;col=12&amp;number=7.2e-14&amp;sourceID=30","7.2e-14")</f>
        <v>7.2e-14</v>
      </c>
      <c r="M803" s="4" t="str">
        <f>HYPERLINK("http://141.218.60.56/~jnz1568/getInfo.php?workbook=03_02.xlsx&amp;sheet=A0&amp;row=803&amp;col=13&amp;number=&amp;sourceID=30","")</f>
        <v/>
      </c>
      <c r="N803" s="4" t="str">
        <f>HYPERLINK("http://141.218.60.56/~jnz1568/getInfo.php?workbook=03_02.xlsx&amp;sheet=A0&amp;row=803&amp;col=14&amp;number=&amp;sourceID=30","")</f>
        <v/>
      </c>
    </row>
    <row r="804" spans="1:14">
      <c r="A804" s="3">
        <v>3</v>
      </c>
      <c r="B804" s="3">
        <v>2</v>
      </c>
      <c r="C804" s="3">
        <v>46</v>
      </c>
      <c r="D804" s="3">
        <v>42</v>
      </c>
      <c r="E804" s="3"/>
      <c r="F804" s="4" t="str">
        <f>HYPERLINK("http://141.218.60.56/~jnz1568/getInfo.php?workbook=03_02.xlsx&amp;sheet=A0&amp;row=804&amp;col=6&amp;number=&amp;sourceID=27","")</f>
        <v/>
      </c>
      <c r="G804" s="4" t="str">
        <f>HYPERLINK("http://141.218.60.56/~jnz1568/getInfo.php?workbook=03_02.xlsx&amp;sheet=A0&amp;row=804&amp;col=7&amp;number=&amp;sourceID=15","")</f>
        <v/>
      </c>
      <c r="H804" s="4" t="str">
        <f>HYPERLINK("http://141.218.60.56/~jnz1568/getInfo.php?workbook=03_02.xlsx&amp;sheet=A0&amp;row=804&amp;col=8&amp;number=&amp;sourceID=15","")</f>
        <v/>
      </c>
      <c r="I804" s="4" t="str">
        <f>HYPERLINK("http://141.218.60.56/~jnz1568/getInfo.php?workbook=03_02.xlsx&amp;sheet=A0&amp;row=804&amp;col=9&amp;number=&amp;sourceID=15","")</f>
        <v/>
      </c>
      <c r="J804" s="4" t="str">
        <f>HYPERLINK("http://141.218.60.56/~jnz1568/getInfo.php?workbook=03_02.xlsx&amp;sheet=A0&amp;row=804&amp;col=10&amp;number=&amp;sourceID=15","")</f>
        <v/>
      </c>
      <c r="K804" s="4" t="str">
        <f>HYPERLINK("http://141.218.60.56/~jnz1568/getInfo.php?workbook=03_02.xlsx&amp;sheet=A0&amp;row=804&amp;col=11&amp;number=&amp;sourceID=30","")</f>
        <v/>
      </c>
      <c r="L804" s="4" t="str">
        <f>HYPERLINK("http://141.218.60.56/~jnz1568/getInfo.php?workbook=03_02.xlsx&amp;sheet=A0&amp;row=804&amp;col=12&amp;number=&amp;sourceID=30","")</f>
        <v/>
      </c>
      <c r="M804" s="4" t="str">
        <f>HYPERLINK("http://141.218.60.56/~jnz1568/getInfo.php?workbook=03_02.xlsx&amp;sheet=A0&amp;row=804&amp;col=13&amp;number=&amp;sourceID=30","")</f>
        <v/>
      </c>
      <c r="N804" s="4" t="str">
        <f>HYPERLINK("http://141.218.60.56/~jnz1568/getInfo.php?workbook=03_02.xlsx&amp;sheet=A0&amp;row=804&amp;col=14&amp;number=0&amp;sourceID=30","0")</f>
        <v>0</v>
      </c>
    </row>
    <row r="805" spans="1:14">
      <c r="A805" s="3">
        <v>3</v>
      </c>
      <c r="B805" s="3">
        <v>2</v>
      </c>
      <c r="C805" s="3">
        <v>46</v>
      </c>
      <c r="D805" s="3">
        <v>43</v>
      </c>
      <c r="E805" s="3"/>
      <c r="F805" s="4" t="str">
        <f>HYPERLINK("http://141.218.60.56/~jnz1568/getInfo.php?workbook=03_02.xlsx&amp;sheet=A0&amp;row=805&amp;col=6&amp;number=&amp;sourceID=27","")</f>
        <v/>
      </c>
      <c r="G805" s="4" t="str">
        <f>HYPERLINK("http://141.218.60.56/~jnz1568/getInfo.php?workbook=03_02.xlsx&amp;sheet=A0&amp;row=805&amp;col=7&amp;number=&amp;sourceID=15","")</f>
        <v/>
      </c>
      <c r="H805" s="4" t="str">
        <f>HYPERLINK("http://141.218.60.56/~jnz1568/getInfo.php?workbook=03_02.xlsx&amp;sheet=A0&amp;row=805&amp;col=8&amp;number=&amp;sourceID=15","")</f>
        <v/>
      </c>
      <c r="I805" s="4" t="str">
        <f>HYPERLINK("http://141.218.60.56/~jnz1568/getInfo.php?workbook=03_02.xlsx&amp;sheet=A0&amp;row=805&amp;col=9&amp;number=&amp;sourceID=15","")</f>
        <v/>
      </c>
      <c r="J805" s="4" t="str">
        <f>HYPERLINK("http://141.218.60.56/~jnz1568/getInfo.php?workbook=03_02.xlsx&amp;sheet=A0&amp;row=805&amp;col=10&amp;number=&amp;sourceID=15","")</f>
        <v/>
      </c>
      <c r="K805" s="4" t="str">
        <f>HYPERLINK("http://141.218.60.56/~jnz1568/getInfo.php?workbook=03_02.xlsx&amp;sheet=A0&amp;row=805&amp;col=11&amp;number=2.332e-07&amp;sourceID=30","2.332e-07")</f>
        <v>2.332e-07</v>
      </c>
      <c r="L805" s="4" t="str">
        <f>HYPERLINK("http://141.218.60.56/~jnz1568/getInfo.php?workbook=03_02.xlsx&amp;sheet=A0&amp;row=805&amp;col=12&amp;number=&amp;sourceID=30","")</f>
        <v/>
      </c>
      <c r="M805" s="4" t="str">
        <f>HYPERLINK("http://141.218.60.56/~jnz1568/getInfo.php?workbook=03_02.xlsx&amp;sheet=A0&amp;row=805&amp;col=13&amp;number=&amp;sourceID=30","")</f>
        <v/>
      </c>
      <c r="N805" s="4" t="str">
        <f>HYPERLINK("http://141.218.60.56/~jnz1568/getInfo.php?workbook=03_02.xlsx&amp;sheet=A0&amp;row=805&amp;col=14&amp;number=0&amp;sourceID=30","0")</f>
        <v>0</v>
      </c>
    </row>
    <row r="806" spans="1:14">
      <c r="A806" s="3">
        <v>3</v>
      </c>
      <c r="B806" s="3">
        <v>2</v>
      </c>
      <c r="C806" s="3">
        <v>46</v>
      </c>
      <c r="D806" s="3">
        <v>44</v>
      </c>
      <c r="E806" s="3"/>
      <c r="F806" s="4" t="str">
        <f>HYPERLINK("http://141.218.60.56/~jnz1568/getInfo.php?workbook=03_02.xlsx&amp;sheet=A0&amp;row=806&amp;col=6&amp;number=&amp;sourceID=27","")</f>
        <v/>
      </c>
      <c r="G806" s="4" t="str">
        <f>HYPERLINK("http://141.218.60.56/~jnz1568/getInfo.php?workbook=03_02.xlsx&amp;sheet=A0&amp;row=806&amp;col=7&amp;number=&amp;sourceID=15","")</f>
        <v/>
      </c>
      <c r="H806" s="4" t="str">
        <f>HYPERLINK("http://141.218.60.56/~jnz1568/getInfo.php?workbook=03_02.xlsx&amp;sheet=A0&amp;row=806&amp;col=8&amp;number=&amp;sourceID=15","")</f>
        <v/>
      </c>
      <c r="I806" s="4" t="str">
        <f>HYPERLINK("http://141.218.60.56/~jnz1568/getInfo.php?workbook=03_02.xlsx&amp;sheet=A0&amp;row=806&amp;col=9&amp;number=&amp;sourceID=15","")</f>
        <v/>
      </c>
      <c r="J806" s="4" t="str">
        <f>HYPERLINK("http://141.218.60.56/~jnz1568/getInfo.php?workbook=03_02.xlsx&amp;sheet=A0&amp;row=806&amp;col=10&amp;number=&amp;sourceID=15","")</f>
        <v/>
      </c>
      <c r="K806" s="4" t="str">
        <f>HYPERLINK("http://141.218.60.56/~jnz1568/getInfo.php?workbook=03_02.xlsx&amp;sheet=A0&amp;row=806&amp;col=11&amp;number=&amp;sourceID=30","")</f>
        <v/>
      </c>
      <c r="L806" s="4" t="str">
        <f>HYPERLINK("http://141.218.60.56/~jnz1568/getInfo.php?workbook=03_02.xlsx&amp;sheet=A0&amp;row=806&amp;col=12&amp;number=0&amp;sourceID=30","0")</f>
        <v>0</v>
      </c>
      <c r="M806" s="4" t="str">
        <f>HYPERLINK("http://141.218.60.56/~jnz1568/getInfo.php?workbook=03_02.xlsx&amp;sheet=A0&amp;row=806&amp;col=13&amp;number=&amp;sourceID=30","")</f>
        <v/>
      </c>
      <c r="N806" s="4" t="str">
        <f>HYPERLINK("http://141.218.60.56/~jnz1568/getInfo.php?workbook=03_02.xlsx&amp;sheet=A0&amp;row=806&amp;col=14&amp;number=&amp;sourceID=30","")</f>
        <v/>
      </c>
    </row>
    <row r="807" spans="1:14">
      <c r="A807" s="3">
        <v>3</v>
      </c>
      <c r="B807" s="3">
        <v>2</v>
      </c>
      <c r="C807" s="3">
        <v>46</v>
      </c>
      <c r="D807" s="3">
        <v>45</v>
      </c>
      <c r="E807" s="3"/>
      <c r="F807" s="4" t="str">
        <f>HYPERLINK("http://141.218.60.56/~jnz1568/getInfo.php?workbook=03_02.xlsx&amp;sheet=A0&amp;row=807&amp;col=6&amp;number=&amp;sourceID=27","")</f>
        <v/>
      </c>
      <c r="G807" s="4" t="str">
        <f>HYPERLINK("http://141.218.60.56/~jnz1568/getInfo.php?workbook=03_02.xlsx&amp;sheet=A0&amp;row=807&amp;col=7&amp;number=&amp;sourceID=15","")</f>
        <v/>
      </c>
      <c r="H807" s="4" t="str">
        <f>HYPERLINK("http://141.218.60.56/~jnz1568/getInfo.php?workbook=03_02.xlsx&amp;sheet=A0&amp;row=807&amp;col=8&amp;number=&amp;sourceID=15","")</f>
        <v/>
      </c>
      <c r="I807" s="4" t="str">
        <f>HYPERLINK("http://141.218.60.56/~jnz1568/getInfo.php?workbook=03_02.xlsx&amp;sheet=A0&amp;row=807&amp;col=9&amp;number=&amp;sourceID=15","")</f>
        <v/>
      </c>
      <c r="J807" s="4" t="str">
        <f>HYPERLINK("http://141.218.60.56/~jnz1568/getInfo.php?workbook=03_02.xlsx&amp;sheet=A0&amp;row=807&amp;col=10&amp;number=&amp;sourceID=15","")</f>
        <v/>
      </c>
      <c r="K807" s="4" t="str">
        <f>HYPERLINK("http://141.218.60.56/~jnz1568/getInfo.php?workbook=03_02.xlsx&amp;sheet=A0&amp;row=807&amp;col=11&amp;number=&amp;sourceID=30","")</f>
        <v/>
      </c>
      <c r="L807" s="4" t="str">
        <f>HYPERLINK("http://141.218.60.56/~jnz1568/getInfo.php?workbook=03_02.xlsx&amp;sheet=A0&amp;row=807&amp;col=12&amp;number=0&amp;sourceID=30","0")</f>
        <v>0</v>
      </c>
      <c r="M807" s="4" t="str">
        <f>HYPERLINK("http://141.218.60.56/~jnz1568/getInfo.php?workbook=03_02.xlsx&amp;sheet=A0&amp;row=807&amp;col=13&amp;number=1e-15&amp;sourceID=30","1e-15")</f>
        <v>1e-15</v>
      </c>
      <c r="N807" s="4" t="str">
        <f>HYPERLINK("http://141.218.60.56/~jnz1568/getInfo.php?workbook=03_02.xlsx&amp;sheet=A0&amp;row=807&amp;col=14&amp;number=&amp;sourceID=30","")</f>
        <v/>
      </c>
    </row>
    <row r="808" spans="1:14">
      <c r="A808" s="3">
        <v>3</v>
      </c>
      <c r="B808" s="3">
        <v>2</v>
      </c>
      <c r="C808" s="3">
        <v>47</v>
      </c>
      <c r="D808" s="3">
        <v>5</v>
      </c>
      <c r="E808" s="3"/>
      <c r="F808" s="4" t="str">
        <f>HYPERLINK("http://141.218.60.56/~jnz1568/getInfo.php?workbook=03_02.xlsx&amp;sheet=A0&amp;row=808&amp;col=6&amp;number=&amp;sourceID=27","")</f>
        <v/>
      </c>
      <c r="G808" s="4" t="str">
        <f>HYPERLINK("http://141.218.60.56/~jnz1568/getInfo.php?workbook=03_02.xlsx&amp;sheet=A0&amp;row=808&amp;col=7&amp;number=&amp;sourceID=15","")</f>
        <v/>
      </c>
      <c r="H808" s="4" t="str">
        <f>HYPERLINK("http://141.218.60.56/~jnz1568/getInfo.php?workbook=03_02.xlsx&amp;sheet=A0&amp;row=808&amp;col=8&amp;number=&amp;sourceID=15","")</f>
        <v/>
      </c>
      <c r="I808" s="4" t="str">
        <f>HYPERLINK("http://141.218.60.56/~jnz1568/getInfo.php?workbook=03_02.xlsx&amp;sheet=A0&amp;row=808&amp;col=9&amp;number=&amp;sourceID=15","")</f>
        <v/>
      </c>
      <c r="J808" s="4" t="str">
        <f>HYPERLINK("http://141.218.60.56/~jnz1568/getInfo.php?workbook=03_02.xlsx&amp;sheet=A0&amp;row=808&amp;col=10&amp;number=&amp;sourceID=15","")</f>
        <v/>
      </c>
      <c r="K808" s="4" t="str">
        <f>HYPERLINK("http://141.218.60.56/~jnz1568/getInfo.php?workbook=03_02.xlsx&amp;sheet=A0&amp;row=808&amp;col=11&amp;number=&amp;sourceID=30","")</f>
        <v/>
      </c>
      <c r="L808" s="4" t="str">
        <f>HYPERLINK("http://141.218.60.56/~jnz1568/getInfo.php?workbook=03_02.xlsx&amp;sheet=A0&amp;row=808&amp;col=12&amp;number=&amp;sourceID=30","")</f>
        <v/>
      </c>
      <c r="M808" s="4" t="str">
        <f>HYPERLINK("http://141.218.60.56/~jnz1568/getInfo.php?workbook=03_02.xlsx&amp;sheet=A0&amp;row=808&amp;col=13&amp;number=&amp;sourceID=30","")</f>
        <v/>
      </c>
      <c r="N808" s="4" t="str">
        <f>HYPERLINK("http://141.218.60.56/~jnz1568/getInfo.php?workbook=03_02.xlsx&amp;sheet=A0&amp;row=808&amp;col=14&amp;number=0&amp;sourceID=30","0")</f>
        <v>0</v>
      </c>
    </row>
    <row r="809" spans="1:14">
      <c r="A809" s="3">
        <v>3</v>
      </c>
      <c r="B809" s="3">
        <v>2</v>
      </c>
      <c r="C809" s="3">
        <v>47</v>
      </c>
      <c r="D809" s="3">
        <v>11</v>
      </c>
      <c r="E809" s="3"/>
      <c r="F809" s="4" t="str">
        <f>HYPERLINK("http://141.218.60.56/~jnz1568/getInfo.php?workbook=03_02.xlsx&amp;sheet=A0&amp;row=809&amp;col=6&amp;number=&amp;sourceID=27","")</f>
        <v/>
      </c>
      <c r="G809" s="4" t="str">
        <f>HYPERLINK("http://141.218.60.56/~jnz1568/getInfo.php?workbook=03_02.xlsx&amp;sheet=A0&amp;row=809&amp;col=7&amp;number=&amp;sourceID=15","")</f>
        <v/>
      </c>
      <c r="H809" s="4" t="str">
        <f>HYPERLINK("http://141.218.60.56/~jnz1568/getInfo.php?workbook=03_02.xlsx&amp;sheet=A0&amp;row=809&amp;col=8&amp;number=&amp;sourceID=15","")</f>
        <v/>
      </c>
      <c r="I809" s="4" t="str">
        <f>HYPERLINK("http://141.218.60.56/~jnz1568/getInfo.php?workbook=03_02.xlsx&amp;sheet=A0&amp;row=809&amp;col=9&amp;number=&amp;sourceID=15","")</f>
        <v/>
      </c>
      <c r="J809" s="4" t="str">
        <f>HYPERLINK("http://141.218.60.56/~jnz1568/getInfo.php?workbook=03_02.xlsx&amp;sheet=A0&amp;row=809&amp;col=10&amp;number=&amp;sourceID=15","")</f>
        <v/>
      </c>
      <c r="K809" s="4" t="str">
        <f>HYPERLINK("http://141.218.60.56/~jnz1568/getInfo.php?workbook=03_02.xlsx&amp;sheet=A0&amp;row=809&amp;col=11&amp;number=&amp;sourceID=30","")</f>
        <v/>
      </c>
      <c r="L809" s="4" t="str">
        <f>HYPERLINK("http://141.218.60.56/~jnz1568/getInfo.php?workbook=03_02.xlsx&amp;sheet=A0&amp;row=809&amp;col=12&amp;number=&amp;sourceID=30","")</f>
        <v/>
      </c>
      <c r="M809" s="4" t="str">
        <f>HYPERLINK("http://141.218.60.56/~jnz1568/getInfo.php?workbook=03_02.xlsx&amp;sheet=A0&amp;row=809&amp;col=13&amp;number=&amp;sourceID=30","")</f>
        <v/>
      </c>
      <c r="N809" s="4" t="str">
        <f>HYPERLINK("http://141.218.60.56/~jnz1568/getInfo.php?workbook=03_02.xlsx&amp;sheet=A0&amp;row=809&amp;col=14&amp;number=1e-15&amp;sourceID=30","1e-15")</f>
        <v>1e-15</v>
      </c>
    </row>
    <row r="810" spans="1:14">
      <c r="A810" s="3">
        <v>3</v>
      </c>
      <c r="B810" s="3">
        <v>2</v>
      </c>
      <c r="C810" s="3">
        <v>47</v>
      </c>
      <c r="D810" s="3">
        <v>13</v>
      </c>
      <c r="E810" s="3"/>
      <c r="F810" s="4" t="str">
        <f>HYPERLINK("http://141.218.60.56/~jnz1568/getInfo.php?workbook=03_02.xlsx&amp;sheet=A0&amp;row=810&amp;col=6&amp;number=&amp;sourceID=27","")</f>
        <v/>
      </c>
      <c r="G810" s="4" t="str">
        <f>HYPERLINK("http://141.218.60.56/~jnz1568/getInfo.php?workbook=03_02.xlsx&amp;sheet=A0&amp;row=810&amp;col=7&amp;number=&amp;sourceID=15","")</f>
        <v/>
      </c>
      <c r="H810" s="4" t="str">
        <f>HYPERLINK("http://141.218.60.56/~jnz1568/getInfo.php?workbook=03_02.xlsx&amp;sheet=A0&amp;row=810&amp;col=8&amp;number=&amp;sourceID=15","")</f>
        <v/>
      </c>
      <c r="I810" s="4" t="str">
        <f>HYPERLINK("http://141.218.60.56/~jnz1568/getInfo.php?workbook=03_02.xlsx&amp;sheet=A0&amp;row=810&amp;col=9&amp;number=&amp;sourceID=15","")</f>
        <v/>
      </c>
      <c r="J810" s="4" t="str">
        <f>HYPERLINK("http://141.218.60.56/~jnz1568/getInfo.php?workbook=03_02.xlsx&amp;sheet=A0&amp;row=810&amp;col=10&amp;number=&amp;sourceID=15","")</f>
        <v/>
      </c>
      <c r="K810" s="4" t="str">
        <f>HYPERLINK("http://141.218.60.56/~jnz1568/getInfo.php?workbook=03_02.xlsx&amp;sheet=A0&amp;row=810&amp;col=11&amp;number=&amp;sourceID=30","")</f>
        <v/>
      </c>
      <c r="L810" s="4" t="str">
        <f>HYPERLINK("http://141.218.60.56/~jnz1568/getInfo.php?workbook=03_02.xlsx&amp;sheet=A0&amp;row=810&amp;col=12&amp;number=282.1&amp;sourceID=30","282.1")</f>
        <v>282.1</v>
      </c>
      <c r="M810" s="4" t="str">
        <f>HYPERLINK("http://141.218.60.56/~jnz1568/getInfo.php?workbook=03_02.xlsx&amp;sheet=A0&amp;row=810&amp;col=13&amp;number=&amp;sourceID=30","")</f>
        <v/>
      </c>
      <c r="N810" s="4" t="str">
        <f>HYPERLINK("http://141.218.60.56/~jnz1568/getInfo.php?workbook=03_02.xlsx&amp;sheet=A0&amp;row=810&amp;col=14&amp;number=&amp;sourceID=30","")</f>
        <v/>
      </c>
    </row>
    <row r="811" spans="1:14">
      <c r="A811" s="3">
        <v>3</v>
      </c>
      <c r="B811" s="3">
        <v>2</v>
      </c>
      <c r="C811" s="3">
        <v>47</v>
      </c>
      <c r="D811" s="3">
        <v>14</v>
      </c>
      <c r="E811" s="3"/>
      <c r="F811" s="4" t="str">
        <f>HYPERLINK("http://141.218.60.56/~jnz1568/getInfo.php?workbook=03_02.xlsx&amp;sheet=A0&amp;row=811&amp;col=6&amp;number=&amp;sourceID=27","")</f>
        <v/>
      </c>
      <c r="G811" s="4" t="str">
        <f>HYPERLINK("http://141.218.60.56/~jnz1568/getInfo.php?workbook=03_02.xlsx&amp;sheet=A0&amp;row=811&amp;col=7&amp;number=&amp;sourceID=15","")</f>
        <v/>
      </c>
      <c r="H811" s="4" t="str">
        <f>HYPERLINK("http://141.218.60.56/~jnz1568/getInfo.php?workbook=03_02.xlsx&amp;sheet=A0&amp;row=811&amp;col=8&amp;number=&amp;sourceID=15","")</f>
        <v/>
      </c>
      <c r="I811" s="4" t="str">
        <f>HYPERLINK("http://141.218.60.56/~jnz1568/getInfo.php?workbook=03_02.xlsx&amp;sheet=A0&amp;row=811&amp;col=9&amp;number=&amp;sourceID=15","")</f>
        <v/>
      </c>
      <c r="J811" s="4" t="str">
        <f>HYPERLINK("http://141.218.60.56/~jnz1568/getInfo.php?workbook=03_02.xlsx&amp;sheet=A0&amp;row=811&amp;col=10&amp;number=&amp;sourceID=15","")</f>
        <v/>
      </c>
      <c r="K811" s="4" t="str">
        <f>HYPERLINK("http://141.218.60.56/~jnz1568/getInfo.php?workbook=03_02.xlsx&amp;sheet=A0&amp;row=811&amp;col=11&amp;number=&amp;sourceID=30","")</f>
        <v/>
      </c>
      <c r="L811" s="4" t="str">
        <f>HYPERLINK("http://141.218.60.56/~jnz1568/getInfo.php?workbook=03_02.xlsx&amp;sheet=A0&amp;row=811&amp;col=12&amp;number=58.21&amp;sourceID=30","58.21")</f>
        <v>58.21</v>
      </c>
      <c r="M811" s="4" t="str">
        <f>HYPERLINK("http://141.218.60.56/~jnz1568/getInfo.php?workbook=03_02.xlsx&amp;sheet=A0&amp;row=811&amp;col=13&amp;number=3.499e-11&amp;sourceID=30","3.499e-11")</f>
        <v>3.499e-11</v>
      </c>
      <c r="N811" s="4" t="str">
        <f>HYPERLINK("http://141.218.60.56/~jnz1568/getInfo.php?workbook=03_02.xlsx&amp;sheet=A0&amp;row=811&amp;col=14&amp;number=&amp;sourceID=30","")</f>
        <v/>
      </c>
    </row>
    <row r="812" spans="1:14">
      <c r="A812" s="3">
        <v>3</v>
      </c>
      <c r="B812" s="3">
        <v>2</v>
      </c>
      <c r="C812" s="3">
        <v>47</v>
      </c>
      <c r="D812" s="3">
        <v>16</v>
      </c>
      <c r="E812" s="3"/>
      <c r="F812" s="4" t="str">
        <f>HYPERLINK("http://141.218.60.56/~jnz1568/getInfo.php?workbook=03_02.xlsx&amp;sheet=A0&amp;row=812&amp;col=6&amp;number=&amp;sourceID=27","")</f>
        <v/>
      </c>
      <c r="G812" s="4" t="str">
        <f>HYPERLINK("http://141.218.60.56/~jnz1568/getInfo.php?workbook=03_02.xlsx&amp;sheet=A0&amp;row=812&amp;col=7&amp;number=&amp;sourceID=15","")</f>
        <v/>
      </c>
      <c r="H812" s="4" t="str">
        <f>HYPERLINK("http://141.218.60.56/~jnz1568/getInfo.php?workbook=03_02.xlsx&amp;sheet=A0&amp;row=812&amp;col=8&amp;number=&amp;sourceID=15","")</f>
        <v/>
      </c>
      <c r="I812" s="4" t="str">
        <f>HYPERLINK("http://141.218.60.56/~jnz1568/getInfo.php?workbook=03_02.xlsx&amp;sheet=A0&amp;row=812&amp;col=9&amp;number=&amp;sourceID=15","")</f>
        <v/>
      </c>
      <c r="J812" s="4" t="str">
        <f>HYPERLINK("http://141.218.60.56/~jnz1568/getInfo.php?workbook=03_02.xlsx&amp;sheet=A0&amp;row=812&amp;col=10&amp;number=&amp;sourceID=15","")</f>
        <v/>
      </c>
      <c r="K812" s="4" t="str">
        <f>HYPERLINK("http://141.218.60.56/~jnz1568/getInfo.php?workbook=03_02.xlsx&amp;sheet=A0&amp;row=812&amp;col=11&amp;number=&amp;sourceID=30","")</f>
        <v/>
      </c>
      <c r="L812" s="4" t="str">
        <f>HYPERLINK("http://141.218.60.56/~jnz1568/getInfo.php?workbook=03_02.xlsx&amp;sheet=A0&amp;row=812&amp;col=12&amp;number=402.6&amp;sourceID=30","402.6")</f>
        <v>402.6</v>
      </c>
      <c r="M812" s="4" t="str">
        <f>HYPERLINK("http://141.218.60.56/~jnz1568/getInfo.php?workbook=03_02.xlsx&amp;sheet=A0&amp;row=812&amp;col=13&amp;number=&amp;sourceID=30","")</f>
        <v/>
      </c>
      <c r="N812" s="4" t="str">
        <f>HYPERLINK("http://141.218.60.56/~jnz1568/getInfo.php?workbook=03_02.xlsx&amp;sheet=A0&amp;row=812&amp;col=14&amp;number=&amp;sourceID=30","")</f>
        <v/>
      </c>
    </row>
    <row r="813" spans="1:14">
      <c r="A813" s="3">
        <v>3</v>
      </c>
      <c r="B813" s="3">
        <v>2</v>
      </c>
      <c r="C813" s="3">
        <v>47</v>
      </c>
      <c r="D813" s="3">
        <v>22</v>
      </c>
      <c r="E813" s="3"/>
      <c r="F813" s="4" t="str">
        <f>HYPERLINK("http://141.218.60.56/~jnz1568/getInfo.php?workbook=03_02.xlsx&amp;sheet=A0&amp;row=813&amp;col=6&amp;number=&amp;sourceID=27","")</f>
        <v/>
      </c>
      <c r="G813" s="4" t="str">
        <f>HYPERLINK("http://141.218.60.56/~jnz1568/getInfo.php?workbook=03_02.xlsx&amp;sheet=A0&amp;row=813&amp;col=7&amp;number=&amp;sourceID=15","")</f>
        <v/>
      </c>
      <c r="H813" s="4" t="str">
        <f>HYPERLINK("http://141.218.60.56/~jnz1568/getInfo.php?workbook=03_02.xlsx&amp;sheet=A0&amp;row=813&amp;col=8&amp;number=&amp;sourceID=15","")</f>
        <v/>
      </c>
      <c r="I813" s="4" t="str">
        <f>HYPERLINK("http://141.218.60.56/~jnz1568/getInfo.php?workbook=03_02.xlsx&amp;sheet=A0&amp;row=813&amp;col=9&amp;number=&amp;sourceID=15","")</f>
        <v/>
      </c>
      <c r="J813" s="4" t="str">
        <f>HYPERLINK("http://141.218.60.56/~jnz1568/getInfo.php?workbook=03_02.xlsx&amp;sheet=A0&amp;row=813&amp;col=10&amp;number=&amp;sourceID=15","")</f>
        <v/>
      </c>
      <c r="K813" s="4" t="str">
        <f>HYPERLINK("http://141.218.60.56/~jnz1568/getInfo.php?workbook=03_02.xlsx&amp;sheet=A0&amp;row=813&amp;col=11&amp;number=&amp;sourceID=30","")</f>
        <v/>
      </c>
      <c r="L813" s="4" t="str">
        <f>HYPERLINK("http://141.218.60.56/~jnz1568/getInfo.php?workbook=03_02.xlsx&amp;sheet=A0&amp;row=813&amp;col=12&amp;number=&amp;sourceID=30","")</f>
        <v/>
      </c>
      <c r="M813" s="4" t="str">
        <f>HYPERLINK("http://141.218.60.56/~jnz1568/getInfo.php?workbook=03_02.xlsx&amp;sheet=A0&amp;row=813&amp;col=13&amp;number=&amp;sourceID=30","")</f>
        <v/>
      </c>
      <c r="N813" s="4" t="str">
        <f>HYPERLINK("http://141.218.60.56/~jnz1568/getInfo.php?workbook=03_02.xlsx&amp;sheet=A0&amp;row=813&amp;col=14&amp;number=0&amp;sourceID=30","0")</f>
        <v>0</v>
      </c>
    </row>
    <row r="814" spans="1:14">
      <c r="A814" s="3">
        <v>3</v>
      </c>
      <c r="B814" s="3">
        <v>2</v>
      </c>
      <c r="C814" s="3">
        <v>47</v>
      </c>
      <c r="D814" s="3">
        <v>24</v>
      </c>
      <c r="E814" s="3"/>
      <c r="F814" s="4" t="str">
        <f>HYPERLINK("http://141.218.60.56/~jnz1568/getInfo.php?workbook=03_02.xlsx&amp;sheet=A0&amp;row=814&amp;col=6&amp;number=&amp;sourceID=27","")</f>
        <v/>
      </c>
      <c r="G814" s="4" t="str">
        <f>HYPERLINK("http://141.218.60.56/~jnz1568/getInfo.php?workbook=03_02.xlsx&amp;sheet=A0&amp;row=814&amp;col=7&amp;number=&amp;sourceID=15","")</f>
        <v/>
      </c>
      <c r="H814" s="4" t="str">
        <f>HYPERLINK("http://141.218.60.56/~jnz1568/getInfo.php?workbook=03_02.xlsx&amp;sheet=A0&amp;row=814&amp;col=8&amp;number=&amp;sourceID=15","")</f>
        <v/>
      </c>
      <c r="I814" s="4" t="str">
        <f>HYPERLINK("http://141.218.60.56/~jnz1568/getInfo.php?workbook=03_02.xlsx&amp;sheet=A0&amp;row=814&amp;col=9&amp;number=&amp;sourceID=15","")</f>
        <v/>
      </c>
      <c r="J814" s="4" t="str">
        <f>HYPERLINK("http://141.218.60.56/~jnz1568/getInfo.php?workbook=03_02.xlsx&amp;sheet=A0&amp;row=814&amp;col=10&amp;number=&amp;sourceID=15","")</f>
        <v/>
      </c>
      <c r="K814" s="4" t="str">
        <f>HYPERLINK("http://141.218.60.56/~jnz1568/getInfo.php?workbook=03_02.xlsx&amp;sheet=A0&amp;row=814&amp;col=11&amp;number=&amp;sourceID=30","")</f>
        <v/>
      </c>
      <c r="L814" s="4" t="str">
        <f>HYPERLINK("http://141.218.60.56/~jnz1568/getInfo.php?workbook=03_02.xlsx&amp;sheet=A0&amp;row=814&amp;col=12&amp;number=24.61&amp;sourceID=30","24.61")</f>
        <v>24.61</v>
      </c>
      <c r="M814" s="4" t="str">
        <f>HYPERLINK("http://141.218.60.56/~jnz1568/getInfo.php?workbook=03_02.xlsx&amp;sheet=A0&amp;row=814&amp;col=13&amp;number=&amp;sourceID=30","")</f>
        <v/>
      </c>
      <c r="N814" s="4" t="str">
        <f>HYPERLINK("http://141.218.60.56/~jnz1568/getInfo.php?workbook=03_02.xlsx&amp;sheet=A0&amp;row=814&amp;col=14&amp;number=&amp;sourceID=30","")</f>
        <v/>
      </c>
    </row>
    <row r="815" spans="1:14">
      <c r="A815" s="3">
        <v>3</v>
      </c>
      <c r="B815" s="3">
        <v>2</v>
      </c>
      <c r="C815" s="3">
        <v>47</v>
      </c>
      <c r="D815" s="3">
        <v>25</v>
      </c>
      <c r="E815" s="3"/>
      <c r="F815" s="4" t="str">
        <f>HYPERLINK("http://141.218.60.56/~jnz1568/getInfo.php?workbook=03_02.xlsx&amp;sheet=A0&amp;row=815&amp;col=6&amp;number=&amp;sourceID=27","")</f>
        <v/>
      </c>
      <c r="G815" s="4" t="str">
        <f>HYPERLINK("http://141.218.60.56/~jnz1568/getInfo.php?workbook=03_02.xlsx&amp;sheet=A0&amp;row=815&amp;col=7&amp;number=&amp;sourceID=15","")</f>
        <v/>
      </c>
      <c r="H815" s="4" t="str">
        <f>HYPERLINK("http://141.218.60.56/~jnz1568/getInfo.php?workbook=03_02.xlsx&amp;sheet=A0&amp;row=815&amp;col=8&amp;number=&amp;sourceID=15","")</f>
        <v/>
      </c>
      <c r="I815" s="4" t="str">
        <f>HYPERLINK("http://141.218.60.56/~jnz1568/getInfo.php?workbook=03_02.xlsx&amp;sheet=A0&amp;row=815&amp;col=9&amp;number=&amp;sourceID=15","")</f>
        <v/>
      </c>
      <c r="J815" s="4" t="str">
        <f>HYPERLINK("http://141.218.60.56/~jnz1568/getInfo.php?workbook=03_02.xlsx&amp;sheet=A0&amp;row=815&amp;col=10&amp;number=&amp;sourceID=15","")</f>
        <v/>
      </c>
      <c r="K815" s="4" t="str">
        <f>HYPERLINK("http://141.218.60.56/~jnz1568/getInfo.php?workbook=03_02.xlsx&amp;sheet=A0&amp;row=815&amp;col=11&amp;number=&amp;sourceID=30","")</f>
        <v/>
      </c>
      <c r="L815" s="4" t="str">
        <f>HYPERLINK("http://141.218.60.56/~jnz1568/getInfo.php?workbook=03_02.xlsx&amp;sheet=A0&amp;row=815&amp;col=12&amp;number=5.036&amp;sourceID=30","5.036")</f>
        <v>5.036</v>
      </c>
      <c r="M815" s="4" t="str">
        <f>HYPERLINK("http://141.218.60.56/~jnz1568/getInfo.php?workbook=03_02.xlsx&amp;sheet=A0&amp;row=815&amp;col=13&amp;number=5.52e-13&amp;sourceID=30","5.52e-13")</f>
        <v>5.52e-13</v>
      </c>
      <c r="N815" s="4" t="str">
        <f>HYPERLINK("http://141.218.60.56/~jnz1568/getInfo.php?workbook=03_02.xlsx&amp;sheet=A0&amp;row=815&amp;col=14&amp;number=&amp;sourceID=30","")</f>
        <v/>
      </c>
    </row>
    <row r="816" spans="1:14">
      <c r="A816" s="3">
        <v>3</v>
      </c>
      <c r="B816" s="3">
        <v>2</v>
      </c>
      <c r="C816" s="3">
        <v>47</v>
      </c>
      <c r="D816" s="3">
        <v>26</v>
      </c>
      <c r="E816" s="3"/>
      <c r="F816" s="4" t="str">
        <f>HYPERLINK("http://141.218.60.56/~jnz1568/getInfo.php?workbook=03_02.xlsx&amp;sheet=A0&amp;row=816&amp;col=6&amp;number=&amp;sourceID=27","")</f>
        <v/>
      </c>
      <c r="G816" s="4" t="str">
        <f>HYPERLINK("http://141.218.60.56/~jnz1568/getInfo.php?workbook=03_02.xlsx&amp;sheet=A0&amp;row=816&amp;col=7&amp;number=&amp;sourceID=15","")</f>
        <v/>
      </c>
      <c r="H816" s="4" t="str">
        <f>HYPERLINK("http://141.218.60.56/~jnz1568/getInfo.php?workbook=03_02.xlsx&amp;sheet=A0&amp;row=816&amp;col=8&amp;number=&amp;sourceID=15","")</f>
        <v/>
      </c>
      <c r="I816" s="4" t="str">
        <f>HYPERLINK("http://141.218.60.56/~jnz1568/getInfo.php?workbook=03_02.xlsx&amp;sheet=A0&amp;row=816&amp;col=9&amp;number=&amp;sourceID=15","")</f>
        <v/>
      </c>
      <c r="J816" s="4" t="str">
        <f>HYPERLINK("http://141.218.60.56/~jnz1568/getInfo.php?workbook=03_02.xlsx&amp;sheet=A0&amp;row=816&amp;col=10&amp;number=&amp;sourceID=15","")</f>
        <v/>
      </c>
      <c r="K816" s="4" t="str">
        <f>HYPERLINK("http://141.218.60.56/~jnz1568/getInfo.php?workbook=03_02.xlsx&amp;sheet=A0&amp;row=816&amp;col=11&amp;number=&amp;sourceID=30","")</f>
        <v/>
      </c>
      <c r="L816" s="4" t="str">
        <f>HYPERLINK("http://141.218.60.56/~jnz1568/getInfo.php?workbook=03_02.xlsx&amp;sheet=A0&amp;row=816&amp;col=12&amp;number=34.41&amp;sourceID=30","34.41")</f>
        <v>34.41</v>
      </c>
      <c r="M816" s="4" t="str">
        <f>HYPERLINK("http://141.218.60.56/~jnz1568/getInfo.php?workbook=03_02.xlsx&amp;sheet=A0&amp;row=816&amp;col=13&amp;number=&amp;sourceID=30","")</f>
        <v/>
      </c>
      <c r="N816" s="4" t="str">
        <f>HYPERLINK("http://141.218.60.56/~jnz1568/getInfo.php?workbook=03_02.xlsx&amp;sheet=A0&amp;row=816&amp;col=14&amp;number=&amp;sourceID=30","")</f>
        <v/>
      </c>
    </row>
    <row r="817" spans="1:14">
      <c r="A817" s="3">
        <v>3</v>
      </c>
      <c r="B817" s="3">
        <v>2</v>
      </c>
      <c r="C817" s="3">
        <v>47</v>
      </c>
      <c r="D817" s="3">
        <v>27</v>
      </c>
      <c r="E817" s="3"/>
      <c r="F817" s="4" t="str">
        <f>HYPERLINK("http://141.218.60.56/~jnz1568/getInfo.php?workbook=03_02.xlsx&amp;sheet=A0&amp;row=817&amp;col=6&amp;number=&amp;sourceID=27","")</f>
        <v/>
      </c>
      <c r="G817" s="4" t="str">
        <f>HYPERLINK("http://141.218.60.56/~jnz1568/getInfo.php?workbook=03_02.xlsx&amp;sheet=A0&amp;row=817&amp;col=7&amp;number=&amp;sourceID=15","")</f>
        <v/>
      </c>
      <c r="H817" s="4" t="str">
        <f>HYPERLINK("http://141.218.60.56/~jnz1568/getInfo.php?workbook=03_02.xlsx&amp;sheet=A0&amp;row=817&amp;col=8&amp;number=&amp;sourceID=15","")</f>
        <v/>
      </c>
      <c r="I817" s="4" t="str">
        <f>HYPERLINK("http://141.218.60.56/~jnz1568/getInfo.php?workbook=03_02.xlsx&amp;sheet=A0&amp;row=817&amp;col=9&amp;number=&amp;sourceID=15","")</f>
        <v/>
      </c>
      <c r="J817" s="4" t="str">
        <f>HYPERLINK("http://141.218.60.56/~jnz1568/getInfo.php?workbook=03_02.xlsx&amp;sheet=A0&amp;row=817&amp;col=10&amp;number=&amp;sourceID=15","")</f>
        <v/>
      </c>
      <c r="K817" s="4" t="str">
        <f>HYPERLINK("http://141.218.60.56/~jnz1568/getInfo.php?workbook=03_02.xlsx&amp;sheet=A0&amp;row=817&amp;col=11&amp;number=&amp;sourceID=30","")</f>
        <v/>
      </c>
      <c r="L817" s="4" t="str">
        <f>HYPERLINK("http://141.218.60.56/~jnz1568/getInfo.php?workbook=03_02.xlsx&amp;sheet=A0&amp;row=817&amp;col=12&amp;number=&amp;sourceID=30","")</f>
        <v/>
      </c>
      <c r="M817" s="4" t="str">
        <f>HYPERLINK("http://141.218.60.56/~jnz1568/getInfo.php?workbook=03_02.xlsx&amp;sheet=A0&amp;row=817&amp;col=13&amp;number=&amp;sourceID=30","")</f>
        <v/>
      </c>
      <c r="N817" s="4" t="str">
        <f>HYPERLINK("http://141.218.60.56/~jnz1568/getInfo.php?workbook=03_02.xlsx&amp;sheet=A0&amp;row=817&amp;col=14&amp;number=2.027e-05&amp;sourceID=30","2.027e-05")</f>
        <v>2.027e-05</v>
      </c>
    </row>
    <row r="818" spans="1:14">
      <c r="A818" s="3">
        <v>3</v>
      </c>
      <c r="B818" s="3">
        <v>2</v>
      </c>
      <c r="C818" s="3">
        <v>47</v>
      </c>
      <c r="D818" s="3">
        <v>28</v>
      </c>
      <c r="E818" s="3"/>
      <c r="F818" s="4" t="str">
        <f>HYPERLINK("http://141.218.60.56/~jnz1568/getInfo.php?workbook=03_02.xlsx&amp;sheet=A0&amp;row=818&amp;col=6&amp;number=&amp;sourceID=27","")</f>
        <v/>
      </c>
      <c r="G818" s="4" t="str">
        <f>HYPERLINK("http://141.218.60.56/~jnz1568/getInfo.php?workbook=03_02.xlsx&amp;sheet=A0&amp;row=818&amp;col=7&amp;number=&amp;sourceID=15","")</f>
        <v/>
      </c>
      <c r="H818" s="4" t="str">
        <f>HYPERLINK("http://141.218.60.56/~jnz1568/getInfo.php?workbook=03_02.xlsx&amp;sheet=A0&amp;row=818&amp;col=8&amp;number=&amp;sourceID=15","")</f>
        <v/>
      </c>
      <c r="I818" s="4" t="str">
        <f>HYPERLINK("http://141.218.60.56/~jnz1568/getInfo.php?workbook=03_02.xlsx&amp;sheet=A0&amp;row=818&amp;col=9&amp;number=&amp;sourceID=15","")</f>
        <v/>
      </c>
      <c r="J818" s="4" t="str">
        <f>HYPERLINK("http://141.218.60.56/~jnz1568/getInfo.php?workbook=03_02.xlsx&amp;sheet=A0&amp;row=818&amp;col=10&amp;number=&amp;sourceID=15","")</f>
        <v/>
      </c>
      <c r="K818" s="4" t="str">
        <f>HYPERLINK("http://141.218.60.56/~jnz1568/getInfo.php?workbook=03_02.xlsx&amp;sheet=A0&amp;row=818&amp;col=11&amp;number=4365000&amp;sourceID=30","4365000")</f>
        <v>4365000</v>
      </c>
      <c r="L818" s="4" t="str">
        <f>HYPERLINK("http://141.218.60.56/~jnz1568/getInfo.php?workbook=03_02.xlsx&amp;sheet=A0&amp;row=818&amp;col=12&amp;number=&amp;sourceID=30","")</f>
        <v/>
      </c>
      <c r="M818" s="4" t="str">
        <f>HYPERLINK("http://141.218.60.56/~jnz1568/getInfo.php?workbook=03_02.xlsx&amp;sheet=A0&amp;row=818&amp;col=13&amp;number=&amp;sourceID=30","")</f>
        <v/>
      </c>
      <c r="N818" s="4" t="str">
        <f>HYPERLINK("http://141.218.60.56/~jnz1568/getInfo.php?workbook=03_02.xlsx&amp;sheet=A0&amp;row=818&amp;col=14&amp;number=2.126e-05&amp;sourceID=30","2.126e-05")</f>
        <v>2.126e-05</v>
      </c>
    </row>
    <row r="819" spans="1:14">
      <c r="A819" s="3">
        <v>3</v>
      </c>
      <c r="B819" s="3">
        <v>2</v>
      </c>
      <c r="C819" s="3">
        <v>47</v>
      </c>
      <c r="D819" s="3">
        <v>29</v>
      </c>
      <c r="E819" s="3"/>
      <c r="F819" s="4" t="str">
        <f>HYPERLINK("http://141.218.60.56/~jnz1568/getInfo.php?workbook=03_02.xlsx&amp;sheet=A0&amp;row=819&amp;col=6&amp;number=&amp;sourceID=27","")</f>
        <v/>
      </c>
      <c r="G819" s="4" t="str">
        <f>HYPERLINK("http://141.218.60.56/~jnz1568/getInfo.php?workbook=03_02.xlsx&amp;sheet=A0&amp;row=819&amp;col=7&amp;number=&amp;sourceID=15","")</f>
        <v/>
      </c>
      <c r="H819" s="4" t="str">
        <f>HYPERLINK("http://141.218.60.56/~jnz1568/getInfo.php?workbook=03_02.xlsx&amp;sheet=A0&amp;row=819&amp;col=8&amp;number=&amp;sourceID=15","")</f>
        <v/>
      </c>
      <c r="I819" s="4" t="str">
        <f>HYPERLINK("http://141.218.60.56/~jnz1568/getInfo.php?workbook=03_02.xlsx&amp;sheet=A0&amp;row=819&amp;col=9&amp;number=&amp;sourceID=15","")</f>
        <v/>
      </c>
      <c r="J819" s="4" t="str">
        <f>HYPERLINK("http://141.218.60.56/~jnz1568/getInfo.php?workbook=03_02.xlsx&amp;sheet=A0&amp;row=819&amp;col=10&amp;number=&amp;sourceID=15","")</f>
        <v/>
      </c>
      <c r="K819" s="4" t="str">
        <f>HYPERLINK("http://141.218.60.56/~jnz1568/getInfo.php?workbook=03_02.xlsx&amp;sheet=A0&amp;row=819&amp;col=11&amp;number=1999000&amp;sourceID=30","1999000")</f>
        <v>1999000</v>
      </c>
      <c r="L819" s="4" t="str">
        <f>HYPERLINK("http://141.218.60.56/~jnz1568/getInfo.php?workbook=03_02.xlsx&amp;sheet=A0&amp;row=819&amp;col=12&amp;number=&amp;sourceID=30","")</f>
        <v/>
      </c>
      <c r="M819" s="4" t="str">
        <f>HYPERLINK("http://141.218.60.56/~jnz1568/getInfo.php?workbook=03_02.xlsx&amp;sheet=A0&amp;row=819&amp;col=13&amp;number=&amp;sourceID=30","")</f>
        <v/>
      </c>
      <c r="N819" s="4" t="str">
        <f>HYPERLINK("http://141.218.60.56/~jnz1568/getInfo.php?workbook=03_02.xlsx&amp;sheet=A0&amp;row=819&amp;col=14&amp;number=1.727e-05&amp;sourceID=30","1.727e-05")</f>
        <v>1.727e-05</v>
      </c>
    </row>
    <row r="820" spans="1:14">
      <c r="A820" s="3">
        <v>3</v>
      </c>
      <c r="B820" s="3">
        <v>2</v>
      </c>
      <c r="C820" s="3">
        <v>47</v>
      </c>
      <c r="D820" s="3">
        <v>30</v>
      </c>
      <c r="E820" s="3"/>
      <c r="F820" s="4" t="str">
        <f>HYPERLINK("http://141.218.60.56/~jnz1568/getInfo.php?workbook=03_02.xlsx&amp;sheet=A0&amp;row=820&amp;col=6&amp;number=&amp;sourceID=27","")</f>
        <v/>
      </c>
      <c r="G820" s="4" t="str">
        <f>HYPERLINK("http://141.218.60.56/~jnz1568/getInfo.php?workbook=03_02.xlsx&amp;sheet=A0&amp;row=820&amp;col=7&amp;number=&amp;sourceID=15","")</f>
        <v/>
      </c>
      <c r="H820" s="4" t="str">
        <f>HYPERLINK("http://141.218.60.56/~jnz1568/getInfo.php?workbook=03_02.xlsx&amp;sheet=A0&amp;row=820&amp;col=8&amp;number=&amp;sourceID=15","")</f>
        <v/>
      </c>
      <c r="I820" s="4" t="str">
        <f>HYPERLINK("http://141.218.60.56/~jnz1568/getInfo.php?workbook=03_02.xlsx&amp;sheet=A0&amp;row=820&amp;col=9&amp;number=&amp;sourceID=15","")</f>
        <v/>
      </c>
      <c r="J820" s="4" t="str">
        <f>HYPERLINK("http://141.218.60.56/~jnz1568/getInfo.php?workbook=03_02.xlsx&amp;sheet=A0&amp;row=820&amp;col=10&amp;number=&amp;sourceID=15","")</f>
        <v/>
      </c>
      <c r="K820" s="4" t="str">
        <f>HYPERLINK("http://141.218.60.56/~jnz1568/getInfo.php?workbook=03_02.xlsx&amp;sheet=A0&amp;row=820&amp;col=11&amp;number=61740000&amp;sourceID=30","61740000")</f>
        <v>61740000</v>
      </c>
      <c r="L820" s="4" t="str">
        <f>HYPERLINK("http://141.218.60.56/~jnz1568/getInfo.php?workbook=03_02.xlsx&amp;sheet=A0&amp;row=820&amp;col=12&amp;number=&amp;sourceID=30","")</f>
        <v/>
      </c>
      <c r="M820" s="4" t="str">
        <f>HYPERLINK("http://141.218.60.56/~jnz1568/getInfo.php?workbook=03_02.xlsx&amp;sheet=A0&amp;row=820&amp;col=13&amp;number=&amp;sourceID=30","")</f>
        <v/>
      </c>
      <c r="N820" s="4" t="str">
        <f>HYPERLINK("http://141.218.60.56/~jnz1568/getInfo.php?workbook=03_02.xlsx&amp;sheet=A0&amp;row=820&amp;col=14&amp;number=0.0001708&amp;sourceID=30","0.0001708")</f>
        <v>0.0001708</v>
      </c>
    </row>
    <row r="821" spans="1:14">
      <c r="A821" s="3">
        <v>3</v>
      </c>
      <c r="B821" s="3">
        <v>2</v>
      </c>
      <c r="C821" s="3">
        <v>47</v>
      </c>
      <c r="D821" s="3">
        <v>36</v>
      </c>
      <c r="E821" s="3"/>
      <c r="F821" s="4" t="str">
        <f>HYPERLINK("http://141.218.60.56/~jnz1568/getInfo.php?workbook=03_02.xlsx&amp;sheet=A0&amp;row=821&amp;col=6&amp;number=&amp;sourceID=27","")</f>
        <v/>
      </c>
      <c r="G821" s="4" t="str">
        <f>HYPERLINK("http://141.218.60.56/~jnz1568/getInfo.php?workbook=03_02.xlsx&amp;sheet=A0&amp;row=821&amp;col=7&amp;number=&amp;sourceID=15","")</f>
        <v/>
      </c>
      <c r="H821" s="4" t="str">
        <f>HYPERLINK("http://141.218.60.56/~jnz1568/getInfo.php?workbook=03_02.xlsx&amp;sheet=A0&amp;row=821&amp;col=8&amp;number=&amp;sourceID=15","")</f>
        <v/>
      </c>
      <c r="I821" s="4" t="str">
        <f>HYPERLINK("http://141.218.60.56/~jnz1568/getInfo.php?workbook=03_02.xlsx&amp;sheet=A0&amp;row=821&amp;col=9&amp;number=&amp;sourceID=15","")</f>
        <v/>
      </c>
      <c r="J821" s="4" t="str">
        <f>HYPERLINK("http://141.218.60.56/~jnz1568/getInfo.php?workbook=03_02.xlsx&amp;sheet=A0&amp;row=821&amp;col=10&amp;number=&amp;sourceID=15","")</f>
        <v/>
      </c>
      <c r="K821" s="4" t="str">
        <f>HYPERLINK("http://141.218.60.56/~jnz1568/getInfo.php?workbook=03_02.xlsx&amp;sheet=A0&amp;row=821&amp;col=11&amp;number=&amp;sourceID=30","")</f>
        <v/>
      </c>
      <c r="L821" s="4" t="str">
        <f>HYPERLINK("http://141.218.60.56/~jnz1568/getInfo.php?workbook=03_02.xlsx&amp;sheet=A0&amp;row=821&amp;col=12&amp;number=&amp;sourceID=30","")</f>
        <v/>
      </c>
      <c r="M821" s="4" t="str">
        <f>HYPERLINK("http://141.218.60.56/~jnz1568/getInfo.php?workbook=03_02.xlsx&amp;sheet=A0&amp;row=821&amp;col=13&amp;number=&amp;sourceID=30","")</f>
        <v/>
      </c>
      <c r="N821" s="4" t="str">
        <f>HYPERLINK("http://141.218.60.56/~jnz1568/getInfo.php?workbook=03_02.xlsx&amp;sheet=A0&amp;row=821&amp;col=14&amp;number=0&amp;sourceID=30","0")</f>
        <v>0</v>
      </c>
    </row>
    <row r="822" spans="1:14">
      <c r="A822" s="3">
        <v>3</v>
      </c>
      <c r="B822" s="3">
        <v>2</v>
      </c>
      <c r="C822" s="3">
        <v>47</v>
      </c>
      <c r="D822" s="3">
        <v>38</v>
      </c>
      <c r="E822" s="3"/>
      <c r="F822" s="4" t="str">
        <f>HYPERLINK("http://141.218.60.56/~jnz1568/getInfo.php?workbook=03_02.xlsx&amp;sheet=A0&amp;row=822&amp;col=6&amp;number=&amp;sourceID=27","")</f>
        <v/>
      </c>
      <c r="G822" s="4" t="str">
        <f>HYPERLINK("http://141.218.60.56/~jnz1568/getInfo.php?workbook=03_02.xlsx&amp;sheet=A0&amp;row=822&amp;col=7&amp;number=&amp;sourceID=15","")</f>
        <v/>
      </c>
      <c r="H822" s="4" t="str">
        <f>HYPERLINK("http://141.218.60.56/~jnz1568/getInfo.php?workbook=03_02.xlsx&amp;sheet=A0&amp;row=822&amp;col=8&amp;number=&amp;sourceID=15","")</f>
        <v/>
      </c>
      <c r="I822" s="4" t="str">
        <f>HYPERLINK("http://141.218.60.56/~jnz1568/getInfo.php?workbook=03_02.xlsx&amp;sheet=A0&amp;row=822&amp;col=9&amp;number=&amp;sourceID=15","")</f>
        <v/>
      </c>
      <c r="J822" s="4" t="str">
        <f>HYPERLINK("http://141.218.60.56/~jnz1568/getInfo.php?workbook=03_02.xlsx&amp;sheet=A0&amp;row=822&amp;col=10&amp;number=&amp;sourceID=15","")</f>
        <v/>
      </c>
      <c r="K822" s="4" t="str">
        <f>HYPERLINK("http://141.218.60.56/~jnz1568/getInfo.php?workbook=03_02.xlsx&amp;sheet=A0&amp;row=822&amp;col=11&amp;number=&amp;sourceID=30","")</f>
        <v/>
      </c>
      <c r="L822" s="4" t="str">
        <f>HYPERLINK("http://141.218.60.56/~jnz1568/getInfo.php?workbook=03_02.xlsx&amp;sheet=A0&amp;row=822&amp;col=12&amp;number=2.9e-14&amp;sourceID=30","2.9e-14")</f>
        <v>2.9e-14</v>
      </c>
      <c r="M822" s="4" t="str">
        <f>HYPERLINK("http://141.218.60.56/~jnz1568/getInfo.php?workbook=03_02.xlsx&amp;sheet=A0&amp;row=822&amp;col=13&amp;number=&amp;sourceID=30","")</f>
        <v/>
      </c>
      <c r="N822" s="4" t="str">
        <f>HYPERLINK("http://141.218.60.56/~jnz1568/getInfo.php?workbook=03_02.xlsx&amp;sheet=A0&amp;row=822&amp;col=14&amp;number=&amp;sourceID=30","")</f>
        <v/>
      </c>
    </row>
    <row r="823" spans="1:14">
      <c r="A823" s="3">
        <v>3</v>
      </c>
      <c r="B823" s="3">
        <v>2</v>
      </c>
      <c r="C823" s="3">
        <v>47</v>
      </c>
      <c r="D823" s="3">
        <v>39</v>
      </c>
      <c r="E823" s="3"/>
      <c r="F823" s="4" t="str">
        <f>HYPERLINK("http://141.218.60.56/~jnz1568/getInfo.php?workbook=03_02.xlsx&amp;sheet=A0&amp;row=823&amp;col=6&amp;number=&amp;sourceID=27","")</f>
        <v/>
      </c>
      <c r="G823" s="4" t="str">
        <f>HYPERLINK("http://141.218.60.56/~jnz1568/getInfo.php?workbook=03_02.xlsx&amp;sheet=A0&amp;row=823&amp;col=7&amp;number=&amp;sourceID=15","")</f>
        <v/>
      </c>
      <c r="H823" s="4" t="str">
        <f>HYPERLINK("http://141.218.60.56/~jnz1568/getInfo.php?workbook=03_02.xlsx&amp;sheet=A0&amp;row=823&amp;col=8&amp;number=&amp;sourceID=15","")</f>
        <v/>
      </c>
      <c r="I823" s="4" t="str">
        <f>HYPERLINK("http://141.218.60.56/~jnz1568/getInfo.php?workbook=03_02.xlsx&amp;sheet=A0&amp;row=823&amp;col=9&amp;number=&amp;sourceID=15","")</f>
        <v/>
      </c>
      <c r="J823" s="4" t="str">
        <f>HYPERLINK("http://141.218.60.56/~jnz1568/getInfo.php?workbook=03_02.xlsx&amp;sheet=A0&amp;row=823&amp;col=10&amp;number=&amp;sourceID=15","")</f>
        <v/>
      </c>
      <c r="K823" s="4" t="str">
        <f>HYPERLINK("http://141.218.60.56/~jnz1568/getInfo.php?workbook=03_02.xlsx&amp;sheet=A0&amp;row=823&amp;col=11&amp;number=&amp;sourceID=30","")</f>
        <v/>
      </c>
      <c r="L823" s="4" t="str">
        <f>HYPERLINK("http://141.218.60.56/~jnz1568/getInfo.php?workbook=03_02.xlsx&amp;sheet=A0&amp;row=823&amp;col=12&amp;number=6e-15&amp;sourceID=30","6e-15")</f>
        <v>6e-15</v>
      </c>
      <c r="M823" s="4" t="str">
        <f>HYPERLINK("http://141.218.60.56/~jnz1568/getInfo.php?workbook=03_02.xlsx&amp;sheet=A0&amp;row=823&amp;col=13&amp;number=0&amp;sourceID=30","0")</f>
        <v>0</v>
      </c>
      <c r="N823" s="4" t="str">
        <f>HYPERLINK("http://141.218.60.56/~jnz1568/getInfo.php?workbook=03_02.xlsx&amp;sheet=A0&amp;row=823&amp;col=14&amp;number=&amp;sourceID=30","")</f>
        <v/>
      </c>
    </row>
    <row r="824" spans="1:14">
      <c r="A824" s="3">
        <v>3</v>
      </c>
      <c r="B824" s="3">
        <v>2</v>
      </c>
      <c r="C824" s="3">
        <v>47</v>
      </c>
      <c r="D824" s="3">
        <v>41</v>
      </c>
      <c r="E824" s="3"/>
      <c r="F824" s="4" t="str">
        <f>HYPERLINK("http://141.218.60.56/~jnz1568/getInfo.php?workbook=03_02.xlsx&amp;sheet=A0&amp;row=824&amp;col=6&amp;number=&amp;sourceID=27","")</f>
        <v/>
      </c>
      <c r="G824" s="4" t="str">
        <f>HYPERLINK("http://141.218.60.56/~jnz1568/getInfo.php?workbook=03_02.xlsx&amp;sheet=A0&amp;row=824&amp;col=7&amp;number=&amp;sourceID=15","")</f>
        <v/>
      </c>
      <c r="H824" s="4" t="str">
        <f>HYPERLINK("http://141.218.60.56/~jnz1568/getInfo.php?workbook=03_02.xlsx&amp;sheet=A0&amp;row=824&amp;col=8&amp;number=&amp;sourceID=15","")</f>
        <v/>
      </c>
      <c r="I824" s="4" t="str">
        <f>HYPERLINK("http://141.218.60.56/~jnz1568/getInfo.php?workbook=03_02.xlsx&amp;sheet=A0&amp;row=824&amp;col=9&amp;number=&amp;sourceID=15","")</f>
        <v/>
      </c>
      <c r="J824" s="4" t="str">
        <f>HYPERLINK("http://141.218.60.56/~jnz1568/getInfo.php?workbook=03_02.xlsx&amp;sheet=A0&amp;row=824&amp;col=10&amp;number=&amp;sourceID=15","")</f>
        <v/>
      </c>
      <c r="K824" s="4" t="str">
        <f>HYPERLINK("http://141.218.60.56/~jnz1568/getInfo.php?workbook=03_02.xlsx&amp;sheet=A0&amp;row=824&amp;col=11&amp;number=&amp;sourceID=30","")</f>
        <v/>
      </c>
      <c r="L824" s="4" t="str">
        <f>HYPERLINK("http://141.218.60.56/~jnz1568/getInfo.php?workbook=03_02.xlsx&amp;sheet=A0&amp;row=824&amp;col=12&amp;number=&amp;sourceID=30","")</f>
        <v/>
      </c>
      <c r="M824" s="4" t="str">
        <f>HYPERLINK("http://141.218.60.56/~jnz1568/getInfo.php?workbook=03_02.xlsx&amp;sheet=A0&amp;row=824&amp;col=13&amp;number=&amp;sourceID=30","")</f>
        <v/>
      </c>
      <c r="N824" s="4" t="str">
        <f>HYPERLINK("http://141.218.60.56/~jnz1568/getInfo.php?workbook=03_02.xlsx&amp;sheet=A0&amp;row=824&amp;col=14&amp;number=0&amp;sourceID=30","0")</f>
        <v>0</v>
      </c>
    </row>
    <row r="825" spans="1:14">
      <c r="A825" s="3">
        <v>3</v>
      </c>
      <c r="B825" s="3">
        <v>2</v>
      </c>
      <c r="C825" s="3">
        <v>47</v>
      </c>
      <c r="D825" s="3">
        <v>42</v>
      </c>
      <c r="E825" s="3"/>
      <c r="F825" s="4" t="str">
        <f>HYPERLINK("http://141.218.60.56/~jnz1568/getInfo.php?workbook=03_02.xlsx&amp;sheet=A0&amp;row=825&amp;col=6&amp;number=&amp;sourceID=27","")</f>
        <v/>
      </c>
      <c r="G825" s="4" t="str">
        <f>HYPERLINK("http://141.218.60.56/~jnz1568/getInfo.php?workbook=03_02.xlsx&amp;sheet=A0&amp;row=825&amp;col=7&amp;number=&amp;sourceID=15","")</f>
        <v/>
      </c>
      <c r="H825" s="4" t="str">
        <f>HYPERLINK("http://141.218.60.56/~jnz1568/getInfo.php?workbook=03_02.xlsx&amp;sheet=A0&amp;row=825&amp;col=8&amp;number=&amp;sourceID=15","")</f>
        <v/>
      </c>
      <c r="I825" s="4" t="str">
        <f>HYPERLINK("http://141.218.60.56/~jnz1568/getInfo.php?workbook=03_02.xlsx&amp;sheet=A0&amp;row=825&amp;col=9&amp;number=&amp;sourceID=15","")</f>
        <v/>
      </c>
      <c r="J825" s="4" t="str">
        <f>HYPERLINK("http://141.218.60.56/~jnz1568/getInfo.php?workbook=03_02.xlsx&amp;sheet=A0&amp;row=825&amp;col=10&amp;number=&amp;sourceID=15","")</f>
        <v/>
      </c>
      <c r="K825" s="4" t="str">
        <f>HYPERLINK("http://141.218.60.56/~jnz1568/getInfo.php?workbook=03_02.xlsx&amp;sheet=A0&amp;row=825&amp;col=11&amp;number=1.095e-07&amp;sourceID=30","1.095e-07")</f>
        <v>1.095e-07</v>
      </c>
      <c r="L825" s="4" t="str">
        <f>HYPERLINK("http://141.218.60.56/~jnz1568/getInfo.php?workbook=03_02.xlsx&amp;sheet=A0&amp;row=825&amp;col=12&amp;number=&amp;sourceID=30","")</f>
        <v/>
      </c>
      <c r="M825" s="4" t="str">
        <f>HYPERLINK("http://141.218.60.56/~jnz1568/getInfo.php?workbook=03_02.xlsx&amp;sheet=A0&amp;row=825&amp;col=13&amp;number=&amp;sourceID=30","")</f>
        <v/>
      </c>
      <c r="N825" s="4" t="str">
        <f>HYPERLINK("http://141.218.60.56/~jnz1568/getInfo.php?workbook=03_02.xlsx&amp;sheet=A0&amp;row=825&amp;col=14&amp;number=0&amp;sourceID=30","0")</f>
        <v>0</v>
      </c>
    </row>
    <row r="826" spans="1:14">
      <c r="A826" s="3">
        <v>3</v>
      </c>
      <c r="B826" s="3">
        <v>2</v>
      </c>
      <c r="C826" s="3">
        <v>47</v>
      </c>
      <c r="D826" s="3">
        <v>43</v>
      </c>
      <c r="E826" s="3"/>
      <c r="F826" s="4" t="str">
        <f>HYPERLINK("http://141.218.60.56/~jnz1568/getInfo.php?workbook=03_02.xlsx&amp;sheet=A0&amp;row=826&amp;col=6&amp;number=&amp;sourceID=27","")</f>
        <v/>
      </c>
      <c r="G826" s="4" t="str">
        <f>HYPERLINK("http://141.218.60.56/~jnz1568/getInfo.php?workbook=03_02.xlsx&amp;sheet=A0&amp;row=826&amp;col=7&amp;number=&amp;sourceID=15","")</f>
        <v/>
      </c>
      <c r="H826" s="4" t="str">
        <f>HYPERLINK("http://141.218.60.56/~jnz1568/getInfo.php?workbook=03_02.xlsx&amp;sheet=A0&amp;row=826&amp;col=8&amp;number=&amp;sourceID=15","")</f>
        <v/>
      </c>
      <c r="I826" s="4" t="str">
        <f>HYPERLINK("http://141.218.60.56/~jnz1568/getInfo.php?workbook=03_02.xlsx&amp;sheet=A0&amp;row=826&amp;col=9&amp;number=&amp;sourceID=15","")</f>
        <v/>
      </c>
      <c r="J826" s="4" t="str">
        <f>HYPERLINK("http://141.218.60.56/~jnz1568/getInfo.php?workbook=03_02.xlsx&amp;sheet=A0&amp;row=826&amp;col=10&amp;number=&amp;sourceID=15","")</f>
        <v/>
      </c>
      <c r="K826" s="4" t="str">
        <f>HYPERLINK("http://141.218.60.56/~jnz1568/getInfo.php?workbook=03_02.xlsx&amp;sheet=A0&amp;row=826&amp;col=11&amp;number=1.39e-08&amp;sourceID=30","1.39e-08")</f>
        <v>1.39e-08</v>
      </c>
      <c r="L826" s="4" t="str">
        <f>HYPERLINK("http://141.218.60.56/~jnz1568/getInfo.php?workbook=03_02.xlsx&amp;sheet=A0&amp;row=826&amp;col=12&amp;number=&amp;sourceID=30","")</f>
        <v/>
      </c>
      <c r="M826" s="4" t="str">
        <f>HYPERLINK("http://141.218.60.56/~jnz1568/getInfo.php?workbook=03_02.xlsx&amp;sheet=A0&amp;row=826&amp;col=13&amp;number=&amp;sourceID=30","")</f>
        <v/>
      </c>
      <c r="N826" s="4" t="str">
        <f>HYPERLINK("http://141.218.60.56/~jnz1568/getInfo.php?workbook=03_02.xlsx&amp;sheet=A0&amp;row=826&amp;col=14&amp;number=0&amp;sourceID=30","0")</f>
        <v>0</v>
      </c>
    </row>
    <row r="827" spans="1:14">
      <c r="A827" s="3">
        <v>3</v>
      </c>
      <c r="B827" s="3">
        <v>2</v>
      </c>
      <c r="C827" s="3">
        <v>47</v>
      </c>
      <c r="D827" s="3">
        <v>44</v>
      </c>
      <c r="E827" s="3"/>
      <c r="F827" s="4" t="str">
        <f>HYPERLINK("http://141.218.60.56/~jnz1568/getInfo.php?workbook=03_02.xlsx&amp;sheet=A0&amp;row=827&amp;col=6&amp;number=&amp;sourceID=27","")</f>
        <v/>
      </c>
      <c r="G827" s="4" t="str">
        <f>HYPERLINK("http://141.218.60.56/~jnz1568/getInfo.php?workbook=03_02.xlsx&amp;sheet=A0&amp;row=827&amp;col=7&amp;number=&amp;sourceID=15","")</f>
        <v/>
      </c>
      <c r="H827" s="4" t="str">
        <f>HYPERLINK("http://141.218.60.56/~jnz1568/getInfo.php?workbook=03_02.xlsx&amp;sheet=A0&amp;row=827&amp;col=8&amp;number=&amp;sourceID=15","")</f>
        <v/>
      </c>
      <c r="I827" s="4" t="str">
        <f>HYPERLINK("http://141.218.60.56/~jnz1568/getInfo.php?workbook=03_02.xlsx&amp;sheet=A0&amp;row=827&amp;col=9&amp;number=&amp;sourceID=15","")</f>
        <v/>
      </c>
      <c r="J827" s="4" t="str">
        <f>HYPERLINK("http://141.218.60.56/~jnz1568/getInfo.php?workbook=03_02.xlsx&amp;sheet=A0&amp;row=827&amp;col=10&amp;number=&amp;sourceID=15","")</f>
        <v/>
      </c>
      <c r="K827" s="4" t="str">
        <f>HYPERLINK("http://141.218.60.56/~jnz1568/getInfo.php?workbook=03_02.xlsx&amp;sheet=A0&amp;row=827&amp;col=11&amp;number=&amp;sourceID=30","")</f>
        <v/>
      </c>
      <c r="L827" s="4" t="str">
        <f>HYPERLINK("http://141.218.60.56/~jnz1568/getInfo.php?workbook=03_02.xlsx&amp;sheet=A0&amp;row=827&amp;col=12&amp;number=0&amp;sourceID=30","0")</f>
        <v>0</v>
      </c>
      <c r="M827" s="4" t="str">
        <f>HYPERLINK("http://141.218.60.56/~jnz1568/getInfo.php?workbook=03_02.xlsx&amp;sheet=A0&amp;row=827&amp;col=13&amp;number=0&amp;sourceID=30","0")</f>
        <v>0</v>
      </c>
      <c r="N827" s="4" t="str">
        <f>HYPERLINK("http://141.218.60.56/~jnz1568/getInfo.php?workbook=03_02.xlsx&amp;sheet=A0&amp;row=827&amp;col=14&amp;number=&amp;sourceID=30","")</f>
        <v/>
      </c>
    </row>
    <row r="828" spans="1:14">
      <c r="A828" s="3">
        <v>3</v>
      </c>
      <c r="B828" s="3">
        <v>2</v>
      </c>
      <c r="C828" s="3">
        <v>47</v>
      </c>
      <c r="D828" s="3">
        <v>45</v>
      </c>
      <c r="E828" s="3"/>
      <c r="F828" s="4" t="str">
        <f>HYPERLINK("http://141.218.60.56/~jnz1568/getInfo.php?workbook=03_02.xlsx&amp;sheet=A0&amp;row=828&amp;col=6&amp;number=&amp;sourceID=27","")</f>
        <v/>
      </c>
      <c r="G828" s="4" t="str">
        <f>HYPERLINK("http://141.218.60.56/~jnz1568/getInfo.php?workbook=03_02.xlsx&amp;sheet=A0&amp;row=828&amp;col=7&amp;number=&amp;sourceID=15","")</f>
        <v/>
      </c>
      <c r="H828" s="4" t="str">
        <f>HYPERLINK("http://141.218.60.56/~jnz1568/getInfo.php?workbook=03_02.xlsx&amp;sheet=A0&amp;row=828&amp;col=8&amp;number=&amp;sourceID=15","")</f>
        <v/>
      </c>
      <c r="I828" s="4" t="str">
        <f>HYPERLINK("http://141.218.60.56/~jnz1568/getInfo.php?workbook=03_02.xlsx&amp;sheet=A0&amp;row=828&amp;col=9&amp;number=&amp;sourceID=15","")</f>
        <v/>
      </c>
      <c r="J828" s="4" t="str">
        <f>HYPERLINK("http://141.218.60.56/~jnz1568/getInfo.php?workbook=03_02.xlsx&amp;sheet=A0&amp;row=828&amp;col=10&amp;number=&amp;sourceID=15","")</f>
        <v/>
      </c>
      <c r="K828" s="4" t="str">
        <f>HYPERLINK("http://141.218.60.56/~jnz1568/getInfo.php?workbook=03_02.xlsx&amp;sheet=A0&amp;row=828&amp;col=11&amp;number=&amp;sourceID=30","")</f>
        <v/>
      </c>
      <c r="L828" s="4" t="str">
        <f>HYPERLINK("http://141.218.60.56/~jnz1568/getInfo.php?workbook=03_02.xlsx&amp;sheet=A0&amp;row=828&amp;col=12&amp;number=0&amp;sourceID=30","0")</f>
        <v>0</v>
      </c>
      <c r="M828" s="4" t="str">
        <f>HYPERLINK("http://141.218.60.56/~jnz1568/getInfo.php?workbook=03_02.xlsx&amp;sheet=A0&amp;row=828&amp;col=13&amp;number=0&amp;sourceID=30","0")</f>
        <v>0</v>
      </c>
      <c r="N828" s="4" t="str">
        <f>HYPERLINK("http://141.218.60.56/~jnz1568/getInfo.php?workbook=03_02.xlsx&amp;sheet=A0&amp;row=828&amp;col=14&amp;number=&amp;sourceID=30","")</f>
        <v/>
      </c>
    </row>
    <row r="829" spans="1:14">
      <c r="A829" s="3">
        <v>3</v>
      </c>
      <c r="B829" s="3">
        <v>2</v>
      </c>
      <c r="C829" s="3">
        <v>47</v>
      </c>
      <c r="D829" s="3">
        <v>46</v>
      </c>
      <c r="E829" s="3"/>
      <c r="F829" s="4" t="str">
        <f>HYPERLINK("http://141.218.60.56/~jnz1568/getInfo.php?workbook=03_02.xlsx&amp;sheet=A0&amp;row=829&amp;col=6&amp;number=&amp;sourceID=27","")</f>
        <v/>
      </c>
      <c r="G829" s="4" t="str">
        <f>HYPERLINK("http://141.218.60.56/~jnz1568/getInfo.php?workbook=03_02.xlsx&amp;sheet=A0&amp;row=829&amp;col=7&amp;number=&amp;sourceID=15","")</f>
        <v/>
      </c>
      <c r="H829" s="4" t="str">
        <f>HYPERLINK("http://141.218.60.56/~jnz1568/getInfo.php?workbook=03_02.xlsx&amp;sheet=A0&amp;row=829&amp;col=8&amp;number=&amp;sourceID=15","")</f>
        <v/>
      </c>
      <c r="I829" s="4" t="str">
        <f>HYPERLINK("http://141.218.60.56/~jnz1568/getInfo.php?workbook=03_02.xlsx&amp;sheet=A0&amp;row=829&amp;col=9&amp;number=&amp;sourceID=15","")</f>
        <v/>
      </c>
      <c r="J829" s="4" t="str">
        <f>HYPERLINK("http://141.218.60.56/~jnz1568/getInfo.php?workbook=03_02.xlsx&amp;sheet=A0&amp;row=829&amp;col=10&amp;number=&amp;sourceID=15","")</f>
        <v/>
      </c>
      <c r="K829" s="4" t="str">
        <f>HYPERLINK("http://141.218.60.56/~jnz1568/getInfo.php?workbook=03_02.xlsx&amp;sheet=A0&amp;row=829&amp;col=11&amp;number=&amp;sourceID=30","")</f>
        <v/>
      </c>
      <c r="L829" s="4" t="str">
        <f>HYPERLINK("http://141.218.60.56/~jnz1568/getInfo.php?workbook=03_02.xlsx&amp;sheet=A0&amp;row=829&amp;col=12&amp;number=0&amp;sourceID=30","0")</f>
        <v>0</v>
      </c>
      <c r="M829" s="4" t="str">
        <f>HYPERLINK("http://141.218.60.56/~jnz1568/getInfo.php?workbook=03_02.xlsx&amp;sheet=A0&amp;row=829&amp;col=13&amp;number=0&amp;sourceID=30","0")</f>
        <v>0</v>
      </c>
      <c r="N829" s="4" t="str">
        <f>HYPERLINK("http://141.218.60.56/~jnz1568/getInfo.php?workbook=03_02.xlsx&amp;sheet=A0&amp;row=829&amp;col=14&amp;number=&amp;sourceID=30","")</f>
        <v/>
      </c>
    </row>
    <row r="830" spans="1:14">
      <c r="A830" s="3">
        <v>3</v>
      </c>
      <c r="B830" s="3">
        <v>2</v>
      </c>
      <c r="C830" s="3">
        <v>48</v>
      </c>
      <c r="D830" s="3">
        <v>2</v>
      </c>
      <c r="E830" s="3">
        <f>((1/(INDEX(E0!J$4:J$52,C830,1)-INDEX(E0!J$4:J$52,D830,1))))*100000000</f>
        <v>0</v>
      </c>
      <c r="F830" s="4" t="str">
        <f>HYPERLINK("http://141.218.60.56/~jnz1568/getInfo.php?workbook=03_02.xlsx&amp;sheet=A0&amp;row=830&amp;col=6&amp;number=&amp;sourceID=27","")</f>
        <v/>
      </c>
      <c r="G830" s="4" t="str">
        <f>HYPERLINK("http://141.218.60.56/~jnz1568/getInfo.php?workbook=03_02.xlsx&amp;sheet=A0&amp;row=830&amp;col=7&amp;number=&amp;sourceID=15","")</f>
        <v/>
      </c>
      <c r="H830" s="4" t="str">
        <f>HYPERLINK("http://141.218.60.56/~jnz1568/getInfo.php?workbook=03_02.xlsx&amp;sheet=A0&amp;row=830&amp;col=8&amp;number=&amp;sourceID=15","")</f>
        <v/>
      </c>
      <c r="I830" s="4" t="str">
        <f>HYPERLINK("http://141.218.60.56/~jnz1568/getInfo.php?workbook=03_02.xlsx&amp;sheet=A0&amp;row=830&amp;col=9&amp;number=&amp;sourceID=15","")</f>
        <v/>
      </c>
      <c r="J830" s="4" t="str">
        <f>HYPERLINK("http://141.218.60.56/~jnz1568/getInfo.php?workbook=03_02.xlsx&amp;sheet=A0&amp;row=830&amp;col=10&amp;number=&amp;sourceID=15","")</f>
        <v/>
      </c>
      <c r="K830" s="4" t="str">
        <f>HYPERLINK("http://141.218.60.56/~jnz1568/getInfo.php?workbook=03_02.xlsx&amp;sheet=A0&amp;row=830&amp;col=11&amp;number=&amp;sourceID=30","")</f>
        <v/>
      </c>
      <c r="L830" s="4" t="str">
        <f>HYPERLINK("http://141.218.60.56/~jnz1568/getInfo.php?workbook=03_02.xlsx&amp;sheet=A0&amp;row=830&amp;col=12&amp;number=&amp;sourceID=30","")</f>
        <v/>
      </c>
      <c r="M830" s="4" t="str">
        <f>HYPERLINK("http://141.218.60.56/~jnz1568/getInfo.php?workbook=03_02.xlsx&amp;sheet=A0&amp;row=830&amp;col=13&amp;number=&amp;sourceID=30","")</f>
        <v/>
      </c>
      <c r="N830" s="4" t="str">
        <f>HYPERLINK("http://141.218.60.56/~jnz1568/getInfo.php?workbook=03_02.xlsx&amp;sheet=A0&amp;row=830&amp;col=14&amp;number=2.62e-13&amp;sourceID=30","2.62e-13")</f>
        <v>2.62e-13</v>
      </c>
    </row>
    <row r="831" spans="1:14">
      <c r="A831" s="3">
        <v>3</v>
      </c>
      <c r="B831" s="3">
        <v>2</v>
      </c>
      <c r="C831" s="3">
        <v>48</v>
      </c>
      <c r="D831" s="3">
        <v>4</v>
      </c>
      <c r="E831" s="3">
        <f>((1/(INDEX(E0!J$4:J$52,C831,1)-INDEX(E0!J$4:J$52,D831,1))))*100000000</f>
        <v>0</v>
      </c>
      <c r="F831" s="4" t="str">
        <f>HYPERLINK("http://141.218.60.56/~jnz1568/getInfo.php?workbook=03_02.xlsx&amp;sheet=A0&amp;row=831&amp;col=6&amp;number=&amp;sourceID=27","")</f>
        <v/>
      </c>
      <c r="G831" s="4" t="str">
        <f>HYPERLINK("http://141.218.60.56/~jnz1568/getInfo.php?workbook=03_02.xlsx&amp;sheet=A0&amp;row=831&amp;col=7&amp;number=&amp;sourceID=15","")</f>
        <v/>
      </c>
      <c r="H831" s="4" t="str">
        <f>HYPERLINK("http://141.218.60.56/~jnz1568/getInfo.php?workbook=03_02.xlsx&amp;sheet=A0&amp;row=831&amp;col=8&amp;number=&amp;sourceID=15","")</f>
        <v/>
      </c>
      <c r="I831" s="4" t="str">
        <f>HYPERLINK("http://141.218.60.56/~jnz1568/getInfo.php?workbook=03_02.xlsx&amp;sheet=A0&amp;row=831&amp;col=9&amp;number=&amp;sourceID=15","")</f>
        <v/>
      </c>
      <c r="J831" s="4" t="str">
        <f>HYPERLINK("http://141.218.60.56/~jnz1568/getInfo.php?workbook=03_02.xlsx&amp;sheet=A0&amp;row=831&amp;col=10&amp;number=&amp;sourceID=15","")</f>
        <v/>
      </c>
      <c r="K831" s="4" t="str">
        <f>HYPERLINK("http://141.218.60.56/~jnz1568/getInfo.php?workbook=03_02.xlsx&amp;sheet=A0&amp;row=831&amp;col=11&amp;number=&amp;sourceID=30","")</f>
        <v/>
      </c>
      <c r="L831" s="4" t="str">
        <f>HYPERLINK("http://141.218.60.56/~jnz1568/getInfo.php?workbook=03_02.xlsx&amp;sheet=A0&amp;row=831&amp;col=12&amp;number=307.4&amp;sourceID=30","307.4")</f>
        <v>307.4</v>
      </c>
      <c r="M831" s="4" t="str">
        <f>HYPERLINK("http://141.218.60.56/~jnz1568/getInfo.php?workbook=03_02.xlsx&amp;sheet=A0&amp;row=831&amp;col=13&amp;number=&amp;sourceID=30","")</f>
        <v/>
      </c>
      <c r="N831" s="4" t="str">
        <f>HYPERLINK("http://141.218.60.56/~jnz1568/getInfo.php?workbook=03_02.xlsx&amp;sheet=A0&amp;row=831&amp;col=14&amp;number=&amp;sourceID=30","")</f>
        <v/>
      </c>
    </row>
    <row r="832" spans="1:14">
      <c r="A832" s="3">
        <v>3</v>
      </c>
      <c r="B832" s="3">
        <v>2</v>
      </c>
      <c r="C832" s="3">
        <v>48</v>
      </c>
      <c r="D832" s="3">
        <v>5</v>
      </c>
      <c r="E832" s="3">
        <f>((1/(INDEX(E0!J$4:J$52,C832,1)-INDEX(E0!J$4:J$52,D832,1))))*100000000</f>
        <v>0</v>
      </c>
      <c r="F832" s="4" t="str">
        <f>HYPERLINK("http://141.218.60.56/~jnz1568/getInfo.php?workbook=03_02.xlsx&amp;sheet=A0&amp;row=832&amp;col=6&amp;number=&amp;sourceID=27","")</f>
        <v/>
      </c>
      <c r="G832" s="4" t="str">
        <f>HYPERLINK("http://141.218.60.56/~jnz1568/getInfo.php?workbook=03_02.xlsx&amp;sheet=A0&amp;row=832&amp;col=7&amp;number=&amp;sourceID=15","")</f>
        <v/>
      </c>
      <c r="H832" s="4" t="str">
        <f>HYPERLINK("http://141.218.60.56/~jnz1568/getInfo.php?workbook=03_02.xlsx&amp;sheet=A0&amp;row=832&amp;col=8&amp;number=&amp;sourceID=15","")</f>
        <v/>
      </c>
      <c r="I832" s="4" t="str">
        <f>HYPERLINK("http://141.218.60.56/~jnz1568/getInfo.php?workbook=03_02.xlsx&amp;sheet=A0&amp;row=832&amp;col=9&amp;number=&amp;sourceID=15","")</f>
        <v/>
      </c>
      <c r="J832" s="4" t="str">
        <f>HYPERLINK("http://141.218.60.56/~jnz1568/getInfo.php?workbook=03_02.xlsx&amp;sheet=A0&amp;row=832&amp;col=10&amp;number=&amp;sourceID=15","")</f>
        <v/>
      </c>
      <c r="K832" s="4" t="str">
        <f>HYPERLINK("http://141.218.60.56/~jnz1568/getInfo.php?workbook=03_02.xlsx&amp;sheet=A0&amp;row=832&amp;col=11&amp;number=&amp;sourceID=30","")</f>
        <v/>
      </c>
      <c r="L832" s="4" t="str">
        <f>HYPERLINK("http://141.218.60.56/~jnz1568/getInfo.php?workbook=03_02.xlsx&amp;sheet=A0&amp;row=832&amp;col=12&amp;number=154.2&amp;sourceID=30","154.2")</f>
        <v>154.2</v>
      </c>
      <c r="M832" s="4" t="str">
        <f>HYPERLINK("http://141.218.60.56/~jnz1568/getInfo.php?workbook=03_02.xlsx&amp;sheet=A0&amp;row=832&amp;col=13&amp;number=6.322e-09&amp;sourceID=30","6.322e-09")</f>
        <v>6.322e-09</v>
      </c>
      <c r="N832" s="4" t="str">
        <f>HYPERLINK("http://141.218.60.56/~jnz1568/getInfo.php?workbook=03_02.xlsx&amp;sheet=A0&amp;row=832&amp;col=14&amp;number=&amp;sourceID=30","")</f>
        <v/>
      </c>
    </row>
    <row r="833" spans="1:14">
      <c r="A833" s="3">
        <v>3</v>
      </c>
      <c r="B833" s="3">
        <v>2</v>
      </c>
      <c r="C833" s="3">
        <v>48</v>
      </c>
      <c r="D833" s="3">
        <v>7</v>
      </c>
      <c r="E833" s="3">
        <f>((1/(INDEX(E0!J$4:J$52,C833,1)-INDEX(E0!J$4:J$52,D833,1))))*100000000</f>
        <v>0</v>
      </c>
      <c r="F833" s="4" t="str">
        <f>HYPERLINK("http://141.218.60.56/~jnz1568/getInfo.php?workbook=03_02.xlsx&amp;sheet=A0&amp;row=833&amp;col=6&amp;number=&amp;sourceID=27","")</f>
        <v/>
      </c>
      <c r="G833" s="4" t="str">
        <f>HYPERLINK("http://141.218.60.56/~jnz1568/getInfo.php?workbook=03_02.xlsx&amp;sheet=A0&amp;row=833&amp;col=7&amp;number=&amp;sourceID=15","")</f>
        <v/>
      </c>
      <c r="H833" s="4" t="str">
        <f>HYPERLINK("http://141.218.60.56/~jnz1568/getInfo.php?workbook=03_02.xlsx&amp;sheet=A0&amp;row=833&amp;col=8&amp;number=&amp;sourceID=15","")</f>
        <v/>
      </c>
      <c r="I833" s="4" t="str">
        <f>HYPERLINK("http://141.218.60.56/~jnz1568/getInfo.php?workbook=03_02.xlsx&amp;sheet=A0&amp;row=833&amp;col=9&amp;number=&amp;sourceID=15","")</f>
        <v/>
      </c>
      <c r="J833" s="4" t="str">
        <f>HYPERLINK("http://141.218.60.56/~jnz1568/getInfo.php?workbook=03_02.xlsx&amp;sheet=A0&amp;row=833&amp;col=10&amp;number=&amp;sourceID=15","")</f>
        <v/>
      </c>
      <c r="K833" s="4" t="str">
        <f>HYPERLINK("http://141.218.60.56/~jnz1568/getInfo.php?workbook=03_02.xlsx&amp;sheet=A0&amp;row=833&amp;col=11&amp;number=&amp;sourceID=30","")</f>
        <v/>
      </c>
      <c r="L833" s="4" t="str">
        <f>HYPERLINK("http://141.218.60.56/~jnz1568/getInfo.php?workbook=03_02.xlsx&amp;sheet=A0&amp;row=833&amp;col=12&amp;number=903.6&amp;sourceID=30","903.6")</f>
        <v>903.6</v>
      </c>
      <c r="M833" s="4" t="str">
        <f>HYPERLINK("http://141.218.60.56/~jnz1568/getInfo.php?workbook=03_02.xlsx&amp;sheet=A0&amp;row=833&amp;col=13&amp;number=&amp;sourceID=30","")</f>
        <v/>
      </c>
      <c r="N833" s="4" t="str">
        <f>HYPERLINK("http://141.218.60.56/~jnz1568/getInfo.php?workbook=03_02.xlsx&amp;sheet=A0&amp;row=833&amp;col=14&amp;number=&amp;sourceID=30","")</f>
        <v/>
      </c>
    </row>
    <row r="834" spans="1:14">
      <c r="A834" s="3">
        <v>3</v>
      </c>
      <c r="B834" s="3">
        <v>2</v>
      </c>
      <c r="C834" s="3">
        <v>48</v>
      </c>
      <c r="D834" s="3">
        <v>8</v>
      </c>
      <c r="E834" s="3">
        <f>((1/(INDEX(E0!J$4:J$52,C834,1)-INDEX(E0!J$4:J$52,D834,1))))*100000000</f>
        <v>0</v>
      </c>
      <c r="F834" s="4" t="str">
        <f>HYPERLINK("http://141.218.60.56/~jnz1568/getInfo.php?workbook=03_02.xlsx&amp;sheet=A0&amp;row=834&amp;col=6&amp;number=&amp;sourceID=27","")</f>
        <v/>
      </c>
      <c r="G834" s="4" t="str">
        <f>HYPERLINK("http://141.218.60.56/~jnz1568/getInfo.php?workbook=03_02.xlsx&amp;sheet=A0&amp;row=834&amp;col=7&amp;number=&amp;sourceID=15","")</f>
        <v/>
      </c>
      <c r="H834" s="4" t="str">
        <f>HYPERLINK("http://141.218.60.56/~jnz1568/getInfo.php?workbook=03_02.xlsx&amp;sheet=A0&amp;row=834&amp;col=8&amp;number=&amp;sourceID=15","")</f>
        <v/>
      </c>
      <c r="I834" s="4" t="str">
        <f>HYPERLINK("http://141.218.60.56/~jnz1568/getInfo.php?workbook=03_02.xlsx&amp;sheet=A0&amp;row=834&amp;col=9&amp;number=&amp;sourceID=15","")</f>
        <v/>
      </c>
      <c r="J834" s="4" t="str">
        <f>HYPERLINK("http://141.218.60.56/~jnz1568/getInfo.php?workbook=03_02.xlsx&amp;sheet=A0&amp;row=834&amp;col=10&amp;number=&amp;sourceID=15","")</f>
        <v/>
      </c>
      <c r="K834" s="4" t="str">
        <f>HYPERLINK("http://141.218.60.56/~jnz1568/getInfo.php?workbook=03_02.xlsx&amp;sheet=A0&amp;row=834&amp;col=11&amp;number=&amp;sourceID=30","")</f>
        <v/>
      </c>
      <c r="L834" s="4" t="str">
        <f>HYPERLINK("http://141.218.60.56/~jnz1568/getInfo.php?workbook=03_02.xlsx&amp;sheet=A0&amp;row=834&amp;col=12&amp;number=&amp;sourceID=30","")</f>
        <v/>
      </c>
      <c r="M834" s="4" t="str">
        <f>HYPERLINK("http://141.218.60.56/~jnz1568/getInfo.php?workbook=03_02.xlsx&amp;sheet=A0&amp;row=834&amp;col=13&amp;number=&amp;sourceID=30","")</f>
        <v/>
      </c>
      <c r="N834" s="4" t="str">
        <f>HYPERLINK("http://141.218.60.56/~jnz1568/getInfo.php?workbook=03_02.xlsx&amp;sheet=A0&amp;row=834&amp;col=14&amp;number=3.4e-14&amp;sourceID=30","3.4e-14")</f>
        <v>3.4e-14</v>
      </c>
    </row>
    <row r="835" spans="1:14">
      <c r="A835" s="3">
        <v>3</v>
      </c>
      <c r="B835" s="3">
        <v>2</v>
      </c>
      <c r="C835" s="3">
        <v>48</v>
      </c>
      <c r="D835" s="3">
        <v>10</v>
      </c>
      <c r="E835" s="3">
        <f>((1/(INDEX(E0!J$4:J$52,C835,1)-INDEX(E0!J$4:J$52,D835,1))))*100000000</f>
        <v>0</v>
      </c>
      <c r="F835" s="4" t="str">
        <f>HYPERLINK("http://141.218.60.56/~jnz1568/getInfo.php?workbook=03_02.xlsx&amp;sheet=A0&amp;row=835&amp;col=6&amp;number=&amp;sourceID=27","")</f>
        <v/>
      </c>
      <c r="G835" s="4" t="str">
        <f>HYPERLINK("http://141.218.60.56/~jnz1568/getInfo.php?workbook=03_02.xlsx&amp;sheet=A0&amp;row=835&amp;col=7&amp;number=&amp;sourceID=15","")</f>
        <v/>
      </c>
      <c r="H835" s="4" t="str">
        <f>HYPERLINK("http://141.218.60.56/~jnz1568/getInfo.php?workbook=03_02.xlsx&amp;sheet=A0&amp;row=835&amp;col=8&amp;number=&amp;sourceID=15","")</f>
        <v/>
      </c>
      <c r="I835" s="4" t="str">
        <f>HYPERLINK("http://141.218.60.56/~jnz1568/getInfo.php?workbook=03_02.xlsx&amp;sheet=A0&amp;row=835&amp;col=9&amp;number=&amp;sourceID=15","")</f>
        <v/>
      </c>
      <c r="J835" s="4" t="str">
        <f>HYPERLINK("http://141.218.60.56/~jnz1568/getInfo.php?workbook=03_02.xlsx&amp;sheet=A0&amp;row=835&amp;col=10&amp;number=&amp;sourceID=15","")</f>
        <v/>
      </c>
      <c r="K835" s="4" t="str">
        <f>HYPERLINK("http://141.218.60.56/~jnz1568/getInfo.php?workbook=03_02.xlsx&amp;sheet=A0&amp;row=835&amp;col=11&amp;number=&amp;sourceID=30","")</f>
        <v/>
      </c>
      <c r="L835" s="4" t="str">
        <f>HYPERLINK("http://141.218.60.56/~jnz1568/getInfo.php?workbook=03_02.xlsx&amp;sheet=A0&amp;row=835&amp;col=12&amp;number=0.7174&amp;sourceID=30","0.7174")</f>
        <v>0.7174</v>
      </c>
      <c r="M835" s="4" t="str">
        <f>HYPERLINK("http://141.218.60.56/~jnz1568/getInfo.php?workbook=03_02.xlsx&amp;sheet=A0&amp;row=835&amp;col=13&amp;number=&amp;sourceID=30","")</f>
        <v/>
      </c>
      <c r="N835" s="4" t="str">
        <f>HYPERLINK("http://141.218.60.56/~jnz1568/getInfo.php?workbook=03_02.xlsx&amp;sheet=A0&amp;row=835&amp;col=14&amp;number=&amp;sourceID=30","")</f>
        <v/>
      </c>
    </row>
    <row r="836" spans="1:14">
      <c r="A836" s="3">
        <v>3</v>
      </c>
      <c r="B836" s="3">
        <v>2</v>
      </c>
      <c r="C836" s="3">
        <v>48</v>
      </c>
      <c r="D836" s="3">
        <v>11</v>
      </c>
      <c r="E836" s="3">
        <f>((1/(INDEX(E0!J$4:J$52,C836,1)-INDEX(E0!J$4:J$52,D836,1))))*100000000</f>
        <v>0</v>
      </c>
      <c r="F836" s="4" t="str">
        <f>HYPERLINK("http://141.218.60.56/~jnz1568/getInfo.php?workbook=03_02.xlsx&amp;sheet=A0&amp;row=836&amp;col=6&amp;number=&amp;sourceID=27","")</f>
        <v/>
      </c>
      <c r="G836" s="4" t="str">
        <f>HYPERLINK("http://141.218.60.56/~jnz1568/getInfo.php?workbook=03_02.xlsx&amp;sheet=A0&amp;row=836&amp;col=7&amp;number=&amp;sourceID=15","")</f>
        <v/>
      </c>
      <c r="H836" s="4" t="str">
        <f>HYPERLINK("http://141.218.60.56/~jnz1568/getInfo.php?workbook=03_02.xlsx&amp;sheet=A0&amp;row=836&amp;col=8&amp;number=&amp;sourceID=15","")</f>
        <v/>
      </c>
      <c r="I836" s="4" t="str">
        <f>HYPERLINK("http://141.218.60.56/~jnz1568/getInfo.php?workbook=03_02.xlsx&amp;sheet=A0&amp;row=836&amp;col=9&amp;number=&amp;sourceID=15","")</f>
        <v/>
      </c>
      <c r="J836" s="4" t="str">
        <f>HYPERLINK("http://141.218.60.56/~jnz1568/getInfo.php?workbook=03_02.xlsx&amp;sheet=A0&amp;row=836&amp;col=10&amp;number=&amp;sourceID=15","")</f>
        <v/>
      </c>
      <c r="K836" s="4" t="str">
        <f>HYPERLINK("http://141.218.60.56/~jnz1568/getInfo.php?workbook=03_02.xlsx&amp;sheet=A0&amp;row=836&amp;col=11&amp;number=&amp;sourceID=30","")</f>
        <v/>
      </c>
      <c r="L836" s="4" t="str">
        <f>HYPERLINK("http://141.218.60.56/~jnz1568/getInfo.php?workbook=03_02.xlsx&amp;sheet=A0&amp;row=836&amp;col=12&amp;number=0.3607&amp;sourceID=30","0.3607")</f>
        <v>0.3607</v>
      </c>
      <c r="M836" s="4" t="str">
        <f>HYPERLINK("http://141.218.60.56/~jnz1568/getInfo.php?workbook=03_02.xlsx&amp;sheet=A0&amp;row=836&amp;col=13&amp;number=2.029e-10&amp;sourceID=30","2.029e-10")</f>
        <v>2.029e-10</v>
      </c>
      <c r="N836" s="4" t="str">
        <f>HYPERLINK("http://141.218.60.56/~jnz1568/getInfo.php?workbook=03_02.xlsx&amp;sheet=A0&amp;row=836&amp;col=14&amp;number=&amp;sourceID=30","")</f>
        <v/>
      </c>
    </row>
    <row r="837" spans="1:14">
      <c r="A837" s="3">
        <v>3</v>
      </c>
      <c r="B837" s="3">
        <v>2</v>
      </c>
      <c r="C837" s="3">
        <v>48</v>
      </c>
      <c r="D837" s="3">
        <v>13</v>
      </c>
      <c r="E837" s="3">
        <f>((1/(INDEX(E0!J$4:J$52,C837,1)-INDEX(E0!J$4:J$52,D837,1))))*100000000</f>
        <v>0</v>
      </c>
      <c r="F837" s="4" t="str">
        <f>HYPERLINK("http://141.218.60.56/~jnz1568/getInfo.php?workbook=03_02.xlsx&amp;sheet=A0&amp;row=837&amp;col=6&amp;number=&amp;sourceID=27","")</f>
        <v/>
      </c>
      <c r="G837" s="4" t="str">
        <f>HYPERLINK("http://141.218.60.56/~jnz1568/getInfo.php?workbook=03_02.xlsx&amp;sheet=A0&amp;row=837&amp;col=7&amp;number=13120000&amp;sourceID=15","13120000")</f>
        <v>13120000</v>
      </c>
      <c r="H837" s="4" t="str">
        <f>HYPERLINK("http://141.218.60.56/~jnz1568/getInfo.php?workbook=03_02.xlsx&amp;sheet=A0&amp;row=837&amp;col=8&amp;number=&amp;sourceID=15","")</f>
        <v/>
      </c>
      <c r="I837" s="4" t="str">
        <f>HYPERLINK("http://141.218.60.56/~jnz1568/getInfo.php?workbook=03_02.xlsx&amp;sheet=A0&amp;row=837&amp;col=9&amp;number=&amp;sourceID=15","")</f>
        <v/>
      </c>
      <c r="J837" s="4" t="str">
        <f>HYPERLINK("http://141.218.60.56/~jnz1568/getInfo.php?workbook=03_02.xlsx&amp;sheet=A0&amp;row=837&amp;col=10&amp;number=&amp;sourceID=15","")</f>
        <v/>
      </c>
      <c r="K837" s="4" t="str">
        <f>HYPERLINK("http://141.218.60.56/~jnz1568/getInfo.php?workbook=03_02.xlsx&amp;sheet=A0&amp;row=837&amp;col=11&amp;number=7851000&amp;sourceID=30","7851000")</f>
        <v>7851000</v>
      </c>
      <c r="L837" s="4" t="str">
        <f>HYPERLINK("http://141.218.60.56/~jnz1568/getInfo.php?workbook=03_02.xlsx&amp;sheet=A0&amp;row=837&amp;col=12&amp;number=&amp;sourceID=30","")</f>
        <v/>
      </c>
      <c r="M837" s="4" t="str">
        <f>HYPERLINK("http://141.218.60.56/~jnz1568/getInfo.php?workbook=03_02.xlsx&amp;sheet=A0&amp;row=837&amp;col=13&amp;number=&amp;sourceID=30","")</f>
        <v/>
      </c>
      <c r="N837" s="4" t="str">
        <f>HYPERLINK("http://141.218.60.56/~jnz1568/getInfo.php?workbook=03_02.xlsx&amp;sheet=A0&amp;row=837&amp;col=14&amp;number=0.0004932&amp;sourceID=30","0.0004932")</f>
        <v>0.0004932</v>
      </c>
    </row>
    <row r="838" spans="1:14">
      <c r="A838" s="3">
        <v>3</v>
      </c>
      <c r="B838" s="3">
        <v>2</v>
      </c>
      <c r="C838" s="3">
        <v>48</v>
      </c>
      <c r="D838" s="3">
        <v>14</v>
      </c>
      <c r="E838" s="3">
        <f>((1/(INDEX(E0!J$4:J$52,C838,1)-INDEX(E0!J$4:J$52,D838,1))))*100000000</f>
        <v>0</v>
      </c>
      <c r="F838" s="4" t="str">
        <f>HYPERLINK("http://141.218.60.56/~jnz1568/getInfo.php?workbook=03_02.xlsx&amp;sheet=A0&amp;row=838&amp;col=6&amp;number=&amp;sourceID=27","")</f>
        <v/>
      </c>
      <c r="G838" s="4" t="str">
        <f>HYPERLINK("http://141.218.60.56/~jnz1568/getInfo.php?workbook=03_02.xlsx&amp;sheet=A0&amp;row=838&amp;col=7&amp;number=1773000&amp;sourceID=15","1773000")</f>
        <v>1773000</v>
      </c>
      <c r="H838" s="4" t="str">
        <f>HYPERLINK("http://141.218.60.56/~jnz1568/getInfo.php?workbook=03_02.xlsx&amp;sheet=A0&amp;row=838&amp;col=8&amp;number=&amp;sourceID=15","")</f>
        <v/>
      </c>
      <c r="I838" s="4" t="str">
        <f>HYPERLINK("http://141.218.60.56/~jnz1568/getInfo.php?workbook=03_02.xlsx&amp;sheet=A0&amp;row=838&amp;col=9&amp;number=&amp;sourceID=15","")</f>
        <v/>
      </c>
      <c r="J838" s="4" t="str">
        <f>HYPERLINK("http://141.218.60.56/~jnz1568/getInfo.php?workbook=03_02.xlsx&amp;sheet=A0&amp;row=838&amp;col=10&amp;number=&amp;sourceID=15","")</f>
        <v/>
      </c>
      <c r="K838" s="4" t="str">
        <f>HYPERLINK("http://141.218.60.56/~jnz1568/getInfo.php?workbook=03_02.xlsx&amp;sheet=A0&amp;row=838&amp;col=11&amp;number=1056000&amp;sourceID=30","1056000")</f>
        <v>1056000</v>
      </c>
      <c r="L838" s="4" t="str">
        <f>HYPERLINK("http://141.218.60.56/~jnz1568/getInfo.php?workbook=03_02.xlsx&amp;sheet=A0&amp;row=838&amp;col=12&amp;number=&amp;sourceID=30","")</f>
        <v/>
      </c>
      <c r="M838" s="4" t="str">
        <f>HYPERLINK("http://141.218.60.56/~jnz1568/getInfo.php?workbook=03_02.xlsx&amp;sheet=A0&amp;row=838&amp;col=13&amp;number=&amp;sourceID=30","")</f>
        <v/>
      </c>
      <c r="N838" s="4" t="str">
        <f>HYPERLINK("http://141.218.60.56/~jnz1568/getInfo.php?workbook=03_02.xlsx&amp;sheet=A0&amp;row=838&amp;col=14&amp;number=0.0001949&amp;sourceID=30","0.0001949")</f>
        <v>0.0001949</v>
      </c>
    </row>
    <row r="839" spans="1:14">
      <c r="A839" s="3">
        <v>3</v>
      </c>
      <c r="B839" s="3">
        <v>2</v>
      </c>
      <c r="C839" s="3">
        <v>48</v>
      </c>
      <c r="D839" s="3">
        <v>15</v>
      </c>
      <c r="E839" s="3">
        <f>((1/(INDEX(E0!J$4:J$52,C839,1)-INDEX(E0!J$4:J$52,D839,1))))*100000000</f>
        <v>0</v>
      </c>
      <c r="F839" s="4" t="str">
        <f>HYPERLINK("http://141.218.60.56/~jnz1568/getInfo.php?workbook=03_02.xlsx&amp;sheet=A0&amp;row=839&amp;col=6&amp;number=&amp;sourceID=27","")</f>
        <v/>
      </c>
      <c r="G839" s="4" t="str">
        <f>HYPERLINK("http://141.218.60.56/~jnz1568/getInfo.php?workbook=03_02.xlsx&amp;sheet=A0&amp;row=839&amp;col=7&amp;number=&amp;sourceID=15","")</f>
        <v/>
      </c>
      <c r="H839" s="4" t="str">
        <f>HYPERLINK("http://141.218.60.56/~jnz1568/getInfo.php?workbook=03_02.xlsx&amp;sheet=A0&amp;row=839&amp;col=8&amp;number=&amp;sourceID=15","")</f>
        <v/>
      </c>
      <c r="I839" s="4" t="str">
        <f>HYPERLINK("http://141.218.60.56/~jnz1568/getInfo.php?workbook=03_02.xlsx&amp;sheet=A0&amp;row=839&amp;col=9&amp;number=&amp;sourceID=15","")</f>
        <v/>
      </c>
      <c r="J839" s="4" t="str">
        <f>HYPERLINK("http://141.218.60.56/~jnz1568/getInfo.php?workbook=03_02.xlsx&amp;sheet=A0&amp;row=839&amp;col=10&amp;number=&amp;sourceID=15","")</f>
        <v/>
      </c>
      <c r="K839" s="4" t="str">
        <f>HYPERLINK("http://141.218.60.56/~jnz1568/getInfo.php?workbook=03_02.xlsx&amp;sheet=A0&amp;row=839&amp;col=11&amp;number=&amp;sourceID=30","")</f>
        <v/>
      </c>
      <c r="L839" s="4" t="str">
        <f>HYPERLINK("http://141.218.60.56/~jnz1568/getInfo.php?workbook=03_02.xlsx&amp;sheet=A0&amp;row=839&amp;col=12&amp;number=&amp;sourceID=30","")</f>
        <v/>
      </c>
      <c r="M839" s="4" t="str">
        <f>HYPERLINK("http://141.218.60.56/~jnz1568/getInfo.php?workbook=03_02.xlsx&amp;sheet=A0&amp;row=839&amp;col=13&amp;number=&amp;sourceID=30","")</f>
        <v/>
      </c>
      <c r="N839" s="4" t="str">
        <f>HYPERLINK("http://141.218.60.56/~jnz1568/getInfo.php?workbook=03_02.xlsx&amp;sheet=A0&amp;row=839&amp;col=14&amp;number=0.0002165&amp;sourceID=30","0.0002165")</f>
        <v>0.0002165</v>
      </c>
    </row>
    <row r="840" spans="1:14">
      <c r="A840" s="3">
        <v>3</v>
      </c>
      <c r="B840" s="3">
        <v>2</v>
      </c>
      <c r="C840" s="3">
        <v>48</v>
      </c>
      <c r="D840" s="3">
        <v>16</v>
      </c>
      <c r="E840" s="3">
        <f>((1/(INDEX(E0!J$4:J$52,C840,1)-INDEX(E0!J$4:J$52,D840,1))))*100000000</f>
        <v>0</v>
      </c>
      <c r="F840" s="4" t="str">
        <f>HYPERLINK("http://141.218.60.56/~jnz1568/getInfo.php?workbook=03_02.xlsx&amp;sheet=A0&amp;row=840&amp;col=6&amp;number=&amp;sourceID=27","")</f>
        <v/>
      </c>
      <c r="G840" s="4" t="str">
        <f>HYPERLINK("http://141.218.60.56/~jnz1568/getInfo.php?workbook=03_02.xlsx&amp;sheet=A0&amp;row=840&amp;col=7&amp;number=58056000&amp;sourceID=15","58056000")</f>
        <v>58056000</v>
      </c>
      <c r="H840" s="4" t="str">
        <f>HYPERLINK("http://141.218.60.56/~jnz1568/getInfo.php?workbook=03_02.xlsx&amp;sheet=A0&amp;row=840&amp;col=8&amp;number=&amp;sourceID=15","")</f>
        <v/>
      </c>
      <c r="I840" s="4" t="str">
        <f>HYPERLINK("http://141.218.60.56/~jnz1568/getInfo.php?workbook=03_02.xlsx&amp;sheet=A0&amp;row=840&amp;col=9&amp;number=&amp;sourceID=15","")</f>
        <v/>
      </c>
      <c r="J840" s="4" t="str">
        <f>HYPERLINK("http://141.218.60.56/~jnz1568/getInfo.php?workbook=03_02.xlsx&amp;sheet=A0&amp;row=840&amp;col=10&amp;number=&amp;sourceID=15","")</f>
        <v/>
      </c>
      <c r="K840" s="4" t="str">
        <f>HYPERLINK("http://141.218.60.56/~jnz1568/getInfo.php?workbook=03_02.xlsx&amp;sheet=A0&amp;row=840&amp;col=11&amp;number=63820000&amp;sourceID=30","63820000")</f>
        <v>63820000</v>
      </c>
      <c r="L840" s="4" t="str">
        <f>HYPERLINK("http://141.218.60.56/~jnz1568/getInfo.php?workbook=03_02.xlsx&amp;sheet=A0&amp;row=840&amp;col=12&amp;number=&amp;sourceID=30","")</f>
        <v/>
      </c>
      <c r="M840" s="4" t="str">
        <f>HYPERLINK("http://141.218.60.56/~jnz1568/getInfo.php?workbook=03_02.xlsx&amp;sheet=A0&amp;row=840&amp;col=13&amp;number=&amp;sourceID=30","")</f>
        <v/>
      </c>
      <c r="N840" s="4" t="str">
        <f>HYPERLINK("http://141.218.60.56/~jnz1568/getInfo.php?workbook=03_02.xlsx&amp;sheet=A0&amp;row=840&amp;col=14&amp;number=0.0006738&amp;sourceID=30","0.0006738")</f>
        <v>0.0006738</v>
      </c>
    </row>
    <row r="841" spans="1:14">
      <c r="A841" s="3">
        <v>3</v>
      </c>
      <c r="B841" s="3">
        <v>2</v>
      </c>
      <c r="C841" s="3">
        <v>48</v>
      </c>
      <c r="D841" s="3">
        <v>17</v>
      </c>
      <c r="E841" s="3">
        <f>((1/(INDEX(E0!J$4:J$52,C841,1)-INDEX(E0!J$4:J$52,D841,1))))*100000000</f>
        <v>0</v>
      </c>
      <c r="F841" s="4" t="str">
        <f>HYPERLINK("http://141.218.60.56/~jnz1568/getInfo.php?workbook=03_02.xlsx&amp;sheet=A0&amp;row=841&amp;col=6&amp;number=&amp;sourceID=27","")</f>
        <v/>
      </c>
      <c r="G841" s="4" t="str">
        <f>HYPERLINK("http://141.218.60.56/~jnz1568/getInfo.php?workbook=03_02.xlsx&amp;sheet=A0&amp;row=841&amp;col=7&amp;number=&amp;sourceID=15","")</f>
        <v/>
      </c>
      <c r="H841" s="4" t="str">
        <f>HYPERLINK("http://141.218.60.56/~jnz1568/getInfo.php?workbook=03_02.xlsx&amp;sheet=A0&amp;row=841&amp;col=8&amp;number=&amp;sourceID=15","")</f>
        <v/>
      </c>
      <c r="I841" s="4" t="str">
        <f>HYPERLINK("http://141.218.60.56/~jnz1568/getInfo.php?workbook=03_02.xlsx&amp;sheet=A0&amp;row=841&amp;col=9&amp;number=&amp;sourceID=15","")</f>
        <v/>
      </c>
      <c r="J841" s="4" t="str">
        <f>HYPERLINK("http://141.218.60.56/~jnz1568/getInfo.php?workbook=03_02.xlsx&amp;sheet=A0&amp;row=841&amp;col=10&amp;number=&amp;sourceID=15","")</f>
        <v/>
      </c>
      <c r="K841" s="4" t="str">
        <f>HYPERLINK("http://141.218.60.56/~jnz1568/getInfo.php?workbook=03_02.xlsx&amp;sheet=A0&amp;row=841&amp;col=11&amp;number=&amp;sourceID=30","")</f>
        <v/>
      </c>
      <c r="L841" s="4" t="str">
        <f>HYPERLINK("http://141.218.60.56/~jnz1568/getInfo.php?workbook=03_02.xlsx&amp;sheet=A0&amp;row=841&amp;col=12&amp;number=2.979&amp;sourceID=30","2.979")</f>
        <v>2.979</v>
      </c>
      <c r="M841" s="4" t="str">
        <f>HYPERLINK("http://141.218.60.56/~jnz1568/getInfo.php?workbook=03_02.xlsx&amp;sheet=A0&amp;row=841&amp;col=13&amp;number=&amp;sourceID=30","")</f>
        <v/>
      </c>
      <c r="N841" s="4" t="str">
        <f>HYPERLINK("http://141.218.60.56/~jnz1568/getInfo.php?workbook=03_02.xlsx&amp;sheet=A0&amp;row=841&amp;col=14&amp;number=&amp;sourceID=30","")</f>
        <v/>
      </c>
    </row>
    <row r="842" spans="1:14">
      <c r="A842" s="3">
        <v>3</v>
      </c>
      <c r="B842" s="3">
        <v>2</v>
      </c>
      <c r="C842" s="3">
        <v>48</v>
      </c>
      <c r="D842" s="3">
        <v>18</v>
      </c>
      <c r="E842" s="3">
        <f>((1/(INDEX(E0!J$4:J$52,C842,1)-INDEX(E0!J$4:J$52,D842,1))))*100000000</f>
        <v>0</v>
      </c>
      <c r="F842" s="4" t="str">
        <f>HYPERLINK("http://141.218.60.56/~jnz1568/getInfo.php?workbook=03_02.xlsx&amp;sheet=A0&amp;row=842&amp;col=6&amp;number=&amp;sourceID=27","")</f>
        <v/>
      </c>
      <c r="G842" s="4" t="str">
        <f>HYPERLINK("http://141.218.60.56/~jnz1568/getInfo.php?workbook=03_02.xlsx&amp;sheet=A0&amp;row=842&amp;col=7&amp;number=&amp;sourceID=15","")</f>
        <v/>
      </c>
      <c r="H842" s="4" t="str">
        <f>HYPERLINK("http://141.218.60.56/~jnz1568/getInfo.php?workbook=03_02.xlsx&amp;sheet=A0&amp;row=842&amp;col=8&amp;number=&amp;sourceID=15","")</f>
        <v/>
      </c>
      <c r="I842" s="4" t="str">
        <f>HYPERLINK("http://141.218.60.56/~jnz1568/getInfo.php?workbook=03_02.xlsx&amp;sheet=A0&amp;row=842&amp;col=9&amp;number=&amp;sourceID=15","")</f>
        <v/>
      </c>
      <c r="J842" s="4" t="str">
        <f>HYPERLINK("http://141.218.60.56/~jnz1568/getInfo.php?workbook=03_02.xlsx&amp;sheet=A0&amp;row=842&amp;col=10&amp;number=&amp;sourceID=15","")</f>
        <v/>
      </c>
      <c r="K842" s="4" t="str">
        <f>HYPERLINK("http://141.218.60.56/~jnz1568/getInfo.php?workbook=03_02.xlsx&amp;sheet=A0&amp;row=842&amp;col=11&amp;number=&amp;sourceID=30","")</f>
        <v/>
      </c>
      <c r="L842" s="4" t="str">
        <f>HYPERLINK("http://141.218.60.56/~jnz1568/getInfo.php?workbook=03_02.xlsx&amp;sheet=A0&amp;row=842&amp;col=12&amp;number=&amp;sourceID=30","")</f>
        <v/>
      </c>
      <c r="M842" s="4" t="str">
        <f>HYPERLINK("http://141.218.60.56/~jnz1568/getInfo.php?workbook=03_02.xlsx&amp;sheet=A0&amp;row=842&amp;col=13&amp;number=&amp;sourceID=30","")</f>
        <v/>
      </c>
      <c r="N842" s="4" t="str">
        <f>HYPERLINK("http://141.218.60.56/~jnz1568/getInfo.php?workbook=03_02.xlsx&amp;sheet=A0&amp;row=842&amp;col=14&amp;number=2e-15&amp;sourceID=30","2e-15")</f>
        <v>2e-15</v>
      </c>
    </row>
    <row r="843" spans="1:14">
      <c r="A843" s="3">
        <v>3</v>
      </c>
      <c r="B843" s="3">
        <v>2</v>
      </c>
      <c r="C843" s="3">
        <v>48</v>
      </c>
      <c r="D843" s="3">
        <v>21</v>
      </c>
      <c r="E843" s="3">
        <f>((1/(INDEX(E0!J$4:J$52,C843,1)-INDEX(E0!J$4:J$52,D843,1))))*100000000</f>
        <v>0</v>
      </c>
      <c r="F843" s="4" t="str">
        <f>HYPERLINK("http://141.218.60.56/~jnz1568/getInfo.php?workbook=03_02.xlsx&amp;sheet=A0&amp;row=843&amp;col=6&amp;number=&amp;sourceID=27","")</f>
        <v/>
      </c>
      <c r="G843" s="4" t="str">
        <f>HYPERLINK("http://141.218.60.56/~jnz1568/getInfo.php?workbook=03_02.xlsx&amp;sheet=A0&amp;row=843&amp;col=7&amp;number=&amp;sourceID=15","")</f>
        <v/>
      </c>
      <c r="H843" s="4" t="str">
        <f>HYPERLINK("http://141.218.60.56/~jnz1568/getInfo.php?workbook=03_02.xlsx&amp;sheet=A0&amp;row=843&amp;col=8&amp;number=&amp;sourceID=15","")</f>
        <v/>
      </c>
      <c r="I843" s="4" t="str">
        <f>HYPERLINK("http://141.218.60.56/~jnz1568/getInfo.php?workbook=03_02.xlsx&amp;sheet=A0&amp;row=843&amp;col=9&amp;number=&amp;sourceID=15","")</f>
        <v/>
      </c>
      <c r="J843" s="4" t="str">
        <f>HYPERLINK("http://141.218.60.56/~jnz1568/getInfo.php?workbook=03_02.xlsx&amp;sheet=A0&amp;row=843&amp;col=10&amp;number=&amp;sourceID=15","")</f>
        <v/>
      </c>
      <c r="K843" s="4" t="str">
        <f>HYPERLINK("http://141.218.60.56/~jnz1568/getInfo.php?workbook=03_02.xlsx&amp;sheet=A0&amp;row=843&amp;col=11&amp;number=&amp;sourceID=30","")</f>
        <v/>
      </c>
      <c r="L843" s="4" t="str">
        <f>HYPERLINK("http://141.218.60.56/~jnz1568/getInfo.php?workbook=03_02.xlsx&amp;sheet=A0&amp;row=843&amp;col=12&amp;number=6.078&amp;sourceID=30","6.078")</f>
        <v>6.078</v>
      </c>
      <c r="M843" s="4" t="str">
        <f>HYPERLINK("http://141.218.60.56/~jnz1568/getInfo.php?workbook=03_02.xlsx&amp;sheet=A0&amp;row=843&amp;col=13&amp;number=&amp;sourceID=30","")</f>
        <v/>
      </c>
      <c r="N843" s="4" t="str">
        <f>HYPERLINK("http://141.218.60.56/~jnz1568/getInfo.php?workbook=03_02.xlsx&amp;sheet=A0&amp;row=843&amp;col=14&amp;number=&amp;sourceID=30","")</f>
        <v/>
      </c>
    </row>
    <row r="844" spans="1:14">
      <c r="A844" s="3">
        <v>3</v>
      </c>
      <c r="B844" s="3">
        <v>2</v>
      </c>
      <c r="C844" s="3">
        <v>48</v>
      </c>
      <c r="D844" s="3">
        <v>22</v>
      </c>
      <c r="E844" s="3">
        <f>((1/(INDEX(E0!J$4:J$52,C844,1)-INDEX(E0!J$4:J$52,D844,1))))*100000000</f>
        <v>0</v>
      </c>
      <c r="F844" s="4" t="str">
        <f>HYPERLINK("http://141.218.60.56/~jnz1568/getInfo.php?workbook=03_02.xlsx&amp;sheet=A0&amp;row=844&amp;col=6&amp;number=&amp;sourceID=27","")</f>
        <v/>
      </c>
      <c r="G844" s="4" t="str">
        <f>HYPERLINK("http://141.218.60.56/~jnz1568/getInfo.php?workbook=03_02.xlsx&amp;sheet=A0&amp;row=844&amp;col=7&amp;number=&amp;sourceID=15","")</f>
        <v/>
      </c>
      <c r="H844" s="4" t="str">
        <f>HYPERLINK("http://141.218.60.56/~jnz1568/getInfo.php?workbook=03_02.xlsx&amp;sheet=A0&amp;row=844&amp;col=8&amp;number=&amp;sourceID=15","")</f>
        <v/>
      </c>
      <c r="I844" s="4" t="str">
        <f>HYPERLINK("http://141.218.60.56/~jnz1568/getInfo.php?workbook=03_02.xlsx&amp;sheet=A0&amp;row=844&amp;col=9&amp;number=&amp;sourceID=15","")</f>
        <v/>
      </c>
      <c r="J844" s="4" t="str">
        <f>HYPERLINK("http://141.218.60.56/~jnz1568/getInfo.php?workbook=03_02.xlsx&amp;sheet=A0&amp;row=844&amp;col=10&amp;number=&amp;sourceID=15","")</f>
        <v/>
      </c>
      <c r="K844" s="4" t="str">
        <f>HYPERLINK("http://141.218.60.56/~jnz1568/getInfo.php?workbook=03_02.xlsx&amp;sheet=A0&amp;row=844&amp;col=11&amp;number=&amp;sourceID=30","")</f>
        <v/>
      </c>
      <c r="L844" s="4" t="str">
        <f>HYPERLINK("http://141.218.60.56/~jnz1568/getInfo.php?workbook=03_02.xlsx&amp;sheet=A0&amp;row=844&amp;col=12&amp;number=3.052&amp;sourceID=30","3.052")</f>
        <v>3.052</v>
      </c>
      <c r="M844" s="4" t="str">
        <f>HYPERLINK("http://141.218.60.56/~jnz1568/getInfo.php?workbook=03_02.xlsx&amp;sheet=A0&amp;row=844&amp;col=13&amp;number=1.05e-11&amp;sourceID=30","1.05e-11")</f>
        <v>1.05e-11</v>
      </c>
      <c r="N844" s="4" t="str">
        <f>HYPERLINK("http://141.218.60.56/~jnz1568/getInfo.php?workbook=03_02.xlsx&amp;sheet=A0&amp;row=844&amp;col=14&amp;number=&amp;sourceID=30","")</f>
        <v/>
      </c>
    </row>
    <row r="845" spans="1:14">
      <c r="A845" s="3">
        <v>3</v>
      </c>
      <c r="B845" s="3">
        <v>2</v>
      </c>
      <c r="C845" s="3">
        <v>48</v>
      </c>
      <c r="D845" s="3">
        <v>23</v>
      </c>
      <c r="E845" s="3">
        <f>((1/(INDEX(E0!J$4:J$52,C845,1)-INDEX(E0!J$4:J$52,D845,1))))*100000000</f>
        <v>0</v>
      </c>
      <c r="F845" s="4" t="str">
        <f>HYPERLINK("http://141.218.60.56/~jnz1568/getInfo.php?workbook=03_02.xlsx&amp;sheet=A0&amp;row=845&amp;col=6&amp;number=&amp;sourceID=27","")</f>
        <v/>
      </c>
      <c r="G845" s="4" t="str">
        <f>HYPERLINK("http://141.218.60.56/~jnz1568/getInfo.php?workbook=03_02.xlsx&amp;sheet=A0&amp;row=845&amp;col=7&amp;number=&amp;sourceID=15","")</f>
        <v/>
      </c>
      <c r="H845" s="4" t="str">
        <f>HYPERLINK("http://141.218.60.56/~jnz1568/getInfo.php?workbook=03_02.xlsx&amp;sheet=A0&amp;row=845&amp;col=8&amp;number=&amp;sourceID=15","")</f>
        <v/>
      </c>
      <c r="I845" s="4" t="str">
        <f>HYPERLINK("http://141.218.60.56/~jnz1568/getInfo.php?workbook=03_02.xlsx&amp;sheet=A0&amp;row=845&amp;col=9&amp;number=&amp;sourceID=15","")</f>
        <v/>
      </c>
      <c r="J845" s="4" t="str">
        <f>HYPERLINK("http://141.218.60.56/~jnz1568/getInfo.php?workbook=03_02.xlsx&amp;sheet=A0&amp;row=845&amp;col=10&amp;number=&amp;sourceID=15","")</f>
        <v/>
      </c>
      <c r="K845" s="4" t="str">
        <f>HYPERLINK("http://141.218.60.56/~jnz1568/getInfo.php?workbook=03_02.xlsx&amp;sheet=A0&amp;row=845&amp;col=11&amp;number=&amp;sourceID=30","")</f>
        <v/>
      </c>
      <c r="L845" s="4" t="str">
        <f>HYPERLINK("http://141.218.60.56/~jnz1568/getInfo.php?workbook=03_02.xlsx&amp;sheet=A0&amp;row=845&amp;col=12&amp;number=&amp;sourceID=30","")</f>
        <v/>
      </c>
      <c r="M845" s="4" t="str">
        <f>HYPERLINK("http://141.218.60.56/~jnz1568/getInfo.php?workbook=03_02.xlsx&amp;sheet=A0&amp;row=845&amp;col=13&amp;number=&amp;sourceID=30","")</f>
        <v/>
      </c>
      <c r="N845" s="4" t="str">
        <f>HYPERLINK("http://141.218.60.56/~jnz1568/getInfo.php?workbook=03_02.xlsx&amp;sheet=A0&amp;row=845&amp;col=14&amp;number=1.231e-05&amp;sourceID=30","1.231e-05")</f>
        <v>1.231e-05</v>
      </c>
    </row>
    <row r="846" spans="1:14">
      <c r="A846" s="3">
        <v>3</v>
      </c>
      <c r="B846" s="3">
        <v>2</v>
      </c>
      <c r="C846" s="3">
        <v>48</v>
      </c>
      <c r="D846" s="3">
        <v>24</v>
      </c>
      <c r="E846" s="3">
        <f>((1/(INDEX(E0!J$4:J$52,C846,1)-INDEX(E0!J$4:J$52,D846,1))))*100000000</f>
        <v>0</v>
      </c>
      <c r="F846" s="4" t="str">
        <f>HYPERLINK("http://141.218.60.56/~jnz1568/getInfo.php?workbook=03_02.xlsx&amp;sheet=A0&amp;row=846&amp;col=6&amp;number=&amp;sourceID=27","")</f>
        <v/>
      </c>
      <c r="G846" s="4" t="str">
        <f>HYPERLINK("http://141.218.60.56/~jnz1568/getInfo.php?workbook=03_02.xlsx&amp;sheet=A0&amp;row=846&amp;col=7&amp;number=7567000&amp;sourceID=15","7567000")</f>
        <v>7567000</v>
      </c>
      <c r="H846" s="4" t="str">
        <f>HYPERLINK("http://141.218.60.56/~jnz1568/getInfo.php?workbook=03_02.xlsx&amp;sheet=A0&amp;row=846&amp;col=8&amp;number=&amp;sourceID=15","")</f>
        <v/>
      </c>
      <c r="I846" s="4" t="str">
        <f>HYPERLINK("http://141.218.60.56/~jnz1568/getInfo.php?workbook=03_02.xlsx&amp;sheet=A0&amp;row=846&amp;col=9&amp;number=&amp;sourceID=15","")</f>
        <v/>
      </c>
      <c r="J846" s="4" t="str">
        <f>HYPERLINK("http://141.218.60.56/~jnz1568/getInfo.php?workbook=03_02.xlsx&amp;sheet=A0&amp;row=846&amp;col=10&amp;number=&amp;sourceID=15","")</f>
        <v/>
      </c>
      <c r="K846" s="4" t="str">
        <f>HYPERLINK("http://141.218.60.56/~jnz1568/getInfo.php?workbook=03_02.xlsx&amp;sheet=A0&amp;row=846&amp;col=11&amp;number=4539000&amp;sourceID=30","4539000")</f>
        <v>4539000</v>
      </c>
      <c r="L846" s="4" t="str">
        <f>HYPERLINK("http://141.218.60.56/~jnz1568/getInfo.php?workbook=03_02.xlsx&amp;sheet=A0&amp;row=846&amp;col=12&amp;number=&amp;sourceID=30","")</f>
        <v/>
      </c>
      <c r="M846" s="4" t="str">
        <f>HYPERLINK("http://141.218.60.56/~jnz1568/getInfo.php?workbook=03_02.xlsx&amp;sheet=A0&amp;row=846&amp;col=13&amp;number=&amp;sourceID=30","")</f>
        <v/>
      </c>
      <c r="N846" s="4" t="str">
        <f>HYPERLINK("http://141.218.60.56/~jnz1568/getInfo.php?workbook=03_02.xlsx&amp;sheet=A0&amp;row=846&amp;col=14&amp;number=2.827e-05&amp;sourceID=30","2.827e-05")</f>
        <v>2.827e-05</v>
      </c>
    </row>
    <row r="847" spans="1:14">
      <c r="A847" s="3">
        <v>3</v>
      </c>
      <c r="B847" s="3">
        <v>2</v>
      </c>
      <c r="C847" s="3">
        <v>48</v>
      </c>
      <c r="D847" s="3">
        <v>25</v>
      </c>
      <c r="E847" s="3">
        <f>((1/(INDEX(E0!J$4:J$52,C847,1)-INDEX(E0!J$4:J$52,D847,1))))*100000000</f>
        <v>0</v>
      </c>
      <c r="F847" s="4" t="str">
        <f>HYPERLINK("http://141.218.60.56/~jnz1568/getInfo.php?workbook=03_02.xlsx&amp;sheet=A0&amp;row=847&amp;col=6&amp;number=&amp;sourceID=27","")</f>
        <v/>
      </c>
      <c r="G847" s="4" t="str">
        <f>HYPERLINK("http://141.218.60.56/~jnz1568/getInfo.php?workbook=03_02.xlsx&amp;sheet=A0&amp;row=847&amp;col=7&amp;number=1003000&amp;sourceID=15","1003000")</f>
        <v>1003000</v>
      </c>
      <c r="H847" s="4" t="str">
        <f>HYPERLINK("http://141.218.60.56/~jnz1568/getInfo.php?workbook=03_02.xlsx&amp;sheet=A0&amp;row=847&amp;col=8&amp;number=&amp;sourceID=15","")</f>
        <v/>
      </c>
      <c r="I847" s="4" t="str">
        <f>HYPERLINK("http://141.218.60.56/~jnz1568/getInfo.php?workbook=03_02.xlsx&amp;sheet=A0&amp;row=847&amp;col=9&amp;number=&amp;sourceID=15","")</f>
        <v/>
      </c>
      <c r="J847" s="4" t="str">
        <f>HYPERLINK("http://141.218.60.56/~jnz1568/getInfo.php?workbook=03_02.xlsx&amp;sheet=A0&amp;row=847&amp;col=10&amp;number=&amp;sourceID=15","")</f>
        <v/>
      </c>
      <c r="K847" s="4" t="str">
        <f>HYPERLINK("http://141.218.60.56/~jnz1568/getInfo.php?workbook=03_02.xlsx&amp;sheet=A0&amp;row=847&amp;col=11&amp;number=599200&amp;sourceID=30","599200")</f>
        <v>599200</v>
      </c>
      <c r="L847" s="4" t="str">
        <f>HYPERLINK("http://141.218.60.56/~jnz1568/getInfo.php?workbook=03_02.xlsx&amp;sheet=A0&amp;row=847&amp;col=12&amp;number=&amp;sourceID=30","")</f>
        <v/>
      </c>
      <c r="M847" s="4" t="str">
        <f>HYPERLINK("http://141.218.60.56/~jnz1568/getInfo.php?workbook=03_02.xlsx&amp;sheet=A0&amp;row=847&amp;col=13&amp;number=&amp;sourceID=30","")</f>
        <v/>
      </c>
      <c r="N847" s="4" t="str">
        <f>HYPERLINK("http://141.218.60.56/~jnz1568/getInfo.php?workbook=03_02.xlsx&amp;sheet=A0&amp;row=847&amp;col=14&amp;number=1.108e-05&amp;sourceID=30","1.108e-05")</f>
        <v>1.108e-05</v>
      </c>
    </row>
    <row r="848" spans="1:14">
      <c r="A848" s="3">
        <v>3</v>
      </c>
      <c r="B848" s="3">
        <v>2</v>
      </c>
      <c r="C848" s="3">
        <v>48</v>
      </c>
      <c r="D848" s="3">
        <v>26</v>
      </c>
      <c r="E848" s="3">
        <f>((1/(INDEX(E0!J$4:J$52,C848,1)-INDEX(E0!J$4:J$52,D848,1))))*100000000</f>
        <v>0</v>
      </c>
      <c r="F848" s="4" t="str">
        <f>HYPERLINK("http://141.218.60.56/~jnz1568/getInfo.php?workbook=03_02.xlsx&amp;sheet=A0&amp;row=848&amp;col=6&amp;number=&amp;sourceID=27","")</f>
        <v/>
      </c>
      <c r="G848" s="4" t="str">
        <f>HYPERLINK("http://141.218.60.56/~jnz1568/getInfo.php?workbook=03_02.xlsx&amp;sheet=A0&amp;row=848&amp;col=7&amp;number=32804000&amp;sourceID=15","32804000")</f>
        <v>32804000</v>
      </c>
      <c r="H848" s="4" t="str">
        <f>HYPERLINK("http://141.218.60.56/~jnz1568/getInfo.php?workbook=03_02.xlsx&amp;sheet=A0&amp;row=848&amp;col=8&amp;number=&amp;sourceID=15","")</f>
        <v/>
      </c>
      <c r="I848" s="4" t="str">
        <f>HYPERLINK("http://141.218.60.56/~jnz1568/getInfo.php?workbook=03_02.xlsx&amp;sheet=A0&amp;row=848&amp;col=9&amp;number=&amp;sourceID=15","")</f>
        <v/>
      </c>
      <c r="J848" s="4" t="str">
        <f>HYPERLINK("http://141.218.60.56/~jnz1568/getInfo.php?workbook=03_02.xlsx&amp;sheet=A0&amp;row=848&amp;col=10&amp;number=&amp;sourceID=15","")</f>
        <v/>
      </c>
      <c r="K848" s="4" t="str">
        <f>HYPERLINK("http://141.218.60.56/~jnz1568/getInfo.php?workbook=03_02.xlsx&amp;sheet=A0&amp;row=848&amp;col=11&amp;number=36260000&amp;sourceID=30","36260000")</f>
        <v>36260000</v>
      </c>
      <c r="L848" s="4" t="str">
        <f>HYPERLINK("http://141.218.60.56/~jnz1568/getInfo.php?workbook=03_02.xlsx&amp;sheet=A0&amp;row=848&amp;col=12&amp;number=&amp;sourceID=30","")</f>
        <v/>
      </c>
      <c r="M848" s="4" t="str">
        <f>HYPERLINK("http://141.218.60.56/~jnz1568/getInfo.php?workbook=03_02.xlsx&amp;sheet=A0&amp;row=848&amp;col=13&amp;number=&amp;sourceID=30","")</f>
        <v/>
      </c>
      <c r="N848" s="4" t="str">
        <f>HYPERLINK("http://141.218.60.56/~jnz1568/getInfo.php?workbook=03_02.xlsx&amp;sheet=A0&amp;row=848&amp;col=14&amp;number=3.817e-05&amp;sourceID=30","3.817e-05")</f>
        <v>3.817e-05</v>
      </c>
    </row>
    <row r="849" spans="1:14">
      <c r="A849" s="3">
        <v>3</v>
      </c>
      <c r="B849" s="3">
        <v>2</v>
      </c>
      <c r="C849" s="3">
        <v>48</v>
      </c>
      <c r="D849" s="3">
        <v>27</v>
      </c>
      <c r="E849" s="3">
        <f>((1/(INDEX(E0!J$4:J$52,C849,1)-INDEX(E0!J$4:J$52,D849,1))))*100000000</f>
        <v>0</v>
      </c>
      <c r="F849" s="4" t="str">
        <f>HYPERLINK("http://141.218.60.56/~jnz1568/getInfo.php?workbook=03_02.xlsx&amp;sheet=A0&amp;row=849&amp;col=6&amp;number=&amp;sourceID=27","")</f>
        <v/>
      </c>
      <c r="G849" s="4" t="str">
        <f>HYPERLINK("http://141.218.60.56/~jnz1568/getInfo.php?workbook=03_02.xlsx&amp;sheet=A0&amp;row=849&amp;col=7&amp;number=&amp;sourceID=15","")</f>
        <v/>
      </c>
      <c r="H849" s="4" t="str">
        <f>HYPERLINK("http://141.218.60.56/~jnz1568/getInfo.php?workbook=03_02.xlsx&amp;sheet=A0&amp;row=849&amp;col=8&amp;number=&amp;sourceID=15","")</f>
        <v/>
      </c>
      <c r="I849" s="4" t="str">
        <f>HYPERLINK("http://141.218.60.56/~jnz1568/getInfo.php?workbook=03_02.xlsx&amp;sheet=A0&amp;row=849&amp;col=9&amp;number=&amp;sourceID=15","")</f>
        <v/>
      </c>
      <c r="J849" s="4" t="str">
        <f>HYPERLINK("http://141.218.60.56/~jnz1568/getInfo.php?workbook=03_02.xlsx&amp;sheet=A0&amp;row=849&amp;col=10&amp;number=&amp;sourceID=15","")</f>
        <v/>
      </c>
      <c r="K849" s="4" t="str">
        <f>HYPERLINK("http://141.218.60.56/~jnz1568/getInfo.php?workbook=03_02.xlsx&amp;sheet=A0&amp;row=849&amp;col=11&amp;number=&amp;sourceID=30","")</f>
        <v/>
      </c>
      <c r="L849" s="4" t="str">
        <f>HYPERLINK("http://141.218.60.56/~jnz1568/getInfo.php?workbook=03_02.xlsx&amp;sheet=A0&amp;row=849&amp;col=12&amp;number=0.2736&amp;sourceID=30","0.2736")</f>
        <v>0.2736</v>
      </c>
      <c r="M849" s="4" t="str">
        <f>HYPERLINK("http://141.218.60.56/~jnz1568/getInfo.php?workbook=03_02.xlsx&amp;sheet=A0&amp;row=849&amp;col=13&amp;number=4.438e-10&amp;sourceID=30","4.438e-10")</f>
        <v>4.438e-10</v>
      </c>
      <c r="N849" s="4" t="str">
        <f>HYPERLINK("http://141.218.60.56/~jnz1568/getInfo.php?workbook=03_02.xlsx&amp;sheet=A0&amp;row=849&amp;col=14&amp;number=&amp;sourceID=30","")</f>
        <v/>
      </c>
    </row>
    <row r="850" spans="1:14">
      <c r="A850" s="3">
        <v>3</v>
      </c>
      <c r="B850" s="3">
        <v>2</v>
      </c>
      <c r="C850" s="3">
        <v>48</v>
      </c>
      <c r="D850" s="3">
        <v>28</v>
      </c>
      <c r="E850" s="3">
        <f>((1/(INDEX(E0!J$4:J$52,C850,1)-INDEX(E0!J$4:J$52,D850,1))))*100000000</f>
        <v>0</v>
      </c>
      <c r="F850" s="4" t="str">
        <f>HYPERLINK("http://141.218.60.56/~jnz1568/getInfo.php?workbook=03_02.xlsx&amp;sheet=A0&amp;row=850&amp;col=6&amp;number=&amp;sourceID=27","")</f>
        <v/>
      </c>
      <c r="G850" s="4" t="str">
        <f>HYPERLINK("http://141.218.60.56/~jnz1568/getInfo.php?workbook=03_02.xlsx&amp;sheet=A0&amp;row=850&amp;col=7&amp;number=&amp;sourceID=15","")</f>
        <v/>
      </c>
      <c r="H850" s="4" t="str">
        <f>HYPERLINK("http://141.218.60.56/~jnz1568/getInfo.php?workbook=03_02.xlsx&amp;sheet=A0&amp;row=850&amp;col=8&amp;number=&amp;sourceID=15","")</f>
        <v/>
      </c>
      <c r="I850" s="4" t="str">
        <f>HYPERLINK("http://141.218.60.56/~jnz1568/getInfo.php?workbook=03_02.xlsx&amp;sheet=A0&amp;row=850&amp;col=9&amp;number=&amp;sourceID=15","")</f>
        <v/>
      </c>
      <c r="J850" s="4" t="str">
        <f>HYPERLINK("http://141.218.60.56/~jnz1568/getInfo.php?workbook=03_02.xlsx&amp;sheet=A0&amp;row=850&amp;col=10&amp;number=&amp;sourceID=15","")</f>
        <v/>
      </c>
      <c r="K850" s="4" t="str">
        <f>HYPERLINK("http://141.218.60.56/~jnz1568/getInfo.php?workbook=03_02.xlsx&amp;sheet=A0&amp;row=850&amp;col=11&amp;number=&amp;sourceID=30","")</f>
        <v/>
      </c>
      <c r="L850" s="4" t="str">
        <f>HYPERLINK("http://141.218.60.56/~jnz1568/getInfo.php?workbook=03_02.xlsx&amp;sheet=A0&amp;row=850&amp;col=12&amp;number=0.3517&amp;sourceID=30","0.3517")</f>
        <v>0.3517</v>
      </c>
      <c r="M850" s="4" t="str">
        <f>HYPERLINK("http://141.218.60.56/~jnz1568/getInfo.php?workbook=03_02.xlsx&amp;sheet=A0&amp;row=850&amp;col=13&amp;number=7.86e-11&amp;sourceID=30","7.86e-11")</f>
        <v>7.86e-11</v>
      </c>
      <c r="N850" s="4" t="str">
        <f>HYPERLINK("http://141.218.60.56/~jnz1568/getInfo.php?workbook=03_02.xlsx&amp;sheet=A0&amp;row=850&amp;col=14&amp;number=&amp;sourceID=30","")</f>
        <v/>
      </c>
    </row>
    <row r="851" spans="1:14">
      <c r="A851" s="3">
        <v>3</v>
      </c>
      <c r="B851" s="3">
        <v>2</v>
      </c>
      <c r="C851" s="3">
        <v>48</v>
      </c>
      <c r="D851" s="3">
        <v>29</v>
      </c>
      <c r="E851" s="3">
        <f>((1/(INDEX(E0!J$4:J$52,C851,1)-INDEX(E0!J$4:J$52,D851,1))))*100000000</f>
        <v>0</v>
      </c>
      <c r="F851" s="4" t="str">
        <f>HYPERLINK("http://141.218.60.56/~jnz1568/getInfo.php?workbook=03_02.xlsx&amp;sheet=A0&amp;row=851&amp;col=6&amp;number=&amp;sourceID=27","")</f>
        <v/>
      </c>
      <c r="G851" s="4" t="str">
        <f>HYPERLINK("http://141.218.60.56/~jnz1568/getInfo.php?workbook=03_02.xlsx&amp;sheet=A0&amp;row=851&amp;col=7&amp;number=&amp;sourceID=15","")</f>
        <v/>
      </c>
      <c r="H851" s="4" t="str">
        <f>HYPERLINK("http://141.218.60.56/~jnz1568/getInfo.php?workbook=03_02.xlsx&amp;sheet=A0&amp;row=851&amp;col=8&amp;number=&amp;sourceID=15","")</f>
        <v/>
      </c>
      <c r="I851" s="4" t="str">
        <f>HYPERLINK("http://141.218.60.56/~jnz1568/getInfo.php?workbook=03_02.xlsx&amp;sheet=A0&amp;row=851&amp;col=9&amp;number=&amp;sourceID=15","")</f>
        <v/>
      </c>
      <c r="J851" s="4" t="str">
        <f>HYPERLINK("http://141.218.60.56/~jnz1568/getInfo.php?workbook=03_02.xlsx&amp;sheet=A0&amp;row=851&amp;col=10&amp;number=&amp;sourceID=15","")</f>
        <v/>
      </c>
      <c r="K851" s="4" t="str">
        <f>HYPERLINK("http://141.218.60.56/~jnz1568/getInfo.php?workbook=03_02.xlsx&amp;sheet=A0&amp;row=851&amp;col=11&amp;number=&amp;sourceID=30","")</f>
        <v/>
      </c>
      <c r="L851" s="4" t="str">
        <f>HYPERLINK("http://141.218.60.56/~jnz1568/getInfo.php?workbook=03_02.xlsx&amp;sheet=A0&amp;row=851&amp;col=12&amp;number=0.285&amp;sourceID=30","0.285")</f>
        <v>0.285</v>
      </c>
      <c r="M851" s="4" t="str">
        <f>HYPERLINK("http://141.218.60.56/~jnz1568/getInfo.php?workbook=03_02.xlsx&amp;sheet=A0&amp;row=851&amp;col=13&amp;number=1.846e-09&amp;sourceID=30","1.846e-09")</f>
        <v>1.846e-09</v>
      </c>
      <c r="N851" s="4" t="str">
        <f>HYPERLINK("http://141.218.60.56/~jnz1568/getInfo.php?workbook=03_02.xlsx&amp;sheet=A0&amp;row=851&amp;col=14&amp;number=&amp;sourceID=30","")</f>
        <v/>
      </c>
    </row>
    <row r="852" spans="1:14">
      <c r="A852" s="3">
        <v>3</v>
      </c>
      <c r="B852" s="3">
        <v>2</v>
      </c>
      <c r="C852" s="3">
        <v>48</v>
      </c>
      <c r="D852" s="3">
        <v>30</v>
      </c>
      <c r="E852" s="3">
        <f>((1/(INDEX(E0!J$4:J$52,C852,1)-INDEX(E0!J$4:J$52,D852,1))))*100000000</f>
        <v>0</v>
      </c>
      <c r="F852" s="4" t="str">
        <f>HYPERLINK("http://141.218.60.56/~jnz1568/getInfo.php?workbook=03_02.xlsx&amp;sheet=A0&amp;row=852&amp;col=6&amp;number=&amp;sourceID=27","")</f>
        <v/>
      </c>
      <c r="G852" s="4" t="str">
        <f>HYPERLINK("http://141.218.60.56/~jnz1568/getInfo.php?workbook=03_02.xlsx&amp;sheet=A0&amp;row=852&amp;col=7&amp;number=&amp;sourceID=15","")</f>
        <v/>
      </c>
      <c r="H852" s="4" t="str">
        <f>HYPERLINK("http://141.218.60.56/~jnz1568/getInfo.php?workbook=03_02.xlsx&amp;sheet=A0&amp;row=852&amp;col=8&amp;number=&amp;sourceID=15","")</f>
        <v/>
      </c>
      <c r="I852" s="4" t="str">
        <f>HYPERLINK("http://141.218.60.56/~jnz1568/getInfo.php?workbook=03_02.xlsx&amp;sheet=A0&amp;row=852&amp;col=9&amp;number=&amp;sourceID=15","")</f>
        <v/>
      </c>
      <c r="J852" s="4" t="str">
        <f>HYPERLINK("http://141.218.60.56/~jnz1568/getInfo.php?workbook=03_02.xlsx&amp;sheet=A0&amp;row=852&amp;col=10&amp;number=&amp;sourceID=15","")</f>
        <v/>
      </c>
      <c r="K852" s="4" t="str">
        <f>HYPERLINK("http://141.218.60.56/~jnz1568/getInfo.php?workbook=03_02.xlsx&amp;sheet=A0&amp;row=852&amp;col=11&amp;number=&amp;sourceID=30","")</f>
        <v/>
      </c>
      <c r="L852" s="4" t="str">
        <f>HYPERLINK("http://141.218.60.56/~jnz1568/getInfo.php?workbook=03_02.xlsx&amp;sheet=A0&amp;row=852&amp;col=12&amp;number=8.882&amp;sourceID=30","8.882")</f>
        <v>8.882</v>
      </c>
      <c r="M852" s="4" t="str">
        <f>HYPERLINK("http://141.218.60.56/~jnz1568/getInfo.php?workbook=03_02.xlsx&amp;sheet=A0&amp;row=852&amp;col=13&amp;number=2.59e-09&amp;sourceID=30","2.59e-09")</f>
        <v>2.59e-09</v>
      </c>
      <c r="N852" s="4" t="str">
        <f>HYPERLINK("http://141.218.60.56/~jnz1568/getInfo.php?workbook=03_02.xlsx&amp;sheet=A0&amp;row=852&amp;col=14&amp;number=&amp;sourceID=30","")</f>
        <v/>
      </c>
    </row>
    <row r="853" spans="1:14">
      <c r="A853" s="3">
        <v>3</v>
      </c>
      <c r="B853" s="3">
        <v>2</v>
      </c>
      <c r="C853" s="3">
        <v>48</v>
      </c>
      <c r="D853" s="3">
        <v>31</v>
      </c>
      <c r="E853" s="3">
        <f>((1/(INDEX(E0!J$4:J$52,C853,1)-INDEX(E0!J$4:J$52,D853,1))))*100000000</f>
        <v>0</v>
      </c>
      <c r="F853" s="4" t="str">
        <f>HYPERLINK("http://141.218.60.56/~jnz1568/getInfo.php?workbook=03_02.xlsx&amp;sheet=A0&amp;row=853&amp;col=6&amp;number=&amp;sourceID=27","")</f>
        <v/>
      </c>
      <c r="G853" s="4" t="str">
        <f>HYPERLINK("http://141.218.60.56/~jnz1568/getInfo.php?workbook=03_02.xlsx&amp;sheet=A0&amp;row=853&amp;col=7&amp;number=&amp;sourceID=15","")</f>
        <v/>
      </c>
      <c r="H853" s="4" t="str">
        <f>HYPERLINK("http://141.218.60.56/~jnz1568/getInfo.php?workbook=03_02.xlsx&amp;sheet=A0&amp;row=853&amp;col=8&amp;number=&amp;sourceID=15","")</f>
        <v/>
      </c>
      <c r="I853" s="4" t="str">
        <f>HYPERLINK("http://141.218.60.56/~jnz1568/getInfo.php?workbook=03_02.xlsx&amp;sheet=A0&amp;row=853&amp;col=9&amp;number=&amp;sourceID=15","")</f>
        <v/>
      </c>
      <c r="J853" s="4" t="str">
        <f>HYPERLINK("http://141.218.60.56/~jnz1568/getInfo.php?workbook=03_02.xlsx&amp;sheet=A0&amp;row=853&amp;col=10&amp;number=&amp;sourceID=15","")</f>
        <v/>
      </c>
      <c r="K853" s="4" t="str">
        <f>HYPERLINK("http://141.218.60.56/~jnz1568/getInfo.php?workbook=03_02.xlsx&amp;sheet=A0&amp;row=853&amp;col=11&amp;number=&amp;sourceID=30","")</f>
        <v/>
      </c>
      <c r="L853" s="4" t="str">
        <f>HYPERLINK("http://141.218.60.56/~jnz1568/getInfo.php?workbook=03_02.xlsx&amp;sheet=A0&amp;row=853&amp;col=12&amp;number=48&amp;sourceID=30","48")</f>
        <v>48</v>
      </c>
      <c r="M853" s="4" t="str">
        <f>HYPERLINK("http://141.218.60.56/~jnz1568/getInfo.php?workbook=03_02.xlsx&amp;sheet=A0&amp;row=853&amp;col=13&amp;number=&amp;sourceID=30","")</f>
        <v/>
      </c>
      <c r="N853" s="4" t="str">
        <f>HYPERLINK("http://141.218.60.56/~jnz1568/getInfo.php?workbook=03_02.xlsx&amp;sheet=A0&amp;row=853&amp;col=14&amp;number=&amp;sourceID=30","")</f>
        <v/>
      </c>
    </row>
    <row r="854" spans="1:14">
      <c r="A854" s="3">
        <v>3</v>
      </c>
      <c r="B854" s="3">
        <v>2</v>
      </c>
      <c r="C854" s="3">
        <v>48</v>
      </c>
      <c r="D854" s="3">
        <v>32</v>
      </c>
      <c r="E854" s="3">
        <f>((1/(INDEX(E0!J$4:J$52,C854,1)-INDEX(E0!J$4:J$52,D854,1))))*100000000</f>
        <v>0</v>
      </c>
      <c r="F854" s="4" t="str">
        <f>HYPERLINK("http://141.218.60.56/~jnz1568/getInfo.php?workbook=03_02.xlsx&amp;sheet=A0&amp;row=854&amp;col=6&amp;number=&amp;sourceID=27","")</f>
        <v/>
      </c>
      <c r="G854" s="4" t="str">
        <f>HYPERLINK("http://141.218.60.56/~jnz1568/getInfo.php?workbook=03_02.xlsx&amp;sheet=A0&amp;row=854&amp;col=7&amp;number=&amp;sourceID=15","")</f>
        <v/>
      </c>
      <c r="H854" s="4" t="str">
        <f>HYPERLINK("http://141.218.60.56/~jnz1568/getInfo.php?workbook=03_02.xlsx&amp;sheet=A0&amp;row=854&amp;col=8&amp;number=&amp;sourceID=15","")</f>
        <v/>
      </c>
      <c r="I854" s="4" t="str">
        <f>HYPERLINK("http://141.218.60.56/~jnz1568/getInfo.php?workbook=03_02.xlsx&amp;sheet=A0&amp;row=854&amp;col=9&amp;number=&amp;sourceID=15","")</f>
        <v/>
      </c>
      <c r="J854" s="4" t="str">
        <f>HYPERLINK("http://141.218.60.56/~jnz1568/getInfo.php?workbook=03_02.xlsx&amp;sheet=A0&amp;row=854&amp;col=10&amp;number=&amp;sourceID=15","")</f>
        <v/>
      </c>
      <c r="K854" s="4" t="str">
        <f>HYPERLINK("http://141.218.60.56/~jnz1568/getInfo.php?workbook=03_02.xlsx&amp;sheet=A0&amp;row=854&amp;col=11&amp;number=&amp;sourceID=30","")</f>
        <v/>
      </c>
      <c r="L854" s="4" t="str">
        <f>HYPERLINK("http://141.218.60.56/~jnz1568/getInfo.php?workbook=03_02.xlsx&amp;sheet=A0&amp;row=854&amp;col=12&amp;number=&amp;sourceID=30","")</f>
        <v/>
      </c>
      <c r="M854" s="4" t="str">
        <f>HYPERLINK("http://141.218.60.56/~jnz1568/getInfo.php?workbook=03_02.xlsx&amp;sheet=A0&amp;row=854&amp;col=13&amp;number=&amp;sourceID=30","")</f>
        <v/>
      </c>
      <c r="N854" s="4" t="str">
        <f>HYPERLINK("http://141.218.60.56/~jnz1568/getInfo.php?workbook=03_02.xlsx&amp;sheet=A0&amp;row=854&amp;col=14&amp;number=0&amp;sourceID=30","0")</f>
        <v>0</v>
      </c>
    </row>
    <row r="855" spans="1:14">
      <c r="A855" s="3">
        <v>3</v>
      </c>
      <c r="B855" s="3">
        <v>2</v>
      </c>
      <c r="C855" s="3">
        <v>48</v>
      </c>
      <c r="D855" s="3">
        <v>35</v>
      </c>
      <c r="E855" s="3">
        <f>((1/(INDEX(E0!J$4:J$52,C855,1)-INDEX(E0!J$4:J$52,D855,1))))*100000000</f>
        <v>0</v>
      </c>
      <c r="F855" s="4" t="str">
        <f>HYPERLINK("http://141.218.60.56/~jnz1568/getInfo.php?workbook=03_02.xlsx&amp;sheet=A0&amp;row=855&amp;col=6&amp;number=&amp;sourceID=27","")</f>
        <v/>
      </c>
      <c r="G855" s="4" t="str">
        <f>HYPERLINK("http://141.218.60.56/~jnz1568/getInfo.php?workbook=03_02.xlsx&amp;sheet=A0&amp;row=855&amp;col=7&amp;number=&amp;sourceID=15","")</f>
        <v/>
      </c>
      <c r="H855" s="4" t="str">
        <f>HYPERLINK("http://141.218.60.56/~jnz1568/getInfo.php?workbook=03_02.xlsx&amp;sheet=A0&amp;row=855&amp;col=8&amp;number=&amp;sourceID=15","")</f>
        <v/>
      </c>
      <c r="I855" s="4" t="str">
        <f>HYPERLINK("http://141.218.60.56/~jnz1568/getInfo.php?workbook=03_02.xlsx&amp;sheet=A0&amp;row=855&amp;col=9&amp;number=&amp;sourceID=15","")</f>
        <v/>
      </c>
      <c r="J855" s="4" t="str">
        <f>HYPERLINK("http://141.218.60.56/~jnz1568/getInfo.php?workbook=03_02.xlsx&amp;sheet=A0&amp;row=855&amp;col=10&amp;number=&amp;sourceID=15","")</f>
        <v/>
      </c>
      <c r="K855" s="4" t="str">
        <f>HYPERLINK("http://141.218.60.56/~jnz1568/getInfo.php?workbook=03_02.xlsx&amp;sheet=A0&amp;row=855&amp;col=11&amp;number=&amp;sourceID=30","")</f>
        <v/>
      </c>
      <c r="L855" s="4" t="str">
        <f>HYPERLINK("http://141.218.60.56/~jnz1568/getInfo.php?workbook=03_02.xlsx&amp;sheet=A0&amp;row=855&amp;col=12&amp;number=9.244e-07&amp;sourceID=30","9.244e-07")</f>
        <v>9.244e-07</v>
      </c>
      <c r="M855" s="4" t="str">
        <f>HYPERLINK("http://141.218.60.56/~jnz1568/getInfo.php?workbook=03_02.xlsx&amp;sheet=A0&amp;row=855&amp;col=13&amp;number=&amp;sourceID=30","")</f>
        <v/>
      </c>
      <c r="N855" s="4" t="str">
        <f>HYPERLINK("http://141.218.60.56/~jnz1568/getInfo.php?workbook=03_02.xlsx&amp;sheet=A0&amp;row=855&amp;col=14&amp;number=&amp;sourceID=30","")</f>
        <v/>
      </c>
    </row>
    <row r="856" spans="1:14">
      <c r="A856" s="3">
        <v>3</v>
      </c>
      <c r="B856" s="3">
        <v>2</v>
      </c>
      <c r="C856" s="3">
        <v>48</v>
      </c>
      <c r="D856" s="3">
        <v>36</v>
      </c>
      <c r="E856" s="3">
        <f>((1/(INDEX(E0!J$4:J$52,C856,1)-INDEX(E0!J$4:J$52,D856,1))))*100000000</f>
        <v>0</v>
      </c>
      <c r="F856" s="4" t="str">
        <f>HYPERLINK("http://141.218.60.56/~jnz1568/getInfo.php?workbook=03_02.xlsx&amp;sheet=A0&amp;row=856&amp;col=6&amp;number=&amp;sourceID=27","")</f>
        <v/>
      </c>
      <c r="G856" s="4" t="str">
        <f>HYPERLINK("http://141.218.60.56/~jnz1568/getInfo.php?workbook=03_02.xlsx&amp;sheet=A0&amp;row=856&amp;col=7&amp;number=&amp;sourceID=15","")</f>
        <v/>
      </c>
      <c r="H856" s="4" t="str">
        <f>HYPERLINK("http://141.218.60.56/~jnz1568/getInfo.php?workbook=03_02.xlsx&amp;sheet=A0&amp;row=856&amp;col=8&amp;number=&amp;sourceID=15","")</f>
        <v/>
      </c>
      <c r="I856" s="4" t="str">
        <f>HYPERLINK("http://141.218.60.56/~jnz1568/getInfo.php?workbook=03_02.xlsx&amp;sheet=A0&amp;row=856&amp;col=9&amp;number=&amp;sourceID=15","")</f>
        <v/>
      </c>
      <c r="J856" s="4" t="str">
        <f>HYPERLINK("http://141.218.60.56/~jnz1568/getInfo.php?workbook=03_02.xlsx&amp;sheet=A0&amp;row=856&amp;col=10&amp;number=&amp;sourceID=15","")</f>
        <v/>
      </c>
      <c r="K856" s="4" t="str">
        <f>HYPERLINK("http://141.218.60.56/~jnz1568/getInfo.php?workbook=03_02.xlsx&amp;sheet=A0&amp;row=856&amp;col=11&amp;number=&amp;sourceID=30","")</f>
        <v/>
      </c>
      <c r="L856" s="4" t="str">
        <f>HYPERLINK("http://141.218.60.56/~jnz1568/getInfo.php?workbook=03_02.xlsx&amp;sheet=A0&amp;row=856&amp;col=12&amp;number=4.63e-07&amp;sourceID=30","4.63e-07")</f>
        <v>4.63e-07</v>
      </c>
      <c r="M856" s="4" t="str">
        <f>HYPERLINK("http://141.218.60.56/~jnz1568/getInfo.php?workbook=03_02.xlsx&amp;sheet=A0&amp;row=856&amp;col=13&amp;number=1e-15&amp;sourceID=30","1e-15")</f>
        <v>1e-15</v>
      </c>
      <c r="N856" s="4" t="str">
        <f>HYPERLINK("http://141.218.60.56/~jnz1568/getInfo.php?workbook=03_02.xlsx&amp;sheet=A0&amp;row=856&amp;col=14&amp;number=&amp;sourceID=30","")</f>
        <v/>
      </c>
    </row>
    <row r="857" spans="1:14">
      <c r="A857" s="3">
        <v>3</v>
      </c>
      <c r="B857" s="3">
        <v>2</v>
      </c>
      <c r="C857" s="3">
        <v>48</v>
      </c>
      <c r="D857" s="3">
        <v>37</v>
      </c>
      <c r="E857" s="3">
        <f>((1/(INDEX(E0!J$4:J$52,C857,1)-INDEX(E0!J$4:J$52,D857,1))))*100000000</f>
        <v>0</v>
      </c>
      <c r="F857" s="4" t="str">
        <f>HYPERLINK("http://141.218.60.56/~jnz1568/getInfo.php?workbook=03_02.xlsx&amp;sheet=A0&amp;row=857&amp;col=6&amp;number=&amp;sourceID=27","")</f>
        <v/>
      </c>
      <c r="G857" s="4" t="str">
        <f>HYPERLINK("http://141.218.60.56/~jnz1568/getInfo.php?workbook=03_02.xlsx&amp;sheet=A0&amp;row=857&amp;col=7&amp;number=&amp;sourceID=15","")</f>
        <v/>
      </c>
      <c r="H857" s="4" t="str">
        <f>HYPERLINK("http://141.218.60.56/~jnz1568/getInfo.php?workbook=03_02.xlsx&amp;sheet=A0&amp;row=857&amp;col=8&amp;number=&amp;sourceID=15","")</f>
        <v/>
      </c>
      <c r="I857" s="4" t="str">
        <f>HYPERLINK("http://141.218.60.56/~jnz1568/getInfo.php?workbook=03_02.xlsx&amp;sheet=A0&amp;row=857&amp;col=9&amp;number=&amp;sourceID=15","")</f>
        <v/>
      </c>
      <c r="J857" s="4" t="str">
        <f>HYPERLINK("http://141.218.60.56/~jnz1568/getInfo.php?workbook=03_02.xlsx&amp;sheet=A0&amp;row=857&amp;col=10&amp;number=&amp;sourceID=15","")</f>
        <v/>
      </c>
      <c r="K857" s="4" t="str">
        <f>HYPERLINK("http://141.218.60.56/~jnz1568/getInfo.php?workbook=03_02.xlsx&amp;sheet=A0&amp;row=857&amp;col=11&amp;number=&amp;sourceID=30","")</f>
        <v/>
      </c>
      <c r="L857" s="4" t="str">
        <f>HYPERLINK("http://141.218.60.56/~jnz1568/getInfo.php?workbook=03_02.xlsx&amp;sheet=A0&amp;row=857&amp;col=12&amp;number=&amp;sourceID=30","")</f>
        <v/>
      </c>
      <c r="M857" s="4" t="str">
        <f>HYPERLINK("http://141.218.60.56/~jnz1568/getInfo.php?workbook=03_02.xlsx&amp;sheet=A0&amp;row=857&amp;col=13&amp;number=&amp;sourceID=30","")</f>
        <v/>
      </c>
      <c r="N857" s="4" t="str">
        <f>HYPERLINK("http://141.218.60.56/~jnz1568/getInfo.php?workbook=03_02.xlsx&amp;sheet=A0&amp;row=857&amp;col=14&amp;number=0&amp;sourceID=30","0")</f>
        <v>0</v>
      </c>
    </row>
    <row r="858" spans="1:14">
      <c r="A858" s="3">
        <v>3</v>
      </c>
      <c r="B858" s="3">
        <v>2</v>
      </c>
      <c r="C858" s="3">
        <v>48</v>
      </c>
      <c r="D858" s="3">
        <v>38</v>
      </c>
      <c r="E858" s="3">
        <f>((1/(INDEX(E0!J$4:J$52,C858,1)-INDEX(E0!J$4:J$52,D858,1))))*100000000</f>
        <v>0</v>
      </c>
      <c r="F858" s="4" t="str">
        <f>HYPERLINK("http://141.218.60.56/~jnz1568/getInfo.php?workbook=03_02.xlsx&amp;sheet=A0&amp;row=858&amp;col=6&amp;number=&amp;sourceID=27","")</f>
        <v/>
      </c>
      <c r="G858" s="4" t="str">
        <f>HYPERLINK("http://141.218.60.56/~jnz1568/getInfo.php?workbook=03_02.xlsx&amp;sheet=A0&amp;row=858&amp;col=7&amp;number=&amp;sourceID=15","")</f>
        <v/>
      </c>
      <c r="H858" s="4" t="str">
        <f>HYPERLINK("http://141.218.60.56/~jnz1568/getInfo.php?workbook=03_02.xlsx&amp;sheet=A0&amp;row=858&amp;col=8&amp;number=&amp;sourceID=15","")</f>
        <v/>
      </c>
      <c r="I858" s="4" t="str">
        <f>HYPERLINK("http://141.218.60.56/~jnz1568/getInfo.php?workbook=03_02.xlsx&amp;sheet=A0&amp;row=858&amp;col=9&amp;number=&amp;sourceID=15","")</f>
        <v/>
      </c>
      <c r="J858" s="4" t="str">
        <f>HYPERLINK("http://141.218.60.56/~jnz1568/getInfo.php?workbook=03_02.xlsx&amp;sheet=A0&amp;row=858&amp;col=10&amp;number=&amp;sourceID=15","")</f>
        <v/>
      </c>
      <c r="K858" s="4" t="str">
        <f>HYPERLINK("http://141.218.60.56/~jnz1568/getInfo.php?workbook=03_02.xlsx&amp;sheet=A0&amp;row=858&amp;col=11&amp;number=0.01685&amp;sourceID=30","0.01685")</f>
        <v>0.01685</v>
      </c>
      <c r="L858" s="4" t="str">
        <f>HYPERLINK("http://141.218.60.56/~jnz1568/getInfo.php?workbook=03_02.xlsx&amp;sheet=A0&amp;row=858&amp;col=12&amp;number=&amp;sourceID=30","")</f>
        <v/>
      </c>
      <c r="M858" s="4" t="str">
        <f>HYPERLINK("http://141.218.60.56/~jnz1568/getInfo.php?workbook=03_02.xlsx&amp;sheet=A0&amp;row=858&amp;col=13&amp;number=&amp;sourceID=30","")</f>
        <v/>
      </c>
      <c r="N858" s="4" t="str">
        <f>HYPERLINK("http://141.218.60.56/~jnz1568/getInfo.php?workbook=03_02.xlsx&amp;sheet=A0&amp;row=858&amp;col=14&amp;number=0&amp;sourceID=30","0")</f>
        <v>0</v>
      </c>
    </row>
    <row r="859" spans="1:14">
      <c r="A859" s="3">
        <v>3</v>
      </c>
      <c r="B859" s="3">
        <v>2</v>
      </c>
      <c r="C859" s="3">
        <v>48</v>
      </c>
      <c r="D859" s="3">
        <v>39</v>
      </c>
      <c r="E859" s="3">
        <f>((1/(INDEX(E0!J$4:J$52,C859,1)-INDEX(E0!J$4:J$52,D859,1))))*100000000</f>
        <v>0</v>
      </c>
      <c r="F859" s="4" t="str">
        <f>HYPERLINK("http://141.218.60.56/~jnz1568/getInfo.php?workbook=03_02.xlsx&amp;sheet=A0&amp;row=859&amp;col=6&amp;number=&amp;sourceID=27","")</f>
        <v/>
      </c>
      <c r="G859" s="4" t="str">
        <f>HYPERLINK("http://141.218.60.56/~jnz1568/getInfo.php?workbook=03_02.xlsx&amp;sheet=A0&amp;row=859&amp;col=7&amp;number=&amp;sourceID=15","")</f>
        <v/>
      </c>
      <c r="H859" s="4" t="str">
        <f>HYPERLINK("http://141.218.60.56/~jnz1568/getInfo.php?workbook=03_02.xlsx&amp;sheet=A0&amp;row=859&amp;col=8&amp;number=&amp;sourceID=15","")</f>
        <v/>
      </c>
      <c r="I859" s="4" t="str">
        <f>HYPERLINK("http://141.218.60.56/~jnz1568/getInfo.php?workbook=03_02.xlsx&amp;sheet=A0&amp;row=859&amp;col=9&amp;number=&amp;sourceID=15","")</f>
        <v/>
      </c>
      <c r="J859" s="4" t="str">
        <f>HYPERLINK("http://141.218.60.56/~jnz1568/getInfo.php?workbook=03_02.xlsx&amp;sheet=A0&amp;row=859&amp;col=10&amp;number=&amp;sourceID=15","")</f>
        <v/>
      </c>
      <c r="K859" s="4" t="str">
        <f>HYPERLINK("http://141.218.60.56/~jnz1568/getInfo.php?workbook=03_02.xlsx&amp;sheet=A0&amp;row=859&amp;col=11&amp;number=0.00219&amp;sourceID=30","0.00219")</f>
        <v>0.00219</v>
      </c>
      <c r="L859" s="4" t="str">
        <f>HYPERLINK("http://141.218.60.56/~jnz1568/getInfo.php?workbook=03_02.xlsx&amp;sheet=A0&amp;row=859&amp;col=12&amp;number=&amp;sourceID=30","")</f>
        <v/>
      </c>
      <c r="M859" s="4" t="str">
        <f>HYPERLINK("http://141.218.60.56/~jnz1568/getInfo.php?workbook=03_02.xlsx&amp;sheet=A0&amp;row=859&amp;col=13&amp;number=&amp;sourceID=30","")</f>
        <v/>
      </c>
      <c r="N859" s="4" t="str">
        <f>HYPERLINK("http://141.218.60.56/~jnz1568/getInfo.php?workbook=03_02.xlsx&amp;sheet=A0&amp;row=859&amp;col=14&amp;number=0&amp;sourceID=30","0")</f>
        <v>0</v>
      </c>
    </row>
    <row r="860" spans="1:14">
      <c r="A860" s="3">
        <v>3</v>
      </c>
      <c r="B860" s="3">
        <v>2</v>
      </c>
      <c r="C860" s="3">
        <v>48</v>
      </c>
      <c r="D860" s="3">
        <v>41</v>
      </c>
      <c r="E860" s="3">
        <f>((1/(INDEX(E0!J$4:J$52,C860,1)-INDEX(E0!J$4:J$52,D860,1))))*100000000</f>
        <v>0</v>
      </c>
      <c r="F860" s="4" t="str">
        <f>HYPERLINK("http://141.218.60.56/~jnz1568/getInfo.php?workbook=03_02.xlsx&amp;sheet=A0&amp;row=860&amp;col=6&amp;number=&amp;sourceID=27","")</f>
        <v/>
      </c>
      <c r="G860" s="4" t="str">
        <f>HYPERLINK("http://141.218.60.56/~jnz1568/getInfo.php?workbook=03_02.xlsx&amp;sheet=A0&amp;row=860&amp;col=7&amp;number=&amp;sourceID=15","")</f>
        <v/>
      </c>
      <c r="H860" s="4" t="str">
        <f>HYPERLINK("http://141.218.60.56/~jnz1568/getInfo.php?workbook=03_02.xlsx&amp;sheet=A0&amp;row=860&amp;col=8&amp;number=&amp;sourceID=15","")</f>
        <v/>
      </c>
      <c r="I860" s="4" t="str">
        <f>HYPERLINK("http://141.218.60.56/~jnz1568/getInfo.php?workbook=03_02.xlsx&amp;sheet=A0&amp;row=860&amp;col=9&amp;number=&amp;sourceID=15","")</f>
        <v/>
      </c>
      <c r="J860" s="4" t="str">
        <f>HYPERLINK("http://141.218.60.56/~jnz1568/getInfo.php?workbook=03_02.xlsx&amp;sheet=A0&amp;row=860&amp;col=10&amp;number=&amp;sourceID=15","")</f>
        <v/>
      </c>
      <c r="K860" s="4" t="str">
        <f>HYPERLINK("http://141.218.60.56/~jnz1568/getInfo.php?workbook=03_02.xlsx&amp;sheet=A0&amp;row=860&amp;col=11&amp;number=&amp;sourceID=30","")</f>
        <v/>
      </c>
      <c r="L860" s="4" t="str">
        <f>HYPERLINK("http://141.218.60.56/~jnz1568/getInfo.php?workbook=03_02.xlsx&amp;sheet=A0&amp;row=860&amp;col=12&amp;number=0&amp;sourceID=30","0")</f>
        <v>0</v>
      </c>
      <c r="M860" s="4" t="str">
        <f>HYPERLINK("http://141.218.60.56/~jnz1568/getInfo.php?workbook=03_02.xlsx&amp;sheet=A0&amp;row=860&amp;col=13&amp;number=1e-14&amp;sourceID=30","1e-14")</f>
        <v>1e-14</v>
      </c>
      <c r="N860" s="4" t="str">
        <f>HYPERLINK("http://141.218.60.56/~jnz1568/getInfo.php?workbook=03_02.xlsx&amp;sheet=A0&amp;row=860&amp;col=14&amp;number=&amp;sourceID=30","")</f>
        <v/>
      </c>
    </row>
    <row r="861" spans="1:14">
      <c r="A861" s="3">
        <v>3</v>
      </c>
      <c r="B861" s="3">
        <v>2</v>
      </c>
      <c r="C861" s="3">
        <v>48</v>
      </c>
      <c r="D861" s="3">
        <v>42</v>
      </c>
      <c r="E861" s="3">
        <f>((1/(INDEX(E0!J$4:J$52,C861,1)-INDEX(E0!J$4:J$52,D861,1))))*100000000</f>
        <v>0</v>
      </c>
      <c r="F861" s="4" t="str">
        <f>HYPERLINK("http://141.218.60.56/~jnz1568/getInfo.php?workbook=03_02.xlsx&amp;sheet=A0&amp;row=861&amp;col=6&amp;number=&amp;sourceID=27","")</f>
        <v/>
      </c>
      <c r="G861" s="4" t="str">
        <f>HYPERLINK("http://141.218.60.56/~jnz1568/getInfo.php?workbook=03_02.xlsx&amp;sheet=A0&amp;row=861&amp;col=7&amp;number=&amp;sourceID=15","")</f>
        <v/>
      </c>
      <c r="H861" s="4" t="str">
        <f>HYPERLINK("http://141.218.60.56/~jnz1568/getInfo.php?workbook=03_02.xlsx&amp;sheet=A0&amp;row=861&amp;col=8&amp;number=&amp;sourceID=15","")</f>
        <v/>
      </c>
      <c r="I861" s="4" t="str">
        <f>HYPERLINK("http://141.218.60.56/~jnz1568/getInfo.php?workbook=03_02.xlsx&amp;sheet=A0&amp;row=861&amp;col=9&amp;number=&amp;sourceID=15","")</f>
        <v/>
      </c>
      <c r="J861" s="4" t="str">
        <f>HYPERLINK("http://141.218.60.56/~jnz1568/getInfo.php?workbook=03_02.xlsx&amp;sheet=A0&amp;row=861&amp;col=10&amp;number=&amp;sourceID=15","")</f>
        <v/>
      </c>
      <c r="K861" s="4" t="str">
        <f>HYPERLINK("http://141.218.60.56/~jnz1568/getInfo.php?workbook=03_02.xlsx&amp;sheet=A0&amp;row=861&amp;col=11&amp;number=&amp;sourceID=30","")</f>
        <v/>
      </c>
      <c r="L861" s="4" t="str">
        <f>HYPERLINK("http://141.218.60.56/~jnz1568/getInfo.php?workbook=03_02.xlsx&amp;sheet=A0&amp;row=861&amp;col=12&amp;number=0&amp;sourceID=30","0")</f>
        <v>0</v>
      </c>
      <c r="M861" s="4" t="str">
        <f>HYPERLINK("http://141.218.60.56/~jnz1568/getInfo.php?workbook=03_02.xlsx&amp;sheet=A0&amp;row=861&amp;col=13&amp;number=2e-15&amp;sourceID=30","2e-15")</f>
        <v>2e-15</v>
      </c>
      <c r="N861" s="4" t="str">
        <f>HYPERLINK("http://141.218.60.56/~jnz1568/getInfo.php?workbook=03_02.xlsx&amp;sheet=A0&amp;row=861&amp;col=14&amp;number=&amp;sourceID=30","")</f>
        <v/>
      </c>
    </row>
    <row r="862" spans="1:14">
      <c r="A862" s="3">
        <v>3</v>
      </c>
      <c r="B862" s="3">
        <v>2</v>
      </c>
      <c r="C862" s="3">
        <v>48</v>
      </c>
      <c r="D862" s="3">
        <v>43</v>
      </c>
      <c r="E862" s="3">
        <f>((1/(INDEX(E0!J$4:J$52,C862,1)-INDEX(E0!J$4:J$52,D862,1))))*100000000</f>
        <v>0</v>
      </c>
      <c r="F862" s="4" t="str">
        <f>HYPERLINK("http://141.218.60.56/~jnz1568/getInfo.php?workbook=03_02.xlsx&amp;sheet=A0&amp;row=862&amp;col=6&amp;number=&amp;sourceID=27","")</f>
        <v/>
      </c>
      <c r="G862" s="4" t="str">
        <f>HYPERLINK("http://141.218.60.56/~jnz1568/getInfo.php?workbook=03_02.xlsx&amp;sheet=A0&amp;row=862&amp;col=7&amp;number=&amp;sourceID=15","")</f>
        <v/>
      </c>
      <c r="H862" s="4" t="str">
        <f>HYPERLINK("http://141.218.60.56/~jnz1568/getInfo.php?workbook=03_02.xlsx&amp;sheet=A0&amp;row=862&amp;col=8&amp;number=&amp;sourceID=15","")</f>
        <v/>
      </c>
      <c r="I862" s="4" t="str">
        <f>HYPERLINK("http://141.218.60.56/~jnz1568/getInfo.php?workbook=03_02.xlsx&amp;sheet=A0&amp;row=862&amp;col=9&amp;number=&amp;sourceID=15","")</f>
        <v/>
      </c>
      <c r="J862" s="4" t="str">
        <f>HYPERLINK("http://141.218.60.56/~jnz1568/getInfo.php?workbook=03_02.xlsx&amp;sheet=A0&amp;row=862&amp;col=10&amp;number=&amp;sourceID=15","")</f>
        <v/>
      </c>
      <c r="K862" s="4" t="str">
        <f>HYPERLINK("http://141.218.60.56/~jnz1568/getInfo.php?workbook=03_02.xlsx&amp;sheet=A0&amp;row=862&amp;col=11&amp;number=&amp;sourceID=30","")</f>
        <v/>
      </c>
      <c r="L862" s="4" t="str">
        <f>HYPERLINK("http://141.218.60.56/~jnz1568/getInfo.php?workbook=03_02.xlsx&amp;sheet=A0&amp;row=862&amp;col=12&amp;number=0&amp;sourceID=30","0")</f>
        <v>0</v>
      </c>
      <c r="M862" s="4" t="str">
        <f>HYPERLINK("http://141.218.60.56/~jnz1568/getInfo.php?workbook=03_02.xlsx&amp;sheet=A0&amp;row=862&amp;col=13&amp;number=1.1e-14&amp;sourceID=30","1.1e-14")</f>
        <v>1.1e-14</v>
      </c>
      <c r="N862" s="4" t="str">
        <f>HYPERLINK("http://141.218.60.56/~jnz1568/getInfo.php?workbook=03_02.xlsx&amp;sheet=A0&amp;row=862&amp;col=14&amp;number=&amp;sourceID=30","")</f>
        <v/>
      </c>
    </row>
    <row r="863" spans="1:14">
      <c r="A863" s="3">
        <v>3</v>
      </c>
      <c r="B863" s="3">
        <v>2</v>
      </c>
      <c r="C863" s="3">
        <v>48</v>
      </c>
      <c r="D863" s="3">
        <v>44</v>
      </c>
      <c r="E863" s="3">
        <f>((1/(INDEX(E0!J$4:J$52,C863,1)-INDEX(E0!J$4:J$52,D863,1))))*100000000</f>
        <v>0</v>
      </c>
      <c r="F863" s="4" t="str">
        <f>HYPERLINK("http://141.218.60.56/~jnz1568/getInfo.php?workbook=03_02.xlsx&amp;sheet=A0&amp;row=863&amp;col=6&amp;number=&amp;sourceID=27","")</f>
        <v/>
      </c>
      <c r="G863" s="4" t="str">
        <f>HYPERLINK("http://141.218.60.56/~jnz1568/getInfo.php?workbook=03_02.xlsx&amp;sheet=A0&amp;row=863&amp;col=7&amp;number=&amp;sourceID=15","")</f>
        <v/>
      </c>
      <c r="H863" s="4" t="str">
        <f>HYPERLINK("http://141.218.60.56/~jnz1568/getInfo.php?workbook=03_02.xlsx&amp;sheet=A0&amp;row=863&amp;col=8&amp;number=&amp;sourceID=15","")</f>
        <v/>
      </c>
      <c r="I863" s="4" t="str">
        <f>HYPERLINK("http://141.218.60.56/~jnz1568/getInfo.php?workbook=03_02.xlsx&amp;sheet=A0&amp;row=863&amp;col=9&amp;number=&amp;sourceID=15","")</f>
        <v/>
      </c>
      <c r="J863" s="4" t="str">
        <f>HYPERLINK("http://141.218.60.56/~jnz1568/getInfo.php?workbook=03_02.xlsx&amp;sheet=A0&amp;row=863&amp;col=10&amp;number=&amp;sourceID=15","")</f>
        <v/>
      </c>
      <c r="K863" s="4" t="str">
        <f>HYPERLINK("http://141.218.60.56/~jnz1568/getInfo.php?workbook=03_02.xlsx&amp;sheet=A0&amp;row=863&amp;col=11&amp;number=8.251e-12&amp;sourceID=30","8.251e-12")</f>
        <v>8.251e-12</v>
      </c>
      <c r="L863" s="4" t="str">
        <f>HYPERLINK("http://141.218.60.56/~jnz1568/getInfo.php?workbook=03_02.xlsx&amp;sheet=A0&amp;row=863&amp;col=12&amp;number=&amp;sourceID=30","")</f>
        <v/>
      </c>
      <c r="M863" s="4" t="str">
        <f>HYPERLINK("http://141.218.60.56/~jnz1568/getInfo.php?workbook=03_02.xlsx&amp;sheet=A0&amp;row=863&amp;col=13&amp;number=&amp;sourceID=30","")</f>
        <v/>
      </c>
      <c r="N863" s="4" t="str">
        <f>HYPERLINK("http://141.218.60.56/~jnz1568/getInfo.php?workbook=03_02.xlsx&amp;sheet=A0&amp;row=863&amp;col=14&amp;number=0&amp;sourceID=30","0")</f>
        <v>0</v>
      </c>
    </row>
    <row r="864" spans="1:14">
      <c r="A864" s="3">
        <v>3</v>
      </c>
      <c r="B864" s="3">
        <v>2</v>
      </c>
      <c r="C864" s="3">
        <v>48</v>
      </c>
      <c r="D864" s="3">
        <v>45</v>
      </c>
      <c r="E864" s="3">
        <f>((1/(INDEX(E0!J$4:J$52,C864,1)-INDEX(E0!J$4:J$52,D864,1))))*100000000</f>
        <v>0</v>
      </c>
      <c r="F864" s="4" t="str">
        <f>HYPERLINK("http://141.218.60.56/~jnz1568/getInfo.php?workbook=03_02.xlsx&amp;sheet=A0&amp;row=864&amp;col=6&amp;number=&amp;sourceID=27","")</f>
        <v/>
      </c>
      <c r="G864" s="4" t="str">
        <f>HYPERLINK("http://141.218.60.56/~jnz1568/getInfo.php?workbook=03_02.xlsx&amp;sheet=A0&amp;row=864&amp;col=7&amp;number=&amp;sourceID=15","")</f>
        <v/>
      </c>
      <c r="H864" s="4" t="str">
        <f>HYPERLINK("http://141.218.60.56/~jnz1568/getInfo.php?workbook=03_02.xlsx&amp;sheet=A0&amp;row=864&amp;col=8&amp;number=&amp;sourceID=15","")</f>
        <v/>
      </c>
      <c r="I864" s="4" t="str">
        <f>HYPERLINK("http://141.218.60.56/~jnz1568/getInfo.php?workbook=03_02.xlsx&amp;sheet=A0&amp;row=864&amp;col=9&amp;number=&amp;sourceID=15","")</f>
        <v/>
      </c>
      <c r="J864" s="4" t="str">
        <f>HYPERLINK("http://141.218.60.56/~jnz1568/getInfo.php?workbook=03_02.xlsx&amp;sheet=A0&amp;row=864&amp;col=10&amp;number=&amp;sourceID=15","")</f>
        <v/>
      </c>
      <c r="K864" s="4" t="str">
        <f>HYPERLINK("http://141.218.60.56/~jnz1568/getInfo.php?workbook=03_02.xlsx&amp;sheet=A0&amp;row=864&amp;col=11&amp;number=4.95e-09&amp;sourceID=30","4.95e-09")</f>
        <v>4.95e-09</v>
      </c>
      <c r="L864" s="4" t="str">
        <f>HYPERLINK("http://141.218.60.56/~jnz1568/getInfo.php?workbook=03_02.xlsx&amp;sheet=A0&amp;row=864&amp;col=12&amp;number=&amp;sourceID=30","")</f>
        <v/>
      </c>
      <c r="M864" s="4" t="str">
        <f>HYPERLINK("http://141.218.60.56/~jnz1568/getInfo.php?workbook=03_02.xlsx&amp;sheet=A0&amp;row=864&amp;col=13&amp;number=&amp;sourceID=30","")</f>
        <v/>
      </c>
      <c r="N864" s="4" t="str">
        <f>HYPERLINK("http://141.218.60.56/~jnz1568/getInfo.php?workbook=03_02.xlsx&amp;sheet=A0&amp;row=864&amp;col=14&amp;number=0&amp;sourceID=30","0")</f>
        <v>0</v>
      </c>
    </row>
    <row r="865" spans="1:14">
      <c r="A865" s="3">
        <v>3</v>
      </c>
      <c r="B865" s="3">
        <v>2</v>
      </c>
      <c r="C865" s="3">
        <v>48</v>
      </c>
      <c r="D865" s="3">
        <v>46</v>
      </c>
      <c r="E865" s="3">
        <f>((1/(INDEX(E0!J$4:J$52,C865,1)-INDEX(E0!J$4:J$52,D865,1))))*100000000</f>
        <v>0</v>
      </c>
      <c r="F865" s="4" t="str">
        <f>HYPERLINK("http://141.218.60.56/~jnz1568/getInfo.php?workbook=03_02.xlsx&amp;sheet=A0&amp;row=865&amp;col=6&amp;number=&amp;sourceID=27","")</f>
        <v/>
      </c>
      <c r="G865" s="4" t="str">
        <f>HYPERLINK("http://141.218.60.56/~jnz1568/getInfo.php?workbook=03_02.xlsx&amp;sheet=A0&amp;row=865&amp;col=7&amp;number=&amp;sourceID=15","")</f>
        <v/>
      </c>
      <c r="H865" s="4" t="str">
        <f>HYPERLINK("http://141.218.60.56/~jnz1568/getInfo.php?workbook=03_02.xlsx&amp;sheet=A0&amp;row=865&amp;col=8&amp;number=&amp;sourceID=15","")</f>
        <v/>
      </c>
      <c r="I865" s="4" t="str">
        <f>HYPERLINK("http://141.218.60.56/~jnz1568/getInfo.php?workbook=03_02.xlsx&amp;sheet=A0&amp;row=865&amp;col=9&amp;number=&amp;sourceID=15","")</f>
        <v/>
      </c>
      <c r="J865" s="4" t="str">
        <f>HYPERLINK("http://141.218.60.56/~jnz1568/getInfo.php?workbook=03_02.xlsx&amp;sheet=A0&amp;row=865&amp;col=10&amp;number=&amp;sourceID=15","")</f>
        <v/>
      </c>
      <c r="K865" s="4" t="str">
        <f>HYPERLINK("http://141.218.60.56/~jnz1568/getInfo.php?workbook=03_02.xlsx&amp;sheet=A0&amp;row=865&amp;col=11&amp;number=&amp;sourceID=30","")</f>
        <v/>
      </c>
      <c r="L865" s="4" t="str">
        <f>HYPERLINK("http://141.218.60.56/~jnz1568/getInfo.php?workbook=03_02.xlsx&amp;sheet=A0&amp;row=865&amp;col=12&amp;number=&amp;sourceID=30","")</f>
        <v/>
      </c>
      <c r="M865" s="4" t="str">
        <f>HYPERLINK("http://141.218.60.56/~jnz1568/getInfo.php?workbook=03_02.xlsx&amp;sheet=A0&amp;row=865&amp;col=13&amp;number=&amp;sourceID=30","")</f>
        <v/>
      </c>
      <c r="N865" s="4" t="str">
        <f>HYPERLINK("http://141.218.60.56/~jnz1568/getInfo.php?workbook=03_02.xlsx&amp;sheet=A0&amp;row=865&amp;col=14&amp;number=0&amp;sourceID=30","0")</f>
        <v>0</v>
      </c>
    </row>
    <row r="866" spans="1:14">
      <c r="A866" s="3">
        <v>3</v>
      </c>
      <c r="B866" s="3">
        <v>2</v>
      </c>
      <c r="C866" s="3">
        <v>48</v>
      </c>
      <c r="D866" s="3">
        <v>47</v>
      </c>
      <c r="E866" s="3">
        <f>((1/(INDEX(E0!J$4:J$52,C866,1)-INDEX(E0!J$4:J$52,D866,1))))*100000000</f>
        <v>0</v>
      </c>
      <c r="F866" s="4" t="str">
        <f>HYPERLINK("http://141.218.60.56/~jnz1568/getInfo.php?workbook=03_02.xlsx&amp;sheet=A0&amp;row=866&amp;col=6&amp;number=&amp;sourceID=27","")</f>
        <v/>
      </c>
      <c r="G866" s="4" t="str">
        <f>HYPERLINK("http://141.218.60.56/~jnz1568/getInfo.php?workbook=03_02.xlsx&amp;sheet=A0&amp;row=866&amp;col=7&amp;number=&amp;sourceID=15","")</f>
        <v/>
      </c>
      <c r="H866" s="4" t="str">
        <f>HYPERLINK("http://141.218.60.56/~jnz1568/getInfo.php?workbook=03_02.xlsx&amp;sheet=A0&amp;row=866&amp;col=8&amp;number=&amp;sourceID=15","")</f>
        <v/>
      </c>
      <c r="I866" s="4" t="str">
        <f>HYPERLINK("http://141.218.60.56/~jnz1568/getInfo.php?workbook=03_02.xlsx&amp;sheet=A0&amp;row=866&amp;col=9&amp;number=&amp;sourceID=15","")</f>
        <v/>
      </c>
      <c r="J866" s="4" t="str">
        <f>HYPERLINK("http://141.218.60.56/~jnz1568/getInfo.php?workbook=03_02.xlsx&amp;sheet=A0&amp;row=866&amp;col=10&amp;number=&amp;sourceID=15","")</f>
        <v/>
      </c>
      <c r="K866" s="4" t="str">
        <f>HYPERLINK("http://141.218.60.56/~jnz1568/getInfo.php?workbook=03_02.xlsx&amp;sheet=A0&amp;row=866&amp;col=11&amp;number=2.277e-10&amp;sourceID=30","2.277e-10")</f>
        <v>2.277e-10</v>
      </c>
      <c r="L866" s="4" t="str">
        <f>HYPERLINK("http://141.218.60.56/~jnz1568/getInfo.php?workbook=03_02.xlsx&amp;sheet=A0&amp;row=866&amp;col=12&amp;number=&amp;sourceID=30","")</f>
        <v/>
      </c>
      <c r="M866" s="4" t="str">
        <f>HYPERLINK("http://141.218.60.56/~jnz1568/getInfo.php?workbook=03_02.xlsx&amp;sheet=A0&amp;row=866&amp;col=13&amp;number=&amp;sourceID=30","")</f>
        <v/>
      </c>
      <c r="N866" s="4" t="str">
        <f>HYPERLINK("http://141.218.60.56/~jnz1568/getInfo.php?workbook=03_02.xlsx&amp;sheet=A0&amp;row=866&amp;col=14&amp;number=0&amp;sourceID=30","0")</f>
        <v>0</v>
      </c>
    </row>
    <row r="867" spans="1:14">
      <c r="A867" s="3">
        <v>3</v>
      </c>
      <c r="B867" s="3">
        <v>2</v>
      </c>
      <c r="C867" s="3">
        <v>49</v>
      </c>
      <c r="D867" s="3">
        <v>1</v>
      </c>
      <c r="E867" s="3">
        <f>((1/(INDEX(E0!J$4:J$52,C867,1)-INDEX(E0!J$4:J$52,D867,1))))*100000000</f>
        <v>0</v>
      </c>
      <c r="F867" s="4" t="str">
        <f>HYPERLINK("http://141.218.60.56/~jnz1568/getInfo.php?workbook=03_02.xlsx&amp;sheet=A0&amp;row=867&amp;col=6&amp;number=&amp;sourceID=27","")</f>
        <v/>
      </c>
      <c r="G867" s="4" t="str">
        <f>HYPERLINK("http://141.218.60.56/~jnz1568/getInfo.php?workbook=03_02.xlsx&amp;sheet=A0&amp;row=867&amp;col=7&amp;number=1694400000&amp;sourceID=15","1694400000")</f>
        <v>1694400000</v>
      </c>
      <c r="H867" s="4" t="str">
        <f>HYPERLINK("http://141.218.60.56/~jnz1568/getInfo.php?workbook=03_02.xlsx&amp;sheet=A0&amp;row=867&amp;col=8&amp;number=&amp;sourceID=15","")</f>
        <v/>
      </c>
      <c r="I867" s="4" t="str">
        <f>HYPERLINK("http://141.218.60.56/~jnz1568/getInfo.php?workbook=03_02.xlsx&amp;sheet=A0&amp;row=867&amp;col=9&amp;number=&amp;sourceID=15","")</f>
        <v/>
      </c>
      <c r="J867" s="4" t="str">
        <f>HYPERLINK("http://141.218.60.56/~jnz1568/getInfo.php?workbook=03_02.xlsx&amp;sheet=A0&amp;row=867&amp;col=10&amp;number=&amp;sourceID=15","")</f>
        <v/>
      </c>
      <c r="K867" s="4" t="str">
        <f>HYPERLINK("http://141.218.60.56/~jnz1568/getInfo.php?workbook=03_02.xlsx&amp;sheet=A0&amp;row=867&amp;col=11&amp;number=16470000000&amp;sourceID=30","16470000000")</f>
        <v>16470000000</v>
      </c>
      <c r="L867" s="4" t="str">
        <f>HYPERLINK("http://141.218.60.56/~jnz1568/getInfo.php?workbook=03_02.xlsx&amp;sheet=A0&amp;row=867&amp;col=12&amp;number=&amp;sourceID=30","")</f>
        <v/>
      </c>
      <c r="M867" s="4" t="str">
        <f>HYPERLINK("http://141.218.60.56/~jnz1568/getInfo.php?workbook=03_02.xlsx&amp;sheet=A0&amp;row=867&amp;col=13&amp;number=&amp;sourceID=30","")</f>
        <v/>
      </c>
      <c r="N867" s="4" t="str">
        <f>HYPERLINK("http://141.218.60.56/~jnz1568/getInfo.php?workbook=03_02.xlsx&amp;sheet=A0&amp;row=867&amp;col=14&amp;number=&amp;sourceID=30","")</f>
        <v/>
      </c>
    </row>
    <row r="868" spans="1:14">
      <c r="A868" s="3">
        <v>3</v>
      </c>
      <c r="B868" s="3">
        <v>2</v>
      </c>
      <c r="C868" s="3">
        <v>49</v>
      </c>
      <c r="D868" s="3">
        <v>2</v>
      </c>
      <c r="E868" s="3">
        <f>((1/(INDEX(E0!J$4:J$52,C868,1)-INDEX(E0!J$4:J$52,D868,1))))*100000000</f>
        <v>0</v>
      </c>
      <c r="F868" s="4" t="str">
        <f>HYPERLINK("http://141.218.60.56/~jnz1568/getInfo.php?workbook=03_02.xlsx&amp;sheet=A0&amp;row=868&amp;col=6&amp;number=&amp;sourceID=27","")</f>
        <v/>
      </c>
      <c r="G868" s="4" t="str">
        <f>HYPERLINK("http://141.218.60.56/~jnz1568/getInfo.php?workbook=03_02.xlsx&amp;sheet=A0&amp;row=868&amp;col=7&amp;number=&amp;sourceID=15","")</f>
        <v/>
      </c>
      <c r="H868" s="4" t="str">
        <f>HYPERLINK("http://141.218.60.56/~jnz1568/getInfo.php?workbook=03_02.xlsx&amp;sheet=A0&amp;row=868&amp;col=8&amp;number=&amp;sourceID=15","")</f>
        <v/>
      </c>
      <c r="I868" s="4" t="str">
        <f>HYPERLINK("http://141.218.60.56/~jnz1568/getInfo.php?workbook=03_02.xlsx&amp;sheet=A0&amp;row=868&amp;col=9&amp;number=&amp;sourceID=15","")</f>
        <v/>
      </c>
      <c r="J868" s="4" t="str">
        <f>HYPERLINK("http://141.218.60.56/~jnz1568/getInfo.php?workbook=03_02.xlsx&amp;sheet=A0&amp;row=868&amp;col=10&amp;number=&amp;sourceID=15","")</f>
        <v/>
      </c>
      <c r="K868" s="4" t="str">
        <f>HYPERLINK("http://141.218.60.56/~jnz1568/getInfo.php?workbook=03_02.xlsx&amp;sheet=A0&amp;row=868&amp;col=11&amp;number=8.571&amp;sourceID=30","8.571")</f>
        <v>8.571</v>
      </c>
      <c r="L868" s="4" t="str">
        <f>HYPERLINK("http://141.218.60.56/~jnz1568/getInfo.php?workbook=03_02.xlsx&amp;sheet=A0&amp;row=868&amp;col=12&amp;number=&amp;sourceID=30","")</f>
        <v/>
      </c>
      <c r="M868" s="4" t="str">
        <f>HYPERLINK("http://141.218.60.56/~jnz1568/getInfo.php?workbook=03_02.xlsx&amp;sheet=A0&amp;row=868&amp;col=13&amp;number=&amp;sourceID=30","")</f>
        <v/>
      </c>
      <c r="N868" s="4" t="str">
        <f>HYPERLINK("http://141.218.60.56/~jnz1568/getInfo.php?workbook=03_02.xlsx&amp;sheet=A0&amp;row=868&amp;col=14&amp;number=0.003932&amp;sourceID=30","0.003932")</f>
        <v>0.003932</v>
      </c>
    </row>
    <row r="869" spans="1:14">
      <c r="A869" s="3">
        <v>3</v>
      </c>
      <c r="B869" s="3">
        <v>2</v>
      </c>
      <c r="C869" s="3">
        <v>49</v>
      </c>
      <c r="D869" s="3">
        <v>3</v>
      </c>
      <c r="E869" s="3">
        <f>((1/(INDEX(E0!J$4:J$52,C869,1)-INDEX(E0!J$4:J$52,D869,1))))*100000000</f>
        <v>0</v>
      </c>
      <c r="F869" s="4" t="str">
        <f>HYPERLINK("http://141.218.60.56/~jnz1568/getInfo.php?workbook=03_02.xlsx&amp;sheet=A0&amp;row=869&amp;col=6&amp;number=&amp;sourceID=27","")</f>
        <v/>
      </c>
      <c r="G869" s="4" t="str">
        <f>HYPERLINK("http://141.218.60.56/~jnz1568/getInfo.php?workbook=03_02.xlsx&amp;sheet=A0&amp;row=869&amp;col=7&amp;number=71912000&amp;sourceID=15","71912000")</f>
        <v>71912000</v>
      </c>
      <c r="H869" s="4" t="str">
        <f>HYPERLINK("http://141.218.60.56/~jnz1568/getInfo.php?workbook=03_02.xlsx&amp;sheet=A0&amp;row=869&amp;col=8&amp;number=&amp;sourceID=15","")</f>
        <v/>
      </c>
      <c r="I869" s="4" t="str">
        <f>HYPERLINK("http://141.218.60.56/~jnz1568/getInfo.php?workbook=03_02.xlsx&amp;sheet=A0&amp;row=869&amp;col=9&amp;number=&amp;sourceID=15","")</f>
        <v/>
      </c>
      <c r="J869" s="4" t="str">
        <f>HYPERLINK("http://141.218.60.56/~jnz1568/getInfo.php?workbook=03_02.xlsx&amp;sheet=A0&amp;row=869&amp;col=10&amp;number=&amp;sourceID=15","")</f>
        <v/>
      </c>
      <c r="K869" s="4" t="str">
        <f>HYPERLINK("http://141.218.60.56/~jnz1568/getInfo.php?workbook=03_02.xlsx&amp;sheet=A0&amp;row=869&amp;col=11&amp;number=330200000&amp;sourceID=30","330200000")</f>
        <v>330200000</v>
      </c>
      <c r="L869" s="4" t="str">
        <f>HYPERLINK("http://141.218.60.56/~jnz1568/getInfo.php?workbook=03_02.xlsx&amp;sheet=A0&amp;row=869&amp;col=12&amp;number=&amp;sourceID=30","")</f>
        <v/>
      </c>
      <c r="M869" s="4" t="str">
        <f>HYPERLINK("http://141.218.60.56/~jnz1568/getInfo.php?workbook=03_02.xlsx&amp;sheet=A0&amp;row=869&amp;col=13&amp;number=&amp;sourceID=30","")</f>
        <v/>
      </c>
      <c r="N869" s="4" t="str">
        <f>HYPERLINK("http://141.218.60.56/~jnz1568/getInfo.php?workbook=03_02.xlsx&amp;sheet=A0&amp;row=869&amp;col=14&amp;number=&amp;sourceID=30","")</f>
        <v/>
      </c>
    </row>
    <row r="870" spans="1:14">
      <c r="A870" s="3">
        <v>3</v>
      </c>
      <c r="B870" s="3">
        <v>2</v>
      </c>
      <c r="C870" s="3">
        <v>49</v>
      </c>
      <c r="D870" s="3">
        <v>4</v>
      </c>
      <c r="E870" s="3">
        <f>((1/(INDEX(E0!J$4:J$52,C870,1)-INDEX(E0!J$4:J$52,D870,1))))*100000000</f>
        <v>0</v>
      </c>
      <c r="F870" s="4" t="str">
        <f>HYPERLINK("http://141.218.60.56/~jnz1568/getInfo.php?workbook=03_02.xlsx&amp;sheet=A0&amp;row=870&amp;col=6&amp;number=&amp;sourceID=27","")</f>
        <v/>
      </c>
      <c r="G870" s="4" t="str">
        <f>HYPERLINK("http://141.218.60.56/~jnz1568/getInfo.php?workbook=03_02.xlsx&amp;sheet=A0&amp;row=870&amp;col=7&amp;number=&amp;sourceID=15","")</f>
        <v/>
      </c>
      <c r="H870" s="4" t="str">
        <f>HYPERLINK("http://141.218.60.56/~jnz1568/getInfo.php?workbook=03_02.xlsx&amp;sheet=A0&amp;row=870&amp;col=8&amp;number=&amp;sourceID=15","")</f>
        <v/>
      </c>
      <c r="I870" s="4" t="str">
        <f>HYPERLINK("http://141.218.60.56/~jnz1568/getInfo.php?workbook=03_02.xlsx&amp;sheet=A0&amp;row=870&amp;col=9&amp;number=&amp;sourceID=15","")</f>
        <v/>
      </c>
      <c r="J870" s="4" t="str">
        <f>HYPERLINK("http://141.218.60.56/~jnz1568/getInfo.php?workbook=03_02.xlsx&amp;sheet=A0&amp;row=870&amp;col=10&amp;number=&amp;sourceID=15","")</f>
        <v/>
      </c>
      <c r="K870" s="4" t="str">
        <f>HYPERLINK("http://141.218.60.56/~jnz1568/getInfo.php?workbook=03_02.xlsx&amp;sheet=A0&amp;row=870&amp;col=11&amp;number=&amp;sourceID=30","")</f>
        <v/>
      </c>
      <c r="L870" s="4" t="str">
        <f>HYPERLINK("http://141.218.60.56/~jnz1568/getInfo.php?workbook=03_02.xlsx&amp;sheet=A0&amp;row=870&amp;col=12&amp;number=0.001788&amp;sourceID=30","0.001788")</f>
        <v>0.001788</v>
      </c>
      <c r="M870" s="4" t="str">
        <f>HYPERLINK("http://141.218.60.56/~jnz1568/getInfo.php?workbook=03_02.xlsx&amp;sheet=A0&amp;row=870&amp;col=13&amp;number=2.696e-06&amp;sourceID=30","2.696e-06")</f>
        <v>2.696e-06</v>
      </c>
      <c r="N870" s="4" t="str">
        <f>HYPERLINK("http://141.218.60.56/~jnz1568/getInfo.php?workbook=03_02.xlsx&amp;sheet=A0&amp;row=870&amp;col=14&amp;number=&amp;sourceID=30","")</f>
        <v/>
      </c>
    </row>
    <row r="871" spans="1:14">
      <c r="A871" s="3">
        <v>3</v>
      </c>
      <c r="B871" s="3">
        <v>2</v>
      </c>
      <c r="C871" s="3">
        <v>49</v>
      </c>
      <c r="D871" s="3">
        <v>5</v>
      </c>
      <c r="E871" s="3">
        <f>((1/(INDEX(E0!J$4:J$52,C871,1)-INDEX(E0!J$4:J$52,D871,1))))*100000000</f>
        <v>0</v>
      </c>
      <c r="F871" s="4" t="str">
        <f>HYPERLINK("http://141.218.60.56/~jnz1568/getInfo.php?workbook=03_02.xlsx&amp;sheet=A0&amp;row=871&amp;col=6&amp;number=&amp;sourceID=27","")</f>
        <v/>
      </c>
      <c r="G871" s="4" t="str">
        <f>HYPERLINK("http://141.218.60.56/~jnz1568/getInfo.php?workbook=03_02.xlsx&amp;sheet=A0&amp;row=871&amp;col=7&amp;number=&amp;sourceID=15","")</f>
        <v/>
      </c>
      <c r="H871" s="4" t="str">
        <f>HYPERLINK("http://141.218.60.56/~jnz1568/getInfo.php?workbook=03_02.xlsx&amp;sheet=A0&amp;row=871&amp;col=8&amp;number=&amp;sourceID=15","")</f>
        <v/>
      </c>
      <c r="I871" s="4" t="str">
        <f>HYPERLINK("http://141.218.60.56/~jnz1568/getInfo.php?workbook=03_02.xlsx&amp;sheet=A0&amp;row=871&amp;col=9&amp;number=&amp;sourceID=15","")</f>
        <v/>
      </c>
      <c r="J871" s="4" t="str">
        <f>HYPERLINK("http://141.218.60.56/~jnz1568/getInfo.php?workbook=03_02.xlsx&amp;sheet=A0&amp;row=871&amp;col=10&amp;number=&amp;sourceID=15","")</f>
        <v/>
      </c>
      <c r="K871" s="4" t="str">
        <f>HYPERLINK("http://141.218.60.56/~jnz1568/getInfo.php?workbook=03_02.xlsx&amp;sheet=A0&amp;row=871&amp;col=11&amp;number=&amp;sourceID=30","")</f>
        <v/>
      </c>
      <c r="L871" s="4" t="str">
        <f>HYPERLINK("http://141.218.60.56/~jnz1568/getInfo.php?workbook=03_02.xlsx&amp;sheet=A0&amp;row=871&amp;col=12&amp;number=4.899e-06&amp;sourceID=30","4.899e-06")</f>
        <v>4.899e-06</v>
      </c>
      <c r="M871" s="4" t="str">
        <f>HYPERLINK("http://141.218.60.56/~jnz1568/getInfo.php?workbook=03_02.xlsx&amp;sheet=A0&amp;row=871&amp;col=13&amp;number=1.039e-05&amp;sourceID=30","1.039e-05")</f>
        <v>1.039e-05</v>
      </c>
      <c r="N871" s="4" t="str">
        <f>HYPERLINK("http://141.218.60.56/~jnz1568/getInfo.php?workbook=03_02.xlsx&amp;sheet=A0&amp;row=871&amp;col=14&amp;number=&amp;sourceID=30","")</f>
        <v/>
      </c>
    </row>
    <row r="872" spans="1:14">
      <c r="A872" s="3">
        <v>3</v>
      </c>
      <c r="B872" s="3">
        <v>2</v>
      </c>
      <c r="C872" s="3">
        <v>49</v>
      </c>
      <c r="D872" s="3">
        <v>6</v>
      </c>
      <c r="E872" s="3">
        <f>((1/(INDEX(E0!J$4:J$52,C872,1)-INDEX(E0!J$4:J$52,D872,1))))*100000000</f>
        <v>0</v>
      </c>
      <c r="F872" s="4" t="str">
        <f>HYPERLINK("http://141.218.60.56/~jnz1568/getInfo.php?workbook=03_02.xlsx&amp;sheet=A0&amp;row=872&amp;col=6&amp;number=&amp;sourceID=27","")</f>
        <v/>
      </c>
      <c r="G872" s="4" t="str">
        <f>HYPERLINK("http://141.218.60.56/~jnz1568/getInfo.php?workbook=03_02.xlsx&amp;sheet=A0&amp;row=872&amp;col=7&amp;number=&amp;sourceID=15","")</f>
        <v/>
      </c>
      <c r="H872" s="4" t="str">
        <f>HYPERLINK("http://141.218.60.56/~jnz1568/getInfo.php?workbook=03_02.xlsx&amp;sheet=A0&amp;row=872&amp;col=8&amp;number=&amp;sourceID=15","")</f>
        <v/>
      </c>
      <c r="I872" s="4" t="str">
        <f>HYPERLINK("http://141.218.60.56/~jnz1568/getInfo.php?workbook=03_02.xlsx&amp;sheet=A0&amp;row=872&amp;col=9&amp;number=&amp;sourceID=15","")</f>
        <v/>
      </c>
      <c r="J872" s="4" t="str">
        <f>HYPERLINK("http://141.218.60.56/~jnz1568/getInfo.php?workbook=03_02.xlsx&amp;sheet=A0&amp;row=872&amp;col=10&amp;number=&amp;sourceID=15","")</f>
        <v/>
      </c>
      <c r="K872" s="4" t="str">
        <f>HYPERLINK("http://141.218.60.56/~jnz1568/getInfo.php?workbook=03_02.xlsx&amp;sheet=A0&amp;row=872&amp;col=11&amp;number=&amp;sourceID=30","")</f>
        <v/>
      </c>
      <c r="L872" s="4" t="str">
        <f>HYPERLINK("http://141.218.60.56/~jnz1568/getInfo.php?workbook=03_02.xlsx&amp;sheet=A0&amp;row=872&amp;col=12&amp;number=&amp;sourceID=30","")</f>
        <v/>
      </c>
      <c r="M872" s="4" t="str">
        <f>HYPERLINK("http://141.218.60.56/~jnz1568/getInfo.php?workbook=03_02.xlsx&amp;sheet=A0&amp;row=872&amp;col=13&amp;number=4.455e-06&amp;sourceID=30","4.455e-06")</f>
        <v>4.455e-06</v>
      </c>
      <c r="N872" s="4" t="str">
        <f>HYPERLINK("http://141.218.60.56/~jnz1568/getInfo.php?workbook=03_02.xlsx&amp;sheet=A0&amp;row=872&amp;col=14&amp;number=&amp;sourceID=30","")</f>
        <v/>
      </c>
    </row>
    <row r="873" spans="1:14">
      <c r="A873" s="3">
        <v>3</v>
      </c>
      <c r="B873" s="3">
        <v>2</v>
      </c>
      <c r="C873" s="3">
        <v>49</v>
      </c>
      <c r="D873" s="3">
        <v>7</v>
      </c>
      <c r="E873" s="3">
        <f>((1/(INDEX(E0!J$4:J$52,C873,1)-INDEX(E0!J$4:J$52,D873,1))))*100000000</f>
        <v>0</v>
      </c>
      <c r="F873" s="4" t="str">
        <f>HYPERLINK("http://141.218.60.56/~jnz1568/getInfo.php?workbook=03_02.xlsx&amp;sheet=A0&amp;row=873&amp;col=6&amp;number=&amp;sourceID=27","")</f>
        <v/>
      </c>
      <c r="G873" s="4" t="str">
        <f>HYPERLINK("http://141.218.60.56/~jnz1568/getInfo.php?workbook=03_02.xlsx&amp;sheet=A0&amp;row=873&amp;col=7&amp;number=&amp;sourceID=15","")</f>
        <v/>
      </c>
      <c r="H873" s="4" t="str">
        <f>HYPERLINK("http://141.218.60.56/~jnz1568/getInfo.php?workbook=03_02.xlsx&amp;sheet=A0&amp;row=873&amp;col=8&amp;number=334.2&amp;sourceID=15","334.2")</f>
        <v>334.2</v>
      </c>
      <c r="I873" s="4" t="str">
        <f>HYPERLINK("http://141.218.60.56/~jnz1568/getInfo.php?workbook=03_02.xlsx&amp;sheet=A0&amp;row=873&amp;col=9&amp;number=&amp;sourceID=15","")</f>
        <v/>
      </c>
      <c r="J873" s="4" t="str">
        <f>HYPERLINK("http://141.218.60.56/~jnz1568/getInfo.php?workbook=03_02.xlsx&amp;sheet=A0&amp;row=873&amp;col=10&amp;number=&amp;sourceID=15","")</f>
        <v/>
      </c>
      <c r="K873" s="4" t="str">
        <f>HYPERLINK("http://141.218.60.56/~jnz1568/getInfo.php?workbook=03_02.xlsx&amp;sheet=A0&amp;row=873&amp;col=11&amp;number=&amp;sourceID=30","")</f>
        <v/>
      </c>
      <c r="L873" s="4" t="str">
        <f>HYPERLINK("http://141.218.60.56/~jnz1568/getInfo.php?workbook=03_02.xlsx&amp;sheet=A0&amp;row=873&amp;col=12&amp;number=5982&amp;sourceID=30","5982")</f>
        <v>5982</v>
      </c>
      <c r="M873" s="4" t="str">
        <f>HYPERLINK("http://141.218.60.56/~jnz1568/getInfo.php?workbook=03_02.xlsx&amp;sheet=A0&amp;row=873&amp;col=13&amp;number=1.852e-07&amp;sourceID=30","1.852e-07")</f>
        <v>1.852e-07</v>
      </c>
      <c r="N873" s="4" t="str">
        <f>HYPERLINK("http://141.218.60.56/~jnz1568/getInfo.php?workbook=03_02.xlsx&amp;sheet=A0&amp;row=873&amp;col=14&amp;number=&amp;sourceID=30","")</f>
        <v/>
      </c>
    </row>
    <row r="874" spans="1:14">
      <c r="A874" s="3">
        <v>3</v>
      </c>
      <c r="B874" s="3">
        <v>2</v>
      </c>
      <c r="C874" s="3">
        <v>49</v>
      </c>
      <c r="D874" s="3">
        <v>8</v>
      </c>
      <c r="E874" s="3">
        <f>((1/(INDEX(E0!J$4:J$52,C874,1)-INDEX(E0!J$4:J$52,D874,1))))*100000000</f>
        <v>0</v>
      </c>
      <c r="F874" s="4" t="str">
        <f>HYPERLINK("http://141.218.60.56/~jnz1568/getInfo.php?workbook=03_02.xlsx&amp;sheet=A0&amp;row=874&amp;col=6&amp;number=&amp;sourceID=27","")</f>
        <v/>
      </c>
      <c r="G874" s="4" t="str">
        <f>HYPERLINK("http://141.218.60.56/~jnz1568/getInfo.php?workbook=03_02.xlsx&amp;sheet=A0&amp;row=874&amp;col=7&amp;number=&amp;sourceID=15","")</f>
        <v/>
      </c>
      <c r="H874" s="4" t="str">
        <f>HYPERLINK("http://141.218.60.56/~jnz1568/getInfo.php?workbook=03_02.xlsx&amp;sheet=A0&amp;row=874&amp;col=8&amp;number=&amp;sourceID=15","")</f>
        <v/>
      </c>
      <c r="I874" s="4" t="str">
        <f>HYPERLINK("http://141.218.60.56/~jnz1568/getInfo.php?workbook=03_02.xlsx&amp;sheet=A0&amp;row=874&amp;col=9&amp;number=&amp;sourceID=15","")</f>
        <v/>
      </c>
      <c r="J874" s="4" t="str">
        <f>HYPERLINK("http://141.218.60.56/~jnz1568/getInfo.php?workbook=03_02.xlsx&amp;sheet=A0&amp;row=874&amp;col=10&amp;number=&amp;sourceID=15","")</f>
        <v/>
      </c>
      <c r="K874" s="4" t="str">
        <f>HYPERLINK("http://141.218.60.56/~jnz1568/getInfo.php?workbook=03_02.xlsx&amp;sheet=A0&amp;row=874&amp;col=11&amp;number=2.458&amp;sourceID=30","2.458")</f>
        <v>2.458</v>
      </c>
      <c r="L874" s="4" t="str">
        <f>HYPERLINK("http://141.218.60.56/~jnz1568/getInfo.php?workbook=03_02.xlsx&amp;sheet=A0&amp;row=874&amp;col=12&amp;number=&amp;sourceID=30","")</f>
        <v/>
      </c>
      <c r="M874" s="4" t="str">
        <f>HYPERLINK("http://141.218.60.56/~jnz1568/getInfo.php?workbook=03_02.xlsx&amp;sheet=A0&amp;row=874&amp;col=13&amp;number=&amp;sourceID=30","")</f>
        <v/>
      </c>
      <c r="N874" s="4" t="str">
        <f>HYPERLINK("http://141.218.60.56/~jnz1568/getInfo.php?workbook=03_02.xlsx&amp;sheet=A0&amp;row=874&amp;col=14&amp;number=0.0001006&amp;sourceID=30","0.0001006")</f>
        <v>0.0001006</v>
      </c>
    </row>
    <row r="875" spans="1:14">
      <c r="A875" s="3">
        <v>3</v>
      </c>
      <c r="B875" s="3">
        <v>2</v>
      </c>
      <c r="C875" s="3">
        <v>49</v>
      </c>
      <c r="D875" s="3">
        <v>9</v>
      </c>
      <c r="E875" s="3">
        <f>((1/(INDEX(E0!J$4:J$52,C875,1)-INDEX(E0!J$4:J$52,D875,1))))*100000000</f>
        <v>0</v>
      </c>
      <c r="F875" s="4" t="str">
        <f>HYPERLINK("http://141.218.60.56/~jnz1568/getInfo.php?workbook=03_02.xlsx&amp;sheet=A0&amp;row=875&amp;col=6&amp;number=&amp;sourceID=27","")</f>
        <v/>
      </c>
      <c r="G875" s="4" t="str">
        <f>HYPERLINK("http://141.218.60.56/~jnz1568/getInfo.php?workbook=03_02.xlsx&amp;sheet=A0&amp;row=875&amp;col=7&amp;number=20309000&amp;sourceID=15","20309000")</f>
        <v>20309000</v>
      </c>
      <c r="H875" s="4" t="str">
        <f>HYPERLINK("http://141.218.60.56/~jnz1568/getInfo.php?workbook=03_02.xlsx&amp;sheet=A0&amp;row=875&amp;col=8&amp;number=&amp;sourceID=15","")</f>
        <v/>
      </c>
      <c r="I875" s="4" t="str">
        <f>HYPERLINK("http://141.218.60.56/~jnz1568/getInfo.php?workbook=03_02.xlsx&amp;sheet=A0&amp;row=875&amp;col=9&amp;number=&amp;sourceID=15","")</f>
        <v/>
      </c>
      <c r="J875" s="4" t="str">
        <f>HYPERLINK("http://141.218.60.56/~jnz1568/getInfo.php?workbook=03_02.xlsx&amp;sheet=A0&amp;row=875&amp;col=10&amp;number=&amp;sourceID=15","")</f>
        <v/>
      </c>
      <c r="K875" s="4" t="str">
        <f>HYPERLINK("http://141.218.60.56/~jnz1568/getInfo.php?workbook=03_02.xlsx&amp;sheet=A0&amp;row=875&amp;col=11&amp;number=56890000&amp;sourceID=30","56890000")</f>
        <v>56890000</v>
      </c>
      <c r="L875" s="4" t="str">
        <f>HYPERLINK("http://141.218.60.56/~jnz1568/getInfo.php?workbook=03_02.xlsx&amp;sheet=A0&amp;row=875&amp;col=12&amp;number=&amp;sourceID=30","")</f>
        <v/>
      </c>
      <c r="M875" s="4" t="str">
        <f>HYPERLINK("http://141.218.60.56/~jnz1568/getInfo.php?workbook=03_02.xlsx&amp;sheet=A0&amp;row=875&amp;col=13&amp;number=&amp;sourceID=30","")</f>
        <v/>
      </c>
      <c r="N875" s="4" t="str">
        <f>HYPERLINK("http://141.218.60.56/~jnz1568/getInfo.php?workbook=03_02.xlsx&amp;sheet=A0&amp;row=875&amp;col=14&amp;number=&amp;sourceID=30","")</f>
        <v/>
      </c>
    </row>
    <row r="876" spans="1:14">
      <c r="A876" s="3">
        <v>3</v>
      </c>
      <c r="B876" s="3">
        <v>2</v>
      </c>
      <c r="C876" s="3">
        <v>49</v>
      </c>
      <c r="D876" s="3">
        <v>10</v>
      </c>
      <c r="E876" s="3">
        <f>((1/(INDEX(E0!J$4:J$52,C876,1)-INDEX(E0!J$4:J$52,D876,1))))*100000000</f>
        <v>0</v>
      </c>
      <c r="F876" s="4" t="str">
        <f>HYPERLINK("http://141.218.60.56/~jnz1568/getInfo.php?workbook=03_02.xlsx&amp;sheet=A0&amp;row=876&amp;col=6&amp;number=&amp;sourceID=27","")</f>
        <v/>
      </c>
      <c r="G876" s="4" t="str">
        <f>HYPERLINK("http://141.218.60.56/~jnz1568/getInfo.php?workbook=03_02.xlsx&amp;sheet=A0&amp;row=876&amp;col=7&amp;number=&amp;sourceID=15","")</f>
        <v/>
      </c>
      <c r="H876" s="4" t="str">
        <f>HYPERLINK("http://141.218.60.56/~jnz1568/getInfo.php?workbook=03_02.xlsx&amp;sheet=A0&amp;row=876&amp;col=8&amp;number=&amp;sourceID=15","")</f>
        <v/>
      </c>
      <c r="I876" s="4" t="str">
        <f>HYPERLINK("http://141.218.60.56/~jnz1568/getInfo.php?workbook=03_02.xlsx&amp;sheet=A0&amp;row=876&amp;col=9&amp;number=&amp;sourceID=15","")</f>
        <v/>
      </c>
      <c r="J876" s="4" t="str">
        <f>HYPERLINK("http://141.218.60.56/~jnz1568/getInfo.php?workbook=03_02.xlsx&amp;sheet=A0&amp;row=876&amp;col=10&amp;number=&amp;sourceID=15","")</f>
        <v/>
      </c>
      <c r="K876" s="4" t="str">
        <f>HYPERLINK("http://141.218.60.56/~jnz1568/getInfo.php?workbook=03_02.xlsx&amp;sheet=A0&amp;row=876&amp;col=11&amp;number=&amp;sourceID=30","")</f>
        <v/>
      </c>
      <c r="L876" s="4" t="str">
        <f>HYPERLINK("http://141.218.60.56/~jnz1568/getInfo.php?workbook=03_02.xlsx&amp;sheet=A0&amp;row=876&amp;col=12&amp;number=0.0001525&amp;sourceID=30","0.0001525")</f>
        <v>0.0001525</v>
      </c>
      <c r="M876" s="4" t="str">
        <f>HYPERLINK("http://141.218.60.56/~jnz1568/getInfo.php?workbook=03_02.xlsx&amp;sheet=A0&amp;row=876&amp;col=13&amp;number=5.066e-07&amp;sourceID=30","5.066e-07")</f>
        <v>5.066e-07</v>
      </c>
      <c r="N876" s="4" t="str">
        <f>HYPERLINK("http://141.218.60.56/~jnz1568/getInfo.php?workbook=03_02.xlsx&amp;sheet=A0&amp;row=876&amp;col=14&amp;number=&amp;sourceID=30","")</f>
        <v/>
      </c>
    </row>
    <row r="877" spans="1:14">
      <c r="A877" s="3">
        <v>3</v>
      </c>
      <c r="B877" s="3">
        <v>2</v>
      </c>
      <c r="C877" s="3">
        <v>49</v>
      </c>
      <c r="D877" s="3">
        <v>11</v>
      </c>
      <c r="E877" s="3">
        <f>((1/(INDEX(E0!J$4:J$52,C877,1)-INDEX(E0!J$4:J$52,D877,1))))*100000000</f>
        <v>0</v>
      </c>
      <c r="F877" s="4" t="str">
        <f>HYPERLINK("http://141.218.60.56/~jnz1568/getInfo.php?workbook=03_02.xlsx&amp;sheet=A0&amp;row=877&amp;col=6&amp;number=&amp;sourceID=27","")</f>
        <v/>
      </c>
      <c r="G877" s="4" t="str">
        <f>HYPERLINK("http://141.218.60.56/~jnz1568/getInfo.php?workbook=03_02.xlsx&amp;sheet=A0&amp;row=877&amp;col=7&amp;number=&amp;sourceID=15","")</f>
        <v/>
      </c>
      <c r="H877" s="4" t="str">
        <f>HYPERLINK("http://141.218.60.56/~jnz1568/getInfo.php?workbook=03_02.xlsx&amp;sheet=A0&amp;row=877&amp;col=8&amp;number=&amp;sourceID=15","")</f>
        <v/>
      </c>
      <c r="I877" s="4" t="str">
        <f>HYPERLINK("http://141.218.60.56/~jnz1568/getInfo.php?workbook=03_02.xlsx&amp;sheet=A0&amp;row=877&amp;col=9&amp;number=&amp;sourceID=15","")</f>
        <v/>
      </c>
      <c r="J877" s="4" t="str">
        <f>HYPERLINK("http://141.218.60.56/~jnz1568/getInfo.php?workbook=03_02.xlsx&amp;sheet=A0&amp;row=877&amp;col=10&amp;number=&amp;sourceID=15","")</f>
        <v/>
      </c>
      <c r="K877" s="4" t="str">
        <f>HYPERLINK("http://141.218.60.56/~jnz1568/getInfo.php?workbook=03_02.xlsx&amp;sheet=A0&amp;row=877&amp;col=11&amp;number=&amp;sourceID=30","")</f>
        <v/>
      </c>
      <c r="L877" s="4" t="str">
        <f>HYPERLINK("http://141.218.60.56/~jnz1568/getInfo.php?workbook=03_02.xlsx&amp;sheet=A0&amp;row=877&amp;col=12&amp;number=1.889e-05&amp;sourceID=30","1.889e-05")</f>
        <v>1.889e-05</v>
      </c>
      <c r="M877" s="4" t="str">
        <f>HYPERLINK("http://141.218.60.56/~jnz1568/getInfo.php?workbook=03_02.xlsx&amp;sheet=A0&amp;row=877&amp;col=13&amp;number=5.312e-07&amp;sourceID=30","5.312e-07")</f>
        <v>5.312e-07</v>
      </c>
      <c r="N877" s="4" t="str">
        <f>HYPERLINK("http://141.218.60.56/~jnz1568/getInfo.php?workbook=03_02.xlsx&amp;sheet=A0&amp;row=877&amp;col=14&amp;number=&amp;sourceID=30","")</f>
        <v/>
      </c>
    </row>
    <row r="878" spans="1:14">
      <c r="A878" s="3">
        <v>3</v>
      </c>
      <c r="B878" s="3">
        <v>2</v>
      </c>
      <c r="C878" s="3">
        <v>49</v>
      </c>
      <c r="D878" s="3">
        <v>12</v>
      </c>
      <c r="E878" s="3">
        <f>((1/(INDEX(E0!J$4:J$52,C878,1)-INDEX(E0!J$4:J$52,D878,1))))*100000000</f>
        <v>0</v>
      </c>
      <c r="F878" s="4" t="str">
        <f>HYPERLINK("http://141.218.60.56/~jnz1568/getInfo.php?workbook=03_02.xlsx&amp;sheet=A0&amp;row=878&amp;col=6&amp;number=&amp;sourceID=27","")</f>
        <v/>
      </c>
      <c r="G878" s="4" t="str">
        <f>HYPERLINK("http://141.218.60.56/~jnz1568/getInfo.php?workbook=03_02.xlsx&amp;sheet=A0&amp;row=878&amp;col=7&amp;number=&amp;sourceID=15","")</f>
        <v/>
      </c>
      <c r="H878" s="4" t="str">
        <f>HYPERLINK("http://141.218.60.56/~jnz1568/getInfo.php?workbook=03_02.xlsx&amp;sheet=A0&amp;row=878&amp;col=8&amp;number=&amp;sourceID=15","")</f>
        <v/>
      </c>
      <c r="I878" s="4" t="str">
        <f>HYPERLINK("http://141.218.60.56/~jnz1568/getInfo.php?workbook=03_02.xlsx&amp;sheet=A0&amp;row=878&amp;col=9&amp;number=&amp;sourceID=15","")</f>
        <v/>
      </c>
      <c r="J878" s="4" t="str">
        <f>HYPERLINK("http://141.218.60.56/~jnz1568/getInfo.php?workbook=03_02.xlsx&amp;sheet=A0&amp;row=878&amp;col=10&amp;number=&amp;sourceID=15","")</f>
        <v/>
      </c>
      <c r="K878" s="4" t="str">
        <f>HYPERLINK("http://141.218.60.56/~jnz1568/getInfo.php?workbook=03_02.xlsx&amp;sheet=A0&amp;row=878&amp;col=11&amp;number=&amp;sourceID=30","")</f>
        <v/>
      </c>
      <c r="L878" s="4" t="str">
        <f>HYPERLINK("http://141.218.60.56/~jnz1568/getInfo.php?workbook=03_02.xlsx&amp;sheet=A0&amp;row=878&amp;col=12&amp;number=&amp;sourceID=30","")</f>
        <v/>
      </c>
      <c r="M878" s="4" t="str">
        <f>HYPERLINK("http://141.218.60.56/~jnz1568/getInfo.php?workbook=03_02.xlsx&amp;sheet=A0&amp;row=878&amp;col=13&amp;number=5.73e-07&amp;sourceID=30","5.73e-07")</f>
        <v>5.73e-07</v>
      </c>
      <c r="N878" s="4" t="str">
        <f>HYPERLINK("http://141.218.60.56/~jnz1568/getInfo.php?workbook=03_02.xlsx&amp;sheet=A0&amp;row=878&amp;col=14&amp;number=&amp;sourceID=30","")</f>
        <v/>
      </c>
    </row>
    <row r="879" spans="1:14">
      <c r="A879" s="3">
        <v>3</v>
      </c>
      <c r="B879" s="3">
        <v>2</v>
      </c>
      <c r="C879" s="3">
        <v>49</v>
      </c>
      <c r="D879" s="3">
        <v>13</v>
      </c>
      <c r="E879" s="3">
        <f>((1/(INDEX(E0!J$4:J$52,C879,1)-INDEX(E0!J$4:J$52,D879,1))))*100000000</f>
        <v>0</v>
      </c>
      <c r="F879" s="4" t="str">
        <f>HYPERLINK("http://141.218.60.56/~jnz1568/getInfo.php?workbook=03_02.xlsx&amp;sheet=A0&amp;row=879&amp;col=6&amp;number=&amp;sourceID=27","")</f>
        <v/>
      </c>
      <c r="G879" s="4" t="str">
        <f>HYPERLINK("http://141.218.60.56/~jnz1568/getInfo.php?workbook=03_02.xlsx&amp;sheet=A0&amp;row=879&amp;col=7&amp;number=&amp;sourceID=15","")</f>
        <v/>
      </c>
      <c r="H879" s="4" t="str">
        <f>HYPERLINK("http://141.218.60.56/~jnz1568/getInfo.php?workbook=03_02.xlsx&amp;sheet=A0&amp;row=879&amp;col=8&amp;number=&amp;sourceID=15","")</f>
        <v/>
      </c>
      <c r="I879" s="4" t="str">
        <f>HYPERLINK("http://141.218.60.56/~jnz1568/getInfo.php?workbook=03_02.xlsx&amp;sheet=A0&amp;row=879&amp;col=9&amp;number=&amp;sourceID=15","")</f>
        <v/>
      </c>
      <c r="J879" s="4" t="str">
        <f>HYPERLINK("http://141.218.60.56/~jnz1568/getInfo.php?workbook=03_02.xlsx&amp;sheet=A0&amp;row=879&amp;col=10&amp;number=&amp;sourceID=15","")</f>
        <v/>
      </c>
      <c r="K879" s="4" t="str">
        <f>HYPERLINK("http://141.218.60.56/~jnz1568/getInfo.php?workbook=03_02.xlsx&amp;sheet=A0&amp;row=879&amp;col=11&amp;number=323.4&amp;sourceID=30","323.4")</f>
        <v>323.4</v>
      </c>
      <c r="L879" s="4" t="str">
        <f>HYPERLINK("http://141.218.60.56/~jnz1568/getInfo.php?workbook=03_02.xlsx&amp;sheet=A0&amp;row=879&amp;col=12&amp;number=&amp;sourceID=30","")</f>
        <v/>
      </c>
      <c r="M879" s="4" t="str">
        <f>HYPERLINK("http://141.218.60.56/~jnz1568/getInfo.php?workbook=03_02.xlsx&amp;sheet=A0&amp;row=879&amp;col=13&amp;number=&amp;sourceID=30","")</f>
        <v/>
      </c>
      <c r="N879" s="4" t="str">
        <f>HYPERLINK("http://141.218.60.56/~jnz1568/getInfo.php?workbook=03_02.xlsx&amp;sheet=A0&amp;row=879&amp;col=14&amp;number=1.983e-06&amp;sourceID=30","1.983e-06")</f>
        <v>1.983e-06</v>
      </c>
    </row>
    <row r="880" spans="1:14">
      <c r="A880" s="3">
        <v>3</v>
      </c>
      <c r="B880" s="3">
        <v>2</v>
      </c>
      <c r="C880" s="3">
        <v>49</v>
      </c>
      <c r="D880" s="3">
        <v>14</v>
      </c>
      <c r="E880" s="3">
        <f>((1/(INDEX(E0!J$4:J$52,C880,1)-INDEX(E0!J$4:J$52,D880,1))))*100000000</f>
        <v>0</v>
      </c>
      <c r="F880" s="4" t="str">
        <f>HYPERLINK("http://141.218.60.56/~jnz1568/getInfo.php?workbook=03_02.xlsx&amp;sheet=A0&amp;row=880&amp;col=6&amp;number=&amp;sourceID=27","")</f>
        <v/>
      </c>
      <c r="G880" s="4" t="str">
        <f>HYPERLINK("http://141.218.60.56/~jnz1568/getInfo.php?workbook=03_02.xlsx&amp;sheet=A0&amp;row=880&amp;col=7&amp;number=&amp;sourceID=15","")</f>
        <v/>
      </c>
      <c r="H880" s="4" t="str">
        <f>HYPERLINK("http://141.218.60.56/~jnz1568/getInfo.php?workbook=03_02.xlsx&amp;sheet=A0&amp;row=880&amp;col=8&amp;number=&amp;sourceID=15","")</f>
        <v/>
      </c>
      <c r="I880" s="4" t="str">
        <f>HYPERLINK("http://141.218.60.56/~jnz1568/getInfo.php?workbook=03_02.xlsx&amp;sheet=A0&amp;row=880&amp;col=9&amp;number=&amp;sourceID=15","")</f>
        <v/>
      </c>
      <c r="J880" s="4" t="str">
        <f>HYPERLINK("http://141.218.60.56/~jnz1568/getInfo.php?workbook=03_02.xlsx&amp;sheet=A0&amp;row=880&amp;col=10&amp;number=&amp;sourceID=15","")</f>
        <v/>
      </c>
      <c r="K880" s="4" t="str">
        <f>HYPERLINK("http://141.218.60.56/~jnz1568/getInfo.php?workbook=03_02.xlsx&amp;sheet=A0&amp;row=880&amp;col=11&amp;number=&amp;sourceID=30","")</f>
        <v/>
      </c>
      <c r="L880" s="4" t="str">
        <f>HYPERLINK("http://141.218.60.56/~jnz1568/getInfo.php?workbook=03_02.xlsx&amp;sheet=A0&amp;row=880&amp;col=12&amp;number=&amp;sourceID=30","")</f>
        <v/>
      </c>
      <c r="M880" s="4" t="str">
        <f>HYPERLINK("http://141.218.60.56/~jnz1568/getInfo.php?workbook=03_02.xlsx&amp;sheet=A0&amp;row=880&amp;col=13&amp;number=&amp;sourceID=30","")</f>
        <v/>
      </c>
      <c r="N880" s="4" t="str">
        <f>HYPERLINK("http://141.218.60.56/~jnz1568/getInfo.php?workbook=03_02.xlsx&amp;sheet=A0&amp;row=880&amp;col=14&amp;number=1.159e-05&amp;sourceID=30","1.159e-05")</f>
        <v>1.159e-05</v>
      </c>
    </row>
    <row r="881" spans="1:14">
      <c r="A881" s="3">
        <v>3</v>
      </c>
      <c r="B881" s="3">
        <v>2</v>
      </c>
      <c r="C881" s="3">
        <v>49</v>
      </c>
      <c r="D881" s="3">
        <v>15</v>
      </c>
      <c r="E881" s="3">
        <f>((1/(INDEX(E0!J$4:J$52,C881,1)-INDEX(E0!J$4:J$52,D881,1))))*100000000</f>
        <v>0</v>
      </c>
      <c r="F881" s="4" t="str">
        <f>HYPERLINK("http://141.218.60.56/~jnz1568/getInfo.php?workbook=03_02.xlsx&amp;sheet=A0&amp;row=881&amp;col=6&amp;number=&amp;sourceID=27","")</f>
        <v/>
      </c>
      <c r="G881" s="4" t="str">
        <f>HYPERLINK("http://141.218.60.56/~jnz1568/getInfo.php?workbook=03_02.xlsx&amp;sheet=A0&amp;row=881&amp;col=7&amp;number=&amp;sourceID=15","")</f>
        <v/>
      </c>
      <c r="H881" s="4" t="str">
        <f>HYPERLINK("http://141.218.60.56/~jnz1568/getInfo.php?workbook=03_02.xlsx&amp;sheet=A0&amp;row=881&amp;col=8&amp;number=&amp;sourceID=15","")</f>
        <v/>
      </c>
      <c r="I881" s="4" t="str">
        <f>HYPERLINK("http://141.218.60.56/~jnz1568/getInfo.php?workbook=03_02.xlsx&amp;sheet=A0&amp;row=881&amp;col=9&amp;number=&amp;sourceID=15","")</f>
        <v/>
      </c>
      <c r="J881" s="4" t="str">
        <f>HYPERLINK("http://141.218.60.56/~jnz1568/getInfo.php?workbook=03_02.xlsx&amp;sheet=A0&amp;row=881&amp;col=10&amp;number=&amp;sourceID=15","")</f>
        <v/>
      </c>
      <c r="K881" s="4" t="str">
        <f>HYPERLINK("http://141.218.60.56/~jnz1568/getInfo.php?workbook=03_02.xlsx&amp;sheet=A0&amp;row=881&amp;col=11&amp;number=0.1374&amp;sourceID=30","0.1374")</f>
        <v>0.1374</v>
      </c>
      <c r="L881" s="4" t="str">
        <f>HYPERLINK("http://141.218.60.56/~jnz1568/getInfo.php?workbook=03_02.xlsx&amp;sheet=A0&amp;row=881&amp;col=12&amp;number=&amp;sourceID=30","")</f>
        <v/>
      </c>
      <c r="M881" s="4" t="str">
        <f>HYPERLINK("http://141.218.60.56/~jnz1568/getInfo.php?workbook=03_02.xlsx&amp;sheet=A0&amp;row=881&amp;col=13&amp;number=&amp;sourceID=30","")</f>
        <v/>
      </c>
      <c r="N881" s="4" t="str">
        <f>HYPERLINK("http://141.218.60.56/~jnz1568/getInfo.php?workbook=03_02.xlsx&amp;sheet=A0&amp;row=881&amp;col=14&amp;number=1.377e-07&amp;sourceID=30","1.377e-07")</f>
        <v>1.377e-07</v>
      </c>
    </row>
    <row r="882" spans="1:14">
      <c r="A882" s="3">
        <v>3</v>
      </c>
      <c r="B882" s="3">
        <v>2</v>
      </c>
      <c r="C882" s="3">
        <v>49</v>
      </c>
      <c r="D882" s="3">
        <v>16</v>
      </c>
      <c r="E882" s="3">
        <f>((1/(INDEX(E0!J$4:J$52,C882,1)-INDEX(E0!J$4:J$52,D882,1))))*100000000</f>
        <v>0</v>
      </c>
      <c r="F882" s="4" t="str">
        <f>HYPERLINK("http://141.218.60.56/~jnz1568/getInfo.php?workbook=03_02.xlsx&amp;sheet=A0&amp;row=882&amp;col=6&amp;number=&amp;sourceID=27","")</f>
        <v/>
      </c>
      <c r="G882" s="4" t="str">
        <f>HYPERLINK("http://141.218.60.56/~jnz1568/getInfo.php?workbook=03_02.xlsx&amp;sheet=A0&amp;row=882&amp;col=7&amp;number=2008800&amp;sourceID=15","2008800")</f>
        <v>2008800</v>
      </c>
      <c r="H882" s="4" t="str">
        <f>HYPERLINK("http://141.218.60.56/~jnz1568/getInfo.php?workbook=03_02.xlsx&amp;sheet=A0&amp;row=882&amp;col=8&amp;number=&amp;sourceID=15","")</f>
        <v/>
      </c>
      <c r="I882" s="4" t="str">
        <f>HYPERLINK("http://141.218.60.56/~jnz1568/getInfo.php?workbook=03_02.xlsx&amp;sheet=A0&amp;row=882&amp;col=9&amp;number=&amp;sourceID=15","")</f>
        <v/>
      </c>
      <c r="J882" s="4" t="str">
        <f>HYPERLINK("http://141.218.60.56/~jnz1568/getInfo.php?workbook=03_02.xlsx&amp;sheet=A0&amp;row=882&amp;col=10&amp;number=&amp;sourceID=15","")</f>
        <v/>
      </c>
      <c r="K882" s="4" t="str">
        <f>HYPERLINK("http://141.218.60.56/~jnz1568/getInfo.php?workbook=03_02.xlsx&amp;sheet=A0&amp;row=882&amp;col=11&amp;number=2086000&amp;sourceID=30","2086000")</f>
        <v>2086000</v>
      </c>
      <c r="L882" s="4" t="str">
        <f>HYPERLINK("http://141.218.60.56/~jnz1568/getInfo.php?workbook=03_02.xlsx&amp;sheet=A0&amp;row=882&amp;col=12&amp;number=&amp;sourceID=30","")</f>
        <v/>
      </c>
      <c r="M882" s="4" t="str">
        <f>HYPERLINK("http://141.218.60.56/~jnz1568/getInfo.php?workbook=03_02.xlsx&amp;sheet=A0&amp;row=882&amp;col=13&amp;number=&amp;sourceID=30","")</f>
        <v/>
      </c>
      <c r="N882" s="4" t="str">
        <f>HYPERLINK("http://141.218.60.56/~jnz1568/getInfo.php?workbook=03_02.xlsx&amp;sheet=A0&amp;row=882&amp;col=14&amp;number=6.185e-06&amp;sourceID=30","6.185e-06")</f>
        <v>6.185e-06</v>
      </c>
    </row>
    <row r="883" spans="1:14">
      <c r="A883" s="3">
        <v>3</v>
      </c>
      <c r="B883" s="3">
        <v>2</v>
      </c>
      <c r="C883" s="3">
        <v>49</v>
      </c>
      <c r="D883" s="3">
        <v>17</v>
      </c>
      <c r="E883" s="3">
        <f>((1/(INDEX(E0!J$4:J$52,C883,1)-INDEX(E0!J$4:J$52,D883,1))))*100000000</f>
        <v>0</v>
      </c>
      <c r="F883" s="4" t="str">
        <f>HYPERLINK("http://141.218.60.56/~jnz1568/getInfo.php?workbook=03_02.xlsx&amp;sheet=A0&amp;row=883&amp;col=6&amp;number=&amp;sourceID=27","")</f>
        <v/>
      </c>
      <c r="G883" s="4" t="str">
        <f>HYPERLINK("http://141.218.60.56/~jnz1568/getInfo.php?workbook=03_02.xlsx&amp;sheet=A0&amp;row=883&amp;col=7&amp;number=&amp;sourceID=15","")</f>
        <v/>
      </c>
      <c r="H883" s="4" t="str">
        <f>HYPERLINK("http://141.218.60.56/~jnz1568/getInfo.php?workbook=03_02.xlsx&amp;sheet=A0&amp;row=883&amp;col=8&amp;number=90.459&amp;sourceID=15","90.459")</f>
        <v>90.459</v>
      </c>
      <c r="I883" s="4" t="str">
        <f>HYPERLINK("http://141.218.60.56/~jnz1568/getInfo.php?workbook=03_02.xlsx&amp;sheet=A0&amp;row=883&amp;col=9&amp;number=&amp;sourceID=15","")</f>
        <v/>
      </c>
      <c r="J883" s="4" t="str">
        <f>HYPERLINK("http://141.218.60.56/~jnz1568/getInfo.php?workbook=03_02.xlsx&amp;sheet=A0&amp;row=883&amp;col=10&amp;number=&amp;sourceID=15","")</f>
        <v/>
      </c>
      <c r="K883" s="4" t="str">
        <f>HYPERLINK("http://141.218.60.56/~jnz1568/getInfo.php?workbook=03_02.xlsx&amp;sheet=A0&amp;row=883&amp;col=11&amp;number=&amp;sourceID=30","")</f>
        <v/>
      </c>
      <c r="L883" s="4" t="str">
        <f>HYPERLINK("http://141.218.60.56/~jnz1568/getInfo.php?workbook=03_02.xlsx&amp;sheet=A0&amp;row=883&amp;col=12&amp;number=255.8&amp;sourceID=30","255.8")</f>
        <v>255.8</v>
      </c>
      <c r="M883" s="4" t="str">
        <f>HYPERLINK("http://141.218.60.56/~jnz1568/getInfo.php?workbook=03_02.xlsx&amp;sheet=A0&amp;row=883&amp;col=13&amp;number=2.83e-08&amp;sourceID=30","2.83e-08")</f>
        <v>2.83e-08</v>
      </c>
      <c r="N883" s="4" t="str">
        <f>HYPERLINK("http://141.218.60.56/~jnz1568/getInfo.php?workbook=03_02.xlsx&amp;sheet=A0&amp;row=883&amp;col=14&amp;number=&amp;sourceID=30","")</f>
        <v/>
      </c>
    </row>
    <row r="884" spans="1:14">
      <c r="A884" s="3">
        <v>3</v>
      </c>
      <c r="B884" s="3">
        <v>2</v>
      </c>
      <c r="C884" s="3">
        <v>49</v>
      </c>
      <c r="D884" s="3">
        <v>18</v>
      </c>
      <c r="E884" s="3">
        <f>((1/(INDEX(E0!J$4:J$52,C884,1)-INDEX(E0!J$4:J$52,D884,1))))*100000000</f>
        <v>0</v>
      </c>
      <c r="F884" s="4" t="str">
        <f>HYPERLINK("http://141.218.60.56/~jnz1568/getInfo.php?workbook=03_02.xlsx&amp;sheet=A0&amp;row=884&amp;col=6&amp;number=&amp;sourceID=27","")</f>
        <v/>
      </c>
      <c r="G884" s="4" t="str">
        <f>HYPERLINK("http://141.218.60.56/~jnz1568/getInfo.php?workbook=03_02.xlsx&amp;sheet=A0&amp;row=884&amp;col=7&amp;number=&amp;sourceID=15","")</f>
        <v/>
      </c>
      <c r="H884" s="4" t="str">
        <f>HYPERLINK("http://141.218.60.56/~jnz1568/getInfo.php?workbook=03_02.xlsx&amp;sheet=A0&amp;row=884&amp;col=8&amp;number=&amp;sourceID=15","")</f>
        <v/>
      </c>
      <c r="I884" s="4" t="str">
        <f>HYPERLINK("http://141.218.60.56/~jnz1568/getInfo.php?workbook=03_02.xlsx&amp;sheet=A0&amp;row=884&amp;col=9&amp;number=&amp;sourceID=15","")</f>
        <v/>
      </c>
      <c r="J884" s="4" t="str">
        <f>HYPERLINK("http://141.218.60.56/~jnz1568/getInfo.php?workbook=03_02.xlsx&amp;sheet=A0&amp;row=884&amp;col=10&amp;number=&amp;sourceID=15","")</f>
        <v/>
      </c>
      <c r="K884" s="4" t="str">
        <f>HYPERLINK("http://141.218.60.56/~jnz1568/getInfo.php?workbook=03_02.xlsx&amp;sheet=A0&amp;row=884&amp;col=11&amp;number=0.6946&amp;sourceID=30","0.6946")</f>
        <v>0.6946</v>
      </c>
      <c r="L884" s="4" t="str">
        <f>HYPERLINK("http://141.218.60.56/~jnz1568/getInfo.php?workbook=03_02.xlsx&amp;sheet=A0&amp;row=884&amp;col=12&amp;number=&amp;sourceID=30","")</f>
        <v/>
      </c>
      <c r="M884" s="4" t="str">
        <f>HYPERLINK("http://141.218.60.56/~jnz1568/getInfo.php?workbook=03_02.xlsx&amp;sheet=A0&amp;row=884&amp;col=13&amp;number=&amp;sourceID=30","")</f>
        <v/>
      </c>
      <c r="N884" s="4" t="str">
        <f>HYPERLINK("http://141.218.60.56/~jnz1568/getInfo.php?workbook=03_02.xlsx&amp;sheet=A0&amp;row=884&amp;col=14&amp;number=2.841e-06&amp;sourceID=30","2.841e-06")</f>
        <v>2.841e-06</v>
      </c>
    </row>
    <row r="885" spans="1:14">
      <c r="A885" s="3">
        <v>3</v>
      </c>
      <c r="B885" s="3">
        <v>2</v>
      </c>
      <c r="C885" s="3">
        <v>49</v>
      </c>
      <c r="D885" s="3">
        <v>19</v>
      </c>
      <c r="E885" s="3">
        <f>((1/(INDEX(E0!J$4:J$52,C885,1)-INDEX(E0!J$4:J$52,D885,1))))*100000000</f>
        <v>0</v>
      </c>
      <c r="F885" s="4" t="str">
        <f>HYPERLINK("http://141.218.60.56/~jnz1568/getInfo.php?workbook=03_02.xlsx&amp;sheet=A0&amp;row=885&amp;col=6&amp;number=&amp;sourceID=27","")</f>
        <v/>
      </c>
      <c r="G885" s="4" t="str">
        <f>HYPERLINK("http://141.218.60.56/~jnz1568/getInfo.php?workbook=03_02.xlsx&amp;sheet=A0&amp;row=885&amp;col=7&amp;number=7677400&amp;sourceID=15","7677400")</f>
        <v>7677400</v>
      </c>
      <c r="H885" s="4" t="str">
        <f>HYPERLINK("http://141.218.60.56/~jnz1568/getInfo.php?workbook=03_02.xlsx&amp;sheet=A0&amp;row=885&amp;col=8&amp;number=&amp;sourceID=15","")</f>
        <v/>
      </c>
      <c r="I885" s="4" t="str">
        <f>HYPERLINK("http://141.218.60.56/~jnz1568/getInfo.php?workbook=03_02.xlsx&amp;sheet=A0&amp;row=885&amp;col=9&amp;number=&amp;sourceID=15","")</f>
        <v/>
      </c>
      <c r="J885" s="4" t="str">
        <f>HYPERLINK("http://141.218.60.56/~jnz1568/getInfo.php?workbook=03_02.xlsx&amp;sheet=A0&amp;row=885&amp;col=10&amp;number=&amp;sourceID=15","")</f>
        <v/>
      </c>
      <c r="K885" s="4" t="str">
        <f>HYPERLINK("http://141.218.60.56/~jnz1568/getInfo.php?workbook=03_02.xlsx&amp;sheet=A0&amp;row=885&amp;col=11&amp;number=15450000&amp;sourceID=30","15450000")</f>
        <v>15450000</v>
      </c>
      <c r="L885" s="4" t="str">
        <f>HYPERLINK("http://141.218.60.56/~jnz1568/getInfo.php?workbook=03_02.xlsx&amp;sheet=A0&amp;row=885&amp;col=12&amp;number=&amp;sourceID=30","")</f>
        <v/>
      </c>
      <c r="M885" s="4" t="str">
        <f>HYPERLINK("http://141.218.60.56/~jnz1568/getInfo.php?workbook=03_02.xlsx&amp;sheet=A0&amp;row=885&amp;col=13&amp;number=&amp;sourceID=30","")</f>
        <v/>
      </c>
      <c r="N885" s="4" t="str">
        <f>HYPERLINK("http://141.218.60.56/~jnz1568/getInfo.php?workbook=03_02.xlsx&amp;sheet=A0&amp;row=885&amp;col=14&amp;number=&amp;sourceID=30","")</f>
        <v/>
      </c>
    </row>
    <row r="886" spans="1:14">
      <c r="A886" s="3">
        <v>3</v>
      </c>
      <c r="B886" s="3">
        <v>2</v>
      </c>
      <c r="C886" s="3">
        <v>49</v>
      </c>
      <c r="D886" s="3">
        <v>20</v>
      </c>
      <c r="E886" s="3">
        <f>((1/(INDEX(E0!J$4:J$52,C886,1)-INDEX(E0!J$4:J$52,D886,1))))*100000000</f>
        <v>0</v>
      </c>
      <c r="F886" s="4" t="str">
        <f>HYPERLINK("http://141.218.60.56/~jnz1568/getInfo.php?workbook=03_02.xlsx&amp;sheet=A0&amp;row=886&amp;col=6&amp;number=&amp;sourceID=27","")</f>
        <v/>
      </c>
      <c r="G886" s="4" t="str">
        <f>HYPERLINK("http://141.218.60.56/~jnz1568/getInfo.php?workbook=03_02.xlsx&amp;sheet=A0&amp;row=886&amp;col=7&amp;number=&amp;sourceID=15","")</f>
        <v/>
      </c>
      <c r="H886" s="4" t="str">
        <f>HYPERLINK("http://141.218.60.56/~jnz1568/getInfo.php?workbook=03_02.xlsx&amp;sheet=A0&amp;row=886&amp;col=8&amp;number=&amp;sourceID=15","")</f>
        <v/>
      </c>
      <c r="I886" s="4" t="str">
        <f>HYPERLINK("http://141.218.60.56/~jnz1568/getInfo.php?workbook=03_02.xlsx&amp;sheet=A0&amp;row=886&amp;col=9&amp;number=&amp;sourceID=15","")</f>
        <v/>
      </c>
      <c r="J886" s="4" t="str">
        <f>HYPERLINK("http://141.218.60.56/~jnz1568/getInfo.php?workbook=03_02.xlsx&amp;sheet=A0&amp;row=886&amp;col=10&amp;number=&amp;sourceID=15","")</f>
        <v/>
      </c>
      <c r="K886" s="4" t="str">
        <f>HYPERLINK("http://141.218.60.56/~jnz1568/getInfo.php?workbook=03_02.xlsx&amp;sheet=A0&amp;row=886&amp;col=11&amp;number=&amp;sourceID=30","")</f>
        <v/>
      </c>
      <c r="L886" s="4" t="str">
        <f>HYPERLINK("http://141.218.60.56/~jnz1568/getInfo.php?workbook=03_02.xlsx&amp;sheet=A0&amp;row=886&amp;col=12&amp;number=&amp;sourceID=30","")</f>
        <v/>
      </c>
      <c r="M886" s="4" t="str">
        <f>HYPERLINK("http://141.218.60.56/~jnz1568/getInfo.php?workbook=03_02.xlsx&amp;sheet=A0&amp;row=886&amp;col=13&amp;number=8.133e-08&amp;sourceID=30","8.133e-08")</f>
        <v>8.133e-08</v>
      </c>
      <c r="N886" s="4" t="str">
        <f>HYPERLINK("http://141.218.60.56/~jnz1568/getInfo.php?workbook=03_02.xlsx&amp;sheet=A0&amp;row=886&amp;col=14&amp;number=&amp;sourceID=30","")</f>
        <v/>
      </c>
    </row>
    <row r="887" spans="1:14">
      <c r="A887" s="3">
        <v>3</v>
      </c>
      <c r="B887" s="3">
        <v>2</v>
      </c>
      <c r="C887" s="3">
        <v>49</v>
      </c>
      <c r="D887" s="3">
        <v>21</v>
      </c>
      <c r="E887" s="3">
        <f>((1/(INDEX(E0!J$4:J$52,C887,1)-INDEX(E0!J$4:J$52,D887,1))))*100000000</f>
        <v>0</v>
      </c>
      <c r="F887" s="4" t="str">
        <f>HYPERLINK("http://141.218.60.56/~jnz1568/getInfo.php?workbook=03_02.xlsx&amp;sheet=A0&amp;row=887&amp;col=6&amp;number=&amp;sourceID=27","")</f>
        <v/>
      </c>
      <c r="G887" s="4" t="str">
        <f>HYPERLINK("http://141.218.60.56/~jnz1568/getInfo.php?workbook=03_02.xlsx&amp;sheet=A0&amp;row=887&amp;col=7&amp;number=&amp;sourceID=15","")</f>
        <v/>
      </c>
      <c r="H887" s="4" t="str">
        <f>HYPERLINK("http://141.218.60.56/~jnz1568/getInfo.php?workbook=03_02.xlsx&amp;sheet=A0&amp;row=887&amp;col=8&amp;number=&amp;sourceID=15","")</f>
        <v/>
      </c>
      <c r="I887" s="4" t="str">
        <f>HYPERLINK("http://141.218.60.56/~jnz1568/getInfo.php?workbook=03_02.xlsx&amp;sheet=A0&amp;row=887&amp;col=9&amp;number=&amp;sourceID=15","")</f>
        <v/>
      </c>
      <c r="J887" s="4" t="str">
        <f>HYPERLINK("http://141.218.60.56/~jnz1568/getInfo.php?workbook=03_02.xlsx&amp;sheet=A0&amp;row=887&amp;col=10&amp;number=&amp;sourceID=15","")</f>
        <v/>
      </c>
      <c r="K887" s="4" t="str">
        <f>HYPERLINK("http://141.218.60.56/~jnz1568/getInfo.php?workbook=03_02.xlsx&amp;sheet=A0&amp;row=887&amp;col=11&amp;number=&amp;sourceID=30","")</f>
        <v/>
      </c>
      <c r="L887" s="4" t="str">
        <f>HYPERLINK("http://141.218.60.56/~jnz1568/getInfo.php?workbook=03_02.xlsx&amp;sheet=A0&amp;row=887&amp;col=12&amp;number=3.009e-05&amp;sourceID=30","3.009e-05")</f>
        <v>3.009e-05</v>
      </c>
      <c r="M887" s="4" t="str">
        <f>HYPERLINK("http://141.218.60.56/~jnz1568/getInfo.php?workbook=03_02.xlsx&amp;sheet=A0&amp;row=887&amp;col=13&amp;number=7.722e-08&amp;sourceID=30","7.722e-08")</f>
        <v>7.722e-08</v>
      </c>
      <c r="N887" s="4" t="str">
        <f>HYPERLINK("http://141.218.60.56/~jnz1568/getInfo.php?workbook=03_02.xlsx&amp;sheet=A0&amp;row=887&amp;col=14&amp;number=&amp;sourceID=30","")</f>
        <v/>
      </c>
    </row>
    <row r="888" spans="1:14">
      <c r="A888" s="3">
        <v>3</v>
      </c>
      <c r="B888" s="3">
        <v>2</v>
      </c>
      <c r="C888" s="3">
        <v>49</v>
      </c>
      <c r="D888" s="3">
        <v>22</v>
      </c>
      <c r="E888" s="3">
        <f>((1/(INDEX(E0!J$4:J$52,C888,1)-INDEX(E0!J$4:J$52,D888,1))))*100000000</f>
        <v>0</v>
      </c>
      <c r="F888" s="4" t="str">
        <f>HYPERLINK("http://141.218.60.56/~jnz1568/getInfo.php?workbook=03_02.xlsx&amp;sheet=A0&amp;row=888&amp;col=6&amp;number=&amp;sourceID=27","")</f>
        <v/>
      </c>
      <c r="G888" s="4" t="str">
        <f>HYPERLINK("http://141.218.60.56/~jnz1568/getInfo.php?workbook=03_02.xlsx&amp;sheet=A0&amp;row=888&amp;col=7&amp;number=&amp;sourceID=15","")</f>
        <v/>
      </c>
      <c r="H888" s="4" t="str">
        <f>HYPERLINK("http://141.218.60.56/~jnz1568/getInfo.php?workbook=03_02.xlsx&amp;sheet=A0&amp;row=888&amp;col=8&amp;number=&amp;sourceID=15","")</f>
        <v/>
      </c>
      <c r="I888" s="4" t="str">
        <f>HYPERLINK("http://141.218.60.56/~jnz1568/getInfo.php?workbook=03_02.xlsx&amp;sheet=A0&amp;row=888&amp;col=9&amp;number=&amp;sourceID=15","")</f>
        <v/>
      </c>
      <c r="J888" s="4" t="str">
        <f>HYPERLINK("http://141.218.60.56/~jnz1568/getInfo.php?workbook=03_02.xlsx&amp;sheet=A0&amp;row=888&amp;col=10&amp;number=&amp;sourceID=15","")</f>
        <v/>
      </c>
      <c r="K888" s="4" t="str">
        <f>HYPERLINK("http://141.218.60.56/~jnz1568/getInfo.php?workbook=03_02.xlsx&amp;sheet=A0&amp;row=888&amp;col=11&amp;number=&amp;sourceID=30","")</f>
        <v/>
      </c>
      <c r="L888" s="4" t="str">
        <f>HYPERLINK("http://141.218.60.56/~jnz1568/getInfo.php?workbook=03_02.xlsx&amp;sheet=A0&amp;row=888&amp;col=12&amp;number=7.899e-06&amp;sourceID=30","7.899e-06")</f>
        <v>7.899e-06</v>
      </c>
      <c r="M888" s="4" t="str">
        <f>HYPERLINK("http://141.218.60.56/~jnz1568/getInfo.php?workbook=03_02.xlsx&amp;sheet=A0&amp;row=888&amp;col=13&amp;number=4.824e-08&amp;sourceID=30","4.824e-08")</f>
        <v>4.824e-08</v>
      </c>
      <c r="N888" s="4" t="str">
        <f>HYPERLINK("http://141.218.60.56/~jnz1568/getInfo.php?workbook=03_02.xlsx&amp;sheet=A0&amp;row=888&amp;col=14&amp;number=&amp;sourceID=30","")</f>
        <v/>
      </c>
    </row>
    <row r="889" spans="1:14">
      <c r="A889" s="3">
        <v>3</v>
      </c>
      <c r="B889" s="3">
        <v>2</v>
      </c>
      <c r="C889" s="3">
        <v>49</v>
      </c>
      <c r="D889" s="3">
        <v>23</v>
      </c>
      <c r="E889" s="3">
        <f>((1/(INDEX(E0!J$4:J$52,C889,1)-INDEX(E0!J$4:J$52,D889,1))))*100000000</f>
        <v>0</v>
      </c>
      <c r="F889" s="4" t="str">
        <f>HYPERLINK("http://141.218.60.56/~jnz1568/getInfo.php?workbook=03_02.xlsx&amp;sheet=A0&amp;row=889&amp;col=6&amp;number=&amp;sourceID=27","")</f>
        <v/>
      </c>
      <c r="G889" s="4" t="str">
        <f>HYPERLINK("http://141.218.60.56/~jnz1568/getInfo.php?workbook=03_02.xlsx&amp;sheet=A0&amp;row=889&amp;col=7&amp;number=&amp;sourceID=15","")</f>
        <v/>
      </c>
      <c r="H889" s="4" t="str">
        <f>HYPERLINK("http://141.218.60.56/~jnz1568/getInfo.php?workbook=03_02.xlsx&amp;sheet=A0&amp;row=889&amp;col=8&amp;number=&amp;sourceID=15","")</f>
        <v/>
      </c>
      <c r="I889" s="4" t="str">
        <f>HYPERLINK("http://141.218.60.56/~jnz1568/getInfo.php?workbook=03_02.xlsx&amp;sheet=A0&amp;row=889&amp;col=9&amp;number=&amp;sourceID=15","")</f>
        <v/>
      </c>
      <c r="J889" s="4" t="str">
        <f>HYPERLINK("http://141.218.60.56/~jnz1568/getInfo.php?workbook=03_02.xlsx&amp;sheet=A0&amp;row=889&amp;col=10&amp;number=&amp;sourceID=15","")</f>
        <v/>
      </c>
      <c r="K889" s="4" t="str">
        <f>HYPERLINK("http://141.218.60.56/~jnz1568/getInfo.php?workbook=03_02.xlsx&amp;sheet=A0&amp;row=889&amp;col=11&amp;number=0.1866&amp;sourceID=30","0.1866")</f>
        <v>0.1866</v>
      </c>
      <c r="L889" s="4" t="str">
        <f>HYPERLINK("http://141.218.60.56/~jnz1568/getInfo.php?workbook=03_02.xlsx&amp;sheet=A0&amp;row=889&amp;col=12&amp;number=&amp;sourceID=30","")</f>
        <v/>
      </c>
      <c r="M889" s="4" t="str">
        <f>HYPERLINK("http://141.218.60.56/~jnz1568/getInfo.php?workbook=03_02.xlsx&amp;sheet=A0&amp;row=889&amp;col=13&amp;number=&amp;sourceID=30","")</f>
        <v/>
      </c>
      <c r="N889" s="4" t="str">
        <f>HYPERLINK("http://141.218.60.56/~jnz1568/getInfo.php?workbook=03_02.xlsx&amp;sheet=A0&amp;row=889&amp;col=14&amp;number=1.67e-08&amp;sourceID=30","1.67e-08")</f>
        <v>1.67e-08</v>
      </c>
    </row>
    <row r="890" spans="1:14">
      <c r="A890" s="3">
        <v>3</v>
      </c>
      <c r="B890" s="3">
        <v>2</v>
      </c>
      <c r="C890" s="3">
        <v>49</v>
      </c>
      <c r="D890" s="3">
        <v>24</v>
      </c>
      <c r="E890" s="3">
        <f>((1/(INDEX(E0!J$4:J$52,C890,1)-INDEX(E0!J$4:J$52,D890,1))))*100000000</f>
        <v>0</v>
      </c>
      <c r="F890" s="4" t="str">
        <f>HYPERLINK("http://141.218.60.56/~jnz1568/getInfo.php?workbook=03_02.xlsx&amp;sheet=A0&amp;row=890&amp;col=6&amp;number=&amp;sourceID=27","")</f>
        <v/>
      </c>
      <c r="G890" s="4" t="str">
        <f>HYPERLINK("http://141.218.60.56/~jnz1568/getInfo.php?workbook=03_02.xlsx&amp;sheet=A0&amp;row=890&amp;col=7&amp;number=&amp;sourceID=15","")</f>
        <v/>
      </c>
      <c r="H890" s="4" t="str">
        <f>HYPERLINK("http://141.218.60.56/~jnz1568/getInfo.php?workbook=03_02.xlsx&amp;sheet=A0&amp;row=890&amp;col=8&amp;number=&amp;sourceID=15","")</f>
        <v/>
      </c>
      <c r="I890" s="4" t="str">
        <f>HYPERLINK("http://141.218.60.56/~jnz1568/getInfo.php?workbook=03_02.xlsx&amp;sheet=A0&amp;row=890&amp;col=9&amp;number=&amp;sourceID=15","")</f>
        <v/>
      </c>
      <c r="J890" s="4" t="str">
        <f>HYPERLINK("http://141.218.60.56/~jnz1568/getInfo.php?workbook=03_02.xlsx&amp;sheet=A0&amp;row=890&amp;col=10&amp;number=&amp;sourceID=15","")</f>
        <v/>
      </c>
      <c r="K890" s="4" t="str">
        <f>HYPERLINK("http://141.218.60.56/~jnz1568/getInfo.php?workbook=03_02.xlsx&amp;sheet=A0&amp;row=890&amp;col=11&amp;number=192.2&amp;sourceID=30","192.2")</f>
        <v>192.2</v>
      </c>
      <c r="L890" s="4" t="str">
        <f>HYPERLINK("http://141.218.60.56/~jnz1568/getInfo.php?workbook=03_02.xlsx&amp;sheet=A0&amp;row=890&amp;col=12&amp;number=&amp;sourceID=30","")</f>
        <v/>
      </c>
      <c r="M890" s="4" t="str">
        <f>HYPERLINK("http://141.218.60.56/~jnz1568/getInfo.php?workbook=03_02.xlsx&amp;sheet=A0&amp;row=890&amp;col=13&amp;number=&amp;sourceID=30","")</f>
        <v/>
      </c>
      <c r="N890" s="4" t="str">
        <f>HYPERLINK("http://141.218.60.56/~jnz1568/getInfo.php?workbook=03_02.xlsx&amp;sheet=A0&amp;row=890&amp;col=14&amp;number=2.435e-07&amp;sourceID=30","2.435e-07")</f>
        <v>2.435e-07</v>
      </c>
    </row>
    <row r="891" spans="1:14">
      <c r="A891" s="3">
        <v>3</v>
      </c>
      <c r="B891" s="3">
        <v>2</v>
      </c>
      <c r="C891" s="3">
        <v>49</v>
      </c>
      <c r="D891" s="3">
        <v>25</v>
      </c>
      <c r="E891" s="3">
        <f>((1/(INDEX(E0!J$4:J$52,C891,1)-INDEX(E0!J$4:J$52,D891,1))))*100000000</f>
        <v>0</v>
      </c>
      <c r="F891" s="4" t="str">
        <f>HYPERLINK("http://141.218.60.56/~jnz1568/getInfo.php?workbook=03_02.xlsx&amp;sheet=A0&amp;row=891&amp;col=6&amp;number=&amp;sourceID=27","")</f>
        <v/>
      </c>
      <c r="G891" s="4" t="str">
        <f>HYPERLINK("http://141.218.60.56/~jnz1568/getInfo.php?workbook=03_02.xlsx&amp;sheet=A0&amp;row=891&amp;col=7&amp;number=&amp;sourceID=15","")</f>
        <v/>
      </c>
      <c r="H891" s="4" t="str">
        <f>HYPERLINK("http://141.218.60.56/~jnz1568/getInfo.php?workbook=03_02.xlsx&amp;sheet=A0&amp;row=891&amp;col=8&amp;number=&amp;sourceID=15","")</f>
        <v/>
      </c>
      <c r="I891" s="4" t="str">
        <f>HYPERLINK("http://141.218.60.56/~jnz1568/getInfo.php?workbook=03_02.xlsx&amp;sheet=A0&amp;row=891&amp;col=9&amp;number=&amp;sourceID=15","")</f>
        <v/>
      </c>
      <c r="J891" s="4" t="str">
        <f>HYPERLINK("http://141.218.60.56/~jnz1568/getInfo.php?workbook=03_02.xlsx&amp;sheet=A0&amp;row=891&amp;col=10&amp;number=&amp;sourceID=15","")</f>
        <v/>
      </c>
      <c r="K891" s="4" t="str">
        <f>HYPERLINK("http://141.218.60.56/~jnz1568/getInfo.php?workbook=03_02.xlsx&amp;sheet=A0&amp;row=891&amp;col=11&amp;number=&amp;sourceID=30","")</f>
        <v/>
      </c>
      <c r="L891" s="4" t="str">
        <f>HYPERLINK("http://141.218.60.56/~jnz1568/getInfo.php?workbook=03_02.xlsx&amp;sheet=A0&amp;row=891&amp;col=12&amp;number=&amp;sourceID=30","")</f>
        <v/>
      </c>
      <c r="M891" s="4" t="str">
        <f>HYPERLINK("http://141.218.60.56/~jnz1568/getInfo.php?workbook=03_02.xlsx&amp;sheet=A0&amp;row=891&amp;col=13&amp;number=&amp;sourceID=30","")</f>
        <v/>
      </c>
      <c r="N891" s="4" t="str">
        <f>HYPERLINK("http://141.218.60.56/~jnz1568/getInfo.php?workbook=03_02.xlsx&amp;sheet=A0&amp;row=891&amp;col=14&amp;number=1.405e-06&amp;sourceID=30","1.405e-06")</f>
        <v>1.405e-06</v>
      </c>
    </row>
    <row r="892" spans="1:14">
      <c r="A892" s="3">
        <v>3</v>
      </c>
      <c r="B892" s="3">
        <v>2</v>
      </c>
      <c r="C892" s="3">
        <v>49</v>
      </c>
      <c r="D892" s="3">
        <v>26</v>
      </c>
      <c r="E892" s="3">
        <f>((1/(INDEX(E0!J$4:J$52,C892,1)-INDEX(E0!J$4:J$52,D892,1))))*100000000</f>
        <v>0</v>
      </c>
      <c r="F892" s="4" t="str">
        <f>HYPERLINK("http://141.218.60.56/~jnz1568/getInfo.php?workbook=03_02.xlsx&amp;sheet=A0&amp;row=892&amp;col=6&amp;number=&amp;sourceID=27","")</f>
        <v/>
      </c>
      <c r="G892" s="4" t="str">
        <f>HYPERLINK("http://141.218.60.56/~jnz1568/getInfo.php?workbook=03_02.xlsx&amp;sheet=A0&amp;row=892&amp;col=7&amp;number=2579700&amp;sourceID=15","2579700")</f>
        <v>2579700</v>
      </c>
      <c r="H892" s="4" t="str">
        <f>HYPERLINK("http://141.218.60.56/~jnz1568/getInfo.php?workbook=03_02.xlsx&amp;sheet=A0&amp;row=892&amp;col=8&amp;number=&amp;sourceID=15","")</f>
        <v/>
      </c>
      <c r="I892" s="4" t="str">
        <f>HYPERLINK("http://141.218.60.56/~jnz1568/getInfo.php?workbook=03_02.xlsx&amp;sheet=A0&amp;row=892&amp;col=9&amp;number=&amp;sourceID=15","")</f>
        <v/>
      </c>
      <c r="J892" s="4" t="str">
        <f>HYPERLINK("http://141.218.60.56/~jnz1568/getInfo.php?workbook=03_02.xlsx&amp;sheet=A0&amp;row=892&amp;col=10&amp;number=&amp;sourceID=15","")</f>
        <v/>
      </c>
      <c r="K892" s="4" t="str">
        <f>HYPERLINK("http://141.218.60.56/~jnz1568/getInfo.php?workbook=03_02.xlsx&amp;sheet=A0&amp;row=892&amp;col=11&amp;number=2296000&amp;sourceID=30","2296000")</f>
        <v>2296000</v>
      </c>
      <c r="L892" s="4" t="str">
        <f>HYPERLINK("http://141.218.60.56/~jnz1568/getInfo.php?workbook=03_02.xlsx&amp;sheet=A0&amp;row=892&amp;col=12&amp;number=&amp;sourceID=30","")</f>
        <v/>
      </c>
      <c r="M892" s="4" t="str">
        <f>HYPERLINK("http://141.218.60.56/~jnz1568/getInfo.php?workbook=03_02.xlsx&amp;sheet=A0&amp;row=892&amp;col=13&amp;number=&amp;sourceID=30","")</f>
        <v/>
      </c>
      <c r="N892" s="4" t="str">
        <f>HYPERLINK("http://141.218.60.56/~jnz1568/getInfo.php?workbook=03_02.xlsx&amp;sheet=A0&amp;row=892&amp;col=14&amp;number=7.046e-07&amp;sourceID=30","7.046e-07")</f>
        <v>7.046e-07</v>
      </c>
    </row>
    <row r="893" spans="1:14">
      <c r="A893" s="3">
        <v>3</v>
      </c>
      <c r="B893" s="3">
        <v>2</v>
      </c>
      <c r="C893" s="3">
        <v>49</v>
      </c>
      <c r="D893" s="3">
        <v>27</v>
      </c>
      <c r="E893" s="3">
        <f>((1/(INDEX(E0!J$4:J$52,C893,1)-INDEX(E0!J$4:J$52,D893,1))))*100000000</f>
        <v>0</v>
      </c>
      <c r="F893" s="4" t="str">
        <f>HYPERLINK("http://141.218.60.56/~jnz1568/getInfo.php?workbook=03_02.xlsx&amp;sheet=A0&amp;row=893&amp;col=6&amp;number=&amp;sourceID=27","")</f>
        <v/>
      </c>
      <c r="G893" s="4" t="str">
        <f>HYPERLINK("http://141.218.60.56/~jnz1568/getInfo.php?workbook=03_02.xlsx&amp;sheet=A0&amp;row=893&amp;col=7&amp;number=&amp;sourceID=15","")</f>
        <v/>
      </c>
      <c r="H893" s="4" t="str">
        <f>HYPERLINK("http://141.218.60.56/~jnz1568/getInfo.php?workbook=03_02.xlsx&amp;sheet=A0&amp;row=893&amp;col=8&amp;number=&amp;sourceID=15","")</f>
        <v/>
      </c>
      <c r="I893" s="4" t="str">
        <f>HYPERLINK("http://141.218.60.56/~jnz1568/getInfo.php?workbook=03_02.xlsx&amp;sheet=A0&amp;row=893&amp;col=9&amp;number=&amp;sourceID=15","")</f>
        <v/>
      </c>
      <c r="J893" s="4" t="str">
        <f>HYPERLINK("http://141.218.60.56/~jnz1568/getInfo.php?workbook=03_02.xlsx&amp;sheet=A0&amp;row=893&amp;col=10&amp;number=&amp;sourceID=15","")</f>
        <v/>
      </c>
      <c r="K893" s="4" t="str">
        <f>HYPERLINK("http://141.218.60.56/~jnz1568/getInfo.php?workbook=03_02.xlsx&amp;sheet=A0&amp;row=893&amp;col=11&amp;number=&amp;sourceID=30","")</f>
        <v/>
      </c>
      <c r="L893" s="4" t="str">
        <f>HYPERLINK("http://141.218.60.56/~jnz1568/getInfo.php?workbook=03_02.xlsx&amp;sheet=A0&amp;row=893&amp;col=12&amp;number=3.462e-07&amp;sourceID=30","3.462e-07")</f>
        <v>3.462e-07</v>
      </c>
      <c r="M893" s="4" t="str">
        <f>HYPERLINK("http://141.218.60.56/~jnz1568/getInfo.php?workbook=03_02.xlsx&amp;sheet=A0&amp;row=893&amp;col=13&amp;number=2e-15&amp;sourceID=30","2e-15")</f>
        <v>2e-15</v>
      </c>
      <c r="N893" s="4" t="str">
        <f>HYPERLINK("http://141.218.60.56/~jnz1568/getInfo.php?workbook=03_02.xlsx&amp;sheet=A0&amp;row=893&amp;col=14&amp;number=&amp;sourceID=30","")</f>
        <v/>
      </c>
    </row>
    <row r="894" spans="1:14">
      <c r="A894" s="3">
        <v>3</v>
      </c>
      <c r="B894" s="3">
        <v>2</v>
      </c>
      <c r="C894" s="3">
        <v>49</v>
      </c>
      <c r="D894" s="3">
        <v>28</v>
      </c>
      <c r="E894" s="3">
        <f>((1/(INDEX(E0!J$4:J$52,C894,1)-INDEX(E0!J$4:J$52,D894,1))))*100000000</f>
        <v>0</v>
      </c>
      <c r="F894" s="4" t="str">
        <f>HYPERLINK("http://141.218.60.56/~jnz1568/getInfo.php?workbook=03_02.xlsx&amp;sheet=A0&amp;row=894&amp;col=6&amp;number=&amp;sourceID=27","")</f>
        <v/>
      </c>
      <c r="G894" s="4" t="str">
        <f>HYPERLINK("http://141.218.60.56/~jnz1568/getInfo.php?workbook=03_02.xlsx&amp;sheet=A0&amp;row=894&amp;col=7&amp;number=&amp;sourceID=15","")</f>
        <v/>
      </c>
      <c r="H894" s="4" t="str">
        <f>HYPERLINK("http://141.218.60.56/~jnz1568/getInfo.php?workbook=03_02.xlsx&amp;sheet=A0&amp;row=894&amp;col=8&amp;number=&amp;sourceID=15","")</f>
        <v/>
      </c>
      <c r="I894" s="4" t="str">
        <f>HYPERLINK("http://141.218.60.56/~jnz1568/getInfo.php?workbook=03_02.xlsx&amp;sheet=A0&amp;row=894&amp;col=9&amp;number=&amp;sourceID=15","")</f>
        <v/>
      </c>
      <c r="J894" s="4" t="str">
        <f>HYPERLINK("http://141.218.60.56/~jnz1568/getInfo.php?workbook=03_02.xlsx&amp;sheet=A0&amp;row=894&amp;col=10&amp;number=&amp;sourceID=15","")</f>
        <v/>
      </c>
      <c r="K894" s="4" t="str">
        <f>HYPERLINK("http://141.218.60.56/~jnz1568/getInfo.php?workbook=03_02.xlsx&amp;sheet=A0&amp;row=894&amp;col=11&amp;number=&amp;sourceID=30","")</f>
        <v/>
      </c>
      <c r="L894" s="4" t="str">
        <f>HYPERLINK("http://141.218.60.56/~jnz1568/getInfo.php?workbook=03_02.xlsx&amp;sheet=A0&amp;row=894&amp;col=12&amp;number=0.599&amp;sourceID=30","0.599")</f>
        <v>0.599</v>
      </c>
      <c r="M894" s="4" t="str">
        <f>HYPERLINK("http://141.218.60.56/~jnz1568/getInfo.php?workbook=03_02.xlsx&amp;sheet=A0&amp;row=894&amp;col=13&amp;number=&amp;sourceID=30","")</f>
        <v/>
      </c>
      <c r="N894" s="4" t="str">
        <f>HYPERLINK("http://141.218.60.56/~jnz1568/getInfo.php?workbook=03_02.xlsx&amp;sheet=A0&amp;row=894&amp;col=14&amp;number=&amp;sourceID=30","")</f>
        <v/>
      </c>
    </row>
    <row r="895" spans="1:14">
      <c r="A895" s="3">
        <v>3</v>
      </c>
      <c r="B895" s="3">
        <v>2</v>
      </c>
      <c r="C895" s="3">
        <v>49</v>
      </c>
      <c r="D895" s="3">
        <v>30</v>
      </c>
      <c r="E895" s="3">
        <f>((1/(INDEX(E0!J$4:J$52,C895,1)-INDEX(E0!J$4:J$52,D895,1))))*100000000</f>
        <v>0</v>
      </c>
      <c r="F895" s="4" t="str">
        <f>HYPERLINK("http://141.218.60.56/~jnz1568/getInfo.php?workbook=03_02.xlsx&amp;sheet=A0&amp;row=895&amp;col=6&amp;number=&amp;sourceID=27","")</f>
        <v/>
      </c>
      <c r="G895" s="4" t="str">
        <f>HYPERLINK("http://141.218.60.56/~jnz1568/getInfo.php?workbook=03_02.xlsx&amp;sheet=A0&amp;row=895&amp;col=7&amp;number=&amp;sourceID=15","")</f>
        <v/>
      </c>
      <c r="H895" s="4" t="str">
        <f>HYPERLINK("http://141.218.60.56/~jnz1568/getInfo.php?workbook=03_02.xlsx&amp;sheet=A0&amp;row=895&amp;col=8&amp;number=&amp;sourceID=15","")</f>
        <v/>
      </c>
      <c r="I895" s="4" t="str">
        <f>HYPERLINK("http://141.218.60.56/~jnz1568/getInfo.php?workbook=03_02.xlsx&amp;sheet=A0&amp;row=895&amp;col=9&amp;number=&amp;sourceID=15","")</f>
        <v/>
      </c>
      <c r="J895" s="4" t="str">
        <f>HYPERLINK("http://141.218.60.56/~jnz1568/getInfo.php?workbook=03_02.xlsx&amp;sheet=A0&amp;row=895&amp;col=10&amp;number=&amp;sourceID=15","")</f>
        <v/>
      </c>
      <c r="K895" s="4" t="str">
        <f>HYPERLINK("http://141.218.60.56/~jnz1568/getInfo.php?workbook=03_02.xlsx&amp;sheet=A0&amp;row=895&amp;col=11&amp;number=&amp;sourceID=30","")</f>
        <v/>
      </c>
      <c r="L895" s="4" t="str">
        <f>HYPERLINK("http://141.218.60.56/~jnz1568/getInfo.php?workbook=03_02.xlsx&amp;sheet=A0&amp;row=895&amp;col=12&amp;number=2.226&amp;sourceID=30","2.226")</f>
        <v>2.226</v>
      </c>
      <c r="M895" s="4" t="str">
        <f>HYPERLINK("http://141.218.60.56/~jnz1568/getInfo.php?workbook=03_02.xlsx&amp;sheet=A0&amp;row=895&amp;col=13&amp;number=&amp;sourceID=30","")</f>
        <v/>
      </c>
      <c r="N895" s="4" t="str">
        <f>HYPERLINK("http://141.218.60.56/~jnz1568/getInfo.php?workbook=03_02.xlsx&amp;sheet=A0&amp;row=895&amp;col=14&amp;number=&amp;sourceID=30","")</f>
        <v/>
      </c>
    </row>
    <row r="896" spans="1:14">
      <c r="A896" s="3">
        <v>3</v>
      </c>
      <c r="B896" s="3">
        <v>2</v>
      </c>
      <c r="C896" s="3">
        <v>49</v>
      </c>
      <c r="D896" s="3">
        <v>31</v>
      </c>
      <c r="E896" s="3">
        <f>((1/(INDEX(E0!J$4:J$52,C896,1)-INDEX(E0!J$4:J$52,D896,1))))*100000000</f>
        <v>0</v>
      </c>
      <c r="F896" s="4" t="str">
        <f>HYPERLINK("http://141.218.60.56/~jnz1568/getInfo.php?workbook=03_02.xlsx&amp;sheet=A0&amp;row=896&amp;col=6&amp;number=&amp;sourceID=27","")</f>
        <v/>
      </c>
      <c r="G896" s="4" t="str">
        <f>HYPERLINK("http://141.218.60.56/~jnz1568/getInfo.php?workbook=03_02.xlsx&amp;sheet=A0&amp;row=896&amp;col=7&amp;number=&amp;sourceID=15","")</f>
        <v/>
      </c>
      <c r="H896" s="4" t="str">
        <f>HYPERLINK("http://141.218.60.56/~jnz1568/getInfo.php?workbook=03_02.xlsx&amp;sheet=A0&amp;row=896&amp;col=8&amp;number=28.95&amp;sourceID=15","28.95")</f>
        <v>28.95</v>
      </c>
      <c r="I896" s="4" t="str">
        <f>HYPERLINK("http://141.218.60.56/~jnz1568/getInfo.php?workbook=03_02.xlsx&amp;sheet=A0&amp;row=896&amp;col=9&amp;number=&amp;sourceID=15","")</f>
        <v/>
      </c>
      <c r="J896" s="4" t="str">
        <f>HYPERLINK("http://141.218.60.56/~jnz1568/getInfo.php?workbook=03_02.xlsx&amp;sheet=A0&amp;row=896&amp;col=10&amp;number=&amp;sourceID=15","")</f>
        <v/>
      </c>
      <c r="K896" s="4" t="str">
        <f>HYPERLINK("http://141.218.60.56/~jnz1568/getInfo.php?workbook=03_02.xlsx&amp;sheet=A0&amp;row=896&amp;col=11&amp;number=&amp;sourceID=30","")</f>
        <v/>
      </c>
      <c r="L896" s="4" t="str">
        <f>HYPERLINK("http://141.218.60.56/~jnz1568/getInfo.php?workbook=03_02.xlsx&amp;sheet=A0&amp;row=896&amp;col=12&amp;number=35.79&amp;sourceID=30","35.79")</f>
        <v>35.79</v>
      </c>
      <c r="M896" s="4" t="str">
        <f>HYPERLINK("http://141.218.60.56/~jnz1568/getInfo.php?workbook=03_02.xlsx&amp;sheet=A0&amp;row=896&amp;col=13&amp;number=1.099e-09&amp;sourceID=30","1.099e-09")</f>
        <v>1.099e-09</v>
      </c>
      <c r="N896" s="4" t="str">
        <f>HYPERLINK("http://141.218.60.56/~jnz1568/getInfo.php?workbook=03_02.xlsx&amp;sheet=A0&amp;row=896&amp;col=14&amp;number=&amp;sourceID=30","")</f>
        <v/>
      </c>
    </row>
    <row r="897" spans="1:14">
      <c r="A897" s="3">
        <v>3</v>
      </c>
      <c r="B897" s="3">
        <v>2</v>
      </c>
      <c r="C897" s="3">
        <v>49</v>
      </c>
      <c r="D897" s="3">
        <v>32</v>
      </c>
      <c r="E897" s="3">
        <f>((1/(INDEX(E0!J$4:J$52,C897,1)-INDEX(E0!J$4:J$52,D897,1))))*100000000</f>
        <v>0</v>
      </c>
      <c r="F897" s="4" t="str">
        <f>HYPERLINK("http://141.218.60.56/~jnz1568/getInfo.php?workbook=03_02.xlsx&amp;sheet=A0&amp;row=897&amp;col=6&amp;number=&amp;sourceID=27","")</f>
        <v/>
      </c>
      <c r="G897" s="4" t="str">
        <f>HYPERLINK("http://141.218.60.56/~jnz1568/getInfo.php?workbook=03_02.xlsx&amp;sheet=A0&amp;row=897&amp;col=7&amp;number=&amp;sourceID=15","")</f>
        <v/>
      </c>
      <c r="H897" s="4" t="str">
        <f>HYPERLINK("http://141.218.60.56/~jnz1568/getInfo.php?workbook=03_02.xlsx&amp;sheet=A0&amp;row=897&amp;col=8&amp;number=&amp;sourceID=15","")</f>
        <v/>
      </c>
      <c r="I897" s="4" t="str">
        <f>HYPERLINK("http://141.218.60.56/~jnz1568/getInfo.php?workbook=03_02.xlsx&amp;sheet=A0&amp;row=897&amp;col=9&amp;number=&amp;sourceID=15","")</f>
        <v/>
      </c>
      <c r="J897" s="4" t="str">
        <f>HYPERLINK("http://141.218.60.56/~jnz1568/getInfo.php?workbook=03_02.xlsx&amp;sheet=A0&amp;row=897&amp;col=10&amp;number=&amp;sourceID=15","")</f>
        <v/>
      </c>
      <c r="K897" s="4" t="str">
        <f>HYPERLINK("http://141.218.60.56/~jnz1568/getInfo.php?workbook=03_02.xlsx&amp;sheet=A0&amp;row=897&amp;col=11&amp;number=0.336&amp;sourceID=30","0.336")</f>
        <v>0.336</v>
      </c>
      <c r="L897" s="4" t="str">
        <f>HYPERLINK("http://141.218.60.56/~jnz1568/getInfo.php?workbook=03_02.xlsx&amp;sheet=A0&amp;row=897&amp;col=12&amp;number=&amp;sourceID=30","")</f>
        <v/>
      </c>
      <c r="M897" s="4" t="str">
        <f>HYPERLINK("http://141.218.60.56/~jnz1568/getInfo.php?workbook=03_02.xlsx&amp;sheet=A0&amp;row=897&amp;col=13&amp;number=&amp;sourceID=30","")</f>
        <v/>
      </c>
      <c r="N897" s="4" t="str">
        <f>HYPERLINK("http://141.218.60.56/~jnz1568/getInfo.php?workbook=03_02.xlsx&amp;sheet=A0&amp;row=897&amp;col=14&amp;number=1.498e-08&amp;sourceID=30","1.498e-08")</f>
        <v>1.498e-08</v>
      </c>
    </row>
    <row r="898" spans="1:14">
      <c r="A898" s="3">
        <v>3</v>
      </c>
      <c r="B898" s="3">
        <v>2</v>
      </c>
      <c r="C898" s="3">
        <v>49</v>
      </c>
      <c r="D898" s="3">
        <v>33</v>
      </c>
      <c r="E898" s="3">
        <f>((1/(INDEX(E0!J$4:J$52,C898,1)-INDEX(E0!J$4:J$52,D898,1))))*100000000</f>
        <v>0</v>
      </c>
      <c r="F898" s="4" t="str">
        <f>HYPERLINK("http://141.218.60.56/~jnz1568/getInfo.php?workbook=03_02.xlsx&amp;sheet=A0&amp;row=898&amp;col=6&amp;number=&amp;sourceID=27","")</f>
        <v/>
      </c>
      <c r="G898" s="4" t="str">
        <f>HYPERLINK("http://141.218.60.56/~jnz1568/getInfo.php?workbook=03_02.xlsx&amp;sheet=A0&amp;row=898&amp;col=7&amp;number=55749&amp;sourceID=15","55749")</f>
        <v>55749</v>
      </c>
      <c r="H898" s="4" t="str">
        <f>HYPERLINK("http://141.218.60.56/~jnz1568/getInfo.php?workbook=03_02.xlsx&amp;sheet=A0&amp;row=898&amp;col=8&amp;number=&amp;sourceID=15","")</f>
        <v/>
      </c>
      <c r="I898" s="4" t="str">
        <f>HYPERLINK("http://141.218.60.56/~jnz1568/getInfo.php?workbook=03_02.xlsx&amp;sheet=A0&amp;row=898&amp;col=9&amp;number=&amp;sourceID=15","")</f>
        <v/>
      </c>
      <c r="J898" s="4" t="str">
        <f>HYPERLINK("http://141.218.60.56/~jnz1568/getInfo.php?workbook=03_02.xlsx&amp;sheet=A0&amp;row=898&amp;col=10&amp;number=&amp;sourceID=15","")</f>
        <v/>
      </c>
      <c r="K898" s="4" t="str">
        <f>HYPERLINK("http://141.218.60.56/~jnz1568/getInfo.php?workbook=03_02.xlsx&amp;sheet=A0&amp;row=898&amp;col=11&amp;number=280.4&amp;sourceID=30","280.4")</f>
        <v>280.4</v>
      </c>
      <c r="L898" s="4" t="str">
        <f>HYPERLINK("http://141.218.60.56/~jnz1568/getInfo.php?workbook=03_02.xlsx&amp;sheet=A0&amp;row=898&amp;col=12&amp;number=&amp;sourceID=30","")</f>
        <v/>
      </c>
      <c r="M898" s="4" t="str">
        <f>HYPERLINK("http://141.218.60.56/~jnz1568/getInfo.php?workbook=03_02.xlsx&amp;sheet=A0&amp;row=898&amp;col=13&amp;number=&amp;sourceID=30","")</f>
        <v/>
      </c>
      <c r="N898" s="4" t="str">
        <f>HYPERLINK("http://141.218.60.56/~jnz1568/getInfo.php?workbook=03_02.xlsx&amp;sheet=A0&amp;row=898&amp;col=14&amp;number=&amp;sourceID=30","")</f>
        <v/>
      </c>
    </row>
    <row r="899" spans="1:14">
      <c r="A899" s="3">
        <v>3</v>
      </c>
      <c r="B899" s="3">
        <v>2</v>
      </c>
      <c r="C899" s="3">
        <v>49</v>
      </c>
      <c r="D899" s="3">
        <v>34</v>
      </c>
      <c r="E899" s="3">
        <f>((1/(INDEX(E0!J$4:J$52,C899,1)-INDEX(E0!J$4:J$52,D899,1))))*100000000</f>
        <v>0</v>
      </c>
      <c r="F899" s="4" t="str">
        <f>HYPERLINK("http://141.218.60.56/~jnz1568/getInfo.php?workbook=03_02.xlsx&amp;sheet=A0&amp;row=899&amp;col=6&amp;number=&amp;sourceID=27","")</f>
        <v/>
      </c>
      <c r="G899" s="4" t="str">
        <f>HYPERLINK("http://141.218.60.56/~jnz1568/getInfo.php?workbook=03_02.xlsx&amp;sheet=A0&amp;row=899&amp;col=7&amp;number=&amp;sourceID=15","")</f>
        <v/>
      </c>
      <c r="H899" s="4" t="str">
        <f>HYPERLINK("http://141.218.60.56/~jnz1568/getInfo.php?workbook=03_02.xlsx&amp;sheet=A0&amp;row=899&amp;col=8&amp;number=&amp;sourceID=15","")</f>
        <v/>
      </c>
      <c r="I899" s="4" t="str">
        <f>HYPERLINK("http://141.218.60.56/~jnz1568/getInfo.php?workbook=03_02.xlsx&amp;sheet=A0&amp;row=899&amp;col=9&amp;number=&amp;sourceID=15","")</f>
        <v/>
      </c>
      <c r="J899" s="4" t="str">
        <f>HYPERLINK("http://141.218.60.56/~jnz1568/getInfo.php?workbook=03_02.xlsx&amp;sheet=A0&amp;row=899&amp;col=10&amp;number=&amp;sourceID=15","")</f>
        <v/>
      </c>
      <c r="K899" s="4" t="str">
        <f>HYPERLINK("http://141.218.60.56/~jnz1568/getInfo.php?workbook=03_02.xlsx&amp;sheet=A0&amp;row=899&amp;col=11&amp;number=&amp;sourceID=30","")</f>
        <v/>
      </c>
      <c r="L899" s="4" t="str">
        <f>HYPERLINK("http://141.218.60.56/~jnz1568/getInfo.php?workbook=03_02.xlsx&amp;sheet=A0&amp;row=899&amp;col=12&amp;number=&amp;sourceID=30","")</f>
        <v/>
      </c>
      <c r="M899" s="4" t="str">
        <f>HYPERLINK("http://141.218.60.56/~jnz1568/getInfo.php?workbook=03_02.xlsx&amp;sheet=A0&amp;row=899&amp;col=13&amp;number=2.265e-09&amp;sourceID=30","2.265e-09")</f>
        <v>2.265e-09</v>
      </c>
      <c r="N899" s="4" t="str">
        <f>HYPERLINK("http://141.218.60.56/~jnz1568/getInfo.php?workbook=03_02.xlsx&amp;sheet=A0&amp;row=899&amp;col=14&amp;number=&amp;sourceID=30","")</f>
        <v/>
      </c>
    </row>
    <row r="900" spans="1:14">
      <c r="A900" s="3">
        <v>3</v>
      </c>
      <c r="B900" s="3">
        <v>2</v>
      </c>
      <c r="C900" s="3">
        <v>49</v>
      </c>
      <c r="D900" s="3">
        <v>35</v>
      </c>
      <c r="E900" s="3">
        <f>((1/(INDEX(E0!J$4:J$52,C900,1)-INDEX(E0!J$4:J$52,D900,1))))*100000000</f>
        <v>0</v>
      </c>
      <c r="F900" s="4" t="str">
        <f>HYPERLINK("http://141.218.60.56/~jnz1568/getInfo.php?workbook=03_02.xlsx&amp;sheet=A0&amp;row=900&amp;col=6&amp;number=&amp;sourceID=27","")</f>
        <v/>
      </c>
      <c r="G900" s="4" t="str">
        <f>HYPERLINK("http://141.218.60.56/~jnz1568/getInfo.php?workbook=03_02.xlsx&amp;sheet=A0&amp;row=900&amp;col=7&amp;number=&amp;sourceID=15","")</f>
        <v/>
      </c>
      <c r="H900" s="4" t="str">
        <f>HYPERLINK("http://141.218.60.56/~jnz1568/getInfo.php?workbook=03_02.xlsx&amp;sheet=A0&amp;row=900&amp;col=8&amp;number=&amp;sourceID=15","")</f>
        <v/>
      </c>
      <c r="I900" s="4" t="str">
        <f>HYPERLINK("http://141.218.60.56/~jnz1568/getInfo.php?workbook=03_02.xlsx&amp;sheet=A0&amp;row=900&amp;col=9&amp;number=&amp;sourceID=15","")</f>
        <v/>
      </c>
      <c r="J900" s="4" t="str">
        <f>HYPERLINK("http://141.218.60.56/~jnz1568/getInfo.php?workbook=03_02.xlsx&amp;sheet=A0&amp;row=900&amp;col=10&amp;number=&amp;sourceID=15","")</f>
        <v/>
      </c>
      <c r="K900" s="4" t="str">
        <f>HYPERLINK("http://141.218.60.56/~jnz1568/getInfo.php?workbook=03_02.xlsx&amp;sheet=A0&amp;row=900&amp;col=11&amp;number=&amp;sourceID=30","")</f>
        <v/>
      </c>
      <c r="L900" s="4" t="str">
        <f>HYPERLINK("http://141.218.60.56/~jnz1568/getInfo.php?workbook=03_02.xlsx&amp;sheet=A0&amp;row=900&amp;col=12&amp;number=4.466e-10&amp;sourceID=30","4.466e-10")</f>
        <v>4.466e-10</v>
      </c>
      <c r="M900" s="4" t="str">
        <f>HYPERLINK("http://141.218.60.56/~jnz1568/getInfo.php?workbook=03_02.xlsx&amp;sheet=A0&amp;row=900&amp;col=13&amp;number=2.255e-09&amp;sourceID=30","2.255e-09")</f>
        <v>2.255e-09</v>
      </c>
      <c r="N900" s="4" t="str">
        <f>HYPERLINK("http://141.218.60.56/~jnz1568/getInfo.php?workbook=03_02.xlsx&amp;sheet=A0&amp;row=900&amp;col=14&amp;number=&amp;sourceID=30","")</f>
        <v/>
      </c>
    </row>
    <row r="901" spans="1:14">
      <c r="A901" s="3">
        <v>3</v>
      </c>
      <c r="B901" s="3">
        <v>2</v>
      </c>
      <c r="C901" s="3">
        <v>49</v>
      </c>
      <c r="D901" s="3">
        <v>36</v>
      </c>
      <c r="E901" s="3">
        <f>((1/(INDEX(E0!J$4:J$52,C901,1)-INDEX(E0!J$4:J$52,D901,1))))*100000000</f>
        <v>0</v>
      </c>
      <c r="F901" s="4" t="str">
        <f>HYPERLINK("http://141.218.60.56/~jnz1568/getInfo.php?workbook=03_02.xlsx&amp;sheet=A0&amp;row=901&amp;col=6&amp;number=&amp;sourceID=27","")</f>
        <v/>
      </c>
      <c r="G901" s="4" t="str">
        <f>HYPERLINK("http://141.218.60.56/~jnz1568/getInfo.php?workbook=03_02.xlsx&amp;sheet=A0&amp;row=901&amp;col=7&amp;number=&amp;sourceID=15","")</f>
        <v/>
      </c>
      <c r="H901" s="4" t="str">
        <f>HYPERLINK("http://141.218.60.56/~jnz1568/getInfo.php?workbook=03_02.xlsx&amp;sheet=A0&amp;row=901&amp;col=8&amp;number=&amp;sourceID=15","")</f>
        <v/>
      </c>
      <c r="I901" s="4" t="str">
        <f>HYPERLINK("http://141.218.60.56/~jnz1568/getInfo.php?workbook=03_02.xlsx&amp;sheet=A0&amp;row=901&amp;col=9&amp;number=&amp;sourceID=15","")</f>
        <v/>
      </c>
      <c r="J901" s="4" t="str">
        <f>HYPERLINK("http://141.218.60.56/~jnz1568/getInfo.php?workbook=03_02.xlsx&amp;sheet=A0&amp;row=901&amp;col=10&amp;number=&amp;sourceID=15","")</f>
        <v/>
      </c>
      <c r="K901" s="4" t="str">
        <f>HYPERLINK("http://141.218.60.56/~jnz1568/getInfo.php?workbook=03_02.xlsx&amp;sheet=A0&amp;row=901&amp;col=11&amp;number=&amp;sourceID=30","")</f>
        <v/>
      </c>
      <c r="L901" s="4" t="str">
        <f>HYPERLINK("http://141.218.60.56/~jnz1568/getInfo.php?workbook=03_02.xlsx&amp;sheet=A0&amp;row=901&amp;col=12&amp;number=1.627e-10&amp;sourceID=30","1.627e-10")</f>
        <v>1.627e-10</v>
      </c>
      <c r="M901" s="4" t="str">
        <f>HYPERLINK("http://141.218.60.56/~jnz1568/getInfo.php?workbook=03_02.xlsx&amp;sheet=A0&amp;row=901&amp;col=13&amp;number=8.735e-10&amp;sourceID=30","8.735e-10")</f>
        <v>8.735e-10</v>
      </c>
      <c r="N901" s="4" t="str">
        <f>HYPERLINK("http://141.218.60.56/~jnz1568/getInfo.php?workbook=03_02.xlsx&amp;sheet=A0&amp;row=901&amp;col=14&amp;number=&amp;sourceID=30","")</f>
        <v/>
      </c>
    </row>
    <row r="902" spans="1:14">
      <c r="A902" s="3">
        <v>3</v>
      </c>
      <c r="B902" s="3">
        <v>2</v>
      </c>
      <c r="C902" s="3">
        <v>49</v>
      </c>
      <c r="D902" s="3">
        <v>37</v>
      </c>
      <c r="E902" s="3">
        <f>((1/(INDEX(E0!J$4:J$52,C902,1)-INDEX(E0!J$4:J$52,D902,1))))*100000000</f>
        <v>0</v>
      </c>
      <c r="F902" s="4" t="str">
        <f>HYPERLINK("http://141.218.60.56/~jnz1568/getInfo.php?workbook=03_02.xlsx&amp;sheet=A0&amp;row=902&amp;col=6&amp;number=&amp;sourceID=27","")</f>
        <v/>
      </c>
      <c r="G902" s="4" t="str">
        <f>HYPERLINK("http://141.218.60.56/~jnz1568/getInfo.php?workbook=03_02.xlsx&amp;sheet=A0&amp;row=902&amp;col=7&amp;number=8.056e-05&amp;sourceID=15","8.056e-05")</f>
        <v>8.056e-05</v>
      </c>
      <c r="H902" s="4" t="str">
        <f>HYPERLINK("http://141.218.60.56/~jnz1568/getInfo.php?workbook=03_02.xlsx&amp;sheet=A0&amp;row=902&amp;col=8&amp;number=&amp;sourceID=15","")</f>
        <v/>
      </c>
      <c r="I902" s="4" t="str">
        <f>HYPERLINK("http://141.218.60.56/~jnz1568/getInfo.php?workbook=03_02.xlsx&amp;sheet=A0&amp;row=902&amp;col=9&amp;number=&amp;sourceID=15","")</f>
        <v/>
      </c>
      <c r="J902" s="4" t="str">
        <f>HYPERLINK("http://141.218.60.56/~jnz1568/getInfo.php?workbook=03_02.xlsx&amp;sheet=A0&amp;row=902&amp;col=10&amp;number=&amp;sourceID=15","")</f>
        <v/>
      </c>
      <c r="K902" s="4" t="str">
        <f>HYPERLINK("http://141.218.60.56/~jnz1568/getInfo.php?workbook=03_02.xlsx&amp;sheet=A0&amp;row=902&amp;col=11&amp;number=0.0009084&amp;sourceID=30","0.0009084")</f>
        <v>0.0009084</v>
      </c>
      <c r="L902" s="4" t="str">
        <f>HYPERLINK("http://141.218.60.56/~jnz1568/getInfo.php?workbook=03_02.xlsx&amp;sheet=A0&amp;row=902&amp;col=12&amp;number=&amp;sourceID=30","")</f>
        <v/>
      </c>
      <c r="M902" s="4" t="str">
        <f>HYPERLINK("http://141.218.60.56/~jnz1568/getInfo.php?workbook=03_02.xlsx&amp;sheet=A0&amp;row=902&amp;col=13&amp;number=&amp;sourceID=30","")</f>
        <v/>
      </c>
      <c r="N902" s="4" t="str">
        <f>HYPERLINK("http://141.218.60.56/~jnz1568/getInfo.php?workbook=03_02.xlsx&amp;sheet=A0&amp;row=902&amp;col=14&amp;number=5.3e-14&amp;sourceID=30","5.3e-14")</f>
        <v>5.3e-14</v>
      </c>
    </row>
    <row r="903" spans="1:14">
      <c r="A903" s="3">
        <v>3</v>
      </c>
      <c r="B903" s="3">
        <v>2</v>
      </c>
      <c r="C903" s="3">
        <v>49</v>
      </c>
      <c r="D903" s="3">
        <v>38</v>
      </c>
      <c r="E903" s="3">
        <f>((1/(INDEX(E0!J$4:J$52,C903,1)-INDEX(E0!J$4:J$52,D903,1))))*100000000</f>
        <v>0</v>
      </c>
      <c r="F903" s="4" t="str">
        <f>HYPERLINK("http://141.218.60.56/~jnz1568/getInfo.php?workbook=03_02.xlsx&amp;sheet=A0&amp;row=903&amp;col=6&amp;number=&amp;sourceID=27","")</f>
        <v/>
      </c>
      <c r="G903" s="4" t="str">
        <f>HYPERLINK("http://141.218.60.56/~jnz1568/getInfo.php?workbook=03_02.xlsx&amp;sheet=A0&amp;row=903&amp;col=7&amp;number=0.0842&amp;sourceID=15","0.0842")</f>
        <v>0.0842</v>
      </c>
      <c r="H903" s="4" t="str">
        <f>HYPERLINK("http://141.218.60.56/~jnz1568/getInfo.php?workbook=03_02.xlsx&amp;sheet=A0&amp;row=903&amp;col=8&amp;number=&amp;sourceID=15","")</f>
        <v/>
      </c>
      <c r="I903" s="4" t="str">
        <f>HYPERLINK("http://141.218.60.56/~jnz1568/getInfo.php?workbook=03_02.xlsx&amp;sheet=A0&amp;row=903&amp;col=9&amp;number=&amp;sourceID=15","")</f>
        <v/>
      </c>
      <c r="J903" s="4" t="str">
        <f>HYPERLINK("http://141.218.60.56/~jnz1568/getInfo.php?workbook=03_02.xlsx&amp;sheet=A0&amp;row=903&amp;col=10&amp;number=&amp;sourceID=15","")</f>
        <v/>
      </c>
      <c r="K903" s="4" t="str">
        <f>HYPERLINK("http://141.218.60.56/~jnz1568/getInfo.php?workbook=03_02.xlsx&amp;sheet=A0&amp;row=903&amp;col=11&amp;number=0.5944&amp;sourceID=30","0.5944")</f>
        <v>0.5944</v>
      </c>
      <c r="L903" s="4" t="str">
        <f>HYPERLINK("http://141.218.60.56/~jnz1568/getInfo.php?workbook=03_02.xlsx&amp;sheet=A0&amp;row=903&amp;col=12&amp;number=&amp;sourceID=30","")</f>
        <v/>
      </c>
      <c r="M903" s="4" t="str">
        <f>HYPERLINK("http://141.218.60.56/~jnz1568/getInfo.php?workbook=03_02.xlsx&amp;sheet=A0&amp;row=903&amp;col=13&amp;number=&amp;sourceID=30","")</f>
        <v/>
      </c>
      <c r="N903" s="4" t="str">
        <f>HYPERLINK("http://141.218.60.56/~jnz1568/getInfo.php?workbook=03_02.xlsx&amp;sheet=A0&amp;row=903&amp;col=14&amp;number=7.76e-13&amp;sourceID=30","7.76e-13")</f>
        <v>7.76e-13</v>
      </c>
    </row>
    <row r="904" spans="1:14">
      <c r="A904" s="3">
        <v>3</v>
      </c>
      <c r="B904" s="3">
        <v>2</v>
      </c>
      <c r="C904" s="3">
        <v>49</v>
      </c>
      <c r="D904" s="3">
        <v>39</v>
      </c>
      <c r="E904" s="3">
        <f>((1/(INDEX(E0!J$4:J$52,C904,1)-INDEX(E0!J$4:J$52,D904,1))))*100000000</f>
        <v>0</v>
      </c>
      <c r="F904" s="4" t="str">
        <f>HYPERLINK("http://141.218.60.56/~jnz1568/getInfo.php?workbook=03_02.xlsx&amp;sheet=A0&amp;row=904&amp;col=6&amp;number=&amp;sourceID=27","")</f>
        <v/>
      </c>
      <c r="G904" s="4" t="str">
        <f>HYPERLINK("http://141.218.60.56/~jnz1568/getInfo.php?workbook=03_02.xlsx&amp;sheet=A0&amp;row=904&amp;col=7&amp;number=&amp;sourceID=15","")</f>
        <v/>
      </c>
      <c r="H904" s="4" t="str">
        <f>HYPERLINK("http://141.218.60.56/~jnz1568/getInfo.php?workbook=03_02.xlsx&amp;sheet=A0&amp;row=904&amp;col=8&amp;number=&amp;sourceID=15","")</f>
        <v/>
      </c>
      <c r="I904" s="4" t="str">
        <f>HYPERLINK("http://141.218.60.56/~jnz1568/getInfo.php?workbook=03_02.xlsx&amp;sheet=A0&amp;row=904&amp;col=9&amp;number=&amp;sourceID=15","")</f>
        <v/>
      </c>
      <c r="J904" s="4" t="str">
        <f>HYPERLINK("http://141.218.60.56/~jnz1568/getInfo.php?workbook=03_02.xlsx&amp;sheet=A0&amp;row=904&amp;col=10&amp;number=&amp;sourceID=15","")</f>
        <v/>
      </c>
      <c r="K904" s="4" t="str">
        <f>HYPERLINK("http://141.218.60.56/~jnz1568/getInfo.php?workbook=03_02.xlsx&amp;sheet=A0&amp;row=904&amp;col=11&amp;number=&amp;sourceID=30","")</f>
        <v/>
      </c>
      <c r="L904" s="4" t="str">
        <f>HYPERLINK("http://141.218.60.56/~jnz1568/getInfo.php?workbook=03_02.xlsx&amp;sheet=A0&amp;row=904&amp;col=12&amp;number=&amp;sourceID=30","")</f>
        <v/>
      </c>
      <c r="M904" s="4" t="str">
        <f>HYPERLINK("http://141.218.60.56/~jnz1568/getInfo.php?workbook=03_02.xlsx&amp;sheet=A0&amp;row=904&amp;col=13&amp;number=&amp;sourceID=30","")</f>
        <v/>
      </c>
      <c r="N904" s="4" t="str">
        <f>HYPERLINK("http://141.218.60.56/~jnz1568/getInfo.php?workbook=03_02.xlsx&amp;sheet=A0&amp;row=904&amp;col=14&amp;number=4.456e-12&amp;sourceID=30","4.456e-12")</f>
        <v>4.456e-12</v>
      </c>
    </row>
    <row r="905" spans="1:14">
      <c r="A905" s="3">
        <v>3</v>
      </c>
      <c r="B905" s="3">
        <v>2</v>
      </c>
      <c r="C905" s="3">
        <v>49</v>
      </c>
      <c r="D905" s="3">
        <v>40</v>
      </c>
      <c r="E905" s="3">
        <f>((1/(INDEX(E0!J$4:J$52,C905,1)-INDEX(E0!J$4:J$52,D905,1))))*100000000</f>
        <v>0</v>
      </c>
      <c r="F905" s="4" t="str">
        <f>HYPERLINK("http://141.218.60.56/~jnz1568/getInfo.php?workbook=03_02.xlsx&amp;sheet=A0&amp;row=905&amp;col=6&amp;number=&amp;sourceID=27","")</f>
        <v/>
      </c>
      <c r="G905" s="4" t="str">
        <f>HYPERLINK("http://141.218.60.56/~jnz1568/getInfo.php?workbook=03_02.xlsx&amp;sheet=A0&amp;row=905&amp;col=7&amp;number=441.35&amp;sourceID=15","441.35")</f>
        <v>441.35</v>
      </c>
      <c r="H905" s="4" t="str">
        <f>HYPERLINK("http://141.218.60.56/~jnz1568/getInfo.php?workbook=03_02.xlsx&amp;sheet=A0&amp;row=905&amp;col=8&amp;number=&amp;sourceID=15","")</f>
        <v/>
      </c>
      <c r="I905" s="4" t="str">
        <f>HYPERLINK("http://141.218.60.56/~jnz1568/getInfo.php?workbook=03_02.xlsx&amp;sheet=A0&amp;row=905&amp;col=9&amp;number=&amp;sourceID=15","")</f>
        <v/>
      </c>
      <c r="J905" s="4" t="str">
        <f>HYPERLINK("http://141.218.60.56/~jnz1568/getInfo.php?workbook=03_02.xlsx&amp;sheet=A0&amp;row=905&amp;col=10&amp;number=&amp;sourceID=15","")</f>
        <v/>
      </c>
      <c r="K905" s="4" t="str">
        <f>HYPERLINK("http://141.218.60.56/~jnz1568/getInfo.php?workbook=03_02.xlsx&amp;sheet=A0&amp;row=905&amp;col=11&amp;number=7617&amp;sourceID=30","7617")</f>
        <v>7617</v>
      </c>
      <c r="L905" s="4" t="str">
        <f>HYPERLINK("http://141.218.60.56/~jnz1568/getInfo.php?workbook=03_02.xlsx&amp;sheet=A0&amp;row=905&amp;col=12&amp;number=&amp;sourceID=30","")</f>
        <v/>
      </c>
      <c r="M905" s="4" t="str">
        <f>HYPERLINK("http://141.218.60.56/~jnz1568/getInfo.php?workbook=03_02.xlsx&amp;sheet=A0&amp;row=905&amp;col=13&amp;number=&amp;sourceID=30","")</f>
        <v/>
      </c>
      <c r="N905" s="4" t="str">
        <f>HYPERLINK("http://141.218.60.56/~jnz1568/getInfo.php?workbook=03_02.xlsx&amp;sheet=A0&amp;row=905&amp;col=14&amp;number=1.671e-12&amp;sourceID=30","1.671e-12")</f>
        <v>1.671e-12</v>
      </c>
    </row>
    <row r="906" spans="1:14">
      <c r="A906" s="3">
        <v>3</v>
      </c>
      <c r="B906" s="3">
        <v>2</v>
      </c>
      <c r="C906" s="3">
        <v>49</v>
      </c>
      <c r="D906" s="3">
        <v>41</v>
      </c>
      <c r="E906" s="3">
        <f>((1/(INDEX(E0!J$4:J$52,C906,1)-INDEX(E0!J$4:J$52,D906,1))))*100000000</f>
        <v>0</v>
      </c>
      <c r="F906" s="4" t="str">
        <f>HYPERLINK("http://141.218.60.56/~jnz1568/getInfo.php?workbook=03_02.xlsx&amp;sheet=A0&amp;row=906&amp;col=6&amp;number=&amp;sourceID=27","")</f>
        <v/>
      </c>
      <c r="G906" s="4" t="str">
        <f>HYPERLINK("http://141.218.60.56/~jnz1568/getInfo.php?workbook=03_02.xlsx&amp;sheet=A0&amp;row=906&amp;col=7&amp;number=&amp;sourceID=15","")</f>
        <v/>
      </c>
      <c r="H906" s="4" t="str">
        <f>HYPERLINK("http://141.218.60.56/~jnz1568/getInfo.php?workbook=03_02.xlsx&amp;sheet=A0&amp;row=906&amp;col=8&amp;number=&amp;sourceID=15","")</f>
        <v/>
      </c>
      <c r="I906" s="4" t="str">
        <f>HYPERLINK("http://141.218.60.56/~jnz1568/getInfo.php?workbook=03_02.xlsx&amp;sheet=A0&amp;row=906&amp;col=9&amp;number=&amp;sourceID=15","")</f>
        <v/>
      </c>
      <c r="J906" s="4" t="str">
        <f>HYPERLINK("http://141.218.60.56/~jnz1568/getInfo.php?workbook=03_02.xlsx&amp;sheet=A0&amp;row=906&amp;col=10&amp;number=&amp;sourceID=15","")</f>
        <v/>
      </c>
      <c r="K906" s="4" t="str">
        <f>HYPERLINK("http://141.218.60.56/~jnz1568/getInfo.php?workbook=03_02.xlsx&amp;sheet=A0&amp;row=906&amp;col=11&amp;number=&amp;sourceID=30","")</f>
        <v/>
      </c>
      <c r="L906" s="4" t="str">
        <f>HYPERLINK("http://141.218.60.56/~jnz1568/getInfo.php?workbook=03_02.xlsx&amp;sheet=A0&amp;row=906&amp;col=12&amp;number=1.152e-12&amp;sourceID=30","1.152e-12")</f>
        <v>1.152e-12</v>
      </c>
      <c r="M906" s="4" t="str">
        <f>HYPERLINK("http://141.218.60.56/~jnz1568/getInfo.php?workbook=03_02.xlsx&amp;sheet=A0&amp;row=906&amp;col=13&amp;number=0&amp;sourceID=30","0")</f>
        <v>0</v>
      </c>
      <c r="N906" s="4" t="str">
        <f>HYPERLINK("http://141.218.60.56/~jnz1568/getInfo.php?workbook=03_02.xlsx&amp;sheet=A0&amp;row=906&amp;col=14&amp;number=&amp;sourceID=30","")</f>
        <v/>
      </c>
    </row>
    <row r="907" spans="1:14">
      <c r="A907" s="3">
        <v>3</v>
      </c>
      <c r="B907" s="3">
        <v>2</v>
      </c>
      <c r="C907" s="3">
        <v>49</v>
      </c>
      <c r="D907" s="3">
        <v>42</v>
      </c>
      <c r="E907" s="3">
        <f>((1/(INDEX(E0!J$4:J$52,C907,1)-INDEX(E0!J$4:J$52,D907,1))))*100000000</f>
        <v>0</v>
      </c>
      <c r="F907" s="4" t="str">
        <f>HYPERLINK("http://141.218.60.56/~jnz1568/getInfo.php?workbook=03_02.xlsx&amp;sheet=A0&amp;row=907&amp;col=6&amp;number=&amp;sourceID=27","")</f>
        <v/>
      </c>
      <c r="G907" s="4" t="str">
        <f>HYPERLINK("http://141.218.60.56/~jnz1568/getInfo.php?workbook=03_02.xlsx&amp;sheet=A0&amp;row=907&amp;col=7&amp;number=&amp;sourceID=15","")</f>
        <v/>
      </c>
      <c r="H907" s="4" t="str">
        <f>HYPERLINK("http://141.218.60.56/~jnz1568/getInfo.php?workbook=03_02.xlsx&amp;sheet=A0&amp;row=907&amp;col=8&amp;number=&amp;sourceID=15","")</f>
        <v/>
      </c>
      <c r="I907" s="4" t="str">
        <f>HYPERLINK("http://141.218.60.56/~jnz1568/getInfo.php?workbook=03_02.xlsx&amp;sheet=A0&amp;row=907&amp;col=9&amp;number=&amp;sourceID=15","")</f>
        <v/>
      </c>
      <c r="J907" s="4" t="str">
        <f>HYPERLINK("http://141.218.60.56/~jnz1568/getInfo.php?workbook=03_02.xlsx&amp;sheet=A0&amp;row=907&amp;col=10&amp;number=&amp;sourceID=15","")</f>
        <v/>
      </c>
      <c r="K907" s="4" t="str">
        <f>HYPERLINK("http://141.218.60.56/~jnz1568/getInfo.php?workbook=03_02.xlsx&amp;sheet=A0&amp;row=907&amp;col=11&amp;number=&amp;sourceID=30","")</f>
        <v/>
      </c>
      <c r="L907" s="4" t="str">
        <f>HYPERLINK("http://141.218.60.56/~jnz1568/getInfo.php?workbook=03_02.xlsx&amp;sheet=A0&amp;row=907&amp;col=12&amp;number=1.087e-06&amp;sourceID=30","1.087e-06")</f>
        <v>1.087e-06</v>
      </c>
      <c r="M907" s="4" t="str">
        <f>HYPERLINK("http://141.218.60.56/~jnz1568/getInfo.php?workbook=03_02.xlsx&amp;sheet=A0&amp;row=907&amp;col=13&amp;number=&amp;sourceID=30","")</f>
        <v/>
      </c>
      <c r="N907" s="4" t="str">
        <f>HYPERLINK("http://141.218.60.56/~jnz1568/getInfo.php?workbook=03_02.xlsx&amp;sheet=A0&amp;row=907&amp;col=14&amp;number=&amp;sourceID=30","")</f>
        <v/>
      </c>
    </row>
    <row r="908" spans="1:14">
      <c r="A908" s="3">
        <v>3</v>
      </c>
      <c r="B908" s="3">
        <v>2</v>
      </c>
      <c r="C908" s="3">
        <v>49</v>
      </c>
      <c r="D908" s="3">
        <v>44</v>
      </c>
      <c r="E908" s="3">
        <f>((1/(INDEX(E0!J$4:J$52,C908,1)-INDEX(E0!J$4:J$52,D908,1))))*100000000</f>
        <v>0</v>
      </c>
      <c r="F908" s="4" t="str">
        <f>HYPERLINK("http://141.218.60.56/~jnz1568/getInfo.php?workbook=03_02.xlsx&amp;sheet=A0&amp;row=908&amp;col=6&amp;number=&amp;sourceID=27","")</f>
        <v/>
      </c>
      <c r="G908" s="4" t="str">
        <f>HYPERLINK("http://141.218.60.56/~jnz1568/getInfo.php?workbook=03_02.xlsx&amp;sheet=A0&amp;row=908&amp;col=7&amp;number=&amp;sourceID=15","")</f>
        <v/>
      </c>
      <c r="H908" s="4" t="str">
        <f>HYPERLINK("http://141.218.60.56/~jnz1568/getInfo.php?workbook=03_02.xlsx&amp;sheet=A0&amp;row=908&amp;col=8&amp;number=&amp;sourceID=15","")</f>
        <v/>
      </c>
      <c r="I908" s="4" t="str">
        <f>HYPERLINK("http://141.218.60.56/~jnz1568/getInfo.php?workbook=03_02.xlsx&amp;sheet=A0&amp;row=908&amp;col=9&amp;number=&amp;sourceID=15","")</f>
        <v/>
      </c>
      <c r="J908" s="4" t="str">
        <f>HYPERLINK("http://141.218.60.56/~jnz1568/getInfo.php?workbook=03_02.xlsx&amp;sheet=A0&amp;row=908&amp;col=10&amp;number=&amp;sourceID=15","")</f>
        <v/>
      </c>
      <c r="K908" s="4" t="str">
        <f>HYPERLINK("http://141.218.60.56/~jnz1568/getInfo.php?workbook=03_02.xlsx&amp;sheet=A0&amp;row=908&amp;col=11&amp;number=&amp;sourceID=30","")</f>
        <v/>
      </c>
      <c r="L908" s="4" t="str">
        <f>HYPERLINK("http://141.218.60.56/~jnz1568/getInfo.php?workbook=03_02.xlsx&amp;sheet=A0&amp;row=908&amp;col=12&amp;number=&amp;sourceID=30","")</f>
        <v/>
      </c>
      <c r="M908" s="4" t="str">
        <f>HYPERLINK("http://141.218.60.56/~jnz1568/getInfo.php?workbook=03_02.xlsx&amp;sheet=A0&amp;row=908&amp;col=13&amp;number=&amp;sourceID=30","")</f>
        <v/>
      </c>
      <c r="N908" s="4" t="str">
        <f>HYPERLINK("http://141.218.60.56/~jnz1568/getInfo.php?workbook=03_02.xlsx&amp;sheet=A0&amp;row=908&amp;col=14&amp;number=0&amp;sourceID=30","0")</f>
        <v>0</v>
      </c>
    </row>
    <row r="909" spans="1:14">
      <c r="A909" s="3">
        <v>3</v>
      </c>
      <c r="B909" s="3">
        <v>2</v>
      </c>
      <c r="C909" s="3">
        <v>49</v>
      </c>
      <c r="D909" s="3">
        <v>48</v>
      </c>
      <c r="E909" s="3">
        <f>((1/(INDEX(E0!J$4:J$52,C909,1)-INDEX(E0!J$4:J$52,D909,1))))*100000000</f>
        <v>0</v>
      </c>
      <c r="F909" s="4" t="str">
        <f>HYPERLINK("http://141.218.60.56/~jnz1568/getInfo.php?workbook=03_02.xlsx&amp;sheet=A0&amp;row=909&amp;col=6&amp;number=&amp;sourceID=27","")</f>
        <v/>
      </c>
      <c r="G909" s="4" t="str">
        <f>HYPERLINK("http://141.218.60.56/~jnz1568/getInfo.php?workbook=03_02.xlsx&amp;sheet=A0&amp;row=909&amp;col=7&amp;number=&amp;sourceID=15","")</f>
        <v/>
      </c>
      <c r="H909" s="4" t="str">
        <f>HYPERLINK("http://141.218.60.56/~jnz1568/getInfo.php?workbook=03_02.xlsx&amp;sheet=A0&amp;row=909&amp;col=8&amp;number=&amp;sourceID=15","")</f>
        <v/>
      </c>
      <c r="I909" s="4" t="str">
        <f>HYPERLINK("http://141.218.60.56/~jnz1568/getInfo.php?workbook=03_02.xlsx&amp;sheet=A0&amp;row=909&amp;col=9&amp;number=&amp;sourceID=15","")</f>
        <v/>
      </c>
      <c r="J909" s="4" t="str">
        <f>HYPERLINK("http://141.218.60.56/~jnz1568/getInfo.php?workbook=03_02.xlsx&amp;sheet=A0&amp;row=909&amp;col=10&amp;number=&amp;sourceID=15","")</f>
        <v/>
      </c>
      <c r="K909" s="4" t="str">
        <f>HYPERLINK("http://141.218.60.56/~jnz1568/getInfo.php?workbook=03_02.xlsx&amp;sheet=A0&amp;row=909&amp;col=11&amp;number=&amp;sourceID=30","")</f>
        <v/>
      </c>
      <c r="L909" s="4" t="str">
        <f>HYPERLINK("http://141.218.60.56/~jnz1568/getInfo.php?workbook=03_02.xlsx&amp;sheet=A0&amp;row=909&amp;col=12&amp;number=7.246e-06&amp;sourceID=30","7.246e-06")</f>
        <v>7.246e-06</v>
      </c>
      <c r="M909" s="4" t="str">
        <f>HYPERLINK("http://141.218.60.56/~jnz1568/getInfo.php?workbook=03_02.xlsx&amp;sheet=A0&amp;row=909&amp;col=13&amp;number=&amp;sourceID=30","")</f>
        <v/>
      </c>
      <c r="N909" s="4" t="str">
        <f>HYPERLINK("http://141.218.60.56/~jnz1568/getInfo.php?workbook=03_02.xlsx&amp;sheet=A0&amp;row=909&amp;col=14&amp;number=&amp;sourceID=30","")</f>
        <v/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E0</vt:lpstr>
      <vt:lpstr>A0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2015-04-13T05:01:27Z</dcterms:created>
  <dcterms:modified xsi:type="dcterms:W3CDTF">2015-04-13T05:01:27Z</dcterms:modified>
</cp:coreProperties>
</file>